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deral-Grants-13-15.csv" sheetId="1" r:id="rId3"/>
    <sheet state="visible" name="ledgername-ized Federal-Grants-" sheetId="2" r:id="rId4"/>
    <sheet state="visible" name="unique org names" sheetId="3" r:id="rId5"/>
    <sheet state="visible" name="unique fed agency names" sheetId="4" r:id="rId6"/>
  </sheets>
  <definedNames>
    <definedName name="ledgerized_names">'ledgername-ized Federal-Grants-'!$T$2:$T$2496</definedName>
    <definedName hidden="1" localSheetId="0" name="_xlnm._FilterDatabase">'Federal-Grants-13-15.csv'!$S$1:$S$2496</definedName>
    <definedName hidden="1" localSheetId="1" name="_xlnm._FilterDatabase">'ledgername-ized Federal-Grants-'!$W$1:$W$2496</definedName>
  </definedNames>
  <calcPr/>
</workbook>
</file>

<file path=xl/sharedStrings.xml><?xml version="1.0" encoding="utf-8"?>
<sst xmlns="http://schemas.openxmlformats.org/spreadsheetml/2006/main" count="88229" uniqueCount="4231">
  <si>
    <t>prime_award_piid</t>
  </si>
  <si>
    <t>prime_award_federal_award_id</t>
  </si>
  <si>
    <t>prime_award_contracting_agency_name</t>
  </si>
  <si>
    <t>prime_award_contracting_office_id</t>
  </si>
  <si>
    <t>prime_award_amount</t>
  </si>
  <si>
    <t>prime_award_date_signed</t>
  </si>
  <si>
    <t>prime_award_project_description</t>
  </si>
  <si>
    <t>prime_award_transaction_type</t>
  </si>
  <si>
    <t>prime_award_program_title</t>
  </si>
  <si>
    <t>prime_awardee_recovery_model_q1</t>
  </si>
  <si>
    <t>prime_awardee_recovery_model_q2</t>
  </si>
  <si>
    <t>prime_award_contracting_major_agency_name</t>
  </si>
  <si>
    <t>prime_award_funding_major_agency_id</t>
  </si>
  <si>
    <t>prime_award_funding_major_agency_name</t>
  </si>
  <si>
    <t>subawardee_dunsnumber</t>
  </si>
  <si>
    <t>subawardee_name</t>
  </si>
  <si>
    <t>subawardee_dba_name</t>
  </si>
  <si>
    <t>subawardee_street</t>
  </si>
  <si>
    <t>subawardee_city</t>
  </si>
  <si>
    <t>subawardee_state</t>
  </si>
  <si>
    <t>subawardee_zipcode</t>
  </si>
  <si>
    <t>subaward_principal_place_street</t>
  </si>
  <si>
    <t>subaward_principal_place_city</t>
  </si>
  <si>
    <t>subaward_principal_place_state</t>
  </si>
  <si>
    <t>subaward_principal_place_zip</t>
  </si>
  <si>
    <t>subawardee_parent_duns</t>
  </si>
  <si>
    <t>subawardee_parent_contractor_name</t>
  </si>
  <si>
    <t>subaward_amount</t>
  </si>
  <si>
    <t>subaward_date</t>
  </si>
  <si>
    <t>subaward_major_agency_id</t>
  </si>
  <si>
    <t>subaward_major_agency_name</t>
  </si>
  <si>
    <t>subaward_number</t>
  </si>
  <si>
    <t>subaward_project_description</t>
  </si>
  <si>
    <t>subaward_report_month</t>
  </si>
  <si>
    <t>subaward_report_year</t>
  </si>
  <si>
    <t>subaward_fiscal_year</t>
  </si>
  <si>
    <t>subaward_CFDA_program_number_title_codes</t>
  </si>
  <si>
    <t>R21LM010954</t>
  </si>
  <si>
    <t>NATIONAL INSTITUTES OF HEALTH</t>
  </si>
  <si>
    <t>EXPLORING THE FEASIBILITY OF APPROXIMATE SEQUENTIAL PATTERN DISCOVERY IN MASSIVE</t>
  </si>
  <si>
    <t>HEALTH AND HUMAN SERVICES, DEPARTMENT OF</t>
  </si>
  <si>
    <t>HENRY FORD HEALTH SYSTEM</t>
  </si>
  <si>
    <t>HENRY FORD HEALTH SCIENCES CENTER</t>
  </si>
  <si>
    <t>1 FORD PL STE 5F</t>
  </si>
  <si>
    <t>DETROIT</t>
  </si>
  <si>
    <t>MI</t>
  </si>
  <si>
    <t>Detroit</t>
  </si>
  <si>
    <t>Henry Ford Hospital will be responsible for identifying patients from the surgical ICU who have known adverse clinical outcomes (e.g., sepsis, death) and who otherwise meet stated study eligibility criteiia. :HFll will obtain data ftorn ICU monitoring equipment (e.g., EKG, heatt rate, blood pressure;blood oxygen),. create de-identified data sets for analysis, and transfer these [deidentified] data files to Dr. Syed at the University of MichiganÂ· for analysis. Drs. Rubinfeld and Nerenz willÂ·assist Dr. Syed with all aspects of project plarming and design, and will provide input to analyses seeking-to identify patterns in continuous monitoring data that are associated with adverse outcomes. Drs. Rubinfeld and Nerenz will participate as co~authors on manuscripts and presentations associated with the project, and will assure that pattern-recognition tools dev(:loped at UM can be linked to monitoring systems in the SICU in order to establish the feasibility of studies of validity ofthose tools in real-time ICU monitoring situations.</t>
  </si>
  <si>
    <t>93.879 Medical Library Assistance</t>
  </si>
  <si>
    <t>DEEE0005661</t>
  </si>
  <si>
    <t>ENERGY, DEPARTMENT OF</t>
  </si>
  <si>
    <t>AWARD DE-EE0005661 TO THE UNITED STATES AUTOMOTIVE MATERIALS PARTNERSHIP, LLC (USAMP) FOR PROJECT TITLED "VALIDATION OF MATERIAL MODELS FOR AUTOMOTIV</t>
  </si>
  <si>
    <t>WAYNE STATE UNIVERSITY</t>
  </si>
  <si>
    <t>5700 CASS AVE STE 4900</t>
  </si>
  <si>
    <t>12-2803-AMP</t>
  </si>
  <si>
    <t>Project Support including FBCC crash testing and data analysis</t>
  </si>
  <si>
    <t>81.086 Conservation Research and Development</t>
  </si>
  <si>
    <t>U01CA162148</t>
  </si>
  <si>
    <t>SYSTEMATIC GENETIC CHARACTERIZATION OF AFRICAN AMERICAN PROSTATE CANCER</t>
  </si>
  <si>
    <t>PO646368</t>
  </si>
  <si>
    <t>After the protocol is IRB approved, at the Biorepository Core (BlOC) at Karmanos Cancer Center (KCI), we will collect tissue from primary PCa patients. Briefly, the patients' coming to the KCI Pre-surgical Testing Centre will first be consented by the BlOC nurse. From the consented patients' tissue specimen, tissue samples for diagnostic studies will first be obtained. If specimen remains, then tissue from primary PCa will be obtained for research purposes. The specimens thus collected will be bar coded and entered into the BioC database, Oncore and stored frozen in the -80 freezers in the Core. FFPE sample blocks will also be stored in the department of Pathology. Tumor blocks will be selected upon microscopic slide review. Selected tumor blocks will be cut for DNA analysis into ependorf tubes and delivered to the Genomics Core for DNA isolations and genotyping assays</t>
  </si>
  <si>
    <t>93.396 Cancer Biology Research</t>
  </si>
  <si>
    <t>U62PS000999</t>
  </si>
  <si>
    <t>CENTERS FOR DISEASE CONTROL AND PREVENTION</t>
  </si>
  <si>
    <t>HIV/AIDS SURVEILLANCE</t>
  </si>
  <si>
    <t>INSTITUTUTE FOR POPULATION HEALTH, INC.</t>
  </si>
  <si>
    <t>1151 TAYLOR ST</t>
  </si>
  <si>
    <t>HIV/AIDS Surveillance</t>
  </si>
  <si>
    <t>93.944 Human Immunodeficiency Virus (HIV)/Acquired Immunodeficiency Virus Syndrome (AIDS) Surveillance; 93.523 The Affordable Care Act: Human Immunodeficiency Virus (HIV) Prevention and Public Health Fund Activities; 93.941 HIV Demonstration, Research, Public and Professional Education Projects</t>
  </si>
  <si>
    <t>2012DJBX0109</t>
  </si>
  <si>
    <t>OFFICE OF JUSTICE PROGRAMS</t>
  </si>
  <si>
    <t>FY2012 State of Michigan Byrne JAG</t>
  </si>
  <si>
    <t>JUSTICE, DEPARTMENT OF</t>
  </si>
  <si>
    <t>City Of Detroit</t>
  </si>
  <si>
    <t>GRANTS AND CONTRACTS ADMINISTRATION</t>
  </si>
  <si>
    <t>1300 BEAUBIEN, RM-703</t>
  </si>
  <si>
    <t>DETROIT, CITY OF</t>
  </si>
  <si>
    <t>72437-1-13-B</t>
  </si>
  <si>
    <t>The "Detroit Police Department's Data Driven Approach to Crime and Traffic Safety (DDACTS) Project" will involve targeted enforcement of traffic violations and criminal activity at high-risk locations in the City of Detroit.  Outreach activities will be conducted to engage the public and stakeholders.  Wayne State University will partner with the Detroit Police to support planning, development, and evaluation of activities.</t>
  </si>
  <si>
    <t>16.738 Edward Byrne Memorial Justice Assistance Grant Program</t>
  </si>
  <si>
    <t>72436-1-13-B</t>
  </si>
  <si>
    <t>This Project seeks to enhance prevention/intervention efforts in the Cody H.S. neighborhood through a collaboration between Think Detroit PAL and the Detroit Police Department. Activities will be targeted to youth (10-16) and include sports, mentoring, and life skills education. 750 youth at risk of dropping out of school, joining a gang or engaging in illicit behavior will be touched annually.</t>
  </si>
  <si>
    <t>72438-1-13-B</t>
  </si>
  <si>
    <t>Wayne State University is seeking support for Midtown CompStat, a data-driven crime-fighting strategy that targets crime hot spots and coordinates crime prevention with several agencies. With this project, the targeting of crime hot spots will be enhanced through high visibility traffic enforcement and the grant will also support new efforts targeting repeat offenders.</t>
  </si>
  <si>
    <t>SP018624</t>
  </si>
  <si>
    <t>SUBSTANCE ABUSE &amp; MENTAL HEALTH SERVICES ADMINISTRATION</t>
  </si>
  <si>
    <t>STATE OF MICHIGAN SPE GRANT</t>
  </si>
  <si>
    <t>State Prevention Enhancement (SPE) Grant Project</t>
  </si>
  <si>
    <t>93.243 Substance Abuse and Mental Health Services_Projects of Regional and National Significance</t>
  </si>
  <si>
    <t>P50HL110790</t>
  </si>
  <si>
    <t>A CONTROLLED CLINICAL TRIAL OF REGADENOSON IN SICKLE CELL ANEMIA</t>
  </si>
  <si>
    <t>PO649270</t>
  </si>
  <si>
    <t>Dr. Swerdlow will direct the implementation of A Controlled Trial of Regadenoson in Sickle Cell Anemia at Wayne State University School of Medicine. Dr. Swerdlow will manage regulatory issues with the assistance of the coordinating site at Dana-Farber Cancer Institute. He Will oversee the recruitment, consent and screening process for study participants at Wayne State University School of Medicine. Along with a designated study coordinator, Dr. Swerdlow will oversee the administration of study drug and shipping of blood samples to the laboratory of Dr. Joel Linden.  He will also monitor the study at Wayne State University School of Medicine for adverse outcomes, adhering to the data safety monitoring plan to ensure that the study is conducted according to federal regulations and Good Clinical Practice guidelines.</t>
  </si>
  <si>
    <t>93.839 Blood Diseases and Resources Research</t>
  </si>
  <si>
    <t>R56DE022524</t>
  </si>
  <si>
    <t>CD8 TCELLS AND TISSUE E-CADHERIN IN HOST DEFENSE AGAINST ORAL CANDIDIASIS IN HIV</t>
  </si>
  <si>
    <t>HFord213-1229800-02</t>
  </si>
  <si>
    <t>Biopsy sample collection and processing for shipment to LSUHSC on Grant #R56DE022524</t>
  </si>
  <si>
    <t>93.121 Oral Diseases and Disorders Research</t>
  </si>
  <si>
    <t>MI0064C5F011104</t>
  </si>
  <si>
    <t>ASSISTANT SECRETARY FOR COMMUNITY PLANNING AND DEVELOPMENT</t>
  </si>
  <si>
    <t>SPC-RENEWAL SPON BRA</t>
  </si>
  <si>
    <t>HOUSING AND URBAN DEVELOPMENT, DEPARTMENT OF</t>
  </si>
  <si>
    <t>SOUTHWEST HOUSING SOLUTIONS CORPORATION</t>
  </si>
  <si>
    <t>Fisher Clubhouse</t>
  </si>
  <si>
    <t>1920 25TH ST</t>
  </si>
  <si>
    <t>SOUTHWEST COUNSELING SOLUTIONS, INC.</t>
  </si>
  <si>
    <t>Shelter Plus Care-Southwest-Springwells</t>
  </si>
  <si>
    <t>14.238 Shelter Plus Care</t>
  </si>
  <si>
    <t>NATIONAL SCIENCE FOUNDATION</t>
  </si>
  <si>
    <t>GENI Solicitation 3 D&amp;P Proposal</t>
  </si>
  <si>
    <t>14059-S11096-BBN</t>
  </si>
  <si>
    <t>This project will deploy a multi-sector WiMAX network in the Metro Detroit area.</t>
  </si>
  <si>
    <t>47.070 Computer and Information Science and Engineering</t>
  </si>
  <si>
    <t>NATIONAL ENDOWMENT FOR THE ARTS</t>
  </si>
  <si>
    <t>To support Partnership Agreement activities,</t>
  </si>
  <si>
    <t>SPHINX ORGANIZATION INC</t>
  </si>
  <si>
    <t>400 RENAISSANCE CTR LBBY</t>
  </si>
  <si>
    <t>13SF0008SV</t>
  </si>
  <si>
    <t>SphinxCon. On behalf of the MCACA, provide the technical aspects of a building diversity in the arts conference with a Ted-X Style component.</t>
  </si>
  <si>
    <t>45.025 Promotion of the Arts_Partnership Agreements</t>
  </si>
  <si>
    <t>B10CBNY0001</t>
  </si>
  <si>
    <t>CAPACITY BUILDING</t>
  </si>
  <si>
    <t>GRANDMONT ROSEDALE DEVELOPMENT CORPORATION</t>
  </si>
  <si>
    <t>G R D C</t>
  </si>
  <si>
    <t>19800 GRAND RIVER AVE</t>
  </si>
  <si>
    <t>LISC supported GRDC with funding and resources to hire a Building Sustainable Communities Project Manager and a Community Organizer through the LISC AmeriCorps Program.</t>
  </si>
  <si>
    <t>14.252 Section 4 Capacity Building for Community Development and Affordable Housing</t>
  </si>
  <si>
    <t>90RV0062</t>
  </si>
  <si>
    <t>ADMINISTRATION FOR CHILDREN AND FAMILIES</t>
  </si>
  <si>
    <t>PY 2012 VOLUNTARY AGENCY MATCHING GRANT PROGRAM</t>
  </si>
  <si>
    <t>LUTHERAN SOCIAL SERVICES OF MICHIGAN</t>
  </si>
  <si>
    <t>8131 E JEFFERSON AVE</t>
  </si>
  <si>
    <t>Southfield</t>
  </si>
  <si>
    <t>MG13-MI-01</t>
  </si>
  <si>
    <t>FY13 Match Grant</t>
  </si>
  <si>
    <t>93.567 Refugee and Entrant Assistance_Voluntary Agency Programs</t>
  </si>
  <si>
    <t>90ZU0067</t>
  </si>
  <si>
    <t>UNACCOMPANIED ALIEN CHILDREN</t>
  </si>
  <si>
    <t>356-13-MI-01</t>
  </si>
  <si>
    <t>FY13 Foster Care Services</t>
  </si>
  <si>
    <t>93.676 Unaccompanied Alien Children Program</t>
  </si>
  <si>
    <t>1302MIAEGP</t>
  </si>
  <si>
    <t>2013 ABSTINENCE</t>
  </si>
  <si>
    <t>ST JOHN COMMUNITY HEALTH INV</t>
  </si>
  <si>
    <t>22101 MOROSS RD STE 365</t>
  </si>
  <si>
    <t>Abstinence Education Grant Program</t>
  </si>
  <si>
    <t>93.235 Affordable Care Act (ACA) Abstinence Education Program</t>
  </si>
  <si>
    <t>DTRT12GUTC21</t>
  </si>
  <si>
    <t>Research and Innovative Technology Administration</t>
  </si>
  <si>
    <t>University Transportation Center</t>
  </si>
  <si>
    <t>TRANSPORTATION, DEPARTMENT OF</t>
  </si>
  <si>
    <t>UNIVERSITY OF DETROIT MERCY</t>
  </si>
  <si>
    <t>UNIVERSITY DETROIT BOOK STORE</t>
  </si>
  <si>
    <t>4001 W MCNICHOLS RD</t>
  </si>
  <si>
    <t>2111004903UDM</t>
  </si>
  <si>
    <t>This award report is for 2nd year funding. The University of Detroit Mercy will complete 2 projects as part of the Mineta National Transportation Research Consortium.  1) A study of Factors that Inhibit and Enable Effective Development of Sustainable Regional Transit Systems in Southeastern Michigan. 2) Smart Moves: Innovative Transit Solutions for the 21st century.</t>
  </si>
  <si>
    <t>20.701 University Transportation Centers Program</t>
  </si>
  <si>
    <t>H46MC24058</t>
  </si>
  <si>
    <t>HEALTH RESOURCES AND SERVICES ADMINISTRATION</t>
  </si>
  <si>
    <t>GENETIC SERVICES PROJECT</t>
  </si>
  <si>
    <t>MI Breast &amp; Cervical Cancer Screening</t>
  </si>
  <si>
    <t>93.110 Maternal and Child Health Federal Consolidated Programs</t>
  </si>
  <si>
    <t>90AE0341</t>
  </si>
  <si>
    <t>CREATING CONFIDENT CAREGIVERS: MICHIGAN'S EXPANSION PROJECT</t>
  </si>
  <si>
    <t>DETROIT AREA AGENCY ON AGING</t>
  </si>
  <si>
    <t>DETROIT MEALS ON WHEELS</t>
  </si>
  <si>
    <t>1333 BREWERY PARK BLVD 200</t>
  </si>
  <si>
    <t>ADSSP Expansion Project</t>
  </si>
  <si>
    <t>93.051 Alzheimer's Disease Demonstration Grants to States</t>
  </si>
  <si>
    <t>SHB: Type I (EXP): Rehospitalization Analytics: Modeling and Reducing the Risks of Rehospitalization</t>
  </si>
  <si>
    <t>WSU12090</t>
  </si>
  <si>
    <t>Dr. David Lanfear, a cardiologist at Henry Ford, will directly manage the research staff there and have the overall responsibility for collection of data, the performance of quality checks and the provision of clean data for analysis.  He will also be responsible for evaluating the results of the project and checking the validity of the risk factors identified using the proposed models.</t>
  </si>
  <si>
    <t>U76HP20206</t>
  </si>
  <si>
    <t>AHEC INFRASTRUCTURE DEVELOPMENT PROGRAM</t>
  </si>
  <si>
    <t>DETROIT WAYNE COUNTY HEALTH AUTHORITY</t>
  </si>
  <si>
    <t>3031 W GRAND BLVD STE 545</t>
  </si>
  <si>
    <t>WSU13029</t>
  </si>
  <si>
    <t>This subcontractor will encourage the regionalization of health professional school partnerships through the establishment of partnerships with community-based organizations.   One of the primary goals is to complete the development of the Regional Center Office, Community engagement, Regional Center Program Plan and Community Advisory Board. A second goal is to increase the number of clinical rotations in the rural areas. A third goal is to prepare youth for a career in healthcare. A fourth goal is to provide Health Professionals with Continuing Education support. The remaining goals are to fulfill the financial, progress, and evaluation accountability requirements, as well as the Regional Center Office requirements. These goals represent a high-level overview of the subcontractors responsibilities on this project.</t>
  </si>
  <si>
    <t>93.824 Area Health Education Centers Infrastructure Development Awards</t>
  </si>
  <si>
    <t>2012JUFX0008</t>
  </si>
  <si>
    <t>Improving the efficiency and expanding the reach of the Big Brothers Big Sisters of America Juvenile Justice Initiative.</t>
  </si>
  <si>
    <t>BIG BROTHERS/BIG SISTERS OF METROPOLITAN DETROIT</t>
  </si>
  <si>
    <t>7700 2ND AVE STE 602</t>
  </si>
  <si>
    <t>2012-JU-FX-0008</t>
  </si>
  <si>
    <t>Improving the efficiency and expanding the reach of the Big Brothers Big Sisters Juvenile Justice Initiative</t>
  </si>
  <si>
    <t>16.726 Juvenile Mentoring Program</t>
  </si>
  <si>
    <t>SPRMCO13CA1025</t>
  </si>
  <si>
    <t>STATE, DEPARTMENT OF</t>
  </si>
  <si>
    <t>FY2013 Reception and Placement Program</t>
  </si>
  <si>
    <t>323-13-MI-01</t>
  </si>
  <si>
    <t>FY13 Reception &amp; Placement</t>
  </si>
  <si>
    <t>19.510 U.S. Refugee Admissions Program</t>
  </si>
  <si>
    <t>H133G120091</t>
  </si>
  <si>
    <t>EDUCATION, DEPARTMENT OF</t>
  </si>
  <si>
    <t>FIELD INITIATED</t>
  </si>
  <si>
    <t>Evaluation of Project TEAM (Teens Making Environmental and Activity Modifications) - Effectiveness, Social Validity and Feasibility</t>
  </si>
  <si>
    <t>84.133 National Institute on Disability and Rehabilitation Research</t>
  </si>
  <si>
    <t>U24CA171524</t>
  </si>
  <si>
    <t>CRN4: CANCER RESEARCH RESOURCES &amp; COLLABORATION IN INTEGRATED HEALTH CARE SYSTEMS</t>
  </si>
  <si>
    <t>12LKUSH-04-HFS</t>
  </si>
  <si>
    <t>To assist Kaiser with carrying out it's responsibilities of the grant.</t>
  </si>
  <si>
    <t>93.393 Cancer Cause and Prevention Research</t>
  </si>
  <si>
    <t>B11CBNY0001</t>
  </si>
  <si>
    <t>40742-0077</t>
  </si>
  <si>
    <t>Year 2 funding will be used to the support the Grandmont Rosedale QoL planning process by supporting the transition from planning to implementation.  LISC funding will support three staff positions responsible for oversight and implementation of various parts of the QoL plan.</t>
  </si>
  <si>
    <t>MI20132</t>
  </si>
  <si>
    <t>CENTERS FOR MEDICARE AND MEDICAID SERVICES</t>
  </si>
  <si>
    <t>MEDICAID ENTITLEMENT FOR MICHIGAN - FY 2013 QUARTER 2 - T19</t>
  </si>
  <si>
    <t>SOUTHEASTERN MICHIGAN HEALTH ASSOCIATION</t>
  </si>
  <si>
    <t>DETROIT/WAYNE COUNTY INFANT HEALTH PROMOTION COALITION</t>
  </si>
  <si>
    <t>3011 W GRAND BLVD STE 200</t>
  </si>
  <si>
    <t>Medicaid Administration</t>
  </si>
  <si>
    <t>93.778 Medical Assistance Program</t>
  </si>
  <si>
    <t>DEEE0005337</t>
  </si>
  <si>
    <t>SMART GRID FUNCTIONALITY; SMART-GRID READY PV INVERTER WITH UTILITY COMMUNICATION</t>
  </si>
  <si>
    <t>THE DETROIT EDISON COMPANY</t>
  </si>
  <si>
    <t>DTE ENERGY</t>
  </si>
  <si>
    <t>1 ENERGY PLZ</t>
  </si>
  <si>
    <t>DTE ENERGY COMPANY</t>
  </si>
  <si>
    <t>EP-P45817/C19774</t>
  </si>
  <si>
    <t>Demonstrate Inverter Advanced Functions Â– Phase 1: With the rapid growth in distribution-connected PV systems utilities are beginning to see integration problems that requiring feeder modifications or imposing of penetration limits. One way to increase a feeders hosting capacity for distributed PV is to incorporate advanced functions into the PV inverters and plant controllers. To the extent that these functions can be used by the utility for grid support, either autonomously or via direct communication, the adverse affects of high penetration of variable generation can be mitigated. The overall objective of this project is to develop, implement, and demonstrate smart-grid ready inverters with grid support functionality and required communication links to capture the full value of distributed photovoltaic (PV) systems. The project will develop, implement, and demonstrate smart-grid ready inverters with grid support functionality. Key objectives are to expand PV inverter capabilities and apply communication protocols that are currently evolving in international standards. Together there are intended to enable grid operators to better utilize distributed grid assets. The specific aims of the overall project are detailed in the document Â“DOE Scope of Project Objectives (SOPO) for DE-EE0005337Â” which is attached to this SOW for reference purposes only.</t>
  </si>
  <si>
    <t>81.087 Renewable Energy Research and Development</t>
  </si>
  <si>
    <t>261382234L23R2</t>
  </si>
  <si>
    <t>FEDERAL HIGHWAY ADMINISTRATION</t>
  </si>
  <si>
    <t>Conant Street 14 locations from Conant to Rosa Parks 4.4 miles cold milling hot mix asphalt surface, hot mix asphalt resurf</t>
  </si>
  <si>
    <t>YOUTH DEPT</t>
  </si>
  <si>
    <t>65 CADILLAC SQ STE 3200</t>
  </si>
  <si>
    <t xml:space="preserve">4.4 miles cold milling hot mix asphalt surface, hot mix asphalt resurf Conant Street 14 locations from Conant to Rosa Parks </t>
  </si>
  <si>
    <t>20.205 Highway Planning and Construction</t>
  </si>
  <si>
    <t>261382234L23R1</t>
  </si>
  <si>
    <t>356-13-MI-02</t>
  </si>
  <si>
    <t>18X9204020MI13</t>
  </si>
  <si>
    <t>NATIONAL HIGHWAY TRAFFIC SAFETY ADMINISTRATION</t>
  </si>
  <si>
    <t>SECTION 402 STATE AND COMMUNITY HIGHWAY</t>
  </si>
  <si>
    <t>OP-13-02</t>
  </si>
  <si>
    <t>Evaluation</t>
  </si>
  <si>
    <t>20.600 State and Community Highway Safety</t>
  </si>
  <si>
    <t>PT-13-02</t>
  </si>
  <si>
    <t>Traffic Enforcement</t>
  </si>
  <si>
    <t>261350011L23E2</t>
  </si>
  <si>
    <t>Stephens Road JN:118183A: Stephens Road Gratiot Avenue (M-3) JN:118183A: Complete Reconstruction of the existing pavement structu</t>
  </si>
  <si>
    <t>City Of Eastpointe</t>
  </si>
  <si>
    <t>FINANCE DEPT</t>
  </si>
  <si>
    <t>23200 GRATIOT AVE</t>
  </si>
  <si>
    <t>East Detroit</t>
  </si>
  <si>
    <t>JN:118183A: Complete Reconstruction of the existing pavement structure Stephens Road JN:118183A: Stephens Road Gratiot Avenue (M-3)</t>
  </si>
  <si>
    <t>261350012L23E2</t>
  </si>
  <si>
    <t>Stephens Road JN:118163A: Stephens Road from Tuscany Avenue JN:118163A: Complete reconstruction of the existing pavement structu</t>
  </si>
  <si>
    <t>JN:118163A: Complete reconstruction of the existing pavement structure Stephens Road JN:118163A: Stephens Road from Tuscany Avenue</t>
  </si>
  <si>
    <t>R01HL108016</t>
  </si>
  <si>
    <t>INHERITED GENETIC RISK FACTORS COMMON TO COPD AND LUNG CANCER.</t>
  </si>
  <si>
    <t>HENRY FORD HOSPITAL</t>
  </si>
  <si>
    <t>1 FORD PLACE</t>
  </si>
  <si>
    <t>122062-NS2013-21</t>
  </si>
  <si>
    <t>The Data Coordinating Center (DCC) in the Department of Public Health Sciences (PHS) at Henry Ford Health System (HFHS) will provide statistical expertise and data management support for LCRT optimization prior to analysis of LCRT validation samples, the multi-site exploratory retrospective Case-control COPD cohort study, and exploratory prospective longitudinal cohort study, as well as other exploratory LC-COPD studies . The DCC will be under the guidance of the project PI, Dr. James Willey and the trials Steering Committee.  Standard Operating Procedures (SOPs) have been developed at PHS based on FDA Good Clinical Practice (GCP), and implemented in PHS for clinical trials. The DCC staff members are trained in these procedures. Although this trial does not require an FDA IND application, the DCC will design and conduct the trial according to FDA Good Clinical Practice (GCP) to insure the quality of the research.  The DCC activities include: 1) providing statistical expertise in LC-COPD and CPORT protocol development, 2) participating in the CDF deSign and creation; 3) creation of the Oracle Clinical CRF database; 4) monitoring clinical sites enrollment/compliance; 4) assisting sites with the patient's follow-ups/compliance; 5) CRF data collection and management for data quality; 6) assist in the standard procedure/process development and quality control for patient safety and outcome assessment among the sites if needed; and 7) providing the central review for patient safety and serious adverse event (SAE) reporting. The DCC is also responsible for the selection of controls for each identified case (COPD) and for performing the data analysis of the exploratory COPD risk tests and lung cancer risk tests. The DCC will perform analyses for all secondary endpoints if there are any, and assist in manuscript preparation. Finally, the DCC will conduct the data achieve process for data sharing.</t>
  </si>
  <si>
    <t>93.838 Lung Diseases Research</t>
  </si>
  <si>
    <t>261382230L23E3</t>
  </si>
  <si>
    <t>Base Line Road from Center Street to Meadowbrook Road, Grisw 1.60 miles of concrete pavement reconstruction, concrete pavement re</t>
  </si>
  <si>
    <t>Charter County Of Wayne</t>
  </si>
  <si>
    <t>500 GRISWOLD ST FL 9</t>
  </si>
  <si>
    <t>WAYNE, CHARTER COUNTY OF</t>
  </si>
  <si>
    <t xml:space="preserve">Base Line Road from Center Street to Meadowbrook Road, Grisw 1.60 miles of concrete pavement reconstruction, concrete pavement repa </t>
  </si>
  <si>
    <t>261382227L23E1</t>
  </si>
  <si>
    <t>Merriman Road from Cherry Hill Road to Ford Road (M-153), ci 1.06 miles of hot mix asphalt cold milling, hot mix asphalt resurfac</t>
  </si>
  <si>
    <t xml:space="preserve">Merriman Road from Cherry Hill Road to Ford Road (M-153), ci 1.06 miles of hot mix asphalt cold milling, hot mix asphalt resurfacin </t>
  </si>
  <si>
    <t>261382235L23R2</t>
  </si>
  <si>
    <t>Saint Antoine St 26 locations from St. Antoine to Lodge Serv 3.18 miles of cold milling hot mix asphalt surface, hot mix asphalt</t>
  </si>
  <si>
    <t xml:space="preserve">Saint Antoine St 26 locations from St. Antoine to Lodge Serv 3.18  miles of cold milling hot mix asphalt surface, hot mix asphalt r </t>
  </si>
  <si>
    <t>261382236L23R1</t>
  </si>
  <si>
    <t>Middlebelt Road from North Line Road to Goddard road, city o 1.08 miles of hot mix asphalt cold milling, hot mix asphalt surfacin</t>
  </si>
  <si>
    <t xml:space="preserve">Middlebelt Road from North Line Road to Goddard road, city o 1.08 miles of hot mix asphalt cold milling, hot mix asphalt surfacing, </t>
  </si>
  <si>
    <t>323-13-MI-02</t>
  </si>
  <si>
    <t>S367B110019</t>
  </si>
  <si>
    <t>IMPROVING TEACHER QUALITY GRANTS - SAHES</t>
  </si>
  <si>
    <t>820004408-120290</t>
  </si>
  <si>
    <t>The purpose of the program is to increase academic achievement by improving teacher and principal quality.</t>
  </si>
  <si>
    <t>84.367 Improving Teacher Quality State Grants</t>
  </si>
  <si>
    <t>S287C120022</t>
  </si>
  <si>
    <t>AFTER SCHOOL LEARNING CENTER FORMULA AWARD</t>
  </si>
  <si>
    <t>ACE ACADEMY</t>
  </si>
  <si>
    <t>330 GLENDALE ST</t>
  </si>
  <si>
    <t>FERNDALE</t>
  </si>
  <si>
    <t>82998-132110</t>
  </si>
  <si>
    <t>To create community learning centers that provide academic enrichment opportunities for children, particularly students who attend high-poverty and low-performing schools. The program is intended to help students meet state and local student standards in core academic subjects, such as reading and math; offers students a broad array of enrichment activities that should complement their regular academic programs; and to offer literacy and other educational services to the families of participating children.</t>
  </si>
  <si>
    <t>84.287 Twenty-First Century Community Learning Centers</t>
  </si>
  <si>
    <t>500 GRISWALD 20TH FL</t>
  </si>
  <si>
    <t>Westland</t>
  </si>
  <si>
    <t>PT-13-17</t>
  </si>
  <si>
    <t>DETROIT YOUTH FOUNDATION</t>
  </si>
  <si>
    <t>YOUTHVILLE DETROIT</t>
  </si>
  <si>
    <t>7375 WOODWARD AVE STE 2800</t>
  </si>
  <si>
    <t>990000055-132110</t>
  </si>
  <si>
    <t>261382213LZ2E7</t>
  </si>
  <si>
    <t>West Road from Telegraph Road (US-24) to Hall Road, city of 1.03 miles of concrete reconstruction, storm sewer, concrete box cul</t>
  </si>
  <si>
    <t xml:space="preserve">West Road from Telegraph Road (US-24) to Hall Road, city of  1.03 miles of concrete reconstruction, storm sewer, concrete box culve </t>
  </si>
  <si>
    <t>B12MC120007</t>
  </si>
  <si>
    <t>ENTITLED CITIES</t>
  </si>
  <si>
    <t>WADE TRIM ASSOCIATES, INC.</t>
  </si>
  <si>
    <t>500 GRISWOLD, STE 2500</t>
  </si>
  <si>
    <t>Tampa</t>
  </si>
  <si>
    <t>FL</t>
  </si>
  <si>
    <t>WADE TRIM GROUP, INC.</t>
  </si>
  <si>
    <t>PO#: 62062100227130002</t>
  </si>
  <si>
    <t xml:space="preserve"> Name of Program:                                (Five-Year Consolidated Plan  2013/2014-2017/2018 and Annual Action Plan 2013-2014 for CDBG and HOME Program)     The Consolidated Plan consists of the information required in 24 Code of Federal Regulations (CFR) Part 91, Consolidated Submissions for Community Planning and Development Programs. The Consolidated Plan serves as a planning document, application for Federal Funds, strategic plan in carrying out U.S. Department of Housing and Urban Development (HUD) programs, and Action Plan that provides the basis for assessing performance.  The City of Gainesville Five Year Consolidated Plan covers the time period from October 1, 2013 through September 30, 2018. The Plan identifies community needs and details initiatives to address those needs and is structured in a format that will help to measure performance. This five-year planning document identifies priority housing, homeless, special populations and community development needs, establishes general strategies for addressing those needs, and integrates the application, planning, and citizen participation requirements for the Community Development Block Grant, HOME Investment Partnership and all other sources of state and federal funds administered through the City.   </t>
  </si>
  <si>
    <t>14.218 Community Development Block Grants/Entitlement Grants</t>
  </si>
  <si>
    <t>DEAR0000186</t>
  </si>
  <si>
    <t>TAS::89 0337::TAS - A NORTH EASTERN UNIVERSITY LED TEAM WILL DEVELOP A PROCESS TO CREATE BULK QUANTITIES OF IRON AND NICKEL IN A UNIQUE CRYSTAL STRUC</t>
  </si>
  <si>
    <t>GENERAL MOTORS COMPANY</t>
  </si>
  <si>
    <t>General Motors</t>
  </si>
  <si>
    <t>300 Renaissance Ctr L1</t>
  </si>
  <si>
    <t>Multiscale Development of L10 Materials for Rare-Earth-Free Permanenet Magnets</t>
  </si>
  <si>
    <t>81.135 Advanced Research and Projects Agency Â– Energy Financial Assistance Program</t>
  </si>
  <si>
    <t>261382227L23E2</t>
  </si>
  <si>
    <t>261382230L23E2</t>
  </si>
  <si>
    <t>261382236L23R2</t>
  </si>
  <si>
    <t>MG13-MI-02</t>
  </si>
  <si>
    <t>R01HL111111</t>
  </si>
  <si>
    <t>ALTERING SEDATION PARADIGMS TO IMPROVE BRAIN INJURY AND SURVIVAL IN SEVERE SEPSIS</t>
  </si>
  <si>
    <t>VUMC40457</t>
  </si>
  <si>
    <t>This grant is to perform a multi-center clinical trial of two commonly used sedative regimens for critically ill sepsis patients.  Dr. E. Rivers (Henry Ford Health System) will obtain IRB approval, oversee the research in the ICUs and to make sure that the patient screening, data acquisition and records are occurring smoothly.</t>
  </si>
  <si>
    <t>MIH12F001</t>
  </si>
  <si>
    <t>HOPWA (FORMULA)</t>
  </si>
  <si>
    <t>MAYOR'S OFFICE</t>
  </si>
  <si>
    <t>2 WOODWARD AVE</t>
  </si>
  <si>
    <t>Housing Opportunities for Persons with AIDS</t>
  </si>
  <si>
    <t>14.241 Housing Opportunities for Persons with AIDS</t>
  </si>
  <si>
    <t>VANGUARD COMMUNITY DEVELOPMENT CORPORATION</t>
  </si>
  <si>
    <t>2785 E GRAND BLVD</t>
  </si>
  <si>
    <t>42146-0034</t>
  </si>
  <si>
    <t>LISC proceeds will be used to support the Building Sustainable Communities ManagerÂ’s (BSCM) salary and benefits, support the Community/ Outreach positionÂ’s salary and benefits</t>
  </si>
  <si>
    <t>M12MC260202</t>
  </si>
  <si>
    <t>HOME INVESTMENT CPD</t>
  </si>
  <si>
    <t>Allocation for HOME Ivestment Partnerships (HOME) Program.</t>
  </si>
  <si>
    <t>14.239 Home Investment Partnerships Program</t>
  </si>
  <si>
    <t>U01NS074425</t>
  </si>
  <si>
    <t>FUTILITY STUDY OF DEFEROXAMINE MESYLATE IN INTRACEREBRAL HEMORRHAGE (HI-DEF)</t>
  </si>
  <si>
    <t>This project aims to investigate a potential new treatment for ICH (intracerebral hemorrhage). It, therefore, can have important clinical implications; improve the welfare of these patients and their families; and minimize expenses related to long-term care of patients with ICH.  This study is a prospective, multi-center, double-blind, randomized, placebo-armed, phase-II, futility clinical study to determine if the maximum tolerated dose of deferoxamine (DFO) is of sufficient promise to improve outcome prior to embarking on a large-scale and costly phase III study to assess its efficacy in ICH.</t>
  </si>
  <si>
    <t>93.853 Extramural Research Programs in the Neurosciences and Neurological Disorders</t>
  </si>
  <si>
    <t>U50DD000567</t>
  </si>
  <si>
    <t>MICHIGAN HEMOGLOBINOPATHY SURVEILLANCE AND QUALITY IMPROVEMENT PROGRAM</t>
  </si>
  <si>
    <t>Michigan Hemogobinopathy Surveillance</t>
  </si>
  <si>
    <t>93.283 Centers for Disease Control and Prevention_Investigations and Technical Assistance</t>
  </si>
  <si>
    <t>2011JPFX0013</t>
  </si>
  <si>
    <t>Title V Community Prevention Grants Program</t>
  </si>
  <si>
    <t>JAIBG13-82001 1</t>
  </si>
  <si>
    <t>Delinquency Prevention</t>
  </si>
  <si>
    <t>16.548 Title V_Delinquency Prevention Program</t>
  </si>
  <si>
    <t>UH2AT007766</t>
  </si>
  <si>
    <t>A PRAGMATIC TRIAL OF LUMBAR IMAGE REPORTING WITH EPIDEMIOLOGY (LIRE)</t>
  </si>
  <si>
    <t xml:space="preserve"> 2799 WEST GRAND BLVD, , DETROIT</t>
  </si>
  <si>
    <t>LUMBAR IMAGE REPORTING WITH EPIDEMIOLOGY (LIRE)</t>
  </si>
  <si>
    <t>93.213 Research and Training in Complementary and Alternative Medicine</t>
  </si>
  <si>
    <t>URBAN NEIGHBORHOOD INITIATIVES, INC.</t>
  </si>
  <si>
    <t>ALL SAINTS NEIGHBORHOOD CENTER</t>
  </si>
  <si>
    <t>8300 LONGWORTH ST</t>
  </si>
  <si>
    <t>43462-0019</t>
  </si>
  <si>
    <t xml:space="preserve">The grant proceeds will support a bookkeeper position to help UNI prepare timely financial reports and track various grants and other revenue sources.  As a convening agency, UNI warrants the need of assistance to efficiently handle the more complex financial obligations.  This position will help UNI improve its financial infrastructure to accommodate the increased flow of funds, additional employees, contractors and increased compliance.  </t>
  </si>
  <si>
    <t>43462-0020</t>
  </si>
  <si>
    <t>Grant proceeds will be used to fund the Building Sustainable Communities Manager position (salary and fringes), support the Project Manager position (salary and fringes) and support the Executive Director position (salary and fringes).  The support of these positions will help the organization carry out the goals and objectives of the neighborhood Quality of Life plan.</t>
  </si>
  <si>
    <t>E12DC260001</t>
  </si>
  <si>
    <t>EMERG SHELTER GRANTS</t>
  </si>
  <si>
    <t>HOMELESS ACTION NETWORK OF DETROIT</t>
  </si>
  <si>
    <t>HAND</t>
  </si>
  <si>
    <t>1600 PORTER ST</t>
  </si>
  <si>
    <t>HML-2012-5839-ESF</t>
  </si>
  <si>
    <t>The Michigan State Housing Development Authority has awarded $416,169 to the Homeless Action Network of Detroit as the Fiduciary agency for the Detroit CoC to serve homeless or at risk of homeless populations in Wayne County.  With these Emergency Solutions Grant funds, Wayne County will serve 178 single individuals, 273 families with children and 92 families without children. In accordance with the grant application and documents accepted/filed with the Fiduciary, along with the Memorandum of Understanding, the Fiduciary will administer and monitor grant funds to the following sub-grantees: HAND: $8,671 Administrative Costs. Community Home Supports: $113,774 for Homeless Prevention, $20,077 for Rapid Rehousing, $4,211 for HMIS and $8,160 for Administrative Costs. Coalition on Temporary Shelter (COTS): $81,616 for Homeless Prevention, $42,357 for Rapid Rehousing and $6,000 for Administrative Costs. United Community Housing Coalition: $108,215 for Homeless Prevention, $11,877 for Rapid Rehousing, $4,211 for HMIS and $7,000 for Administrative Costs. The grant term is from October 1, 2012 through September 30, 2013.</t>
  </si>
  <si>
    <t>14.231 Emergency Solutions Grant Program</t>
  </si>
  <si>
    <t>R01AR057812</t>
  </si>
  <si>
    <t>DIAGNOSIS OF CRYSTAL-BASED ARTHROPATHIES VIA RAMAN SPECTROSCOPY</t>
  </si>
  <si>
    <t>RES506525</t>
  </si>
  <si>
    <t>D</t>
  </si>
  <si>
    <t>93.846 Arthritis, Musculoskeletal and Skin Diseases Research</t>
  </si>
  <si>
    <t>H23IP522556</t>
  </si>
  <si>
    <t>IMMUNIZATION AND VACCINES FOR CHILDREN GRANTS</t>
  </si>
  <si>
    <t>Immunization &amp; Vaccine Program</t>
  </si>
  <si>
    <t>93.268 Immunization Cooperative Agreements</t>
  </si>
  <si>
    <t>261382213H66A4</t>
  </si>
  <si>
    <t>1302MITANF</t>
  </si>
  <si>
    <t>2013 TANF</t>
  </si>
  <si>
    <t>YOUNG WOMEN'S CHRISTIAN ASSOCIATION OF METROPOLITAN DETROIT, THE</t>
  </si>
  <si>
    <t>YWCA</t>
  </si>
  <si>
    <t>1411 E JEFFERSON AVE</t>
  </si>
  <si>
    <t>SACS11-82002 3</t>
  </si>
  <si>
    <t>Counseling</t>
  </si>
  <si>
    <t>93.558 Temporary Assistance for Needy Families</t>
  </si>
  <si>
    <t>261382213D03A2</t>
  </si>
  <si>
    <t>261382213LZ2E6</t>
  </si>
  <si>
    <t>AD228871255A26</t>
  </si>
  <si>
    <t>EMPLOYMENT AND TRAINING ADMINISTRATION</t>
  </si>
  <si>
    <t>Older Workers Program</t>
  </si>
  <si>
    <t>LABOR, DEPARTMENT OF</t>
  </si>
  <si>
    <t>Aging Grant Award</t>
  </si>
  <si>
    <t>17.235 Senior Community Service Employment Program</t>
  </si>
  <si>
    <t>12AAMI5110</t>
  </si>
  <si>
    <t>FY 2012 REFUGEE SOCIAL SERVICES</t>
  </si>
  <si>
    <t>RAES13-63001 1</t>
  </si>
  <si>
    <t>Employment Services</t>
  </si>
  <si>
    <t>93.566 Refugee and Entrant Assistance_State Administered Programs</t>
  </si>
  <si>
    <t>RAES13-50001 1</t>
  </si>
  <si>
    <t>Employment Service</t>
  </si>
  <si>
    <t>RAES13-13001 1</t>
  </si>
  <si>
    <t>Case Management</t>
  </si>
  <si>
    <t>2012JBFX0006</t>
  </si>
  <si>
    <t>Michigan Juvenile Accountability Block Grant Program</t>
  </si>
  <si>
    <t>JAIBG12-82001 2</t>
  </si>
  <si>
    <t>Juvenile Accountability</t>
  </si>
  <si>
    <t>16.523 Juvenile Accountability Block Grants</t>
  </si>
  <si>
    <t>261382242L2301</t>
  </si>
  <si>
    <t>Abbott Street to Wyoming Ave. from Abbott Street to Wyoming 583 miles of long line markings on 374 various urban arterial and co</t>
  </si>
  <si>
    <t>Abbott Street to Wyoming Ave. from Abbott Street to Wyoming  583 miles of long line markings on 374 various urban arterial and coll</t>
  </si>
  <si>
    <t>U01AI096326</t>
  </si>
  <si>
    <t>INTRAGRAFT EXPRESSION TO PREDICT FUTURE GFR DECLINE IN KIDNEY TRANSPLANTATION</t>
  </si>
  <si>
    <t>5U01AI096326-02</t>
  </si>
  <si>
    <t>Chronic renal allograft damage is one of the most important unsolved problems in transplantation. The overall goal of these studies is to improve long-term renal allograft survival via development of gene classifiers that predict a future decline in renal allograft function and eventual graft loss. Our central hypothesis is the inflammatory gene expression suggestive of persistent cellular alloreactivity is the primary process responsibile for declining GFR from 1 to 5 years after transplantation. We also hypothesize that gene expression studies will help characterize this process in detail and suggest targets for therapeutic intervention.</t>
  </si>
  <si>
    <t>93.855 Allergy, Immunology and Transplantation Research</t>
  </si>
  <si>
    <t>WAYNE COUNTY SEXUAL ASSAULT FORENSIC EXAMINERS PROGRAM</t>
  </si>
  <si>
    <t>4777 EAST OUTER DRIVE</t>
  </si>
  <si>
    <t>SACS11-82001 3</t>
  </si>
  <si>
    <t>ALTERNATIVES FOR GIRLS</t>
  </si>
  <si>
    <t>903 W GRAND BLVD</t>
  </si>
  <si>
    <t>dETROIT</t>
  </si>
  <si>
    <t>HYR09-82002 5</t>
  </si>
  <si>
    <t>hOMELESSNESS pREVENTION</t>
  </si>
  <si>
    <t>MATRIX HUMAN SERVICES</t>
  </si>
  <si>
    <t>OFF THE STREET</t>
  </si>
  <si>
    <t>120 PARSONS ST</t>
  </si>
  <si>
    <t>HYR09-82003 5</t>
  </si>
  <si>
    <t>Homelessness Prevention</t>
  </si>
  <si>
    <t>RAES13-82001 1</t>
  </si>
  <si>
    <t>W81XWH1320036</t>
  </si>
  <si>
    <t>DEPT OF DEFENSE</t>
  </si>
  <si>
    <t>Pre-clinical and Clinical Development of Low-dose Methamphetamine for the Treatment of Traumatic Brain Injury</t>
  </si>
  <si>
    <t>PG13-24835-01</t>
  </si>
  <si>
    <t>Pre-clinical and Clinical development of Low-Dose Methamphetamine for the Treatment of Traumatic Brain Injury</t>
  </si>
  <si>
    <t>12.420 Military Medical Research and Development</t>
  </si>
  <si>
    <t>GREATER DETROIT AREA HLTH CNCL</t>
  </si>
  <si>
    <t>GDAHC</t>
  </si>
  <si>
    <t>333 W FORT ST STE 1230</t>
  </si>
  <si>
    <t>WSU13049</t>
  </si>
  <si>
    <t>The SERC will encourage the regionalization of health professional schools through the establishment of partnership with community-based organizations. It will also serve the counties of Monroe, Genesee, St. Clair, Livingston, Washetnaw, Oakland, Macomb, Lapeer, and Wayne with a particular emphasis on areas designated as Medically Underserved Areas. The SERC office will be established along with an Executive Director, staff, and an Advisory Board within the first year. The objectives of the office is to a. identify the health professional educational needs , b. identify URMD students in Schools, Colleges, and Universities, c. assist URMD college and university students that needs enrichment support, d. identify community health care organizations, e. identify PCHP groups, organizations, and partners for relevant and/or distance continuing education learning. The SERC office will also participate in evaluation activities in coordination with the MI-AHEC Program Office including, use and support of designated software and other data collection and analysis tools, forms and procedures.</t>
  </si>
  <si>
    <t>261382238L23R2</t>
  </si>
  <si>
    <t>Tireman St 9 locations from Tireman to Hubbell, Wayne County 4.27 miles of cold milling hot mix asphalt pavement, hot mix asphal</t>
  </si>
  <si>
    <t xml:space="preserve">Tireman St 9 locations from Tireman to Hubbell, Wayne County 4.27  miles of cold milling hot mix asphalt pavement, hot mix asphalt  </t>
  </si>
  <si>
    <t>261382238L23R1</t>
  </si>
  <si>
    <t>2012DNBXK045</t>
  </si>
  <si>
    <t>Development and Validation of a New Pediatric Head Injury Assessment Tool for Possible Child Abuse Cases Considering Subject-Specific Child Head Anat</t>
  </si>
  <si>
    <t>Project: Development and Validation of a New Pediatric Head Injury Assessment Tool for Possible Child Abuse Cases Considering Subject-Specific Child Head Anatomy. Subawardee will conduct dynamic pediatric brain material property tests using porcine brain tissues to quantify the age effects on brain material properties under loading conditions similar to real injurious events.</t>
  </si>
  <si>
    <t>16.560 National Institute of Justice Research, Evaluation, and Development Project Grants</t>
  </si>
  <si>
    <t>HYR13-82002 1</t>
  </si>
  <si>
    <t>Homeless Youth</t>
  </si>
  <si>
    <t>90ZE0143</t>
  </si>
  <si>
    <t>REFUGEE SCHOOL IMPACT SERVICES</t>
  </si>
  <si>
    <t>RASI13-50001 1</t>
  </si>
  <si>
    <t>Other</t>
  </si>
  <si>
    <t>93.576 Refugee and Entrant Assistance_Discretionary Grants</t>
  </si>
  <si>
    <t>HYR13-82001 1</t>
  </si>
  <si>
    <t>S367A120022</t>
  </si>
  <si>
    <t>IMPROVING TEACHER QUALITY STATE GRANTS</t>
  </si>
  <si>
    <t>DETROIT PUBLIC SCHOOLS</t>
  </si>
  <si>
    <t>10800 E CANFIELD</t>
  </si>
  <si>
    <t>BOARD OF EDUCATION OF THE CITY OF DETROIT</t>
  </si>
  <si>
    <t>82933-130520</t>
  </si>
  <si>
    <t>To increase student academic achievement through such strategies as improving teacher and principal quality and increasing the number of highly qualified teachers in the classroom.</t>
  </si>
  <si>
    <t>MERRITT ELEMENTARY SCHOOL</t>
  </si>
  <si>
    <t>PUBLIC SCHOOL ACADEMIES OF DETROIT, THE</t>
  </si>
  <si>
    <t>HENRY FORD ACADEMY SCHOOL FOR CREATIVE STUDIES</t>
  </si>
  <si>
    <t>485 W MILWAUKEE ST</t>
  </si>
  <si>
    <t>82703-130520</t>
  </si>
  <si>
    <t>GEE WHITE ACADEMY</t>
  </si>
  <si>
    <t>5161 CHARLES ST</t>
  </si>
  <si>
    <t>SALINE AREA SCHOOLS</t>
  </si>
  <si>
    <t>82732-130520</t>
  </si>
  <si>
    <t>Hamilton Eman Academy</t>
  </si>
  <si>
    <t>COLOMA COMMUNITY SCHOOLS</t>
  </si>
  <si>
    <t>14223 SOUTHAMPTON ST</t>
  </si>
  <si>
    <t>COLOMA COMMUNITY SCHOOL DISTRICT</t>
  </si>
  <si>
    <t>82733-130520</t>
  </si>
  <si>
    <t>LEGACY CHARTER ACADEMY</t>
  </si>
  <si>
    <t>4900 E HILDALE STREET</t>
  </si>
  <si>
    <t>ST LOUIS PUBLIC SCHOOLS</t>
  </si>
  <si>
    <t>82723-130520</t>
  </si>
  <si>
    <t>DETROIT ACADEMY OF ARTS AND SCIENCES</t>
  </si>
  <si>
    <t>2985 E JEFFERSON AVE</t>
  </si>
  <si>
    <t>BUCHANAN COMMUNITY SCHOOLS</t>
  </si>
  <si>
    <t>82929-130520</t>
  </si>
  <si>
    <t>GEE EDMONSON ACADEMY</t>
  </si>
  <si>
    <t>1300 W CANFIELD ST</t>
  </si>
  <si>
    <t>BLISSFIELD COMMUNITY SCHOOL DISTRICT</t>
  </si>
  <si>
    <t>82731-130520</t>
  </si>
  <si>
    <t>DETROIT LEADERSHIP ACADEMY</t>
  </si>
  <si>
    <t>13550 VIRGIL</t>
  </si>
  <si>
    <t>82722-130520</t>
  </si>
  <si>
    <t>COVENANT HOUSE ACADEMY CENTRAL</t>
  </si>
  <si>
    <t>2959 MARTIN LUTHER KING JR BLVD</t>
  </si>
  <si>
    <t>82991-130520</t>
  </si>
  <si>
    <t>BRIDGE ACADEMY</t>
  </si>
  <si>
    <t>9600 BUFFALO</t>
  </si>
  <si>
    <t>HAMTRAMCK</t>
  </si>
  <si>
    <t>ONTONAGON AREA SCHOOL DISTRICT</t>
  </si>
  <si>
    <t>82983-130520</t>
  </si>
  <si>
    <t>WOODWARD ACADEMY</t>
  </si>
  <si>
    <t>951 E LAFAYETTE ST</t>
  </si>
  <si>
    <t>REESE PUBLIC SCHOOL DISTRICT</t>
  </si>
  <si>
    <t>82913-130520</t>
  </si>
  <si>
    <t>HANLEY INTERNATIONAL ACADEMY, INC</t>
  </si>
  <si>
    <t>3056 HANLEY ST</t>
  </si>
  <si>
    <t>82986-130520</t>
  </si>
  <si>
    <t>BLANCHE KELSO BRUCE ACADEMY</t>
  </si>
  <si>
    <t>5555 CONNER ST STE 2223</t>
  </si>
  <si>
    <t>AU GRES-SIMS SCHOOL DISTRICT</t>
  </si>
  <si>
    <t>82971-130520</t>
  </si>
  <si>
    <t>OLD REDFORD ACADEMY</t>
  </si>
  <si>
    <t>17195 REDFORD ST</t>
  </si>
  <si>
    <t>82956-130520</t>
  </si>
  <si>
    <t>DETROIT PREMIER ACADEMY</t>
  </si>
  <si>
    <t>7781 ASBURY PK</t>
  </si>
  <si>
    <t>82985-130520</t>
  </si>
  <si>
    <t>UNIVERSAL ACADEMY</t>
  </si>
  <si>
    <t>4612 LONYO ST</t>
  </si>
  <si>
    <t>82950-130520</t>
  </si>
  <si>
    <t>DETROIT COMMUNITY SCHOOLS</t>
  </si>
  <si>
    <t>12675 BURT RD</t>
  </si>
  <si>
    <t>82925-130520</t>
  </si>
  <si>
    <t>3031 W GRAND BLVD</t>
  </si>
  <si>
    <t>82010-130520</t>
  </si>
  <si>
    <t>WAY ACADEMY</t>
  </si>
  <si>
    <t>W-A-Y Academy</t>
  </si>
  <si>
    <t>8701 W VERNOR HWY</t>
  </si>
  <si>
    <t>LANSING SCHOOL DISTRICT</t>
  </si>
  <si>
    <t>82746-130520</t>
  </si>
  <si>
    <t>DETROIT SERVICE LEARNING ACADEMY</t>
  </si>
  <si>
    <t>DSLA</t>
  </si>
  <si>
    <t>21605 W 7 MILE RD</t>
  </si>
  <si>
    <t>82953-130520</t>
  </si>
  <si>
    <t>REGENT PARK SCHOLARS CHARTER ACADEMY</t>
  </si>
  <si>
    <t>15879 E 7 MILE RD</t>
  </si>
  <si>
    <t>82727-130520</t>
  </si>
  <si>
    <t>CESAR CHAVEZ ACADEMY</t>
  </si>
  <si>
    <t>8126 W VERNOR HWY</t>
  </si>
  <si>
    <t>82918-130520</t>
  </si>
  <si>
    <t>HOPE OF DETROIT ACADEMY</t>
  </si>
  <si>
    <t>4443 N CAMPBELL ST</t>
  </si>
  <si>
    <t>BRANDON SCHOOL DISTRICT</t>
  </si>
  <si>
    <t>82957-130520</t>
  </si>
  <si>
    <t>PLYMOUTH EDUCATIONAL CENTER CHARTER SCHOOL</t>
  </si>
  <si>
    <t>11 MASON PUBLIC SCHOOLS</t>
  </si>
  <si>
    <t>1460 E FOREST ST</t>
  </si>
  <si>
    <t>BOARD OF EDUCATION INGHAM COUNTY VEVAY TOWNSHIP DISTRICT</t>
  </si>
  <si>
    <t>82904-130520</t>
  </si>
  <si>
    <t>VOYAGEUR ACADEMY</t>
  </si>
  <si>
    <t>4321 MILITARY ST</t>
  </si>
  <si>
    <t>LOWELL AREA SCHOOL DISTRICT</t>
  </si>
  <si>
    <t>82940-130520</t>
  </si>
  <si>
    <t>UNIVERSITY PREP SCIENCE &amp; MATH</t>
  </si>
  <si>
    <t>5100 JOHN R</t>
  </si>
  <si>
    <t>82701-130520</t>
  </si>
  <si>
    <t>GEORGE CROCKETT ACADEMY</t>
  </si>
  <si>
    <t>4851 14TH ST</t>
  </si>
  <si>
    <t>82937-130520</t>
  </si>
  <si>
    <t>COMMONWEALTH COMMUNITY DEVELOPMENT ACADEMY</t>
  </si>
  <si>
    <t>13504 JUSTINE ST</t>
  </si>
  <si>
    <t>82919-130520</t>
  </si>
  <si>
    <t>WARRENDALE CHARTER ACADEMY</t>
  </si>
  <si>
    <t>RIVER VALLEY JR &amp; SR HIGH SCHOOL</t>
  </si>
  <si>
    <t>19400 SAWYER ST</t>
  </si>
  <si>
    <t>82970-130520</t>
  </si>
  <si>
    <t>HAMTRAMCK ACADEMY</t>
  </si>
  <si>
    <t>11420 CONANT</t>
  </si>
  <si>
    <t>82977-130520</t>
  </si>
  <si>
    <t>Glazer Elementary School</t>
  </si>
  <si>
    <t>2001 LA BELLE ST</t>
  </si>
  <si>
    <t>82734-130520</t>
  </si>
  <si>
    <t>COVENANT HOUSE ACADEMY SOUTHWEST</t>
  </si>
  <si>
    <t>5668 BAKER ST</t>
  </si>
  <si>
    <t>82989-130520</t>
  </si>
  <si>
    <t>MARVIN L. WINANS ACADEMY OF PERFORMING ARTS</t>
  </si>
  <si>
    <t>7616 E NEVADA ST STE 2</t>
  </si>
  <si>
    <t>82924-130520</t>
  </si>
  <si>
    <t>AMERICAN INTERNATIONAL ACADEMY, INC.</t>
  </si>
  <si>
    <t>5845 AUBURN</t>
  </si>
  <si>
    <t>82730-130520</t>
  </si>
  <si>
    <t>FRONTIER INTERNATIONAL ACADEMY, THE</t>
  </si>
  <si>
    <t>2619 FLORIAN ST</t>
  </si>
  <si>
    <t>82987-130520</t>
  </si>
  <si>
    <t>DETROIT MERIT CHARTER ACADEMY</t>
  </si>
  <si>
    <t>1091 ALTER RD</t>
  </si>
  <si>
    <t>82974-130520</t>
  </si>
  <si>
    <t>DETROIT ENTERPRISE ACADEMY</t>
  </si>
  <si>
    <t>11224 KERCHEVAL ST</t>
  </si>
  <si>
    <t>82979-130520</t>
  </si>
  <si>
    <t>WESTON TECHNICAL ACADEMY</t>
  </si>
  <si>
    <t>22930 CHIPPEWA ST</t>
  </si>
  <si>
    <t>82943-130520</t>
  </si>
  <si>
    <t>FLAGSHIP CHARTER ACADEMY</t>
  </si>
  <si>
    <t>POTTERVILLE PUBLIC SCHOOLS</t>
  </si>
  <si>
    <t>13661 WISCONSIN AVE</t>
  </si>
  <si>
    <t>82997-130520</t>
  </si>
  <si>
    <t>UNIVERSITY PREPARATORY ACADEMY</t>
  </si>
  <si>
    <t>600 ANTOINETTE ST</t>
  </si>
  <si>
    <t>82702-130520</t>
  </si>
  <si>
    <t>NORTHPOINTE ACADEMY</t>
  </si>
  <si>
    <t>53 CANDLER ST</t>
  </si>
  <si>
    <t>HIGHLAND PARK</t>
  </si>
  <si>
    <t>82992-130520</t>
  </si>
  <si>
    <t>Liberty Caniff Academy</t>
  </si>
  <si>
    <t>2650 CANIFF ST</t>
  </si>
  <si>
    <t>Hamtramck</t>
  </si>
  <si>
    <t>82745-130520</t>
  </si>
  <si>
    <t>Jalen Rose Leadership Academy</t>
  </si>
  <si>
    <t>15000 TROJAN ST</t>
  </si>
  <si>
    <t>82728-130520</t>
  </si>
  <si>
    <t>HAMTRAMCK PUBLIC SCHOOLS</t>
  </si>
  <si>
    <t>3201 ROOSEVELT ST</t>
  </si>
  <si>
    <t>82060-130520</t>
  </si>
  <si>
    <t>EDUCATION ACHIEVEMENT AUTHORITY OF MICHIGAN</t>
  </si>
  <si>
    <t>3022 W GRAND BLVD</t>
  </si>
  <si>
    <t>UTICA COMMUNITY SCHOOLS</t>
  </si>
  <si>
    <t>84060-130520</t>
  </si>
  <si>
    <t>ALLEN ACADEMY</t>
  </si>
  <si>
    <t>8666 QUINCY ST</t>
  </si>
  <si>
    <t>82955-130520</t>
  </si>
  <si>
    <t>GEORGE WASHINGTON CARVER ACADEMY</t>
  </si>
  <si>
    <t>14510 2ND AVE</t>
  </si>
  <si>
    <t>HANOVER-HORTON SCHOOL DISTRICT</t>
  </si>
  <si>
    <t>82963-130520</t>
  </si>
  <si>
    <t>DETROIT-EDISON PUBLIC SCHOOL ACADEMY</t>
  </si>
  <si>
    <t>1903 WILKINS ST</t>
  </si>
  <si>
    <t>82945-130520</t>
  </si>
  <si>
    <t>PIERRE TOUSSAINT ACADEMY</t>
  </si>
  <si>
    <t>LEONA GROUP</t>
  </si>
  <si>
    <t>2450 S BEATRICE AVE</t>
  </si>
  <si>
    <t>GULL LAKE COMMUNITY SCHOOLS (INC)</t>
  </si>
  <si>
    <t>82939-130520</t>
  </si>
  <si>
    <t>UNIVERSITY YES ACADEMY</t>
  </si>
  <si>
    <t>14669 CURTIS ST</t>
  </si>
  <si>
    <t>82724-130520</t>
  </si>
  <si>
    <t>EDUCATION, MICHIGAN DEPARTMENT OF</t>
  </si>
  <si>
    <t>DOVE ACADEMY OF DETROIT</t>
  </si>
  <si>
    <t>8210 ROLYAT ST</t>
  </si>
  <si>
    <t>82930-130520</t>
  </si>
  <si>
    <t>COVENANT HOUSE ACADEMY EAST</t>
  </si>
  <si>
    <t>7600 GOETHE</t>
  </si>
  <si>
    <t>82990-130520</t>
  </si>
  <si>
    <t>12122MI053S2202</t>
  </si>
  <si>
    <t>FOOD AND NUTRITION SERVICE</t>
  </si>
  <si>
    <t>The Emergency Food Assistance Program (Administrative Costs)</t>
  </si>
  <si>
    <t>AGRICULTURE, DEPARTMENT OF</t>
  </si>
  <si>
    <t>WESTLAND</t>
  </si>
  <si>
    <t>820001030-1209E0</t>
  </si>
  <si>
    <t>To help supplement the diets of low-income needy persons, including elderly people, by providing them with emergency food and nutrition assistance.</t>
  </si>
  <si>
    <t>10.568 Emergency Food Assistance Program (Administrative Costs)</t>
  </si>
  <si>
    <t>13132MI053Y8105</t>
  </si>
  <si>
    <t>820001030-130990</t>
  </si>
  <si>
    <t>R01AI097150</t>
  </si>
  <si>
    <t>HOUSEHOLD STUDIES OF INFLUENZA AND OTHER RESPIRATORY VIRUSES</t>
  </si>
  <si>
    <t>Study activities within the Henry Ford Health S</t>
  </si>
  <si>
    <t>12122MI053Y8105</t>
  </si>
  <si>
    <t>820001030-120990</t>
  </si>
  <si>
    <t>260005043L45E1</t>
  </si>
  <si>
    <t>Areawide Detroit Urbanized Area Planning UNIFIED WORK PROGRAM 7/1/2013 THRU 6/30/2014</t>
  </si>
  <si>
    <t>SOUTHEAST MICHIGAN COUNCIL OF GOVERNMENTS</t>
  </si>
  <si>
    <t>535 GRISWOLD, STE 300</t>
  </si>
  <si>
    <t>260044036L45E2</t>
  </si>
  <si>
    <t>Areawide Monroe/Toledo Urbanized Area Planning UNIFIED WORK PROGRAM 7/1/2013 THRU 6/30/2014</t>
  </si>
  <si>
    <t>12122MI053Y8005</t>
  </si>
  <si>
    <t>Commodity Supplemental Food Program</t>
  </si>
  <si>
    <t>FOCUS:HOPE</t>
  </si>
  <si>
    <t>1355 OAKMAN BLVD</t>
  </si>
  <si>
    <t>820000143-120930</t>
  </si>
  <si>
    <t>To improve the health of low-income pregnant and breastfeeding women, other new mothers up to one year postpartum, infants, children up to age six, and elderly people at least 60 years of age by supplementing their diets with nutritious USDA foods.</t>
  </si>
  <si>
    <t>10.565 Commodity Supplemental Food Program</t>
  </si>
  <si>
    <t>260142320L45E1</t>
  </si>
  <si>
    <t>Areawide Ann Arbor Urbanized Area Planning UNIFIED WORK PROGRAM 7/1/2013 THRU 6/30/2014</t>
  </si>
  <si>
    <t>260334039L45E1</t>
  </si>
  <si>
    <t>Areawide Port Huron Urbanized Area Planning UNIFIED WORK PROGRAM 7/1/2013 THRU 6/30/2014</t>
  </si>
  <si>
    <t>12122MI060L1603</t>
  </si>
  <si>
    <t>Fresh Fruit and Vegetable Program</t>
  </si>
  <si>
    <t>82010-120950</t>
  </si>
  <si>
    <t>To assist schools in providing free fresh fruits and vegetables to elementary school children.</t>
  </si>
  <si>
    <t>10.582 Fresh Fruit and Vegetable Program</t>
  </si>
  <si>
    <t>B10CBMD0001</t>
  </si>
  <si>
    <t>13SG2450</t>
  </si>
  <si>
    <t>The Grandmont Rosedale Development Corporation will utilize $40,000 to support the development and testing of an innovative, scalable program called Â“Green StepsÂ”, which will motivate and empower residents of the Grandmont Rosedale neighborhoods of northwest Detroit to take specific, sustainable actions to improve their lives and their community. Using the latest in motivation research, Green Steps makes self-improvement fun, whether someone's interested in saving a buck, saving their health, or saving the world. Ultimately, this program will build capacity on the individual, organizational, and community level, resulting in positive change at multiple scales. Specifically, funds will be used to support community engagement staff, materials and workshops related expenses.</t>
  </si>
  <si>
    <t>S365A120022</t>
  </si>
  <si>
    <t>ENGLISH LANGUAGE ACQUISITION: STATE FORMULA GRANT PROGRAM</t>
  </si>
  <si>
    <t>82060-130580</t>
  </si>
  <si>
    <t>To ensure that limited English proficient (LEP) students, including immigrant children and youth, develop English proficiency and meet the same academic content and academic achievement standards that other children are expected to meet.</t>
  </si>
  <si>
    <t>84.365 English Language Acquisition State Grants</t>
  </si>
  <si>
    <t>82010-130570</t>
  </si>
  <si>
    <t>82983-130580</t>
  </si>
  <si>
    <t>OAKLAND INTERNATIONAL ACADEMY</t>
  </si>
  <si>
    <t>4001 MILLER RD</t>
  </si>
  <si>
    <t>63912-130580</t>
  </si>
  <si>
    <t>82010-130580</t>
  </si>
  <si>
    <t>82060-130570</t>
  </si>
  <si>
    <t>82987-130580</t>
  </si>
  <si>
    <t>82986-130580</t>
  </si>
  <si>
    <t>82983-130570</t>
  </si>
  <si>
    <t>82918-130580</t>
  </si>
  <si>
    <t>82957-130580</t>
  </si>
  <si>
    <t>356-13-MI-03</t>
  </si>
  <si>
    <t>05CH8299</t>
  </si>
  <si>
    <t>HEAD START</t>
  </si>
  <si>
    <t>CHILDREN'S CENTER OF WAYNE CO., INC.</t>
  </si>
  <si>
    <t>CHILDREN'S CENTER, THE</t>
  </si>
  <si>
    <t>79 W ALEXANDRINE ST</t>
  </si>
  <si>
    <t>05CH8299-007</t>
  </si>
  <si>
    <t>93.600 Head Start</t>
  </si>
  <si>
    <t>12122MI060N1099</t>
  </si>
  <si>
    <t>School Food Programs</t>
  </si>
  <si>
    <t>82702-121920</t>
  </si>
  <si>
    <t>To support various child nutrition programs across Michigan.</t>
  </si>
  <si>
    <t>10.555 National School Lunch Program</t>
  </si>
  <si>
    <t>82956-121960</t>
  </si>
  <si>
    <t>CASA RICHARD ACADEMY</t>
  </si>
  <si>
    <t>2635 HOWARD ST</t>
  </si>
  <si>
    <t>82902-121960</t>
  </si>
  <si>
    <t>82918-121960</t>
  </si>
  <si>
    <t>METROPOLITAN CHILDREN AND YOUTH INC UNITED CHILDREN AND FAMILY HEAD START</t>
  </si>
  <si>
    <t>9641 HARPER AVE</t>
  </si>
  <si>
    <t>820000060-121920</t>
  </si>
  <si>
    <t>82724-121960</t>
  </si>
  <si>
    <t>Child Star Development Center</t>
  </si>
  <si>
    <t>10340 W 7 MILE RD</t>
  </si>
  <si>
    <t>82SPX0014-121920</t>
  </si>
  <si>
    <t>82955-121960</t>
  </si>
  <si>
    <t>LITTLE SCHOLARS DAY CARE</t>
  </si>
  <si>
    <t>19000 GRAND RIVER AVE</t>
  </si>
  <si>
    <t>82SPX0033-121920</t>
  </si>
  <si>
    <t>82953-121970</t>
  </si>
  <si>
    <t>CORNERSTONE SCHOOL ASSOCIATION</t>
  </si>
  <si>
    <t>CORNERSTONE MIDDLE SCHOOL</t>
  </si>
  <si>
    <t>6861 E NEVADA ST</t>
  </si>
  <si>
    <t>820107599-121960</t>
  </si>
  <si>
    <t>82977-121960</t>
  </si>
  <si>
    <t>82945-121960</t>
  </si>
  <si>
    <t>63912-121970</t>
  </si>
  <si>
    <t>82010-120900</t>
  </si>
  <si>
    <t>82933-121970</t>
  </si>
  <si>
    <t>82974-121960</t>
  </si>
  <si>
    <t>82930-121960</t>
  </si>
  <si>
    <t>82913-121960</t>
  </si>
  <si>
    <t>82722-121960</t>
  </si>
  <si>
    <t>MI18X05500</t>
  </si>
  <si>
    <t>FEDERAL TRANSIT ADMINISTRATION</t>
  </si>
  <si>
    <t>FY2013 Section 5311 Operating Assis</t>
  </si>
  <si>
    <t>SUBURBAN MOBILITY AUTHORITY FOR REGIONAL TRANSPORTATION</t>
  </si>
  <si>
    <t>SMART</t>
  </si>
  <si>
    <t>535 GRISWOLD ST BUHL BLDG STE 600</t>
  </si>
  <si>
    <t>2012-0170/P12</t>
  </si>
  <si>
    <t>Operating assistance</t>
  </si>
  <si>
    <t>20.509 Formula Grants for Rural Areas</t>
  </si>
  <si>
    <t>12122MI060N2020</t>
  </si>
  <si>
    <t>Child and Adult Care Food Program</t>
  </si>
  <si>
    <t>820000090-122010</t>
  </si>
  <si>
    <t>The Child and Adult Care Food Program (CACFP) provides federal funds to nonresidential child care facilities, to serve nutritious meals and snacks.</t>
  </si>
  <si>
    <t>10.558 Child and Adult Care Food Program</t>
  </si>
  <si>
    <t>Pre-Clinical and Clinical Development Low-dose Methamphetamine for the Treatment of Traumatic Brain Injury</t>
  </si>
  <si>
    <t>82060-120950</t>
  </si>
  <si>
    <t>82970-121970</t>
  </si>
  <si>
    <t>82060-121980</t>
  </si>
  <si>
    <t>82904-121960</t>
  </si>
  <si>
    <t>82722-121970</t>
  </si>
  <si>
    <t>82940-121960</t>
  </si>
  <si>
    <t>82963-121960</t>
  </si>
  <si>
    <t>First Yogis Kiddie Kare I</t>
  </si>
  <si>
    <t>13668 PLYMOUTH RD</t>
  </si>
  <si>
    <t>82SPX0006-121920</t>
  </si>
  <si>
    <t>MARTIN LUTHER KING, JR EDUCATION CENTER ACADEMY</t>
  </si>
  <si>
    <t>16827 APPOLINE ST</t>
  </si>
  <si>
    <t>82910-121960</t>
  </si>
  <si>
    <t>GREATER CONCORD MISSIONARY BAPTIST CHURCH</t>
  </si>
  <si>
    <t>4500 E DAVISON ST</t>
  </si>
  <si>
    <t>990001416-121920</t>
  </si>
  <si>
    <t>82992-121960</t>
  </si>
  <si>
    <t>82950-121970</t>
  </si>
  <si>
    <t>82060-120900</t>
  </si>
  <si>
    <t>82060-121960</t>
  </si>
  <si>
    <t>82727-121970</t>
  </si>
  <si>
    <t>82955-121970</t>
  </si>
  <si>
    <t>82733-121960</t>
  </si>
  <si>
    <t>82985-121960</t>
  </si>
  <si>
    <t>82913-121970</t>
  </si>
  <si>
    <t>820008037-121920</t>
  </si>
  <si>
    <t>WOLVERINE HUMAN SERVICES</t>
  </si>
  <si>
    <t>ST JUDES</t>
  </si>
  <si>
    <t>17000 E WARREN AVE</t>
  </si>
  <si>
    <t>820008032-121970</t>
  </si>
  <si>
    <t>Tender Loving Day Care Inc</t>
  </si>
  <si>
    <t>3700 THEODORE ST</t>
  </si>
  <si>
    <t>82SPX0060-121920</t>
  </si>
  <si>
    <t>82723-121960</t>
  </si>
  <si>
    <t>Toddler's Center Inc</t>
  </si>
  <si>
    <t>14740 PLYMOUTH RD</t>
  </si>
  <si>
    <t>820000251-121920</t>
  </si>
  <si>
    <t>82919-121960</t>
  </si>
  <si>
    <t>Kids Avenue Christian Learning Center</t>
  </si>
  <si>
    <t>19222 VAN DYKE ST</t>
  </si>
  <si>
    <t>82SPX0012-121920</t>
  </si>
  <si>
    <t>82987-121960</t>
  </si>
  <si>
    <t>82986-121960</t>
  </si>
  <si>
    <t>82937-121960</t>
  </si>
  <si>
    <t>82997-121970</t>
  </si>
  <si>
    <t>820008032-121960</t>
  </si>
  <si>
    <t>82924-121960</t>
  </si>
  <si>
    <t>82950-121960</t>
  </si>
  <si>
    <t>Greystone Enterprises</t>
  </si>
  <si>
    <t>16601 E WARREN AVE</t>
  </si>
  <si>
    <t>990000397-121920</t>
  </si>
  <si>
    <t>NEW ST PAUL TABERNACLE HEAD START AGENCY INC</t>
  </si>
  <si>
    <t>15362 SOUTHFIELD DR</t>
  </si>
  <si>
    <t>820000241-121920</t>
  </si>
  <si>
    <t>82987-121970</t>
  </si>
  <si>
    <t>820107599-121970</t>
  </si>
  <si>
    <t>82918-121970</t>
  </si>
  <si>
    <t>Growing Minds Learning Center</t>
  </si>
  <si>
    <t>11475 E OUTER DR</t>
  </si>
  <si>
    <t>990000801-121920</t>
  </si>
  <si>
    <t>ROSS HILL ACADEMY SCHOOL DISTRICT</t>
  </si>
  <si>
    <t>3111 ELMWOOD ST</t>
  </si>
  <si>
    <t>82948-121960</t>
  </si>
  <si>
    <t>NATAKI TALIBAH SCHOOLHOUSE OF DETROIT</t>
  </si>
  <si>
    <t>19176 NORTHROP ST</t>
  </si>
  <si>
    <t>82905-121960</t>
  </si>
  <si>
    <t>82925-121960</t>
  </si>
  <si>
    <t>82929-121960</t>
  </si>
  <si>
    <t>82904-121970</t>
  </si>
  <si>
    <t>82702-121960</t>
  </si>
  <si>
    <t>DAVID ELLIS ACADEMY</t>
  </si>
  <si>
    <t>18977 SCHAEFER HWY</t>
  </si>
  <si>
    <t>82947-121960</t>
  </si>
  <si>
    <t>82010-122010</t>
  </si>
  <si>
    <t>Wayne County Kidspeace Inc</t>
  </si>
  <si>
    <t>600 RANDOLPH ST STE 428</t>
  </si>
  <si>
    <t>820000178-121920</t>
  </si>
  <si>
    <t>Our Kidz World Learning Center</t>
  </si>
  <si>
    <t>16060 MOROSS RD</t>
  </si>
  <si>
    <t>820000330-121920</t>
  </si>
  <si>
    <t>Kingdom Kids Montessori</t>
  </si>
  <si>
    <t>8301 PURITAN ST</t>
  </si>
  <si>
    <t>82SPX0044-121920</t>
  </si>
  <si>
    <t>82924-121970</t>
  </si>
  <si>
    <t>RENAISSANCE HEAD START</t>
  </si>
  <si>
    <t>METROPOLITAN CHILDREN &amp; YOUTH</t>
  </si>
  <si>
    <t>13110 14TH ST</t>
  </si>
  <si>
    <t>820000181-121920</t>
  </si>
  <si>
    <t>Peter Rabbit Day Care Ctr Inc</t>
  </si>
  <si>
    <t>5901 CADIEUX RD</t>
  </si>
  <si>
    <t>820000003-121920</t>
  </si>
  <si>
    <t>82986-121970</t>
  </si>
  <si>
    <t>82953-121960</t>
  </si>
  <si>
    <t>82727-121960</t>
  </si>
  <si>
    <t>82943-121960</t>
  </si>
  <si>
    <t>82929-121970</t>
  </si>
  <si>
    <t>82956-121970</t>
  </si>
  <si>
    <t>820000143-121920</t>
  </si>
  <si>
    <t>82979-121960</t>
  </si>
  <si>
    <t>82701-121960</t>
  </si>
  <si>
    <t>82010-121960</t>
  </si>
  <si>
    <t>82939-121970</t>
  </si>
  <si>
    <t>82945-121970</t>
  </si>
  <si>
    <t>ORDER OF THE FISHERMEN MINISTRY HEAD START PROGRAM, INC., THE</t>
  </si>
  <si>
    <t>10025 GRAND RIVER AVE</t>
  </si>
  <si>
    <t>820000243-121920</t>
  </si>
  <si>
    <t>82974-121970</t>
  </si>
  <si>
    <t>82957-121960</t>
  </si>
  <si>
    <t>82963-121970</t>
  </si>
  <si>
    <t>82983-121960</t>
  </si>
  <si>
    <t>82937-121970</t>
  </si>
  <si>
    <t>82060-121970</t>
  </si>
  <si>
    <t>82913-121920</t>
  </si>
  <si>
    <t>HOPE ACADEMY</t>
  </si>
  <si>
    <t>10100 GRAND RIVER AVE</t>
  </si>
  <si>
    <t>82942-121960</t>
  </si>
  <si>
    <t>1302ILFVPS</t>
  </si>
  <si>
    <t>2013 FVPS</t>
  </si>
  <si>
    <t>CENTRAL STATES SER, JOBS FOR PROGRESS, INC.</t>
  </si>
  <si>
    <t>9301 MICHIGAN AVE</t>
  </si>
  <si>
    <t>Chicago</t>
  </si>
  <si>
    <t>IL</t>
  </si>
  <si>
    <t>FCSSG00148</t>
  </si>
  <si>
    <t>TANF Work First Job Placement Program</t>
  </si>
  <si>
    <t>93.671 Family Violence Prevention and Services/Grants for Domestic Violence Shelters and Supportive Services/Grants to States and Native American Tribes and Tribal Organizations</t>
  </si>
  <si>
    <t>82723-121970</t>
  </si>
  <si>
    <t>82977-121970</t>
  </si>
  <si>
    <t>82010-121900</t>
  </si>
  <si>
    <t>82970-121960</t>
  </si>
  <si>
    <t>NSOROMA INSTITUTE</t>
  </si>
  <si>
    <t>20045 JOANN ST</t>
  </si>
  <si>
    <t>82922-121960</t>
  </si>
  <si>
    <t>82703-121960</t>
  </si>
  <si>
    <t>82942-121970</t>
  </si>
  <si>
    <t>82997-121960</t>
  </si>
  <si>
    <t>82702-121970</t>
  </si>
  <si>
    <t>82985-121970</t>
  </si>
  <si>
    <t>82010-121970</t>
  </si>
  <si>
    <t>Brightminds Childcare Center</t>
  </si>
  <si>
    <t>17644 W WARREN AVE</t>
  </si>
  <si>
    <t>990000958-121920</t>
  </si>
  <si>
    <t>82733-121970</t>
  </si>
  <si>
    <t>Pebbles Development Center LLC</t>
  </si>
  <si>
    <t>22701 Plymouth Rd</t>
  </si>
  <si>
    <t>detroit</t>
  </si>
  <si>
    <t>82SPX0098-121920</t>
  </si>
  <si>
    <t>82957-121970</t>
  </si>
  <si>
    <t>HARTFORD HEAD START AGENCY INC</t>
  </si>
  <si>
    <t>14000 W 7 MILE RD</t>
  </si>
  <si>
    <t>820000133-121920</t>
  </si>
  <si>
    <t>82983-121970</t>
  </si>
  <si>
    <t>63912-121960</t>
  </si>
  <si>
    <t>R01HL113326</t>
  </si>
  <si>
    <t>COMPREHENSIVE GENOME INTERROGATION OF AFRICAN AMERICAN SARCOIDOSIS FAMILIES</t>
  </si>
  <si>
    <t>0245-02B</t>
  </si>
  <si>
    <t>Subrecipient in charge of all DNA sample inventory and will perform DNA quantification measurements, aliquoting of samples and shipping. Subrecipient will also lend expertise on the samples as well as environmental and genetic influences in Sarcoidosis to various aspects of the project including study design, results interpretation and manuscript preparation.</t>
  </si>
  <si>
    <t>A&amp;W DAY CARE ,INC</t>
  </si>
  <si>
    <t>A&amp;W Day Care</t>
  </si>
  <si>
    <t>6565 GREENFIELD RD</t>
  </si>
  <si>
    <t>820000271-121920</t>
  </si>
  <si>
    <t>82940-121970</t>
  </si>
  <si>
    <t>82730-121960</t>
  </si>
  <si>
    <t>82925-121970</t>
  </si>
  <si>
    <t>82728-121960</t>
  </si>
  <si>
    <t>Family First Christian Childcare Center</t>
  </si>
  <si>
    <t>19212 W WARREN AVE</t>
  </si>
  <si>
    <t>990001445-121920</t>
  </si>
  <si>
    <t>Babes In The Woods Child Development Inc</t>
  </si>
  <si>
    <t>17530 W MCNICHOLS RD</t>
  </si>
  <si>
    <t>SOUTHFIELD</t>
  </si>
  <si>
    <t>820000275-121920</t>
  </si>
  <si>
    <t>Busy Minds Child Care Center Inc.</t>
  </si>
  <si>
    <t>20424 PLYMOUTH RD</t>
  </si>
  <si>
    <t>82SPX0082-121920</t>
  </si>
  <si>
    <t>Childrens Village Intl Ctrs</t>
  </si>
  <si>
    <t>14901 MEYERS RD</t>
  </si>
  <si>
    <t>820000107-121920</t>
  </si>
  <si>
    <t>82919-121970</t>
  </si>
  <si>
    <t>82933-121960</t>
  </si>
  <si>
    <t>Greater Mt Zion Baptist Church</t>
  </si>
  <si>
    <t>15600 EVANSTON ST</t>
  </si>
  <si>
    <t>990000952-121920</t>
  </si>
  <si>
    <t>82992-121970</t>
  </si>
  <si>
    <t>82939-121960</t>
  </si>
  <si>
    <t>H &amp; G CHAPMAN INC</t>
  </si>
  <si>
    <t>Tot Town Child Development Ctr</t>
  </si>
  <si>
    <t>8950 GREENFIELD RD</t>
  </si>
  <si>
    <t>820000200-121920</t>
  </si>
  <si>
    <t>Kristy's Early Childhood Devel</t>
  </si>
  <si>
    <t>21501 W 7 MILE RD</t>
  </si>
  <si>
    <t>820000316-121920</t>
  </si>
  <si>
    <t>The Academy Of Beanie Care</t>
  </si>
  <si>
    <t>12422 KELLY RD</t>
  </si>
  <si>
    <t>990001052-121920</t>
  </si>
  <si>
    <t>82724-121970</t>
  </si>
  <si>
    <t>Christios Child Care &amp; Academy</t>
  </si>
  <si>
    <t>19300 W 7 MILE RD</t>
  </si>
  <si>
    <t>82SPX0053-121920</t>
  </si>
  <si>
    <t>13132IL120E2518</t>
  </si>
  <si>
    <t>State Administrative Matching Grants for Supplemental Nutrition Assistance Program</t>
  </si>
  <si>
    <t>FCSSG00264</t>
  </si>
  <si>
    <t>SNAP Job Placement</t>
  </si>
  <si>
    <t>10.561 State Administrative Matching Grants for the Supplemental Nutrition Assistance Program</t>
  </si>
  <si>
    <t>82010-121920</t>
  </si>
  <si>
    <t>U3REP090218</t>
  </si>
  <si>
    <t>IMMED OFFICE OF THE SECRETARY OF HEALTH AND HUMAN SERVICES</t>
  </si>
  <si>
    <t>FY11 ANNOUNCEMENT OF AVAILABILITY OF FUNDS FOR THE HOSPITAL PREPAREDNESS PROGRAM (HPP)</t>
  </si>
  <si>
    <t>HEMS</t>
  </si>
  <si>
    <t>MI Bioterrorism - Hospital</t>
  </si>
  <si>
    <t>93.889 National Bioterrorism Hospital Preparedness Program</t>
  </si>
  <si>
    <t>R01CA127655</t>
  </si>
  <si>
    <t>PREPARATORY AID TO IMPROVE DECISION MAKING ABOUT CANCER CLINICAL TRIALS</t>
  </si>
  <si>
    <t>RES506416</t>
  </si>
  <si>
    <t>DESCRIPTION (provided by applicant): Clinical trials are necessary for the development of improved systemic therapies for cancer. However, less than ten percent of cancer patients enroll in these studies. Taking part in a clinical trial represents a decision. This decision may be particularly difficult for cancer patients, as they are facing mortality, treatments are often associated with significant potential for morbidity, and there may be substantial uncertainty regarding risks and benefits. The primary objective of this research application is to improve patient preparation for consideration of clinical trials as a treatment option, by assessing and addressing psychosocial barriers to participation. Guided by the Cognitive-Social Health Information Processing and Ottawa Decision Support frameworks, an interactive Internet-based Preparatory Aid for Clinical Trials (PRE-ACT) will deliver tailored information to address barriers related to knowledge, goals and values, and beliefs and expectancies before the initial physician visit. The specific aims are 1) to develop and pilot test three PRE-ACT components: assessment of individual patient psychosocial barriers to clinical trial participation by Internet-based survey, automated feedback of barriers and preference clarification, and provision of individually-tailored informational video clips to address barriers; 2) to conduct a randomized clinical trial in approximately 1500 cancer patients to compare PRE-ACT vs. control condition in improving preparation to consider clinical trials; 3) to investigate relevant background and psychosocial variables associated with preparation, barriers, and treatment decision outcomes; 4) to investigate the impact of PRE-ACT on decisional conflict, satisfaction with information and discussion about clinical trials, satisfaction with treatment choice, and clinical trial participation. The underlying hypothesis is that by preparing patients for a discussion about clinical trials, they will be better able to weigh risks and benefits of this treatment option, deal with uncertainty regarding outcomes, and arrive at a treatment decision most consonant with their preferences. It is anticipated that improving decision making in this context will translate into increased patient participation in clinical trials.</t>
  </si>
  <si>
    <t>93.395 Cancer Treatment Research</t>
  </si>
  <si>
    <t xml:space="preserve">Support for project that will develop, implement, and demonstrate smart-grid ready inverters with grid support functionality. Key objectives are to expand PV inverter capabilities and apply communication protocols that are currently evolving in international standards. Together they are intended to enable grid operators to better utilize distributed grid assets. </t>
  </si>
  <si>
    <t>MI0059C5F011104</t>
  </si>
  <si>
    <t>Detroit-East Community Mental Health</t>
  </si>
  <si>
    <t>11457 SHOEMAKER ST</t>
  </si>
  <si>
    <t>Shelter Plus Care-Detroit</t>
  </si>
  <si>
    <t>NEIGHBORHOOD SERVICE ORGANIZATION</t>
  </si>
  <si>
    <t>220 BAGLEY ST STE 1200</t>
  </si>
  <si>
    <t>261382313MS301</t>
  </si>
  <si>
    <t>Dexter Avenue Dexter Avenue from Davison to West Grand Boule Upgrade traffic signals along corridor with box-span layout. Upgrad</t>
  </si>
  <si>
    <t>Michigan City Of Detroit</t>
  </si>
  <si>
    <t>MICHIGAN CITY OF DETROIT</t>
  </si>
  <si>
    <t>Dexter Avenue Dexter Avenue from Davison to West Grand Boule Upgrade traffic signals along corridor with box-span layout.  Upgrade</t>
  </si>
  <si>
    <t>261382309M2302</t>
  </si>
  <si>
    <t>Orleans&amp;Wilkins to W. Chicago from Orleans Street and Wilki Construct ADA ramps and related construction at various intersection</t>
  </si>
  <si>
    <t>Orleans&amp;Wilkins to W. Chicago  from Orleans Street and Wilki Construct ADA ramps and related construction at various intersections</t>
  </si>
  <si>
    <t>261382314M0011</t>
  </si>
  <si>
    <t>Greenfield Road Greenfield Road; from Ford Road (M153) to Wa 0.97 miles of hot mixed asphalt resurfacing, including cold milling,</t>
  </si>
  <si>
    <t xml:space="preserve">Greenfield Road Greenfield Road; from Ford Road (M153) to Wa 0.97 miles of hot mixed asphalt resurfacing, including cold milling, c </t>
  </si>
  <si>
    <t>H89HA00021</t>
  </si>
  <si>
    <t>HIV EMERGENCY RELIEF PROJECT GRANTS</t>
  </si>
  <si>
    <t>CARE FIRST COMMUNITY HEALTH SERVICES</t>
  </si>
  <si>
    <t>8097 DECATUR RD</t>
  </si>
  <si>
    <t>HIV Services Including: Early Intervention Services</t>
  </si>
  <si>
    <t>93.914 HIV Emergency Relief Project Grants</t>
  </si>
  <si>
    <t>HIV Services Including: Home and Community Based Health Services, Medical Case Management, Mental Health, Non-Medical Case Management, and Primary Care</t>
  </si>
  <si>
    <t>COMMUNITY HEALTH AWARENESS GROUP</t>
  </si>
  <si>
    <t>1300 W FORT STREET</t>
  </si>
  <si>
    <t>HIV Services including: Early Intervention Services, Medical Case Management, Medical Transportation, Non-Medical Case Management and Psychosocial Support</t>
  </si>
  <si>
    <t>TRAVELERS AID SOCIETY OF METROPOLITAN DETROIT</t>
  </si>
  <si>
    <t>TRAVELERS AID SOCIETY</t>
  </si>
  <si>
    <t>65 CADILLAC SQUARE 30TH FL</t>
  </si>
  <si>
    <t>SW CNSLNG AND DVLPMNT SV (SWCDS)</t>
  </si>
  <si>
    <t>1700 WATERMAN ST</t>
  </si>
  <si>
    <t>U58DP001439</t>
  </si>
  <si>
    <t>WELL-INTEGRATED SCREENING AND EVALUATION FOR WOMEN ACROSS THE NATION</t>
  </si>
  <si>
    <t>Wisewoman</t>
  </si>
  <si>
    <t>COALITION ON TEMPORARY SHELTER</t>
  </si>
  <si>
    <t>COTS</t>
  </si>
  <si>
    <t>26 PETERBORO ST</t>
  </si>
  <si>
    <t>261382308M2305</t>
  </si>
  <si>
    <t>Various Routes City Wide, City of Detroit, Wayne County. 83 Miles of Overband Crack Seal.</t>
  </si>
  <si>
    <t xml:space="preserve">Various Routes City Wide, City of Detroit, Wayne County. 83 Miles of Overband Crack Seal.  </t>
  </si>
  <si>
    <t>R01AG040138</t>
  </si>
  <si>
    <t>DELIBERATIVE ENGAGEMENT OF COMMUNITIES IN DECISIONS ABOUT RESEARCH SPENDING</t>
  </si>
  <si>
    <t>FRIENDS OF PARKSIDE</t>
  </si>
  <si>
    <t>5000 CONNER ST STE 103</t>
  </si>
  <si>
    <t>Zachary Rowe will work with Dr. Goold in planning the project in its entirety and provide-leadership and direction. Work with the project team in modifying the CHAT priority setting simulation exercise to adapt it for engaging communities in setting research priorities. Work with the team to identify, choose and invite Steering Committee members. Work with the team to identify and contact key informants for the first phase of the project. Work with the team to identify, select and contact persons in minority and underserved communities for the evaluation phase of the project. Work with the team to plan and implement data collection and analysis. Work with Dr. Goold in leading the team in preparing written reports for community, scientific and policy audiences and plan post-projected benefits for communities.</t>
  </si>
  <si>
    <t>93.866 Aging Research</t>
  </si>
  <si>
    <t>DEVELOPMENT CENTERS INC</t>
  </si>
  <si>
    <t>17421 TELEGRAPH RD</t>
  </si>
  <si>
    <t>261382306L22E1</t>
  </si>
  <si>
    <t>West Vernor, Woodmere to Clark, City of Detroit The City of Detroit in partnership with the Southwest Detroit Business</t>
  </si>
  <si>
    <t xml:space="preserve">West Vernor, Woodmere to Clark, City of Detroit The City of Detroit in partnership with the Southwest Detroit Business </t>
  </si>
  <si>
    <t>261382306L22E2</t>
  </si>
  <si>
    <t>261382306M3013</t>
  </si>
  <si>
    <t>261382306M3014</t>
  </si>
  <si>
    <t>261382308M2306</t>
  </si>
  <si>
    <t>261382309M2301</t>
  </si>
  <si>
    <t>261382311MS301</t>
  </si>
  <si>
    <t>E Warren Ave Warren Avenue from Mack Avenue to Chalmers Stre Upgrade traffic signals along the corridor with box-span layout, upg</t>
  </si>
  <si>
    <t xml:space="preserve">E Warren Ave Warren Avenue from Mack Avenue to Chalmers Stre Upgrade traffic signals along the corridor with box-span layout, upgra </t>
  </si>
  <si>
    <t>261382312MS301</t>
  </si>
  <si>
    <t>E Warren Ave Warrren Avenue from St. Clair Street to St. Aub Upgrade traffic signals along the corridor with box-span layout. Up</t>
  </si>
  <si>
    <t>E Warren Ave Warrren Avenue from St. Clair Street to St. Aub Upgrade traffic signals along the corridor with box-span layout.  Upgr</t>
  </si>
  <si>
    <t>261382308L23R3</t>
  </si>
  <si>
    <t>261382310MS301</t>
  </si>
  <si>
    <t>E Warren Ave Warren Ave from Chalmers Street to St. Clair Av Upgrade traffic signals to box-span layout, upgrade pedestrian signa</t>
  </si>
  <si>
    <t xml:space="preserve">E Warren Ave Warren Ave from Chalmers Street to St. Clair Av Upgrade traffic signals to box-span layout, upgrade pedestrian signals </t>
  </si>
  <si>
    <t>261382308L23E2</t>
  </si>
  <si>
    <t>HEALTH EMERGENCY LIFELINE PROGRAM</t>
  </si>
  <si>
    <t>1726 HOWARD AVE</t>
  </si>
  <si>
    <t>HIV Services Including: Early Intervention Services, Emergency Financial Assistance, Food Bank, Housing Assistance, Medical Case Management, Medical Nutrition and Mental Health</t>
  </si>
  <si>
    <t>ADULT PSYCHIATRIC CLINIC</t>
  </si>
  <si>
    <t>NORTH CENTRAL HEALTH CENTER</t>
  </si>
  <si>
    <t>17141 RYAN RD</t>
  </si>
  <si>
    <t>HIV Services Including: Treatment Adherence</t>
  </si>
  <si>
    <t>AIDS PARTNERSHIP MICHIGAN INC</t>
  </si>
  <si>
    <t>WELLNESS NETWORKS</t>
  </si>
  <si>
    <t>2751 E JEFFERSON AVE STE 301</t>
  </si>
  <si>
    <t>HIV Services Including: Early Intervention Services, Medical Case Management, Mental Health, Psychosocial Support, MAI Early Intervention Services</t>
  </si>
  <si>
    <t>HIV Services Including: Primary Care</t>
  </si>
  <si>
    <t>261382314M0012</t>
  </si>
  <si>
    <t>WAYNE COUNTY NEIGHBORHOOD LEGAL SERVICES</t>
  </si>
  <si>
    <t>NEIGHBORHOOD LEGAL SERVICES MICHIGAN</t>
  </si>
  <si>
    <t>7310 WOODWARD AVE STE 701</t>
  </si>
  <si>
    <t>HIV Services Including: Legal Services</t>
  </si>
  <si>
    <t>VUMC40487</t>
  </si>
  <si>
    <t>HIV Services Including: Early Intervention Service and Primary Care</t>
  </si>
  <si>
    <t>Administration and Quality Management</t>
  </si>
  <si>
    <t>HIV Services Including: Primary Care and MAI Primary Care</t>
  </si>
  <si>
    <t>U01AI095776</t>
  </si>
  <si>
    <t>HUMAN MAIT CELIS IN AIRWAY MUCOSAL IMMUNE RESPONSES TO INTRACELLULAR INFECTIONS</t>
  </si>
  <si>
    <t>9006862_WSU_C1</t>
  </si>
  <si>
    <t>To determine the expression and immunological function of trophoblast HEXIM1 during pregnancy. To elucidate the mechanism by which HEXIM1 and AIRE regulate reproductive mucosal immunity and identify novel trophoblast immunoregulatory factors in the reproductive mucosa.</t>
  </si>
  <si>
    <t>PY 2013 VOLUNTARY AGENCY MATCHING GRANT PROGRAM</t>
  </si>
  <si>
    <t>MG13-MI-03</t>
  </si>
  <si>
    <t>R01CA047135</t>
  </si>
  <si>
    <t>MERGING MARINE-DERIVED CYTOTOXIC NATURAL PRODUCTS WITH EXPERIMENTAL THERAPEUTICS</t>
  </si>
  <si>
    <t>S0184056</t>
  </si>
  <si>
    <t>Merging Marine-Derived Cytotoxic Natural Products With Experimental Therapeutics R01</t>
  </si>
  <si>
    <t>38-6028429</t>
  </si>
  <si>
    <t>HIV Services Including: Primary Care and Psychosocial Support Services</t>
  </si>
  <si>
    <t>2011PD120000503</t>
  </si>
  <si>
    <t>USM</t>
  </si>
  <si>
    <t>Border Interoperability Demonstration Project</t>
  </si>
  <si>
    <t>HOMELAND SECURITY, DEPARTMENT OF</t>
  </si>
  <si>
    <t>2013 BIDP Wayne County Year 3</t>
  </si>
  <si>
    <t>97.120 Border Interoperability Demonstration Project</t>
  </si>
  <si>
    <t>2013MUBX0051</t>
  </si>
  <si>
    <t>FY 2013 Justice Assistance Grant Program</t>
  </si>
  <si>
    <t>JUDICIARY COURTS OF THE STATE OF MICHIGAN</t>
  </si>
  <si>
    <t>STATE APPELLATE DEFENDERS OFFICE</t>
  </si>
  <si>
    <t>645 GRISWOLD ST STE 3300</t>
  </si>
  <si>
    <t>Lansing</t>
  </si>
  <si>
    <t>72457-1-14-B</t>
  </si>
  <si>
    <t>The Michigan State Appellate Defender Office (SADO) Â“Sentencing Advocacy ProjectÂ” will provide social worker advocacy at resentencing and parole hearings for clients to reduce recidivism, increase community correction placements, and cut costs to the Michigan Department of Corrections.  This six-month grant project will collect resources, train criminal justice stakeholders, and build on the evidence-based success of SADOÂ’s sentencing advocacy.</t>
  </si>
  <si>
    <t>W911NF1310154</t>
  </si>
  <si>
    <t>Science of Security Lablet - Scalability and Usability</t>
  </si>
  <si>
    <t>1130163-311858</t>
  </si>
  <si>
    <t>Design a security policy specification language that can express constraints on communication. Develop and implement a static analysis approac that extracts communication models from application code.  Perofrm a case studey using legacy mobile android applications to validate the spec language.</t>
  </si>
  <si>
    <t>12.431 Basic Scientific Research</t>
  </si>
  <si>
    <t>323-13-MI-04</t>
  </si>
  <si>
    <t>SM01002612</t>
  </si>
  <si>
    <t>BLOCK GRANTS FOR COMMUNITY MENTAL HEALTH SERVICES</t>
  </si>
  <si>
    <t>Community Mental Health Services</t>
  </si>
  <si>
    <t>93.958 Block Grants for Community Mental Health Services</t>
  </si>
  <si>
    <t>B12CBNY0001</t>
  </si>
  <si>
    <t>40742-0081</t>
  </si>
  <si>
    <t>Detroit LISC Building Sustainable Communities have completed their respective Quality of Life plans (QOL) and are now in the implementation stage.  The convening agencies have completed budgets for prioritized action items in the QOL and are in the process of completing year two action item plans.  The convening agencies along with its community partners are currently looking for potential funding sources to leverage current and future investments made by LISC.  LISC funding will support several staff positions responsible for implementing the QoL goals.</t>
  </si>
  <si>
    <t>13AAMINSIP</t>
  </si>
  <si>
    <t>2013 NSIP - (STATE) NUTRITION SERVICES INCENTIVE PROGRAM</t>
  </si>
  <si>
    <t>OSA Title III NSIP - Food Distribution</t>
  </si>
  <si>
    <t>93.053 Nutrition Services Incentive Program</t>
  </si>
  <si>
    <t>13AAMIT3SP</t>
  </si>
  <si>
    <t>2013 TITLE III</t>
  </si>
  <si>
    <t>93.045 Special Programs for the Aging_Title III, Part C_Nutrition Services</t>
  </si>
  <si>
    <t>43462-0025</t>
  </si>
  <si>
    <t>LISC proceeds will be used to support the BSC ManagerÂ’s salary and benefits, support a portion of the Project ManagerÂ’s salary and benefits, and support a portion of the Executive DirectorÂ’s salary and benefits. The proposed grant proceeds will also support a bookkeeper position to help UNI prepare timely financial reports and track various grants and other revenue sources.  The training component will help continue to build the capacity of the Convening Agency by providing support for their attendance in various events related to LISCÂ’s Building Sustainable Communities program and implementing the neighborhood QOL plan.</t>
  </si>
  <si>
    <t>261382318M4006</t>
  </si>
  <si>
    <t>Detroit Central Business Distr Larned Street, Congress Stree Connected Vehicle ITS infrastructure Test Bed at 17 intersections</t>
  </si>
  <si>
    <t xml:space="preserve">Detroit Central Business Distr Larned Street, Congress Stree Connected Vehicle ITS infrastructure Test Bed at 17 intersections </t>
  </si>
  <si>
    <t>261382318M4005</t>
  </si>
  <si>
    <t>U58DP001386</t>
  </si>
  <si>
    <t>OBESITY PREVENTION</t>
  </si>
  <si>
    <t>Institute For Black Family</t>
  </si>
  <si>
    <t>15151 FAUST AVE</t>
  </si>
  <si>
    <t>Obesity Prevention</t>
  </si>
  <si>
    <t>93.283 Centers for Disease Control and Prevention_Investigations and Technical Assistance ; 93.548 PPHF 2012: Nutrition, Physical Activity and Obesity Program - financed in part by 2012 Prevention and Public Health Funds (PPHF-2012)</t>
  </si>
  <si>
    <t>B11CBMD0001</t>
  </si>
  <si>
    <t>VILLAGES COMMUNITY DEVELOPMENT CORPORATION, THE</t>
  </si>
  <si>
    <t>8109 E JEFFERSON</t>
  </si>
  <si>
    <t>13SG3010</t>
  </si>
  <si>
    <t>This grant will support staff salaries, program and consultant expenses, and energy audits for The West Village Sustainable Community Initiative that will engage residents in green affordable housing throughout the West Village neighborhood.</t>
  </si>
  <si>
    <t>2011VAGX0056</t>
  </si>
  <si>
    <t>OVC FY 11 VOCA Victim Assistance Formula</t>
  </si>
  <si>
    <t>Crime Victim Assistance - VOCA</t>
  </si>
  <si>
    <t>16.575 Crime Victim Assistance</t>
  </si>
  <si>
    <t>261382316M2303</t>
  </si>
  <si>
    <t>Second Avenue Temple Street to Warren Avenue, Wayne County 1.08 miles conversion from one way to two way traffic with the additio</t>
  </si>
  <si>
    <t xml:space="preserve">Second Avenue Temple Street to Warren Avenue, Wayne County 1.08 miles conversion from one way to two way traffic with the additio </t>
  </si>
  <si>
    <t>261382318M2304</t>
  </si>
  <si>
    <t>12AAMIT3SP</t>
  </si>
  <si>
    <t>2012 TITLE III</t>
  </si>
  <si>
    <t>13AAMIT7SP</t>
  </si>
  <si>
    <t>2013 TITLE VII</t>
  </si>
  <si>
    <t>93.042 Special Programs for the Aging_Title VII, Chapter 2_Long Term Care Ombudsman Services for Older Individuals</t>
  </si>
  <si>
    <t>AD218321155A26</t>
  </si>
  <si>
    <t>R01NR013959</t>
  </si>
  <si>
    <t>BEHAVIORAL TREATMENT OF MENOPAUSAL INSOMNIA; SLEEP, DEPRESSION, DAYTIME OUTCOMES</t>
  </si>
  <si>
    <t>B11112</t>
  </si>
  <si>
    <t>Behavioral Treatment of Menopausal Insomnia; Sleep Depression, Daytime Outcomes</t>
  </si>
  <si>
    <t>93.361 Nursing Research</t>
  </si>
  <si>
    <t>261382316L23R1</t>
  </si>
  <si>
    <t>261382318L40E2</t>
  </si>
  <si>
    <t xml:space="preserve">Connected Vehicle ITS infrastructure Test Bed at 17 intersections Detroit Central Business Distr Larned Street, Congress Stree </t>
  </si>
  <si>
    <t>261382317M2301</t>
  </si>
  <si>
    <t>Northline Road; from Inkster Road to 500 feet 5.71 miles of concrete pavement repair, curb patching and concrete joi</t>
  </si>
  <si>
    <t xml:space="preserve">Northline Road; from Inkster Road to 500 feet 5.71 miles of concrete pavement repair, curb patching and concrete joi </t>
  </si>
  <si>
    <t>261382322M2302</t>
  </si>
  <si>
    <t>Oakwood Boulevard from M-39 Service Drive to West I-94 Ramp, 0.45 miles of hot mix asphalt cold milling, hot mix asphalt resurfac</t>
  </si>
  <si>
    <t>Oakwood Boulevard from M-39 Service Drive to West I-94 Ramp,</t>
  </si>
  <si>
    <t>261382326M2301</t>
  </si>
  <si>
    <t>Wyoming Avenue from Warren Avenue to Tireman Street, city of 0.51 mile of hot mix asphalt cold milling, hot mix asphalt resurfaci</t>
  </si>
  <si>
    <t>Wyoming Avenue from Warren Avenue to Tireman Street, city of</t>
  </si>
  <si>
    <t>261382328LZ2E5</t>
  </si>
  <si>
    <t>Gibraltar Road from 800 Feet West of Allen Road to 200 Feet 0.42 mile of concrete pavement reconstruction, hot mix asphalt surfa</t>
  </si>
  <si>
    <t>Gibraltar Road from 800 Feet West of Allen Road to 200 Feet</t>
  </si>
  <si>
    <t>261382337M2302</t>
  </si>
  <si>
    <t>Sumpter Road from 360 Feet South of Willow Road to 60 Feet N 6.18 miles of hot mix asphalt cold miling, hot mix asphalt resurfaci</t>
  </si>
  <si>
    <t>Sumpter Road from 360 Feet South of Willow Road to 60 Feet N</t>
  </si>
  <si>
    <t>261382339M2302</t>
  </si>
  <si>
    <t>East Outer Drive from Mitchell Avenue to Mt Elliot Road, cit 1.73 miles of hot mix asphalt resurfacing, concrete repairs, sidewal</t>
  </si>
  <si>
    <t>East Outer Drive from Mitchell Avenue to Mt Elliot Road, cit</t>
  </si>
  <si>
    <t>S010A120022</t>
  </si>
  <si>
    <t>TITLE I GRANTS TO LEAS</t>
  </si>
  <si>
    <t>82010-131700</t>
  </si>
  <si>
    <t>To help improve teaching and learning in high-poverty schools in particular for children failing, or most at-risk of failing, to meet challenging State academic achievement standards.</t>
  </si>
  <si>
    <t>84.010 Title I Grants to Local Educational Agencies</t>
  </si>
  <si>
    <t>Madison Carver Academy</t>
  </si>
  <si>
    <t>19900 MCINTYRE ST</t>
  </si>
  <si>
    <t>BAY-ARENAC INTERMEDIATE SCHOOL DISTRICT</t>
  </si>
  <si>
    <t>82742-131530</t>
  </si>
  <si>
    <t>DETROIT INNOVATION ACADEMY</t>
  </si>
  <si>
    <t>KALAMAZOO BOARD OF EDUCATION</t>
  </si>
  <si>
    <t>18211 PLYMOUTH RD</t>
  </si>
  <si>
    <t>KALAMAZOO PUBLIC SCHOOLS</t>
  </si>
  <si>
    <t>82739-131530</t>
  </si>
  <si>
    <t>HAZEL PARK SCHOOLS</t>
  </si>
  <si>
    <t>HAZEL PARK PUBLIC SCHOOL DISTRICT</t>
  </si>
  <si>
    <t>82728-131530</t>
  </si>
  <si>
    <t>Academy Of International Studies</t>
  </si>
  <si>
    <t>82738-131530</t>
  </si>
  <si>
    <t>82945-131530</t>
  </si>
  <si>
    <t>SAULT STE MARIE AREA PUBLIC SCHOOLS</t>
  </si>
  <si>
    <t>82950-131530</t>
  </si>
  <si>
    <t>HEMLOCK PUBLIC SCHOOLS DISTRICT</t>
  </si>
  <si>
    <t>82990-131530</t>
  </si>
  <si>
    <t>MERRILL ELEMENTARY SCHOOL</t>
  </si>
  <si>
    <t>HURON SCHOOL DISTRICT</t>
  </si>
  <si>
    <t>82991-131530</t>
  </si>
  <si>
    <t>Grade 2-4</t>
  </si>
  <si>
    <t>EAST CHINA SCHOOL DISTRICT</t>
  </si>
  <si>
    <t>63912-131530</t>
  </si>
  <si>
    <t>Walker Academy</t>
  </si>
  <si>
    <t>82957-131530</t>
  </si>
  <si>
    <t>WHITEHALL DISTRICT SCHOOLS</t>
  </si>
  <si>
    <t>82940-131530</t>
  </si>
  <si>
    <t>LAKESIDE ELEMENTARY SCHOOL</t>
  </si>
  <si>
    <t>82997-131530</t>
  </si>
  <si>
    <t>82979-131530</t>
  </si>
  <si>
    <t>Metro Academy</t>
  </si>
  <si>
    <t>82985-131530</t>
  </si>
  <si>
    <t>82955-131530</t>
  </si>
  <si>
    <t>KENTWOOD PUBLIC SCHOOLS</t>
  </si>
  <si>
    <t>82953-131530</t>
  </si>
  <si>
    <t>82924-131530</t>
  </si>
  <si>
    <t>AISHA SHULE/ W.E.B. DUBOIS CHARTER SCHOOL</t>
  </si>
  <si>
    <t>AISHA SHULE W.EB. DUBOIS PREPARATORY ACADEMY</t>
  </si>
  <si>
    <t>20119 WISCONSIN</t>
  </si>
  <si>
    <t>82903-131530</t>
  </si>
  <si>
    <t>82977-131530</t>
  </si>
  <si>
    <t>261382323M2302</t>
  </si>
  <si>
    <t>Goddard Extension from West Airport Service Road to Merriman 0.65 miles of hot mix asphalt cold milling, hot mix asphalt resurfac</t>
  </si>
  <si>
    <t>Goddard Extension from West Airport Service Road to Merriman</t>
  </si>
  <si>
    <t>261382328LZ203</t>
  </si>
  <si>
    <t>261382329M2303</t>
  </si>
  <si>
    <t>Pennsylvania Road from Middle Belt Road to 1000 Feet East of 1.24 miles of hot mix asphalt surfacing, full depth reclamation, hot</t>
  </si>
  <si>
    <t>Pennsylvania Road from Middle Belt Road to 1000 Feet East of</t>
  </si>
  <si>
    <t>261382337M2323</t>
  </si>
  <si>
    <t>261382286L23R2</t>
  </si>
  <si>
    <t>Outer Drive West from 180 Feet Northeast of Ashcroft-Sherwoo 0.05 mile of concrete box culvert replacement, aggregate base, concr</t>
  </si>
  <si>
    <t xml:space="preserve">Outer Drive West from 180 Feet Northeast of Ashcroft-Sherwoo 0.05 mile of concrete box culvert replacement, aggregate base, concret </t>
  </si>
  <si>
    <t>261382286L23R3</t>
  </si>
  <si>
    <t>V002A120023</t>
  </si>
  <si>
    <t>ADULT EDUCATION - STATE ADMINISTERED</t>
  </si>
  <si>
    <t>PRO LITERACY DETROIT</t>
  </si>
  <si>
    <t>2111 WOODWARD AVE STE 410</t>
  </si>
  <si>
    <t>820001533-131130</t>
  </si>
  <si>
    <t>Grants to fund local programs of adult education and literacy services, including workplace literacy services; family literacy services; English literacy programs and integrated English literacy-civics education programs.</t>
  </si>
  <si>
    <t>84.002 Adult Education - Basic Grants to States</t>
  </si>
  <si>
    <t>820004408-131130</t>
  </si>
  <si>
    <t>S011A120022</t>
  </si>
  <si>
    <t>MIGRANT EDUCATION</t>
  </si>
  <si>
    <t>82010-131890</t>
  </si>
  <si>
    <t>Identify eligible children and provide education and support services. These services include: academic instruction; remedial and compensatory instruction; bilingual and multicultural instruction; vocational instruction; career education services; special guidance; counseling and testing services; health services; and preschool services.</t>
  </si>
  <si>
    <t>84.011 Migrant Education_State Grant Program</t>
  </si>
  <si>
    <t>82060-131130</t>
  </si>
  <si>
    <t>82010-131130</t>
  </si>
  <si>
    <t>WAYNE COUNTY COMMUNITY COLLEGE DISTRICT</t>
  </si>
  <si>
    <t>801 W FORT ST</t>
  </si>
  <si>
    <t>82SF06000-131130</t>
  </si>
  <si>
    <t>82060-131120</t>
  </si>
  <si>
    <t>DETROIT HISPANIC DEVELOPMENT CORPORATION</t>
  </si>
  <si>
    <t>1211 TRUMBULL ST</t>
  </si>
  <si>
    <t>820001016-131130</t>
  </si>
  <si>
    <t>Dominican Literacy Center</t>
  </si>
  <si>
    <t>11148 HARPER AVE</t>
  </si>
  <si>
    <t>820001531-131130</t>
  </si>
  <si>
    <t>MERCY EDUCATION PROJECT</t>
  </si>
  <si>
    <t>1450 HOWARD ST</t>
  </si>
  <si>
    <t>990000220-131130</t>
  </si>
  <si>
    <t>261482039M2302</t>
  </si>
  <si>
    <t>20 Locations from Jeffries Fwy at 20 locations from Jeffries Traffic Modernization at Twenty Locations.</t>
  </si>
  <si>
    <t>20 Locations from Jeffries Fwy at 20 locations from Jeffries</t>
  </si>
  <si>
    <t>261450009M2302</t>
  </si>
  <si>
    <t>Kelly Rd N.B. Kelly Road, Toepfer Road to 9 Mile Road. Macom 0.67 miles of concrete pavement reconstruction consisting of nonrein</t>
  </si>
  <si>
    <t xml:space="preserve">Kelly Rd N.B. Kelly Road, Toepfer Road to 9 Mile Road. Macom 0.67 miles of concrete pavement reconstruction consisting of nonreinfo </t>
  </si>
  <si>
    <t>MG14-MI-01</t>
  </si>
  <si>
    <t>FY14 Match Grant</t>
  </si>
  <si>
    <t>SPRMCO14CA1006</t>
  </si>
  <si>
    <t>FY 2014 Reception and Placement Program</t>
  </si>
  <si>
    <t>323-14-MI-01</t>
  </si>
  <si>
    <t>FY14 Reception and Placement</t>
  </si>
  <si>
    <t>261482039M2301</t>
  </si>
  <si>
    <t>261382205L22E2</t>
  </si>
  <si>
    <t>Conner Avenue/Outer Drive Conner Avenue/Outer Drive, McNicho Wayne County, in partnership with the Detroit Eastside Community Col</t>
  </si>
  <si>
    <t xml:space="preserve">Conner Avenue/Outer Drive Conner Avenue/Outer Drive, McNicho Wayne County, in partnership with the Detroit Eastside Community Colla </t>
  </si>
  <si>
    <t>1401MISOSR</t>
  </si>
  <si>
    <t>2014SSBG</t>
  </si>
  <si>
    <t>HYR13-82001 2</t>
  </si>
  <si>
    <t>Runaway/Status Offender- TANF</t>
  </si>
  <si>
    <t>93.667 Social Services Block Grant</t>
  </si>
  <si>
    <t>U01IP000474</t>
  </si>
  <si>
    <t>CORE_PLUS_OPTION_A_B_PROPOSAL FOR INFLUENZA VACCINE EFFECTIVENESS RESEARCH</t>
  </si>
  <si>
    <t>Study activities within the Henry Ford Health System (HFHS) support the CDC-funded US FLU NETWORKÂ’s annual estimation of influenza vaccine effectiveness in reducing risk of medically-attended laboratory-confirmed influen</t>
  </si>
  <si>
    <t>93.185 Immunization Research, Demonstration, Public Information and Education_Training and Clinical Skills Improvement Projects</t>
  </si>
  <si>
    <t>11SIHMI001</t>
  </si>
  <si>
    <t>CORPORATION FOR NATIONAL AND COMMUNITY SERVICE</t>
  </si>
  <si>
    <t>Provides funds to invest in innovative local activities that improve low-income communities</t>
  </si>
  <si>
    <t>Based on the ELC model, VanguardÂ’s Footprints to Prosperity is increasing parental knowledge and skills for engaging children ages 0-5 in developmentally appropriate activities and working directly with in-home care providers to improve skills and strengthen relationships between providers and parents.</t>
  </si>
  <si>
    <t>94.019 Social Innovation Fund</t>
  </si>
  <si>
    <t>261482033M2302</t>
  </si>
  <si>
    <t>Belleville Road from 300 Feet South of I-94 Service Road to 1.21 miles of cold milling hot mix asphalt, concrete pavement repair</t>
  </si>
  <si>
    <t xml:space="preserve">Belleville Road from 300 Feet South of I-94 Service Road to  1.21 miles of cold milling hot mix asphalt, concrete pavement repairs, </t>
  </si>
  <si>
    <t>LIVING ARTS</t>
  </si>
  <si>
    <t>8701 W VERNOR HWY STE 202</t>
  </si>
  <si>
    <t>The El Arte Early Learning project increases exposure to the arts by providing direct service in Head Start classrooms and by training teachers to engage children in dance, music and drama activities that boost literacy levels and other kindergarten readiness skills.</t>
  </si>
  <si>
    <t>Study activities within the Henry Ford Health System (HFHS) support the CDC and NIH/NIAID funded Household Influenza Vaccine Effectiveness (HIVE) Study: Household Studies of Influenza and Other Re</t>
  </si>
  <si>
    <t>DETROIT PARENT NETWORK</t>
  </si>
  <si>
    <t>726 LOTHROP RD</t>
  </si>
  <si>
    <t xml:space="preserve">The Pathways to Literacy project employs a peer-to-peer service delivery model in which parent-coaches provide teaching strategies, support, and modeling focused on language, cognitive and communication skills. </t>
  </si>
  <si>
    <t>MatrixÂ’s Born To Succeed project is a neighborhood based approach to helping parents of children provide nurturing, literacy-rich environments that foster kindergarten readiness. The project model integrates home visitation, parent engagement, family stability, and health screenings.</t>
  </si>
  <si>
    <t xml:space="preserve">The English Language Learners Program uses a family literacy model to improve literacy among young children from non-English speaking households. The model incorporates adult English education, parent and child together interactive literacy activities, parent training, and a supportive educational environment for children. </t>
  </si>
  <si>
    <t>12ACHMI001</t>
  </si>
  <si>
    <t>Engages AmeriCorps members in full and part-time service to meet community needs in education, the environment, health, veterans, and other areas</t>
  </si>
  <si>
    <t>MACF14-82368 1</t>
  </si>
  <si>
    <t>Americorps</t>
  </si>
  <si>
    <t>94.006 AmeriCorps</t>
  </si>
  <si>
    <t>NA12OAR4320071</t>
  </si>
  <si>
    <t>NATIONAL OCEANIC AND ATMOSPHERIC ADMINISTRATION</t>
  </si>
  <si>
    <t>How Will the Great Lakes Water Levels Respond to Climate Change Year 4:  Regional Modeling for Application to Decision-Making</t>
  </si>
  <si>
    <t>COMMERCE, DEPARTMENT OF</t>
  </si>
  <si>
    <t>Subawardee will oversee the radiometric dating of the sediment cores. Subawardee will establish the chronology on 10 sediment cores that will be collected from Lake Huron and Saginaw Bay. Subawardee will also assist in the development of a final CILER report and participate in the delvelopment of any manuscript for this component.</t>
  </si>
  <si>
    <t>11.431 Climate and Atmospheric Research; 11.011 Ocean Exploration; 11.432 National Oceanic and Atmospheric Administration (NOAA) Cooperative Institutes</t>
  </si>
  <si>
    <t>1301MIFVPS</t>
  </si>
  <si>
    <t>DV11-82002 4</t>
  </si>
  <si>
    <t>DV Homeless Pgrm-GF/Domes. Vio.Pmts to subrec Fed Fam Vio.</t>
  </si>
  <si>
    <t>93.671 Family Violence Prevention and Services/Battered Women's Shelters_Grants to States and Indian Tribes</t>
  </si>
  <si>
    <t>14-2877-AMP</t>
  </si>
  <si>
    <t>Crash test data analysis, writing of test protocols and supporting technical progress writing</t>
  </si>
  <si>
    <t>2012WFAX0040</t>
  </si>
  <si>
    <t>Michigan 2012 STOP application</t>
  </si>
  <si>
    <t>COMMUNITY HEALTH AND SOCIAL SERVICES CENTER, INC.</t>
  </si>
  <si>
    <t>CHASS SOUTHWEST</t>
  </si>
  <si>
    <t>5635 W FORT ST</t>
  </si>
  <si>
    <t>STOPU12-82001 3</t>
  </si>
  <si>
    <t>STOP Grant</t>
  </si>
  <si>
    <t>16.588 Violence Against Women Formula Grants</t>
  </si>
  <si>
    <t>STOP11-82002 4</t>
  </si>
  <si>
    <t>STOP Grant/Victim Svcs</t>
  </si>
  <si>
    <t>STOP11-82001 4</t>
  </si>
  <si>
    <t>1402MITANF</t>
  </si>
  <si>
    <t>2014 TANF</t>
  </si>
  <si>
    <t>HYR13-82002 2</t>
  </si>
  <si>
    <t>FF13-13001 2</t>
  </si>
  <si>
    <t>Family First Services</t>
  </si>
  <si>
    <t>DCI</t>
  </si>
  <si>
    <t>CAN12-82002 3</t>
  </si>
  <si>
    <t>Parent Partner Programs</t>
  </si>
  <si>
    <t>BLACK FAMILY DEVELOPMENT, INCORPORATED</t>
  </si>
  <si>
    <t>2995 E GRAND BLVD</t>
  </si>
  <si>
    <t>FF13-82001 2</t>
  </si>
  <si>
    <t>FF13-41001 2</t>
  </si>
  <si>
    <t>13VGHMI001</t>
  </si>
  <si>
    <t>Supports activities to expand the capacity of volunteer connector organizations to recruit, manage, support and retain individuals to serve</t>
  </si>
  <si>
    <t>VOLUNTEERS IN PREVENTION, PROBATION AND PRISONS, INC</t>
  </si>
  <si>
    <t>VOLUNTEERS IN PREVENTION</t>
  </si>
  <si>
    <t>28 W ADAMS AVE STE 1310</t>
  </si>
  <si>
    <t>MVGF14-82028 1</t>
  </si>
  <si>
    <t>MI Volun. Gener.</t>
  </si>
  <si>
    <t>94.021 Volunteer Generation Fund</t>
  </si>
  <si>
    <t>U03MC00003</t>
  </si>
  <si>
    <t>GREAT LAKES REGIONAL NODE FOR PEDIATRIC EMS RESEARCH</t>
  </si>
  <si>
    <t>Great Lakes Emergency Medical Services for Children Research Network (GLEMSCRN)</t>
  </si>
  <si>
    <t>93.127 Emergency Medical Services for Children</t>
  </si>
  <si>
    <t>ES224371155A26</t>
  </si>
  <si>
    <t>DETROIT WORKFORCE DEVELOPMENT BOARD, CORPORATION</t>
  </si>
  <si>
    <t>707 W MILWAUKEE AVE</t>
  </si>
  <si>
    <t>58107 51024</t>
  </si>
  <si>
    <t>EUC RES</t>
  </si>
  <si>
    <t>17.207 Employment Service/Wagner-Peyser Funded Activities; 17.271 Work Opportunity Tax Credit Program (WOTC) ; 17.273 Temporary Labor Certification for Foreign Workers; 17.225 Unemployment Insurance</t>
  </si>
  <si>
    <t>1301MISOSR</t>
  </si>
  <si>
    <t>2013 SSBG</t>
  </si>
  <si>
    <t>TI01002613</t>
  </si>
  <si>
    <t>SUBSTANCE ABUSE PREVENTION &amp; TREATMENT BLOCK GRANT</t>
  </si>
  <si>
    <t>Substance Abuse Grant Award</t>
  </si>
  <si>
    <t>93.959 Block Grants for Prevention and Treatment of Substance Abuse</t>
  </si>
  <si>
    <t>MI0367C5F011100</t>
  </si>
  <si>
    <t>SPC SPONSOR BASED RA</t>
  </si>
  <si>
    <t>Shelter Plus Care - Detroit Fuse</t>
  </si>
  <si>
    <t>R21NS080590</t>
  </si>
  <si>
    <t>TREATMENT FOR DYSMYELINATION IN PMD AND SPG2</t>
  </si>
  <si>
    <t>Detriot</t>
  </si>
  <si>
    <t>PD302622-SC103748</t>
  </si>
  <si>
    <t>Treatment of Dysmyelination in PMD and SPG2</t>
  </si>
  <si>
    <t>R01CA157459</t>
  </si>
  <si>
    <t>HOME-BASED SYMPTOM MANAGEMENT VIA REFLEXOLOGY FOR ADVANCED BREAST CANCER PATIENTS</t>
  </si>
  <si>
    <t>RC100551KC</t>
  </si>
  <si>
    <t>This project tests the benefits of a home-based intervention of foot reflexology delivered by a friend or family member for improving health-related quality of life (HRQOL) including symptom responses, functioning, and health perceptions in women treated with chemotherapy for advanced breast cancer.</t>
  </si>
  <si>
    <t>R01AR060852</t>
  </si>
  <si>
    <t>APPLYING BIOPSYCHOSOCIAL MODEL TO POST-MVC PAIN DEVELOPMENT IN AFRICAN AMERICANS</t>
  </si>
  <si>
    <t>The Wayne State University team will be responsible for the overall conduct and regulatory compliance in approaching and recruiting   potentially eligible patients for the study from Detroit Receiving and Sinai Grace Hospitals.  Eligible patients will be interviewed and blood samples will be obtained and analyzed.</t>
  </si>
  <si>
    <t>CEMRI for Photonic and Multiscale Nanomaterials</t>
  </si>
  <si>
    <t xml:space="preserve">Although much progress has been made in the field of plasmonics in regards to deep subwavelength optics, it has become clear that the extreme losses associated with increased mode confinement severely limit the usefulness of the technology. To minimize the propagation losses the use of active dielectric materials has been proposed. Taken to the extreme, we have predicted [1] that under certain conditions, when both the real and imaginary parts of the dielectric's permittivity are adjusted appropriately, the surface plasmon-polariton turns into a resonant surface wave. This results in not only plasmon wavelengths theoretically approaching zero, but also propagating with extremely low loss. Such resonant plasmon modes would offer the ultimate in ultra-high resolution imaging, foster the realization of surface plasmon lasers and enable the development of next generation near field optical probes for atomic scale field mapping and advanced integrated nano-photonic circuit characterization and diagnostics. Based on the concept of plasmonics resonance, the goals of this proposal are to experimentally verify the deep sub-wavelength confinement associated with resonant surface plasmons using optically pumped dyes as the active dielectric medium and a pulsed Q-switched laser with simultaneous output at different harmonics as a pump-probe tool. Resonant features in light reflection by nanoscale period gratings will be studies to confirm experimentally large values of the propagation constant for the resonant plasmon-polaritons. The theoretical framework associated with cylindrical and conical coaxial nano-tip geometries will also be developed. This will lead to the design of a gain-assisted resonant plasmonics nano-probe with the long term goal of integrating this probe with a commercial scanning near field optical microscope.   The resonant condition for surface plasmon-polaritons requires that dielectric permittivity of metallic material properly fits the permittivity of the active (with optical gain) dielectric at another side of the interface. In case of silver, suitable match is expected in ultra-violet part of the spectrum. For the same reason, noble metals such as silver and gold may not be the materials of choice in the visible and near-infrared as long as real part of their permittivity is too large in absolute value. Alternative plasmonic materials, recently proposed by Boltasseva and Shalaev in Purdue, are highly doped wide-bandgap oxide semiconductors such as ITO (indium tin oxide) and aluminum-doped zinc oxide (AZO). Wayne State team will work with the Purdue team on characterization of these new materials and explore their applicability for the resonant plasmonic nano-probes for near-infrared spectral range. At even longer wavelength in mid-infrared, SiC (silicon carbide) has suitable properties. The Shvets group at UT Austin has extensive experience in studying plasmonics using SiC. We will collaborate with UT to explore the feasibility and practicality of resonant active plasmonics in mid-IR. Theoretical studies on the subject of deep sub-diffraction light confinement in resonant active plasmonic devices will be done in close collaboration with Shalaev (Purdue) and Merlin (U of M), world-leading experts in the field. </t>
  </si>
  <si>
    <t>47.049 Mathematical and Physical Sciences</t>
  </si>
  <si>
    <t>V048A120022</t>
  </si>
  <si>
    <t>VOCATIONAL EDUCATION - BASIC GRANTS TO STATES</t>
  </si>
  <si>
    <t>82010-133520</t>
  </si>
  <si>
    <t>To develop more fully the academic, career, and technical skills of secondary and postsecondary students who elect to enroll in CTE programs.</t>
  </si>
  <si>
    <t>84.048 Career and Technical Education -- Basic Grants to States</t>
  </si>
  <si>
    <t>82SF06000-133510</t>
  </si>
  <si>
    <t>U18HS020516</t>
  </si>
  <si>
    <t>AGENCY FOR HEALTH CARE RESEARCH AND QUALITY</t>
  </si>
  <si>
    <t>THE QUALITY MEASUREMENT, EVALUATION, TESTING, REVIEW AND IMPLEMENTATION CONSORTIU</t>
  </si>
  <si>
    <t>SubrecipientÂ’s Principal Investigator, Sharada Sarnaik, MBBS, is the Director of the Sickle Cell Center at ChildrenÂ’s Hospital of Michigan. Dr. Sarnaik will provide oversight for the pediatric sickle cell disease quality measure testing in Detroit, Michigan. A research assistant from ChildrenÂ’s Hospital of Michigan will assist Dr. Sarnaik in the preparation and submission of IRB documents and logistics related to chart review and data abstraction. There will also be two contracted nurse abstractors overseen by a nurse from Dr. SarnaikÂ’s division to assist the abstractors in locating medical records and identifying specific information within the charts.</t>
  </si>
  <si>
    <t>93.226 Research on Healthcare Costs, Quality and Outcomes</t>
  </si>
  <si>
    <t>H30MC24047</t>
  </si>
  <si>
    <t>HEMOPHILIA TREATMENT CENTERS (SPRANS)</t>
  </si>
  <si>
    <t>BARBARA ANN KARMANOS CANCER INSTITUTE</t>
  </si>
  <si>
    <t>MICHIGAN CANCER FOUNDATION</t>
  </si>
  <si>
    <t>110 E WARREN AVE</t>
  </si>
  <si>
    <t>Hemophilia Comprehensive Care</t>
  </si>
  <si>
    <t>University Pediatricians</t>
  </si>
  <si>
    <t>3901 BEAUBIEN ST STE 1K40</t>
  </si>
  <si>
    <t>R01AG043401</t>
  </si>
  <si>
    <t>A SELF-REGULATION INTERVENTION FOR OLDER ADULTS WITH ASTHMA</t>
  </si>
  <si>
    <t>On this project, Dr. Cardozo will meet with Dr. Baptist and other investigators to provide advice and guidance on the design and implementation of the intervention.  He will direct recruitment and enrollment of participants at WSU with the assistance of research coordinators and assistants.  He will also hire and supervise student assistants as needed.  Once the data is collected, he will participate in the analysis, interpretation, and dissemination of results.  He will verify that all participant materials are appropriate and participate in weekly phone calls with the PI to review progress</t>
  </si>
  <si>
    <t>T85HP24473</t>
  </si>
  <si>
    <t>TRAINING IN PRIMARY CARE MEDICINE-INTERDISCIPLINARY AND INTERPROFESSIONAL GRADUATE JOINT DEGREE PROG</t>
  </si>
  <si>
    <t>WSU13073</t>
  </si>
  <si>
    <t>The HFHS Principle Investigator will dedicate 10% of his/her time to oversee project development, implementation and evaluation activities in year one and 20% in years two through five.</t>
  </si>
  <si>
    <t>93.884 Grants for Primary Care Training and Enhancement</t>
  </si>
  <si>
    <t>UE1EH000821</t>
  </si>
  <si>
    <t>HEALTHY HOMES AND LEAD POISONING PREVENTION PROGRAM</t>
  </si>
  <si>
    <t>Public Health Department</t>
  </si>
  <si>
    <t>Healthy Homes and Lead Poisoning Prevention</t>
  </si>
  <si>
    <t>93.070 Environmental Public Health and Emergency Response</t>
  </si>
  <si>
    <t>U58DP004088</t>
  </si>
  <si>
    <t>MICHIGAN BREAST AND CERVICAL CANCER SCREENING PROGRAM</t>
  </si>
  <si>
    <t xml:space="preserve">93.744 PPHF 2012: Breast and Cervical Cancer Screening Opportunities for States, Tribes and Territories solely financed by 2012 Prevention and Public Health Funds </t>
  </si>
  <si>
    <t>EASTERN MARKET CORPORATION</t>
  </si>
  <si>
    <t>2934 RUSSEL</t>
  </si>
  <si>
    <t>13SG3006</t>
  </si>
  <si>
    <t>This grant will help build staff capacity to obtain pre-development financing to develop an innovative mixed-income housing project Â“Shed 4 Market LoftsÂ”.</t>
  </si>
  <si>
    <t>2012VAGX0020</t>
  </si>
  <si>
    <t>OVC FY 12 VOCA Victim Assistance Formula</t>
  </si>
  <si>
    <t>Contract &amp; Grant ADM</t>
  </si>
  <si>
    <t>MICHIGAN STATE UNIVERSITY</t>
  </si>
  <si>
    <t>Crime Victim Assistance</t>
  </si>
  <si>
    <t>TRIANGLE FOUNDATION</t>
  </si>
  <si>
    <t>LINK CRISIS INTERVENTION CENTER</t>
  </si>
  <si>
    <t>19641 WEST SEVEN MILE ROAD</t>
  </si>
  <si>
    <t>1101MIPREP</t>
  </si>
  <si>
    <t>2011 PREP</t>
  </si>
  <si>
    <t>TEEN HYPE YOUTH DEVELOPMENT PROGRAM</t>
  </si>
  <si>
    <t>17384 FIELDING ST</t>
  </si>
  <si>
    <t>Personal Responsibility Education Program Grant Award</t>
  </si>
  <si>
    <t>93.092 Affordable Care Act (ACA) Personal Responsibility Education Program</t>
  </si>
  <si>
    <t>E13DC260001</t>
  </si>
  <si>
    <t>EMERGENCY SOLUTONS GRANTS</t>
  </si>
  <si>
    <t>HML-2013-5839-ESF</t>
  </si>
  <si>
    <t>MSHDA has awarded $426,169 to Homeless Action Network of Detroit (HAND), as the fiduciary for Wayne County Continuum of Care serving homeless or at risk of homeless population in Wayne County from 10/1/2013 through 09/30/2014. With these funds, Wayne County will serve 134 singles and youth, 90 households and 270 families with children. In accordance with the grant and the Memorandum of Understanding, the fiduciary will administer/monitor grant funds to the following subgrantee: Southwest Counseling Solutions: $139,473 for Rapid Rehousing, $244,080 for Prevention Assistance, $12,785 for HMIS and $20,231 for Administrative; HAND: $9,600 for Administrative Costs.</t>
  </si>
  <si>
    <t>STTMP101048</t>
  </si>
  <si>
    <t>FY10 STATE PARTNERSHIP GRANT PROGRAM TO IMPROVE MINORITY HEALTH</t>
  </si>
  <si>
    <t>Health Disparities Reduction/Minority Health</t>
  </si>
  <si>
    <t>93.296 State Partnership Grant Program to Improve Minority Health</t>
  </si>
  <si>
    <t>U01CA113916</t>
  </si>
  <si>
    <t>FOX CHASE CLINICAL EPIDEMIOLOGY AND VALIDATION CENTER</t>
  </si>
  <si>
    <t>Fox Chase Clinical Epidemiology and Validation Center</t>
  </si>
  <si>
    <t>93.394 Cancer Detection and Diagnosis Research</t>
  </si>
  <si>
    <t>356-13-MI-04</t>
  </si>
  <si>
    <t>EMW2013UA00009</t>
  </si>
  <si>
    <t>FEDERAL EMERGENCY MANAGEMENT AGENCY</t>
  </si>
  <si>
    <t>Urban Areas Security Initiative</t>
  </si>
  <si>
    <t>HENRY FORD HEMATOLOGY &amp; ONCOLOGY DIV</t>
  </si>
  <si>
    <t>2799 W GRAND BLVD</t>
  </si>
  <si>
    <t>2013 UASI NPSG</t>
  </si>
  <si>
    <t>97.008 Non-Profit Security Program</t>
  </si>
  <si>
    <t>1202MIAEGP</t>
  </si>
  <si>
    <t>2012 AEGP</t>
  </si>
  <si>
    <t>Warren</t>
  </si>
  <si>
    <t>EMW2013EP00026</t>
  </si>
  <si>
    <t>EMERGENCY MANAGEMENT PERFORMANCE GRANT PROGRAM</t>
  </si>
  <si>
    <t>2013 EMPG Wayne County</t>
  </si>
  <si>
    <t>97.042 Emergency Management Performance Grants</t>
  </si>
  <si>
    <t>2013 EMPG City of Detroit</t>
  </si>
  <si>
    <t>UNIVERSITY CULTURAL CENTER ASSOCIATION</t>
  </si>
  <si>
    <t>WOODWARD WILLIS</t>
  </si>
  <si>
    <t>3939 WOODWARD AVE STE 100</t>
  </si>
  <si>
    <t>13SG2999</t>
  </si>
  <si>
    <t>This grant will help to secure the professional services needed to pre-develop vacant, city-owned land into a comprehensive eco-community.</t>
  </si>
  <si>
    <t>R21NS074394</t>
  </si>
  <si>
    <t>NONINVASIVE ASSESSMENT OF TRAUMATIC BRAIN INJURY WITH PET USING 64CUCL2</t>
  </si>
  <si>
    <t>RGC-088; GMO-120911</t>
  </si>
  <si>
    <t>Dr. Muzik will perform all compartmental analyses in this project and will advise the PI with respect to all PET/CT acquisition protocols used in the proposed studies.</t>
  </si>
  <si>
    <t xml:space="preserve">Project to develop, implement, and demonstrate smart-grid ready inverters with grid support functionality. Tasks: review and provide comment on the smart inverter and plant master controller; complete the installation of the smart inverter and PMC and commission the PV plant;  establish the communication between the PMC and DRSOC; support the development of smart inverter use cases and field test plans, including exercising the inverter and PMC smart-grid functionality through DRSOC tool and capturing the results; provide Â“dataÂ” on the circuit to be modeled in OpenDSS; develop the distribution feeder modeling capabilities to simulate the demonstration circuit with day-ahead customer load and weather forecast to determine the appropriate operating mode and parameter values for the smart inverter under demonstration, incorporating the capabilities to communicate with smart inverters using the standard DNP3 protocol into the DRSOC; design and implement the radio based direct transfer trip (DTT); participate in a workshop to present the laboratory and factory evaluation of the smart inverters and PMC and share experience installing the smart inverter; join monthly team meeting conference calls and other project management and reporting activities. </t>
  </si>
  <si>
    <t>12AFHMI001</t>
  </si>
  <si>
    <t>WARM TRAINING CENTER</t>
  </si>
  <si>
    <t>4835 MICHIGAN AVE</t>
  </si>
  <si>
    <t>MACF14-82367 1</t>
  </si>
  <si>
    <t>1401MIRCMA</t>
  </si>
  <si>
    <t>FY 2014 REFUGEE CASH AND MEDICAL ASSISTANCE</t>
  </si>
  <si>
    <t>RAFG13-13001 2</t>
  </si>
  <si>
    <t>Refugee Employ.</t>
  </si>
  <si>
    <t>RAES13-63001 2</t>
  </si>
  <si>
    <t>REFUGEE EMPLOYMENT</t>
  </si>
  <si>
    <t>RAES13-13001 2</t>
  </si>
  <si>
    <t>W81XWH1210589</t>
  </si>
  <si>
    <t>DEPT OF THE ARMY</t>
  </si>
  <si>
    <t>COGNITIONS, DECISIONS, AND BEHAVIORS RELATED TO SUCCESSFUL ADJUSTMENT AMONG INDIVIDUALS WITH SCI</t>
  </si>
  <si>
    <t>VHS REHABILITATION INSTITUTE OF MICHIGAN, INC</t>
  </si>
  <si>
    <t>261 MACK BLVD</t>
  </si>
  <si>
    <t>Cognitions, Decisions and Behaviors Related to Successful Adjustment among Individuals with SCI: A Qualitative Examination of Military and Non-military Personnel - SCI10130</t>
  </si>
  <si>
    <t>1201MICETV</t>
  </si>
  <si>
    <t>2012 CETV</t>
  </si>
  <si>
    <t>JACKSON</t>
  </si>
  <si>
    <t>ADMIN12-99004 3</t>
  </si>
  <si>
    <t>Contract Advances/Education Training Vouchers</t>
  </si>
  <si>
    <t>93.599 Chafee Education and Training Vouchers Program (ETV)</t>
  </si>
  <si>
    <t>RAES13-82001 2</t>
  </si>
  <si>
    <t>RAES13-50001 2</t>
  </si>
  <si>
    <t>RAFG13-33001 2</t>
  </si>
  <si>
    <t>RAFG13-82001 2</t>
  </si>
  <si>
    <t>2012KFAX0011</t>
  </si>
  <si>
    <t>Michigan 2012 SASP application</t>
  </si>
  <si>
    <t>SASPU14-82002 1</t>
  </si>
  <si>
    <t>Sexual Assault Services Program</t>
  </si>
  <si>
    <t>16.017 Sexual Assault Services Formula Program</t>
  </si>
  <si>
    <t>CENTRAL DETROIT CHRISTIAN COMMUNITY DEVELOPMENT CORPORATION</t>
  </si>
  <si>
    <t>CDC</t>
  </si>
  <si>
    <t>8840 2ND AVE</t>
  </si>
  <si>
    <t>41333-0029</t>
  </si>
  <si>
    <t>Central Detroit Christian Community Development Corporation (CDC2) has been a leading catalyst for the revitalization of Piety Hill/ Central Woodward.  To help accomplish its goals around rehabilitating vacant and abandoned properties, CDC formed Piety Hill LLC (PH) which is a partnership with Bailey Development Company and JGH Consulting. PH was formed to acquire and rehabilitate vacant single and multi-family structures as well as develop new in-fill housing in the Piety Hill/ Central Woodward area.  The subject project includes the redevelopment of 14 vacant units in one of the CityÂ’s NSP3 target areas and comprises four single family units, 3 duplexes and 1 four unit building.  All of the real estate is owned by CDC2.  CDC2 needs a project manager/consultant to help develop the project as the level and detail requires a person who has the skill set for project/ construction management.  The completion deadline for the cityÂ’s NSP3 projects is March, 2014.</t>
  </si>
  <si>
    <t>SOUTHWEST NON-PROFIT HOUSING</t>
  </si>
  <si>
    <t>41331-0034</t>
  </si>
  <si>
    <t>Throughout the city of Detroit there are 64 properties with subsidies expiring in the next 24 months based on information from the National Housing Preservation database.  With the bulk of residential housing development taking place in DetroitÂ’s downtown and midtown areas, new or proposed development projects have the potential to force out lower income residents from these or other buildings.  As Detroit LISC seeks to make an impact on the cityÂ’s neighborhoods and work with developers (non profit and for profit), LISC is committed to develop a strategy to preserve affordable units while also promoting mixed income options.  Relating to publically-subsidized housing projects, many landlords who have been obligated to keep rents affordable will soon be contemplating either selling their properties to new owners or converting units to higher end options.  There are also affordable developments that are overleveraged and require recapitalization at the expiration of their subsidies.</t>
  </si>
  <si>
    <t>13132MI053S2202</t>
  </si>
  <si>
    <t>820001030-1309E0</t>
  </si>
  <si>
    <t>To help supplement the diets of low-income persons by making funds available to States for processing, storage and distribution costs incurred by State agencies and local organizations, such as soup kitchens, food banks, and food pantries, including faith-based organizations, in providing food assistance to needy persons.</t>
  </si>
  <si>
    <t>H133G130011</t>
  </si>
  <si>
    <t xml:space="preserve">Dr. Hanks will serve as Principal Investigator for the Wayne State University site and Dr. Lisa Rapport will serve as co-investigator. Dr. Hanks will be responsible for supervising the research components and general administration of the project at WSU including the budget and RIM subcontract. Drs. Hanks and Rapport will also participate in project evaluation, data interpretation and dissemination with Dr. Kalpakjian. Dr. Hanks will directly supervise the RIM research assistant. They both will also attend regular meetings in Ann Arbor.  Dr. Hanks and her research assistant will obtain and maintain the necessary regulatory approvals and recruit 100 women to participate in the survey portion of the study, 12 women to participate in the momentary assessment portion of the study and 10 women to participate in the focus group portion of the study. Dr. Hanks and Rapport will collaborate with Dr. Kalpakjian on the qualitative and quantitative analysis. Dr. Hanks and her research assistant will work closely with the PI and study coordinator at UM to ensure that the study is progressing as planned through regular communication by phone, email and travel to Ann Arbor. </t>
  </si>
  <si>
    <t>R01AI096962</t>
  </si>
  <si>
    <t>HIV INFECTION OF HEMATOPOIETIC PROGENITOR CELLS</t>
  </si>
  <si>
    <t>The project includes the research of HIV infection of hematopoietic progenitor cells.  The subcontractors specific objectives:  (1)  Recruitment of HIV-infected people with undetectable viral load on HAART for more than six months for blood and bone marrow donation.  (2) obtaining 100 cc of blood and 20cc of bone marrow samples from the donors.  (3) Gathering Historical information about the donors, including year of diagnosis, CD4 count and viral load. (Amendment 2)</t>
  </si>
  <si>
    <t>90RP0101</t>
  </si>
  <si>
    <t>FY2013 INTENSIVE CASE MANAGEMENT</t>
  </si>
  <si>
    <t>ICM14-MI-01</t>
  </si>
  <si>
    <t>FY14 Intensive Case Management</t>
  </si>
  <si>
    <t>90ZU0103</t>
  </si>
  <si>
    <t>FY14 FOSTER CARE AND FINGERPRINTING SERVICES</t>
  </si>
  <si>
    <t>MD</t>
  </si>
  <si>
    <t>356-14-MI-01</t>
  </si>
  <si>
    <t>FY14 Foster Care Services</t>
  </si>
  <si>
    <t>115-9341-HFHS-01</t>
  </si>
  <si>
    <t>Cancer Research Network (CRN) is a consortium on nine nonprofit research centers based in itegrated health care delivery systems. Project focuses on the characteristics of patients, clinicians, communities, and health systems that lead to the best possible outcomes in cancer prevention and care.</t>
  </si>
  <si>
    <t>261382262L23R2</t>
  </si>
  <si>
    <t>174 Intersections From Addison Street at McGraw Street to T Pavement Markings at 174 intersections</t>
  </si>
  <si>
    <t>174 Intersections From Addison Street  at McGraw Street to T Pavement Markings at 174 intersections</t>
  </si>
  <si>
    <t>261382267L23R2</t>
  </si>
  <si>
    <t>West Outer Drive from Rouge Park Drive to Schoolcraft Road, 0.84 mile of hot mix asphalt cold milling, hot mix asphalt surfacing</t>
  </si>
  <si>
    <t xml:space="preserve">West Outer Drive from Rouge Park Drive to Schoolcraft Road,  0.84 mile of hot mix asphalt cold milling, hot mix asphalt surfacing,  </t>
  </si>
  <si>
    <t>261382278L23R2</t>
  </si>
  <si>
    <t>Eureka Road I-275 West Ramp to John Dingle Drive East Ramp, 1.70 miles of concrete pavement restoration, sidewalk ramps and pave</t>
  </si>
  <si>
    <t xml:space="preserve">Eureka Road I-275 West Ramp to John Dingle Drive East Ramp,  1.70 miles of concrete pavement restoration, sidewalk ramps and paveme </t>
  </si>
  <si>
    <t>261382262L23R1</t>
  </si>
  <si>
    <t>261382263L23E2</t>
  </si>
  <si>
    <t>74 Railroad Locations From Burt Road at Capitol Street to Wy Pavement Markings at 74 Railroad locations</t>
  </si>
  <si>
    <t>This is a 3rd year funding supplement.  The university of Detroit Mercy will complete 2 projects as part of the Mineta National Transportation Research Consortium. 1) A study of Factors that inhibit and enable effective development of sustainable Regional Transit Systems in Southeastern Michigan. 2) Smart Moves: Innovative Transit Solutions for the 21st century.</t>
  </si>
  <si>
    <t>261382270M3012</t>
  </si>
  <si>
    <t>Congress Street Congress Street from Washington Boulevard to he city of Detroit in cooperation with the Detroit Regional Conventi</t>
  </si>
  <si>
    <t>Congress Street Congress Street from Washington Boulevard to he city of Detroit in cooperation with the Detroit Regional Convention</t>
  </si>
  <si>
    <t>261382263L23E1</t>
  </si>
  <si>
    <t>261382277M2401</t>
  </si>
  <si>
    <t>City of Detroit - City Wide Operation/Maintenance of the TOC for 2013.</t>
  </si>
  <si>
    <t xml:space="preserve">City of Detroit - City Wide "Operation/Maintenance of the TOC for 2013." </t>
  </si>
  <si>
    <t>261382279M0012</t>
  </si>
  <si>
    <t>Sheldon Road from M-14 to Five Mile Road, Wayne County 0.91 mile of hot mix asphalt surfacing, concrete repairs, sidewalk ram</t>
  </si>
  <si>
    <t xml:space="preserve">Sheldon Road from M-14 to Five Mile Road, Wayne County 0.91 mile of hot mix asphalt surfacing, concrete repairs, sidewalk ram </t>
  </si>
  <si>
    <t>261382278L23R3</t>
  </si>
  <si>
    <t>261382267L23R1</t>
  </si>
  <si>
    <t>261382279M0013</t>
  </si>
  <si>
    <t>R21HL114368</t>
  </si>
  <si>
    <t>INACTIVATION OF LSD1 AS A POSSIBLE TREATMENT FOR SICKLE CELL DISEASE</t>
  </si>
  <si>
    <t>Dr. Swerdlow will oversee the administration of drug (tranylcypromine) to sickle cell patients, and outline for those patients the conditions required for their safety and compliance. He will be responsible for drawing blood at intervals and for messengering it to UMMS for analysis.</t>
  </si>
  <si>
    <t>93.837 Cardiovascular Diseases Research</t>
  </si>
  <si>
    <t>NS2013-75</t>
  </si>
  <si>
    <t>Scope of the DCC work for HL108016 (LC-COPD Study):  The Data Coordinating Center (DCC) in the Department of Public Health Sciences (PHS) at Henry Ford Health System (HFHS) will provide statistical expertise and data management support for LCRT optimization prior to analysis of LCRT validation samples, the multi-site exploratory retrospective Case-control COPD cohort study, and exploratory prospective longitudinal cohort study, as well as other exploratory LC-COPD studies. The DCC will be under the guidance of the project PI , Dr. James Willey and the trials Steering Committee.  Standard Operating Procedures (SOPs) have been developed at PHS based on FDA Good Clinical Practice (GCP), and implemented in PHS for clinical trials. The DCC staff members are trained in these procedures. Although this trial does not require an FDA IND application, the DCC will design and conduct the trial according to FDA Good Clinical Practice (GCP) to insure the quality of the research.  The DCC activities include: 1) providing statistical expertise in LC-COPD and CPORT protocol development, 2) participating in the CDF design and creation; 3) creation of the Oracle Clinical CRF database; 4) monitoring clinical sites enrollment/compliance; 4) assisting sites with the patient's follow-ups/compliance; 5) CRF data collection and management for data quality; 6) assist in the standard procedure/process development and quality control for patient safety and outcome assessment among the sites if needed; and 7) providing the central review for patient safety and serious adverse event (SAE) reporting.  The DCC is also responsible for the selection of controls for each identified case (COPD) and for performing the data analysis of the exploratory COPD risk tests and lung cancer risk tests. The DCC will perform analyses for all secondary endpoints if there are any, and assist in manuscript preparation. Finally, the DCC will conduct the data achieve process for data sharing.</t>
  </si>
  <si>
    <t>323-13-MI-03</t>
  </si>
  <si>
    <t>Comprehensive Genome Interrogation of African American Sarcoidosis Families</t>
  </si>
  <si>
    <t>0245-03B</t>
  </si>
  <si>
    <t>U61TS000138</t>
  </si>
  <si>
    <t>BIOMONITORING OF PERSISTENT TOXIC SUBSTANCES IN MICHIGAN URBAN FISHEATERS</t>
  </si>
  <si>
    <t>Wayne State University</t>
  </si>
  <si>
    <t>GLRI Biomonitoring</t>
  </si>
  <si>
    <t>93.161 Health Program for Toxic Substances and Disease Registry</t>
  </si>
  <si>
    <t>H25PS001338</t>
  </si>
  <si>
    <t>PS09-902 COMPREHENSIVE STD PREVENTION SYSTEMS (CSPS)</t>
  </si>
  <si>
    <t>Comprehensive STD Prevention</t>
  </si>
  <si>
    <t>93.977 Preventive Health Services_Sexually Transmitted Diseases Control Grants</t>
  </si>
  <si>
    <t>1400 WOODBRIDGE ST</t>
  </si>
  <si>
    <t>Detroit Health Dept</t>
  </si>
  <si>
    <t>8100 PIERSON ST</t>
  </si>
  <si>
    <t>13132MI013W5003</t>
  </si>
  <si>
    <t>Special Supplemental Nutrition Program for Women, Infants, and Children</t>
  </si>
  <si>
    <t>211 W FORT ST</t>
  </si>
  <si>
    <t>WIC Breastfeeding</t>
  </si>
  <si>
    <t>10.557 Special Supplemental Nutrition Program for Women, Infants, and Children</t>
  </si>
  <si>
    <t>FY14 Foster Care and Fingerprinting Services</t>
  </si>
  <si>
    <t>356-14-MI-02</t>
  </si>
  <si>
    <t>323-14-MI-02</t>
  </si>
  <si>
    <t>PY 2013 Voluntary Agency Matching Grant Program</t>
  </si>
  <si>
    <t>MG14-MI-02</t>
  </si>
  <si>
    <t>U01HL114623</t>
  </si>
  <si>
    <t>OPTIMIZE - CCC - LEAD APPLICATION</t>
  </si>
  <si>
    <t>10930SUB</t>
  </si>
  <si>
    <t>Study Site will perform the research and administrative work ("Work"), including, without limitation, providing all reasonably necessary facilities, equipment and materials; performing all reasonably necessary activities; keeping appropriate records; and reporting the results pursuant to the conduct of a scientific investigation involving human subjects ("Patients") in accordance with the applicable Protocol and other specific instructions.  The Work to be conducted by Study Site under this Agreement shall be in accordance with (i) the clinical trial Protocol, as may be amended from time to time in writing, and (ii) specific instructions regarding subject safety or technical and scientific aspects of the Study as may be transmitted to the Study Site by or on the behalf of Seattle Children's.</t>
  </si>
  <si>
    <t>HIV Services Including Early Intervention Services</t>
  </si>
  <si>
    <t>HIV Services Including: Medical Case Management, Primary Care, Early Intervention Services, Mental Health Services, Home and Community-Based Health Services and Non-Medical Case Management</t>
  </si>
  <si>
    <t>HIV Services Including Medical Case Management, Early Intervention Services, Mental Health Services, Medical Transportation Services, Non-Medical Case Management and Psychosocial Support Services.</t>
  </si>
  <si>
    <t>HIV Services Including: Primary Care, Mental Health, Medical Case Management and Psychosocial Support Services</t>
  </si>
  <si>
    <t>HIV Services Including: Medical Case Management, Early Intervention Services, Mental Health Services, Non-Medical Case Management and Psychosocial Support.</t>
  </si>
  <si>
    <t>HIV Services Including: Primary Care and Early Intervention Services</t>
  </si>
  <si>
    <t>HIV Services Including: Medical Case Management, Early Intervention Services, Mental Health Services, Medical Nutrition Therapy, Non-Medical Case Management, Emergency Financial Assistance, Food Bank, and Housing Services</t>
  </si>
  <si>
    <t>13132MI060N2020</t>
  </si>
  <si>
    <t>820000090-132010</t>
  </si>
  <si>
    <t>3011 W GRAND BLVD 11TH FL</t>
  </si>
  <si>
    <t>82010-132010</t>
  </si>
  <si>
    <t>261382317M2302</t>
  </si>
  <si>
    <t>Northline Road; from Inkster Road to 500 feet</t>
  </si>
  <si>
    <t>261382322M2301</t>
  </si>
  <si>
    <t>261382323M2301</t>
  </si>
  <si>
    <t>261382326M2302</t>
  </si>
  <si>
    <t>261382328LZ2E6</t>
  </si>
  <si>
    <t>261382337M2301</t>
  </si>
  <si>
    <t>261382337M2324</t>
  </si>
  <si>
    <t>261482006H2301</t>
  </si>
  <si>
    <t>7 Mile Road &amp; ENHines Drive 7 Mile Road &amp; ENHines Drive; fro 1.15 miles of hot mixed asphalt road resurfacing, including cold mil</t>
  </si>
  <si>
    <t xml:space="preserve">7 Mile Road &amp; ENHines Drive 7 Mile Road &amp; ENHines Drive; fro 1.15 miles of hot mixed asphalt road resurfacing, including cold milli </t>
  </si>
  <si>
    <t>261482006M2305</t>
  </si>
  <si>
    <t>7 Mile Road &amp; ENHines Drive 7 Mile Road &amp; ENHines Drive; fro</t>
  </si>
  <si>
    <t>261482015M2301</t>
  </si>
  <si>
    <t>Racho Road from Pennsylvania Road to Sibley Road, Wayne Coun 0.97 mile of hot mix asphalt resurfacing, portland cement stabilizat</t>
  </si>
  <si>
    <t>Racho Road from Pennsylvania Road to Sibley Road, Wayne Coun</t>
  </si>
  <si>
    <t>82933-131530</t>
  </si>
  <si>
    <t>Hannahville Indian School</t>
  </si>
  <si>
    <t>MARION PUBLIC SCHOOL DISTRICT</t>
  </si>
  <si>
    <t>82910-131530</t>
  </si>
  <si>
    <t>82948-131530</t>
  </si>
  <si>
    <t>CHANDLER WOODS CHARTER</t>
  </si>
  <si>
    <t>82919-131530</t>
  </si>
  <si>
    <t>HOMER COMMUNITY SCHOOLS</t>
  </si>
  <si>
    <t>BOARD OF EDUCATION CALHOUN CO HOMER COMMUNITY SCHOOLS</t>
  </si>
  <si>
    <t>82992-131530</t>
  </si>
  <si>
    <t>VANGUARD CHARTER ACADEMY</t>
  </si>
  <si>
    <t>82722-131530</t>
  </si>
  <si>
    <t>FREELAND COMMUNITY SCHOOL DISTRICT</t>
  </si>
  <si>
    <t>82943-131530</t>
  </si>
  <si>
    <t>CENTER FOR LITERACY &amp; CREATIVITY</t>
  </si>
  <si>
    <t>18401 W MCNICHOLS RD</t>
  </si>
  <si>
    <t>82949-131530</t>
  </si>
  <si>
    <t>82970-131530</t>
  </si>
  <si>
    <t>ALLENDALE PUBLIC SCHOOLS DISTRICT</t>
  </si>
  <si>
    <t>82937-131530</t>
  </si>
  <si>
    <t>82939-131530</t>
  </si>
  <si>
    <t>82987-131530</t>
  </si>
  <si>
    <t>NORTHPORT PUBLIC SCHOOL</t>
  </si>
  <si>
    <t>82963-131530</t>
  </si>
  <si>
    <t>Greenville Central Svcs Fcilty</t>
  </si>
  <si>
    <t>GREENVILLE PUBLIC SCHOOLS</t>
  </si>
  <si>
    <t>82956-131530</t>
  </si>
  <si>
    <t>CONCORD ELEMENTARY SCHOOL</t>
  </si>
  <si>
    <t>CONCORD COMMUNITY SCHOOL DISTRICT</t>
  </si>
  <si>
    <t>82902-131530</t>
  </si>
  <si>
    <t>82734-131530</t>
  </si>
  <si>
    <t>82905-131530</t>
  </si>
  <si>
    <t>261382324MS301</t>
  </si>
  <si>
    <t>Haggerty Rd 7 mile at Haggerty Traffic signal modernization and upgrade, interconnect, pedestrain tim</t>
  </si>
  <si>
    <t>Haggerty Rd 7 mile at Haggerty</t>
  </si>
  <si>
    <t>261382328LZ202</t>
  </si>
  <si>
    <t>261382329M2304</t>
  </si>
  <si>
    <t>261382339M2301</t>
  </si>
  <si>
    <t>BUENA VISTA SCHOOL DISTRICT</t>
  </si>
  <si>
    <t>82746-131530</t>
  </si>
  <si>
    <t>Cornerstone Health High School</t>
  </si>
  <si>
    <t>UNIONVILLE SEBEWAING AREA SCHOOLS</t>
  </si>
  <si>
    <t>82741-131530</t>
  </si>
  <si>
    <t>SOUTHFIELD PUBLIC SCHOOL DISTRICT</t>
  </si>
  <si>
    <t>82929-131530</t>
  </si>
  <si>
    <t>82947-131530</t>
  </si>
  <si>
    <t>WARREN WOODS PUBLIC SCHOOLS</t>
  </si>
  <si>
    <t>82998-131700</t>
  </si>
  <si>
    <t>82942-131530</t>
  </si>
  <si>
    <t>MT PLEASANT PUBLIC SCHOOLS INC</t>
  </si>
  <si>
    <t>82731-131530</t>
  </si>
  <si>
    <t>82913-131530</t>
  </si>
  <si>
    <t>82733-131530</t>
  </si>
  <si>
    <t>Wolverine Academy</t>
  </si>
  <si>
    <t>2629 LENOX ST</t>
  </si>
  <si>
    <t>82750-131700</t>
  </si>
  <si>
    <t>BERRIEN RESA</t>
  </si>
  <si>
    <t>BERRIEN REGIONAL EDUCATION SERVICE AGENCY</t>
  </si>
  <si>
    <t>82010-131530</t>
  </si>
  <si>
    <t>Detroit Capstone Academy</t>
  </si>
  <si>
    <t>3500 JOHN R ST</t>
  </si>
  <si>
    <t>BANGOR TOWNSHIP SCHOOLS</t>
  </si>
  <si>
    <t>82752-131700</t>
  </si>
  <si>
    <t>International Preparatory Academy</t>
  </si>
  <si>
    <t>4201 W OUTER DR</t>
  </si>
  <si>
    <t>82747-131530</t>
  </si>
  <si>
    <t>GAYLORD COMMUNITY SCHOOL DISTRICT INC</t>
  </si>
  <si>
    <t>82745-131530</t>
  </si>
  <si>
    <t>82986-131530</t>
  </si>
  <si>
    <t>ADRIAN PUBLIC SCHOOLS</t>
  </si>
  <si>
    <t>82918-131530</t>
  </si>
  <si>
    <t>LOCATION: MORENCI AREA SCHOOL 10</t>
  </si>
  <si>
    <t>82904-131530</t>
  </si>
  <si>
    <t>BAD AXE BOARD OF EDUCATION</t>
  </si>
  <si>
    <t>82922-131530</t>
  </si>
  <si>
    <t>SUPERINTENDENTS OFFICE</t>
  </si>
  <si>
    <t>RICHMOND COMMUNITY SCHOOLS</t>
  </si>
  <si>
    <t>82730-131530</t>
  </si>
  <si>
    <t>82930-131530</t>
  </si>
  <si>
    <t>82971-131700</t>
  </si>
  <si>
    <t>82703-131530</t>
  </si>
  <si>
    <t>FOWLERVILLE COM SCHOOLS</t>
  </si>
  <si>
    <t>BD OF EDUC LIVINGSTON CO</t>
  </si>
  <si>
    <t>82727-131530</t>
  </si>
  <si>
    <t>ROSEVILLE COMMUNITY SCHOOL DISTRICT</t>
  </si>
  <si>
    <t>82723-131530</t>
  </si>
  <si>
    <t>82974-131530</t>
  </si>
  <si>
    <t>82701-131530</t>
  </si>
  <si>
    <t>MARQUETTE AREA PUBLIC SCHOOLS</t>
  </si>
  <si>
    <t>82989-131530</t>
  </si>
  <si>
    <t>82724-131530</t>
  </si>
  <si>
    <t>300 RIVER PLACE STE 3600</t>
  </si>
  <si>
    <t>GRAND RAPIDS PUBLIC SCHOOLS, (INC)</t>
  </si>
  <si>
    <t>84060-131530</t>
  </si>
  <si>
    <t>HILLSDALE COMMUNITY SCHOOLS</t>
  </si>
  <si>
    <t>82925-131530</t>
  </si>
  <si>
    <t>82702-131530</t>
  </si>
  <si>
    <t>BIRMINGHAM PUBLIC SCHOOLS</t>
  </si>
  <si>
    <t>SCHOOL DISTRICT OF THE CITY OF BIRMINGHAM</t>
  </si>
  <si>
    <t>82732-131530</t>
  </si>
  <si>
    <t>82983-131530</t>
  </si>
  <si>
    <t>261482007M4001</t>
  </si>
  <si>
    <t>Citywide City of Detroit Install Auxiliary Power Units (APUs) on up to 33 ambulances</t>
  </si>
  <si>
    <t>261482012L40E1</t>
  </si>
  <si>
    <t>Plymouth Road 21 signalized intersections on Plymouth corrid Traffic congestion remedies will include signal retiming, wireless i</t>
  </si>
  <si>
    <t>Plymouth Road 21 signalized intersections on Plymouth corrid</t>
  </si>
  <si>
    <t>261482006M2306</t>
  </si>
  <si>
    <t>261482012M4002</t>
  </si>
  <si>
    <t>261482006H2302</t>
  </si>
  <si>
    <t>13-2866-AMP/13-2869-AMP</t>
  </si>
  <si>
    <t>Exploratory NDE testing, support and data analysis.</t>
  </si>
  <si>
    <t>261482057M2302</t>
  </si>
  <si>
    <t>8 locations City Wide Conant from Davison to McNichols, Cona 4.05 miles of cold milling hot mix asphalt surface, concrete curb an</t>
  </si>
  <si>
    <t>4.05 miles of cold milling hot mix asphalt surface, concrete curb and</t>
  </si>
  <si>
    <t>261482050M0012</t>
  </si>
  <si>
    <t>Mack Avenue from Harvard Road to Moross Road, cities of Gros 1.71 miles of hot mix asphalt cold milling, concrete pavement repair</t>
  </si>
  <si>
    <t>Wayne County</t>
  </si>
  <si>
    <t>1.71 miles of hot mix asphalt cold milling, concrete pavement repair,</t>
  </si>
  <si>
    <t>261482050M2303</t>
  </si>
  <si>
    <t>261482051M2301</t>
  </si>
  <si>
    <t>Various Citywide from Abbot Road to Woodward Avenue, Wayne C 660 miles of long line markings on 367 various urban arterial and co</t>
  </si>
  <si>
    <t>660 miles of long line markings on 367 various urban arterial and coll</t>
  </si>
  <si>
    <t>60NANB13D162</t>
  </si>
  <si>
    <t>NATIONAL INSTITUTE OF STANDARDS AND TECHNOLOGY</t>
  </si>
  <si>
    <t>Effective Field Theory Analysis of Proton Structure in Hydrogenic Bound States</t>
  </si>
  <si>
    <t>FP055436</t>
  </si>
  <si>
    <t>The expected deliverables from Wayne State University are as follows: I) Existing data from electron-proton, electron-neutron, and pion-pion scattering data will be used to extract the magnetic radius of the proton. 2) Low Q2 muon-proton scattering in NRQED relevant for the planned MUSE experiment will be calculated and directly connected to the muonic hydrogen spectroscopic results. 3) Relativistic lepton- proton scattering, including radiative corrections will be calculated.</t>
  </si>
  <si>
    <t>11.013 Education Quality Award Ambassadorship</t>
  </si>
  <si>
    <t>R01HD073362</t>
  </si>
  <si>
    <t>LIFE AFTER PEDIATRIC SEPSIS EVALUATION, LAPSE</t>
  </si>
  <si>
    <t>10887SUB</t>
  </si>
  <si>
    <t xml:space="preserve">Measure alterations in HRQL/FS longitudinally among children with septic shock.  Determine the association between the magnitude of septic shock related HRQL/FS deterioration with validated measures of sepsis-mediated organ dysfuction. Decribe the assoication between longitudinal changes in HRQL/FS following septic shock with measures of parent, family, and home characteristics and pre-existing comorbidiities. </t>
  </si>
  <si>
    <t>93.865 Child Health and Human Development Extramural Research</t>
  </si>
  <si>
    <t>40742-0083</t>
  </si>
  <si>
    <t>The LISC funding will be used to support GRDC in hiring an Assistant Project Manager to support the full time Project Manager and Real Estate Development Manager in completion of their NSP III project.</t>
  </si>
  <si>
    <t>261482051M2302</t>
  </si>
  <si>
    <t>261482057M2301</t>
  </si>
  <si>
    <t>261482046MS301</t>
  </si>
  <si>
    <t>Hayes Road and Chalmers Street Hayes Street from 8 Mile Road Upgrade signals to box spans, countdown peds, ADA ramps, mid-block c</t>
  </si>
  <si>
    <t>Upgrade signals to box spans, countdown peds, ADA ramps, mid-block cro</t>
  </si>
  <si>
    <t>261482050M2304</t>
  </si>
  <si>
    <t>261482050M0011</t>
  </si>
  <si>
    <t xml:space="preserve">Mack Avenue from Harvard Road to Moross Road, cities of Gros 1.71 miles of hot mix asphalt cold milling, concrete pavement repair,  </t>
  </si>
  <si>
    <t>261482047MS301</t>
  </si>
  <si>
    <t>Wyoming Street from 8 Mile Road to Tireman Street Upgrade signals to box spans, countdown peds, ADA raps, signs, rumble</t>
  </si>
  <si>
    <t>Upgrade signals to box spans, countdown peds, ADA raps, signs, rumble</t>
  </si>
  <si>
    <t>261482053MS301</t>
  </si>
  <si>
    <t>Livernois Ave Bagley at Clifford, Conant at McNichols E, Eve Upgrade signals to box spans, install flashing yellow arrow, countdo</t>
  </si>
  <si>
    <t>Upgrade signals to box spans, install flashing yellow arrow, countdown</t>
  </si>
  <si>
    <t>261482055M3001</t>
  </si>
  <si>
    <t>Woodward Avenue/Manchester St. Corner of Woodward Avenue and Wayne County, in partnership with the Woodward Avenue Action Associa</t>
  </si>
  <si>
    <t>Wayne County, in partnership with the Woodward Avenue Action Associati</t>
  </si>
  <si>
    <t>S377A100023</t>
  </si>
  <si>
    <t>SCHOOL IMPROVEMENT GRANTS</t>
  </si>
  <si>
    <t>84060-111760</t>
  </si>
  <si>
    <t>To provide adequate resources in order to raise substantially the achievement of students in Michigan's lowest-performing schools.</t>
  </si>
  <si>
    <t>84.377 School Improvement Grants</t>
  </si>
  <si>
    <t>82010-111760</t>
  </si>
  <si>
    <t>13132MI060L1603</t>
  </si>
  <si>
    <t>82956-130950</t>
  </si>
  <si>
    <t>82010-130950</t>
  </si>
  <si>
    <t>13132MI053Y8005</t>
  </si>
  <si>
    <t>820000143-130930</t>
  </si>
  <si>
    <t xml:space="preserve">To improve the health of low-income pregnant and breastfeeding women, other new mothers up to one year postpartum, infants, children up to age six, and elderly people at least 60 years of age by supplementing their diets with nutritious USDA foods. </t>
  </si>
  <si>
    <t>82060-130950</t>
  </si>
  <si>
    <t>NA14OAR4170070</t>
  </si>
  <si>
    <t>Michigan Sea Grant Omnibus FY2014-2017</t>
  </si>
  <si>
    <t xml:space="preserve">Provide the technical basis for sustainable open channel design criteria and vegetation management. Advance the use of self-sustaining open channel drainage systems by integrating science with hydraulic engineering. Specifically:  1) Create review guidelines and plan checklists for County staff. Expedite the review process for designs that incorporate best practices to provide incentives. 2) Ensure that the methods used to develop the open channel guidelines are transferrable to other counties. 3) Meet the recommendations of the CountyÂ’s various subwatershed management plans, the Clinton River Remedial Action Plan, the St. Clair River/Lake St. Clair Strategic Implementation Plan, and other related plans. Meet the requirements of Macomb CountyÂ’s phase II stormwater permit. Meet designated uses of receiving waters including fish and aquatic wildlife (eliminate TMDLs).  4) Screen sites for ongoing field work to continue to validate models and assumptions. 5) Promote the use of multi-stage channels to reduce maintenance and environmental impacts. Provide a forum for public outreach and input. 6) Develop an approach that is transferrable to other counties throughout Michigan and beyond. </t>
  </si>
  <si>
    <t>11.417 Sea Grant Support</t>
  </si>
  <si>
    <t>GENI D&amp;P Solicitation 4</t>
  </si>
  <si>
    <t>14303-S14027-BBN</t>
  </si>
  <si>
    <t>This solicitation offers funding for the computing research community to perform GENI`s engineering design, development, prototyping, and integration activities. Projects funded under this solicitation are expected to play a major role in advancing the maturity of GENI as it progresses through its Â“at scaleÂ” deployment phase. Proposers are invited to work with the GENI community to advance program goals.</t>
  </si>
  <si>
    <t xml:space="preserve">The proposed project will summarize the current state of knowledge on the causes and consequences of muck conditions in Saginaw Bay, including the socio-economic aspects, and develop with stakeholder input a series of feasible management actions that can be implemented at the Bay City State Recreation Area to address both near- and long-term strategies. The primary objectives can be grouped into the following four themes: 1. Environmental and Human Health Impacts - Synthesize the available data and research related to the origins of muck and its potential to harbor FIB, and evaluate how it behaves in the system and at the BCSRA. 2. Economic Impacts Â– Conduct economic analyses related to beach visitation and a BCSRA impact survey to understand how recreational values and park management are impacted by muck conditions. 3. Public Perception Â– Develop a better understanding of stakeholder perception of the causes of muck (and associated FIB), agency credibility, and impacts of muck on their well-being in order to inform agency management strategies. 4. Management Solutions Â– Assess previous management actions and identify any new management scenarios to address muck-related issues at the park, and begin to inform what remedial actions are feasible to address the Aesthetics BUI within the AOC Program framework. </t>
  </si>
  <si>
    <t>261482060M2301</t>
  </si>
  <si>
    <t>Livernois Avenue South of John Kronk Street, city of Detroit 0.1 miles of concrete retaining wall removal and replacement, hot mi</t>
  </si>
  <si>
    <t xml:space="preserve">Livernois Avenue South of John Kronk Street, city of Detroit 0.1 miles of concrete retaining wall removal and replacement, hot mix  </t>
  </si>
  <si>
    <t>261482062M2301</t>
  </si>
  <si>
    <t>Wayne Road from Van Born Road to Michigan Avenue (US-12), ci 1.10 miles of hot mix asphalt cold milling, hot mix asphalt resurfac</t>
  </si>
  <si>
    <t>CHARTER COUNTY OF WAYNE</t>
  </si>
  <si>
    <t>WAYNE, COUNTY OF</t>
  </si>
  <si>
    <t xml:space="preserve">1.10 miles of hot mix asphalt cold milling, hot mix asphalt resurfacin Wayne Road from Van Born Road to Michigan Avenue (US-12), ci </t>
  </si>
  <si>
    <t>261482060M2302</t>
  </si>
  <si>
    <t>Livernois Avenue South of John Kronk Street, city of Detroit</t>
  </si>
  <si>
    <t>261482062M2302</t>
  </si>
  <si>
    <t>Wayne Road from Van Born Road to Michigan Avenue (US-12), ci</t>
  </si>
  <si>
    <t>261482058L40E1</t>
  </si>
  <si>
    <t>Countywide Wayne County, Countywide Diesel Replacement: Replace three older diesel utility vehicles with n</t>
  </si>
  <si>
    <t>Countywide Wayne County, Countywide</t>
  </si>
  <si>
    <t>ES230031255A26</t>
  </si>
  <si>
    <t>DETROIT EMPLOYMENT SOLUTIONS CORPORATION</t>
  </si>
  <si>
    <t>440 E CONGRESS STE 400</t>
  </si>
  <si>
    <t>17.273 Temporary Labor Certification for Foreign Workers; 17.225 Unemployment Insurance</t>
  </si>
  <si>
    <t>R34DK102091</t>
  </si>
  <si>
    <t>Translating Home-Based Interventions for Adolescents with Poorly Controlled T1D</t>
  </si>
  <si>
    <t>WSU14049</t>
  </si>
  <si>
    <t>CHASS will assist in the intervention adaptation by providing feedback regarding modules and content, assist in the development and implementation of focus groups, deliver and Community Health Work (CHW) training as appropriate, deliver Fit Families (FF) intervention to adolescents with type 1 diabetes and chronically poor metabolic control, and complete all paperwork related to the intervention delivery.</t>
  </si>
  <si>
    <t>93.847 Diabetes, Digestive, and Kidney Diseases Extramural Research</t>
  </si>
  <si>
    <t>S377A110023</t>
  </si>
  <si>
    <t>82010-121760</t>
  </si>
  <si>
    <t>82943-121760</t>
  </si>
  <si>
    <t>84060-121760</t>
  </si>
  <si>
    <t>U58DP004720</t>
  </si>
  <si>
    <t>UCLA HEALTHY-BY-DEFAULT (HBD) REACH PROJECT</t>
  </si>
  <si>
    <t>1916 G RA292</t>
  </si>
  <si>
    <t>Henry Ford Health System will work as a partner in the UCLA Healthy-by-Default REACH Project in order to increase healthy food choices and physical activity levels among the African American population that experience a disproportionate burden of obesity in Detroit.</t>
  </si>
  <si>
    <t>93.738 PPHF 2012: Racial and Ethnic Approaches to Community Health Program financed solely by 2012 Public Prevention and Health Funds ; 93.304 Racial and Ethnic Approaches to Community Health</t>
  </si>
  <si>
    <t>46007-0001</t>
  </si>
  <si>
    <t>Salary &amp; Fringe (Program Manager &amp; Community Relations Specialist):  The Program Manager will be responsible for monitoring the implementation and assessment of safety activities.  The Community Relations Specialist will be responsible for supporting and fostering the effective working relationships with the strategy based partners, in addition to holding weekly block club meetings.</t>
  </si>
  <si>
    <t>ENVIRONMENTAL PROTECTION AGENCY</t>
  </si>
  <si>
    <t>The Michigan Diesel Emissions Reduction Project is focused on decreasing diesel emissions through the retrofit of various diesel vehicles including e</t>
  </si>
  <si>
    <t>SOUTHWEST DETROIT ENVIRONMENTAL VISION PROJECT</t>
  </si>
  <si>
    <t>SDEV</t>
  </si>
  <si>
    <t>2555 CLARK ST</t>
  </si>
  <si>
    <t>430273-13</t>
  </si>
  <si>
    <t>State Clean Diesel Program</t>
  </si>
  <si>
    <t>66.040 State Clean Diesel Grant Program</t>
  </si>
  <si>
    <t>U10EY023533</t>
  </si>
  <si>
    <t>SCORE2 COMPARATIVE TRIAL (SCT)</t>
  </si>
  <si>
    <t>HFH EY023533</t>
  </si>
  <si>
    <t>Clinical subaward site for SCORE2 Comparative Trial</t>
  </si>
  <si>
    <t>93.867 Vision Research</t>
  </si>
  <si>
    <t>MI34000300</t>
  </si>
  <si>
    <t>2013  5339 for Bus/Equip/Facilities</t>
  </si>
  <si>
    <t>12-0170/P14</t>
  </si>
  <si>
    <t>One  &lt;30 ft replacement bus with lift</t>
  </si>
  <si>
    <t>20.526 Bus and Bus Facilities Formula Program</t>
  </si>
  <si>
    <t>B11MC260006</t>
  </si>
  <si>
    <t>SELF HELP ADDICTION REHABILITATION</t>
  </si>
  <si>
    <t>SHAR HOUSE</t>
  </si>
  <si>
    <t>1852 W GRAND BLVD</t>
  </si>
  <si>
    <t>Homeless public service to provide supportive services.</t>
  </si>
  <si>
    <t>DTRT13GUTC60</t>
  </si>
  <si>
    <t>8090-WSU-1</t>
  </si>
  <si>
    <t xml:space="preserve">1 Review both published and unpublished literature pertaining to research studies focused on pedestrian and bicycle safety.  The review will specifically focus on the analytical methods used to assess pedestrian and bicycle safety, as well as the field data collection methodologies that have been employed for the purposes of such research.  Relevant documents, including research reports, journal  articles, and manuals will be identified through a search Transport Research International Documentation (TRID) bibliographical  database and other search engines. 2.As a part of the large-scale collaborative effort between WMU, TSU, and WSU, roadway segments, intersections and corridors will be identified and selected for use in the development of pedestrian and bicycle SPFs. The WSU research team will select a subset of the identified Michigan locations for further analysis as part of field behavioral studies.  The purpose of these studies will be to identify differences in driver, bicyclist, and pedestrian behavior between locations with varying site characteristics.   Sites will be identified to ensure balance among relevant characteristics.  3.After the candidate sites have been identified, full site inventory data will be obtained, including (but not limited to): lane width, number of lanes, median presence, two-way-left-turn lane presence, on-street parking presence, presence of sidewalks, and presence of on-street bicycle facilities.  At each of the selected locations, the WSU team proposes to collect up to 4 hours of high-definition video data.  The team will seek to collect data during periods that will provide a range of traffic volumes within each site to allow for within-site assessment of the operational and behavioral impacts.  Since low pedestrian or bicyclist volumes are anticipated at several locations, staged bicyclist ride-throughs and pedestrian crossing events will be utilized as necessary during data collection.  The staged events will follow the protocols established in prior research for consistency and safety purposes.  One or more elevated high definition video cameras will be temporarily installed at each study location to covertly record interactions between drivers, bicyclists, and pedestrians.  The data will be extracted through a manual review of the videos according to procedures developed previously by the WSU research team. 4.After completion of the field data collection, trained project staff will review the video data. During the video review, the data collectors will collect summary data to describe the behaviors of all road users (i.e., drivers, pedestrians, and bicyclists).  The characteristics of interest will include: the lateral positioning and speed of motor vehicles when approaching pedestrians or bicyclists; the lateral positioning of bicyclists before and during overtaking events; compliance of pedestrians with marked crosswalks and traffic control devices; and other behaviors of concern (e.g., use of cell phones by pedestrians). 5. The data will be analyzed once the data have been extracted from the videos and appropriately formatted.  Appropriate statistical analysis techniques will be selected to examine differences in driver, pedestrian, and bicyclist behaviors based upon site characteristics (e.g., volume, geometry, etc.).  Initial analyses will likely include traditional regression techniques (e.g., linear regression, logistic regression, etc.) will be utilized to control for the effects of these characteristics.  Given the potential correlation between some of the behavioral measures, advanced statistical techniques may be necessary.  The surrogate data will also be prepared for integration with the SPF development to examine how the effects of certain geometric and traffic control features may similarly (or differently) affect specific safety measures.    </t>
  </si>
  <si>
    <t>B13MC170006</t>
  </si>
  <si>
    <t>CDBG-Youth Services</t>
  </si>
  <si>
    <t>14142MI053Y8005</t>
  </si>
  <si>
    <t>820000143-140930</t>
  </si>
  <si>
    <t>500 GRISWOLD 31ST FL</t>
  </si>
  <si>
    <t>820001030-140990</t>
  </si>
  <si>
    <t>MI0360L5F011202</t>
  </si>
  <si>
    <t>CONTINUUM OF CARE PROGRAM</t>
  </si>
  <si>
    <t>Shelter Plus Care - Southwest Counseling Solutions - Chronically Homeless</t>
  </si>
  <si>
    <t>14.267 Continuum of Care Program</t>
  </si>
  <si>
    <t>UNIVERSITY PHYSICIAN GROUP</t>
  </si>
  <si>
    <t>WAYNE STATE UNIVERSITY PHYSCIAN GROUP</t>
  </si>
  <si>
    <t>550 E CANFIELD ST RM 324</t>
  </si>
  <si>
    <t>HIV SERVICE: INCLUDING MENTAL HEALTH SERVICES</t>
  </si>
  <si>
    <t>MICHIGAN COMPREHENSIVE SERVICE NETWORK</t>
  </si>
  <si>
    <t>CLARENCE WILLIAMS</t>
  </si>
  <si>
    <t>19373 MURRAY HILL</t>
  </si>
  <si>
    <t>HIV SERVICES INCLUDING: EARLY INTERVENTION SERVICES</t>
  </si>
  <si>
    <t>1301MIFPSS</t>
  </si>
  <si>
    <t>2013 PSSF</t>
  </si>
  <si>
    <t>FTBS13-73001 2</t>
  </si>
  <si>
    <t>SF/SC Svc Fam Pres.</t>
  </si>
  <si>
    <t>93.556 Promoting Safe and Stable Families</t>
  </si>
  <si>
    <t>TA226631255A26</t>
  </si>
  <si>
    <t>Trade Adjustment Assistance</t>
  </si>
  <si>
    <t>58107 51160</t>
  </si>
  <si>
    <t>Trade 2009/2011</t>
  </si>
  <si>
    <t>17.245 Trade Adjustment Assistance</t>
  </si>
  <si>
    <t>58107 51138</t>
  </si>
  <si>
    <t>Trade Reversion 2014</t>
  </si>
  <si>
    <t>58107 51044</t>
  </si>
  <si>
    <t>TRADE 2002</t>
  </si>
  <si>
    <t>58107 51144</t>
  </si>
  <si>
    <t>MWA Case Management</t>
  </si>
  <si>
    <t>42 W WARREN AVE</t>
  </si>
  <si>
    <t>V048A140022</t>
  </si>
  <si>
    <t>820004408-153260</t>
  </si>
  <si>
    <t>82010-153520</t>
  </si>
  <si>
    <t>The project goals/statement of work have not changed from original proposal submittal. This subcontract to the Rehabilitation Institute of Michigan allows for the involvement of Dr. Colette Duggan and associated research staff at that location.  Dr. Dugga</t>
  </si>
  <si>
    <t>DP3DK101074</t>
  </si>
  <si>
    <t>HEARING IMPAIRMENT IN LONG-TERM TYPE 1 DIABETES</t>
  </si>
  <si>
    <t>RES508605</t>
  </si>
  <si>
    <t xml:space="preserve"> The primary mission of the DCCT/EDIC study is to determine the effects of glycemic control and of non- hyperglycemic risk factors on the complications of type 1 diabetes. Persons with type 1 diabetes may have a greater prevalence of hearing loss than comparable non-diabetic individuals. Whether hearing loss is altered by the degree of present or past glucose control or the presence of other diabetes complications is unknown. The DCCT/EDIC cohort provides an excellent opportunity to characterize hearing impairment in type 1 diabetes owing to its long term follow-up of the cohort (30 years). We propose to utilize both a hearing questionnaire and pure tone audiometry testing to define the auditory capability of the entire DCCT/EDIC cohort, to be compared with the results of like assessments in a comparable group of approximately 260 individuals without diabetes, We anticipate that at least 1,100 of the 1,350 surviving EDIC volunteers will volunteer. A hearing questionnaire will be administered by each clinic. Standardized pure tone audiometry testing will be done by each clinic. The primary outcome is the prevalence of hearing impairment based on a mean of the pure tone average of thresholds at 500, 1000, 2000, and 4000 Hz. Hearing impairment will be defined as a pure tone average greater than 25 dB. The Specific Aims of this proposal are: 1) To determine whether hearing impairment, based on both self-administered questionnaire and measurement of air conduction pure tone thresholds at various frequencies, is more prevalent in the DCCT/EDIC cohort than in a control group without diabetes; 2) To assess the association of hyperglycemia, as measured by the mean A1C over ~30 years of the DCCT/EDIC study, with the prevalence and extent of hearing impairment; 3) To determine whether the prevalence and extent of hearing impairment differs between the prior DCCT intensive treatment group versus the conventional treatment groups; and 4) To evaluate whether other determinants (e.g., demographic, clinical status, biochemical parameters, behavioral characteristics, and environmental) are related to the prevalence and extent of hearing impairment in the DCCT/EDIC cohort. The above protocol will have greater than 90% power to detect a two-fold difference in the odds of having a hearing loss between the controls and the DCCT/EDIC volunteers. The results will establish the hearing capabilities of individuals with type 1 diabetes compared to non diabetic controls, the impact of glycemic control, the presence of other diabetic complications on hearing, and the identification of hearing impairment risk factors (demographic, clinical, biochemical, behavioral, and environmental). We anticipate that these data will lead to audiological screening and testing recommendations that will have a major quality of life health benefit for all individuals with type 1 diabetes.</t>
  </si>
  <si>
    <t>14142MI053S2202</t>
  </si>
  <si>
    <t>820001030-1409E0</t>
  </si>
  <si>
    <t>S366B130023</t>
  </si>
  <si>
    <t>MATHEMATICS AND SCIENCE PARTNERSHIPS</t>
  </si>
  <si>
    <t>820004408-142410</t>
  </si>
  <si>
    <t>To improve the academic achievement of students in mathematics and science.</t>
  </si>
  <si>
    <t>84.366 Mathematics and Science Partnerships</t>
  </si>
  <si>
    <t>82SF06000-153510</t>
  </si>
  <si>
    <t>S367B130019</t>
  </si>
  <si>
    <t>820004408-140290</t>
  </si>
  <si>
    <t>H181A130155</t>
  </si>
  <si>
    <t>INFANTS AND TODDLERS WITH DISABILITIES</t>
  </si>
  <si>
    <t>820004408-141320</t>
  </si>
  <si>
    <t>To implement and maintain a Statewide, comprehensive, coordinated, multidisciplinary, interagency system to make available early intervention services to infants and toddlers with disabilities and their families.</t>
  </si>
  <si>
    <t>84.181 Special Education-Grants for Infants and Families</t>
  </si>
  <si>
    <t>U01AI108509</t>
  </si>
  <si>
    <t>Randomized Controlled Trial of Treatment of Male Partners of Women with BV</t>
  </si>
  <si>
    <t>000504111-002</t>
  </si>
  <si>
    <t>Wayne State University under the direction of Dr. Jack Sobel shall serve as a clinical site for this study. This shall include screening, enrolling, and following subjects in the study and conducting the study in adherence with the study protocol. Wayne State will be sending data and study specimens to UAB.</t>
  </si>
  <si>
    <t>15152MI060N1099</t>
  </si>
  <si>
    <t>820000090-151920</t>
  </si>
  <si>
    <t>15AAMIT3HD</t>
  </si>
  <si>
    <t>2015 Title III - Home-Delivered Meals</t>
  </si>
  <si>
    <t>15AAMIT3SS</t>
  </si>
  <si>
    <t>2015 Title III - Supportive Services</t>
  </si>
  <si>
    <t>93.044 Special Programs for the Aging_Title III, Part B_Grants for Supportive Services and Senior Centers</t>
  </si>
  <si>
    <t>15AAMIT7OM</t>
  </si>
  <si>
    <t>2015 TItle VII - Ombudsman</t>
  </si>
  <si>
    <t>U10CA180888</t>
  </si>
  <si>
    <t>SWOG Network Group Operations Center of the NCTN</t>
  </si>
  <si>
    <t>9009627_WayneSU_Yoo</t>
  </si>
  <si>
    <t>NCI national clinical trials network- Network group operations Centers</t>
  </si>
  <si>
    <t>UM1CA186689</t>
  </si>
  <si>
    <t>ViKTriY Early Clinical Trials Consortium (ECTC)</t>
  </si>
  <si>
    <t>M15A11943</t>
  </si>
  <si>
    <t>It will be expected that Wayne State University participation will include: 1) Recruit a minimum of 15 patients/year to UM-1 clinical trials 2) Write 3-4 LOis/Project Team Applications (LOI/PTA) yearly of which 1 will be approved and led by a Principal Protocol Investigator at Wayne State University 3) Attend 85% of weekly teleconferences</t>
  </si>
  <si>
    <t>15AAMIT7EA</t>
  </si>
  <si>
    <t>2015 TITLEVII - Elder Abuse Prevention</t>
  </si>
  <si>
    <t>93.041 Special Programs for the Aging_Title VII, Chapter 3_Programs for Prevention of Elder Abuse, Neglect, and Exploitation</t>
  </si>
  <si>
    <t>MI0059L5F011205</t>
  </si>
  <si>
    <t>882 OAKMAN BLVD STE C</t>
  </si>
  <si>
    <t>14AAMIT3SS</t>
  </si>
  <si>
    <t>2014 Title III - Supportive Services</t>
  </si>
  <si>
    <t>AD241561355A26</t>
  </si>
  <si>
    <t>14AAMIT7EA</t>
  </si>
  <si>
    <t>2014 TITLEVII - Elder Abuse Prevention</t>
  </si>
  <si>
    <t>15AAMIT3PH</t>
  </si>
  <si>
    <t>2015 Title III - Preventive Health</t>
  </si>
  <si>
    <t>93.043 Special Programs for the Aging_Title III, Part D_Disease Prevention and Health Promotion Services</t>
  </si>
  <si>
    <t>SM01002613</t>
  </si>
  <si>
    <t>DETROIT WAYNE MENTAL HEALTH AUTHORITY</t>
  </si>
  <si>
    <t>640 TEMPLE ST FL 8</t>
  </si>
  <si>
    <t>B13CBNY0001</t>
  </si>
  <si>
    <t>43462-0030</t>
  </si>
  <si>
    <t xml:space="preserve">Purpose of the Grant:  1.)	Provide a clear description of the overall purpose of this Grant, including a brief project summary and key outcomes.   Detroit LISC Building Sustainable Communities (BSC) are now entering their third year of implementation.  The Convening Agencies (CA) have completed budgets for prioritized items in the neighborhoodÂ’s Quality of Life Plan (QOL) and are in the process of completing year 3 action items. The CAs along with community partners are currently looking for funding sources to leverage current and future investments made by LISC.    The BSC model consists of a strong CA, engaged resident leaders, a QOL plan, and committed community agency partners able to attract new funding, elicit cooperation of city-wide institutions, and sustain high levels of program performance.  Urban Neighborhood Initiatives (UNI) is the LISC CA for the Springwells Village neighborhood whose commitments/ responsibilities include, but are not limited to, the following: Â•	Meet the following objectives/ goals for physical development through the interaction with partners:  o	Commercial Development - 1 to 2 projects with minimum of 10,000 s.f., minimum of 5 new or expanded businesses, report on new commercial square footage, new businesses attracted and or existing businesses expanded. o	Place Making Â– 1 to 2 projects o	Real Estate or Small Business Â– Gather information regarding small business needs to promote/ improve the commercial corridor in the BSC neighborhood o	QOL Convening Agency Roles Â– Report on total development costs (i.e. leverage) Â•	Develop QOL plan budget organized by the planÂ’s prioritized action items. Â•	Convene quarterly Steering Committee meetings with lead partners to check the status of implementation efforts and submit quarterly narrative reports highlighting progress and challenges in implementation. Â•	Convene QOL Taskforces (or Workgroups) comprised of community partners that meet at least by-monthly with the BSC Manager to implement the plan and report on progress.  All meeting minutes should be provided to LISC. Â•	The BSC Manager will be responsible for all convening work and will submit monthly reports on the progress of the implementation of the QOL plan to LISC. Â•	Participate in data collection and attend meetings as needed for evaluation of the BSC program. </t>
  </si>
  <si>
    <t>H027A130144</t>
  </si>
  <si>
    <t>STATE GRANTS</t>
  </si>
  <si>
    <t>84060-140480</t>
  </si>
  <si>
    <t>To provide special education and related services to all children with disabilities.</t>
  </si>
  <si>
    <t>84.027 Special Education_Grants to States</t>
  </si>
  <si>
    <t>Core_plus_Option_A_B_Proposal for Influenza Vaccine Effectiveness Research</t>
  </si>
  <si>
    <t>Subcontractor activities will support the CDC-funded US FLU NETWORK's annual estimation of influenza vaccine effectiveness in reducing risk of medically-attended laboratory-confirmed influenza.</t>
  </si>
  <si>
    <t>2013KFAX0027</t>
  </si>
  <si>
    <t>Michigan's 2013 SASP Project</t>
  </si>
  <si>
    <t>SASPU14-82002</t>
  </si>
  <si>
    <t>SEXUAL ASSAULT SERVICES PROGRAM</t>
  </si>
  <si>
    <t>2013JBFX0051</t>
  </si>
  <si>
    <t>2 WOODWARD AVE STE 1126</t>
  </si>
  <si>
    <t>JAIBG12-82007</t>
  </si>
  <si>
    <t>100% MATCH</t>
  </si>
  <si>
    <t>JAIBG12-82001</t>
  </si>
  <si>
    <t>2012PBFXK002</t>
  </si>
  <si>
    <t>Detroit Community-based Violence Prevention Grant</t>
  </si>
  <si>
    <t>CITY CONNECT DETROIT</t>
  </si>
  <si>
    <t>613 ABBOTT ST FL 1ST</t>
  </si>
  <si>
    <t>CCD2012</t>
  </si>
  <si>
    <t>Staff Managementa and Community Engagement</t>
  </si>
  <si>
    <t>16.123 Community-Based Violence Prevention Program</t>
  </si>
  <si>
    <t>2013CKWXK032</t>
  </si>
  <si>
    <t>CPD-MG</t>
  </si>
  <si>
    <t>WSU2013</t>
  </si>
  <si>
    <t>Recruit bike watch volunteers, and assist Police Officers.</t>
  </si>
  <si>
    <t>16.710 Public Safety Partnership and Community Policing Grants</t>
  </si>
  <si>
    <t>CHILDREN'S AID SOCIETY</t>
  </si>
  <si>
    <t>7700 SECOND AVE</t>
  </si>
  <si>
    <t>CAS2012</t>
  </si>
  <si>
    <t>Data and Case Management</t>
  </si>
  <si>
    <t>U58DP003798</t>
  </si>
  <si>
    <t>Enhancing Breast Cancer Genomic Practices through Education, Surveillance, and Po</t>
  </si>
  <si>
    <t>Genetics Services and Cancer Genomics</t>
  </si>
  <si>
    <t>The Diesel Emissions Act of 2010 authorizes the United States Environmental Protection Agency (EPA) to support grant and loan programs designed to ac</t>
  </si>
  <si>
    <t>NEXTENERGY CENTER</t>
  </si>
  <si>
    <t>461 BURROUGHS</t>
  </si>
  <si>
    <t>NextEnergy coordinated all DWSD replacement projects, including administrative support for the Program Manager, Contracts Specialist and Financial Controller. NextEnergy assisted SDEV and the partners with planning and coordination of project meetings and events and host select activities at NextEnergy's facility in Detroit, as well as provide audio and web conferencing services, when necessary. The financial award supported travel expenses for NextEnergy's DWSD site visits and other collaborative events, NEC overhead, office supplies, and other indirect costs for working on the project.</t>
  </si>
  <si>
    <t>66.039 National Clean Diesel Emissions Reduction Program</t>
  </si>
  <si>
    <t>U01HD049934</t>
  </si>
  <si>
    <t>Data Coordinating Center for the Collaborative Pediatric Critical Care</t>
  </si>
  <si>
    <t>Accounts Receivable</t>
  </si>
  <si>
    <t>CPCCRN-DCC PROTOCOLS</t>
  </si>
  <si>
    <t>KARMANOS CANCER CENTER</t>
  </si>
  <si>
    <t>4100 JOHN R</t>
  </si>
  <si>
    <t>1402ILTANF</t>
  </si>
  <si>
    <t>SERCO, INC.</t>
  </si>
  <si>
    <t>9301 MICHIGAN AVENUE</t>
  </si>
  <si>
    <t>FCSTG03528</t>
  </si>
  <si>
    <t>TANF Work First</t>
  </si>
  <si>
    <t>STTMP131098</t>
  </si>
  <si>
    <t>Building Organization Capacity to Adopt Enhanced CLAS</t>
  </si>
  <si>
    <t>Health Disparities Reduction / Minority Health</t>
  </si>
  <si>
    <t>SP1AH000029</t>
  </si>
  <si>
    <t>Support for Expectant and Parenting Teens, Women, Fathers and Their Families</t>
  </si>
  <si>
    <t>CATHERINE FERGUSON ACADEMY</t>
  </si>
  <si>
    <t>2750 SELDEN ST</t>
  </si>
  <si>
    <t>Support for Expectant &amp; Parenting Teens</t>
  </si>
  <si>
    <t>93.500 Pregnancy Assistance Fund Program</t>
  </si>
  <si>
    <t>40742-0086</t>
  </si>
  <si>
    <t xml:space="preserve">Purpose of the Grant:  1.)	Provide a clear description of the overall purpose of this Grant, including a brief project summary and key outcomes.   Detroit LISC Building Sustainable Communities (BSC) are now entering their third year of implementation.  The Convening Agencies (CA) have completed budgets for prioritized action items in the Quality of Life (QoL) plan and are in the process of completing year three action items.  The CAs along with community partners are currently looking for funding sources to leverage current and future investments made by LISC.    The BSC model consists of a strong CA, engaged resident leaders, a QoL Plan, and committed community agency partners able to attract new funding, elicit cooperation of city-wide institutions, and sustain high levels of program performance.    GRDCÂ’s commitment/responsibilities include, but is not limited to, the following:  Â•	Meet the following objectives/goals for physical development: &amp;#61656;	Commercial Development - 1-2 commercial development projects with a minimum of 3,000 sf per grant year &amp;#61656;	Support the of the commercial corridor(s) with a minimum of 5 new or expanded businesses per grant year &amp;#61656;	Single Family Homes - Complete a minimum of 10 units of single-family rehabs at a cost of $10,000 or more per unit per grant year &amp;#61656;	Placemaking - A minimum of 1-2 Placemaking projects per grant year &amp;#61656;	Address Blight Elimination with the maintaining of a minimum of 20 units/lots per grant year &amp;#61656;	Real Estate and Small Business Lending Â– Gather information regarding small business needs to promote the commercial corridor in the BSC neighborhood &amp;#61656;	QoL Convening Agency Roles - Convening Agency will report to LISC on total development costs and leverage within the BSC boundaries per grant year  Â•	Develop QoL Plan budget organized by the PlanÂ’s Priorities and Action Items. Â•	Convene quarterly Steering Committee meetings with lead partners to check status of implementation efforts and submit quarterly narrative reports highlighting progress and challenges in implementation. Â•	Convene QOL Taskforces (or Workgroups) comprised of community partners that meet at least bi-monthly with the BSC Manager to implement the plan and report on progress. All meeting minutes should be provided to LISC.  Â•	The BSC Manager will be responsible for all convening work and will submit monthly reports on the progress of the implementation of the QoL Plan to LISC.  In addition the BSC Manager should submit the following supporting documentation; Steering Committee and Task Force meeting minutes, meeting notices, community calendar updates, staff changes and any challenges with partner organization or entities. Â•	Participate in data collection and attend meetings as needed for evaluation of the BSC program.    2.)	Describe the specific uses of Grant funds.  LISC funds will be used to provide full support for the BSC ManagerÂ’s salary and fringe and partial support for the Communications/Portal Manager, Deputy Director, Executive Director, and Farmers Market/Vacant Property Assistant salary and fringe. </t>
  </si>
  <si>
    <t>H18MC00025</t>
  </si>
  <si>
    <t>MICHIGAN STATE SYSTEMS DEVELOPMENT INITIATIVE</t>
  </si>
  <si>
    <t>Michigan State Systems Development Initiative</t>
  </si>
  <si>
    <t>HEALTH DEPARTMENT</t>
  </si>
  <si>
    <t>WASHTENAW, COUNTY OF</t>
  </si>
  <si>
    <t>H61MC00056</t>
  </si>
  <si>
    <t>UNIVERSAL NEWBORN HEARING SCREENING</t>
  </si>
  <si>
    <t>Wayne Children Healthcare Access Program</t>
  </si>
  <si>
    <t>17567 HUBBELL ST</t>
  </si>
  <si>
    <t>Early Hearing Detection Intervention - 2014</t>
  </si>
  <si>
    <t>93.251 Universal Newborn Hearing Screening</t>
  </si>
  <si>
    <t>E13UC260003</t>
  </si>
  <si>
    <t>E13UC26003</t>
  </si>
  <si>
    <t>ESG</t>
  </si>
  <si>
    <t>M14DC260213</t>
  </si>
  <si>
    <t>National Faith Homebuyers</t>
  </si>
  <si>
    <t>601 W FORT ST STE 440</t>
  </si>
  <si>
    <t>Home Program</t>
  </si>
  <si>
    <t>AD255051455A26</t>
  </si>
  <si>
    <t>2012NYFX0027</t>
  </si>
  <si>
    <t>Detroit Youth Violence Prevention Capacity-Building Project</t>
  </si>
  <si>
    <t>CCD2012B</t>
  </si>
  <si>
    <t>Assist with reporting and evalution of programs and the purchase of technology tools.</t>
  </si>
  <si>
    <t>16.541 Part E - Developing, Testing and Demonstrating Promising New Programs; 16.819 National Forum on Youth Violence Prevention</t>
  </si>
  <si>
    <t>HABITAT FOR HUMANITY DETROIT</t>
  </si>
  <si>
    <t>14325 JANE ST</t>
  </si>
  <si>
    <t>14AAMIT3PH</t>
  </si>
  <si>
    <t>2014 Title III - Preventive Health</t>
  </si>
  <si>
    <t>14AAMINSIP</t>
  </si>
  <si>
    <t>2014 NSIP - (State) Nutrition Services Incentive Program</t>
  </si>
  <si>
    <t>14AAMIT3CM</t>
  </si>
  <si>
    <t>2014 Title III - Congregate Meals</t>
  </si>
  <si>
    <t>14AAMIT3HD</t>
  </si>
  <si>
    <t>2014 Title III - Home-Delivered Meals</t>
  </si>
  <si>
    <t>90DR0043</t>
  </si>
  <si>
    <t>NWD/ADRC Sustainability Project</t>
  </si>
  <si>
    <t>Michigan ADRC Project</t>
  </si>
  <si>
    <t>93.048 Special Programs for the Aging_Title IV_and Title II_Discretionary Projects</t>
  </si>
  <si>
    <t>R01GM108962</t>
  </si>
  <si>
    <t>Functional characterization of an insulin-like peptide network that regulates lea</t>
  </si>
  <si>
    <t>133233-5068504</t>
  </si>
  <si>
    <t>Role on project: Consortium PI on WSU Subcontract  In the proposed study, I will serve in the role indicated above for 20% of my time in years one through four. In this capacity, I will be supervising the research personnel and activities of the project at Wayne State University. I will assist in training the personnel, where needed, and in the data collection and analyses for successful completion of the project. My lab and I will work closely with the Zhang and Lu labs in strain construction (Aim 1) and characterizing the effects of the dauer program on the activities of the ILP learning network (Aim 2). This will include imaging the changes within the network in response to conditions that induce dauer entry and exit.  I will be responsible in overseeing the WSU budget for disbursement of personnel salaries and the purchase of reagents as needed for the study. As an Assistant Professor in Biology, my other assignments involve (1) teaching two courses, distributed throughout one academic year, and (2) conducting another research study into the role of sensory and neuropeptide signaling on C. elegans lifespan and physiology in response to food quality. Indirect costs associated with this WSU subcontract will accrue to the university and my own individual research account.</t>
  </si>
  <si>
    <t>93.859 Biomedical Research and Research Training</t>
  </si>
  <si>
    <t>261582006M2302</t>
  </si>
  <si>
    <t>Second Street from Glenwood Road to Ash Street; Second Stree 0.62 mile of concrete integral pavement reconstruction including agg</t>
  </si>
  <si>
    <t>Dist 15 Maintenance Yard</t>
  </si>
  <si>
    <t>1326 SAINT ANTOINE ST</t>
  </si>
  <si>
    <t>0.62 mile of concrete integral pavement reconstruction including aggre</t>
  </si>
  <si>
    <t>HEALTH DEPT</t>
  </si>
  <si>
    <t>BERRIEN, COUNTY OF</t>
  </si>
  <si>
    <t>14AAMIT3FC</t>
  </si>
  <si>
    <t>2014 Title III - Family Caregivers</t>
  </si>
  <si>
    <t>93.052 National Family Caregiver Support, Title III, Part E</t>
  </si>
  <si>
    <t>261582007M2302</t>
  </si>
  <si>
    <t>Sheldon Road from Van Born Road to Yost Road, Wayne County 0.33 mile of hot mix asphalt reconstruction, drainage improvements, si</t>
  </si>
  <si>
    <t xml:space="preserve">0.33 mile of hot mix asphalt reconstruction, drainage improvements, si </t>
  </si>
  <si>
    <t>14AAMIT7OM</t>
  </si>
  <si>
    <t>2014 TItle VII - Ombudsman</t>
  </si>
  <si>
    <t>15AAMIT3CM</t>
  </si>
  <si>
    <t>2015 Title III - Congregate Meals</t>
  </si>
  <si>
    <t>261582007M2303</t>
  </si>
  <si>
    <t>0.33 mile of hot mix asphalt reconstruction, drainage improvements, si</t>
  </si>
  <si>
    <t>261582006M2303</t>
  </si>
  <si>
    <t>15AAMIT3FC</t>
  </si>
  <si>
    <t>2015 Title III - Family Caregivers</t>
  </si>
  <si>
    <t>84060-140450</t>
  </si>
  <si>
    <t>MPHI</t>
  </si>
  <si>
    <t>3031 W GRAND BLVD STE 450</t>
  </si>
  <si>
    <t>84060-140490</t>
  </si>
  <si>
    <t>No change</t>
  </si>
  <si>
    <t>2012JFFX0036</t>
  </si>
  <si>
    <t>Formula Grant Title II</t>
  </si>
  <si>
    <t>JJ15-82001</t>
  </si>
  <si>
    <t>Juvenile Justice</t>
  </si>
  <si>
    <t>16.540 Juvenile Justice and Delinquency Prevention_Allocation to States</t>
  </si>
  <si>
    <t>CRN4: Cancer Research Resources &amp; Collaboration in Integrated Health Care Systems</t>
  </si>
  <si>
    <t>Cancer Research Network Project</t>
  </si>
  <si>
    <t>MISG Minibus FY 2014/2015</t>
  </si>
  <si>
    <t>Provide the technical basis for sustainable open channel design criteria and vegetation management. Advance the use of self-sustaining open channel drainage systems by integrating science with hydraulic engineering. Specifically:  1) Create review guideli</t>
  </si>
  <si>
    <t>326SBGP0772011</t>
  </si>
  <si>
    <t>FEDERAL AVIATION ADMINISTRATION</t>
  </si>
  <si>
    <t>Improve Existing Airport</t>
  </si>
  <si>
    <t>11201 CONNER ST</t>
  </si>
  <si>
    <t>D2600273508</t>
  </si>
  <si>
    <t>Coleman A Young Municipal Arpt Coleman A. Young Municipal Ai Reconfigure taxiway connectors at Runway 25 End.  Contract #FM 82-02-C</t>
  </si>
  <si>
    <t>20.106 Airport Improvement Program</t>
  </si>
  <si>
    <t>FPHPA050173</t>
  </si>
  <si>
    <t>TITLE X FAMILY PLANNING SERVICES</t>
  </si>
  <si>
    <t>Family Planning Project</t>
  </si>
  <si>
    <t>93.217 Family Planning_Services</t>
  </si>
  <si>
    <t>ES226941255A26</t>
  </si>
  <si>
    <t>58107 51053</t>
  </si>
  <si>
    <t>WAGNER PEYSER 7(A)</t>
  </si>
  <si>
    <t>17.207 Employment Service/Wagner-Peyser Funded Activities; 17.271 Work Opportunity Tax Credit Program (WOTC)</t>
  </si>
  <si>
    <t>261482111M2301</t>
  </si>
  <si>
    <t>Huron River Drive from Sumpter Road to Martinsville Road, ci 1.10 miles of hot mix asphalt cold milling, hot mix asphalt resurfac</t>
  </si>
  <si>
    <t xml:space="preserve">1.10 miles of hot mix asphalt cold milling, hot mix asphalt resurfacin Huron River Drive from Sumpter Road to Martinsville Road, ci </t>
  </si>
  <si>
    <t>261482114M2303</t>
  </si>
  <si>
    <t>Allen Road; from North Line Road to 600 feet Nort 1.09 miles of hot mixed asphalt road resurfacing, including, cold mill</t>
  </si>
  <si>
    <t>1.09 miles of hot mixed asphalt road resurfacing, including, cold mill</t>
  </si>
  <si>
    <t>261482114M2302</t>
  </si>
  <si>
    <t>261482111M2302</t>
  </si>
  <si>
    <t>1.10 miles of hot mix asphalt cold milling, hot mix asphalt resurfacin</t>
  </si>
  <si>
    <t>A Controlled Clinical Trial of Regadenoson in Sickle Cell Anemia</t>
  </si>
  <si>
    <t>PO776637</t>
  </si>
  <si>
    <t>Human MAIT celis in airway mucosal immune responses to intracellular infections</t>
  </si>
  <si>
    <t>9006862_WSU_C1_AMND1</t>
  </si>
  <si>
    <t>Regulation of Maternal-Fetal Mucosal Immunity by HEXIM1 and Extrathymic AIRE</t>
  </si>
  <si>
    <t>261482109M3012</t>
  </si>
  <si>
    <t>Jefferson Avenue Jefferson Avenue, Lakewood Avenue to Alter The City of Detroit in coordination with the Jefferson East Business</t>
  </si>
  <si>
    <t xml:space="preserve">The City of Detroit in coordination with the Jefferson East Business A Jefferson Avenue Jefferson Avenue, Lakewood Avenue to Alter  </t>
  </si>
  <si>
    <t>14132MI060L1603</t>
  </si>
  <si>
    <t>82929-140950</t>
  </si>
  <si>
    <t>82060-140950</t>
  </si>
  <si>
    <t xml:space="preserve">"To assist schools in providing free fresh fruits and vegetables to elementary school children.  " </t>
  </si>
  <si>
    <t>261482122M2301</t>
  </si>
  <si>
    <t>Woodward Ave Woodward Avenue from north or Larned to south o 0.48 miles of concrete reconstruction and hot mixed asphalt resurfac</t>
  </si>
  <si>
    <t>0.48 miles of concrete reconstruction and hot mixed asphalt resurfacin</t>
  </si>
  <si>
    <t>MI0064L5F011205</t>
  </si>
  <si>
    <t>82956-140950</t>
  </si>
  <si>
    <t>261482112M4001</t>
  </si>
  <si>
    <t>Southfield Rd City of Detroit, Wayne County Operations and maintenance of Detroit's Traffic Operations Center</t>
  </si>
  <si>
    <t>Operations and maintenance of Detroit's Traffic Operations Center</t>
  </si>
  <si>
    <t>82010-140950</t>
  </si>
  <si>
    <t>261482113M2301</t>
  </si>
  <si>
    <t>Mack Ave from St. Jean Street to Algonquin Street, City of D 0.75 miles of hot mix asphalt resurfacing, drainage structure adjust</t>
  </si>
  <si>
    <t>0.75 miles of hot mix asphalt resurfacing, drainage structure adjustme</t>
  </si>
  <si>
    <t>261482113M2302</t>
  </si>
  <si>
    <t>B14MC260006</t>
  </si>
  <si>
    <t>Rehabilitation of facility at 6353 West Vernor.</t>
  </si>
  <si>
    <t>SER-METRO DETROIT JOBS FOR PROGRESS, INC.</t>
  </si>
  <si>
    <t>Rehabilitation of facility located at 9215 Michigan.</t>
  </si>
  <si>
    <t>ALKEBU-LAN VILLAGE</t>
  </si>
  <si>
    <t>7701 HARPER AVE</t>
  </si>
  <si>
    <t>Provide programs for Detroit youth.</t>
  </si>
  <si>
    <t>Michigan Legal Services Inc</t>
  </si>
  <si>
    <t>220 BAGLEY ST STE 900</t>
  </si>
  <si>
    <t>Provide legal services to prevent foreclosures with a priority in Hardest Hit Fund areas.</t>
  </si>
  <si>
    <t>Provide temporary emergency shelter for women and children that have been victims of domestic and sexual violence.</t>
  </si>
  <si>
    <t>Provide senior transportation and health services, providing assistance with medical needs, food, and other needed services.</t>
  </si>
  <si>
    <t>Greater Detroit Agency For The Blind And Visually Impaired</t>
  </si>
  <si>
    <t>16625 GRAND RIVER AVE</t>
  </si>
  <si>
    <t>Services for Detroiters who are blind or significantly visually impaired due to eye disease, injury or other circumstance to learn or regain skills for independent living and self-sufficiency.</t>
  </si>
  <si>
    <t>JOY-SOUTHFIELD COMMUNITY HEALTH AND EDUCATION CENTRE</t>
  </si>
  <si>
    <t>18917 JOY ROAD</t>
  </si>
  <si>
    <t>Providing free health promoting resources.</t>
  </si>
  <si>
    <t>Sickle Cell Disease Association Of America Michigan Chapter Inc</t>
  </si>
  <si>
    <t>18516 JAMES COUZENS FWY</t>
  </si>
  <si>
    <t>Rehabilitation of facility located at 18516 James Couzens.</t>
  </si>
  <si>
    <t>Provide temporary housing up to 100 homeless young women ages 15-21 including minor children.</t>
  </si>
  <si>
    <t>Provide resources to residents to obtain transitional or permanent, permanent supportive housing.</t>
  </si>
  <si>
    <t>UNITED COMMUNITY HOUSING COALITION INC</t>
  </si>
  <si>
    <t>220 BAGLEY ST STE 224</t>
  </si>
  <si>
    <t>Support homeless prevention activities including legal representation to prevent evictions of tenants and homeowners after foreclosure, mortgage and tax foreclosure, counseling to prevent loss of homes assistance in relocation.</t>
  </si>
  <si>
    <t>Coleman A Young Foundation</t>
  </si>
  <si>
    <t>2111 WOODWARD AVE STE 600</t>
  </si>
  <si>
    <t>After school program for 6th to 9th graders.</t>
  </si>
  <si>
    <t>Lift Women's Resource Center</t>
  </si>
  <si>
    <t>16180 MEYERS RD</t>
  </si>
  <si>
    <t>Provide activities for women and families.  Direct supportive services empowering women to be self-sufficient.</t>
  </si>
  <si>
    <t>Improve the educational skills of at-risk girls and women.</t>
  </si>
  <si>
    <t>L &amp; L ADULT DAY CARE INC</t>
  </si>
  <si>
    <t>L &amp; L ADULT DAY CARE</t>
  </si>
  <si>
    <t>1485 E OUTER DR</t>
  </si>
  <si>
    <t>Provide adult day care services that include transportation and daily exercise regimen to individuals that are 60+ years old with developmental disabilities, mental illness, Alzheimer's, dementia, and/or who are veterans.</t>
  </si>
  <si>
    <t>Provide the continuation of proactive policing in the WSUPD service area.  Including problem-oriented, directed patrol in areas with persistent crime and disorder problems.</t>
  </si>
  <si>
    <t>BRIDGING COMMUNITIES, INC.</t>
  </si>
  <si>
    <t>6900 MCGRAW ST</t>
  </si>
  <si>
    <t>Provide foreclosure prevention counseling and services</t>
  </si>
  <si>
    <t>Support the activities of the Coordinated Assessment Model (CAM).  The CAM is a HUD mandated system transformation that is intended to help CoC's to streamline access, provide a common assessment, and assign services that best match the client's needs.</t>
  </si>
  <si>
    <t>DETROIT AREA PRE-COLLEGE ENGINEERING PROGRAM INC.</t>
  </si>
  <si>
    <t>DAPCEP</t>
  </si>
  <si>
    <t>2111 WOODWARD AVENUE SUITE 506</t>
  </si>
  <si>
    <t>Enrichment program in science technology, engineering, mathematics, and medicine for underrepresented youth.</t>
  </si>
  <si>
    <t>DETROIT NON-PROFIT HOUSING CORPORATION</t>
  </si>
  <si>
    <t>Dnph</t>
  </si>
  <si>
    <t>8904 WOODWARD AVE STE 279</t>
  </si>
  <si>
    <t>Provide foreclosure prevention services.</t>
  </si>
  <si>
    <t>INTERNATIONAL INSTITUTE OF METROPOLITAN DETROIT INC</t>
  </si>
  <si>
    <t>111 E KIRBY ST</t>
  </si>
  <si>
    <t xml:space="preserve">Assist immigrants and non-immigrants with immigration issues/legal, GED, financial literacy/career development. </t>
  </si>
  <si>
    <t>COMMUNITY SOCIAL SERVICES OF WAYNE COUNTY</t>
  </si>
  <si>
    <t>9851 HAMILTON AVE</t>
  </si>
  <si>
    <t>Provide the Teen Infant Parenting Services Program which is a transitional housing program that also provides support services to pregnant or parenting Detroit teen mothers and their children.</t>
  </si>
  <si>
    <t>MARINERS' INN</t>
  </si>
  <si>
    <t>445 LEDYARD ST</t>
  </si>
  <si>
    <t>Rehabilitate men certified as homeless and addicted to alcohol and/or drugs through substance abuse treatment, shelter, transitional, and permanent housing; and assistance with becoming self-sufficient.</t>
  </si>
  <si>
    <t>SAMARITAN CENTER, INC.</t>
  </si>
  <si>
    <t>5555 CONNER ST STE 2244</t>
  </si>
  <si>
    <t>Rehabilitation of building located at 11457 Shoemaker.</t>
  </si>
  <si>
    <t>DETROIT RESCUE MISSION MINISTRIES</t>
  </si>
  <si>
    <t>GENESIS HOUSE 1,2 AND 3</t>
  </si>
  <si>
    <t>150 STIMSON ST</t>
  </si>
  <si>
    <t>To provide emergency shelter and transitional housing to homeless men.</t>
  </si>
  <si>
    <t>COVENANT HOUSE MICHIGAN</t>
  </si>
  <si>
    <t>Chm</t>
  </si>
  <si>
    <t>2959 MARTIN LUTHER KING J</t>
  </si>
  <si>
    <t>Fund a crisis shelter serving youth ages 18 to 22 up to 90 days, including meals, job readiness, substance abuse, housing placement, etc.</t>
  </si>
  <si>
    <t>JEFFERSON EAST INC</t>
  </si>
  <si>
    <t>JEFFERSON EAST BUSINESS ASSOCIATION</t>
  </si>
  <si>
    <t>14628 E JEFFERSON</t>
  </si>
  <si>
    <t>Support SAFE Jefferson to increase security and reduce crime within the East Jefferson corridor.</t>
  </si>
  <si>
    <t>St Johns Congregational Church</t>
  </si>
  <si>
    <t>ST JOHNS COMMUNITY CENTER</t>
  </si>
  <si>
    <t>14320 KERCHEVAL ST</t>
  </si>
  <si>
    <t xml:space="preserve">Services to operate an emergency shelter program which houses 90 men on a 90 day rotation, 24-7; maintain current services to clients including substance abuse assessment and referrals, mental health and medical referrals, individual and group sessions, outreach feeding, clothing bank, and other resources needed to end homelessness. </t>
  </si>
  <si>
    <t>E MICHIGAN CCDA</t>
  </si>
  <si>
    <t>10421 WEST SEVEN MILE ROAD</t>
  </si>
  <si>
    <t>Youth after school programs, neighborhood community patrol, and weekly seniors health program.</t>
  </si>
  <si>
    <t>SOCIETY OF ST VINCENT DE PAUL IN THE ARCHDIOCESE OF DETROIT (INC)</t>
  </si>
  <si>
    <t>3000 GRATIOT AVE</t>
  </si>
  <si>
    <t>Provide preparation for successful completion of the GED exam and to assist residents to become economically self-sufficient.  Offered to adults 18 years or older.</t>
  </si>
  <si>
    <t>Rehabilitation of the Lawndale Center that will house a literacy center.</t>
  </si>
  <si>
    <t>GREENING OF DETROIT, THE</t>
  </si>
  <si>
    <t>1418 MICHIGAN AVE</t>
  </si>
  <si>
    <t>Expand ongoing community engagement to create renewed and thriving park environments.  The organization will also hire Detroiters to serve workforce creates to provide regular, routine maintenance at parks.</t>
  </si>
  <si>
    <t>HEAT AND WARMTH FUND, THE</t>
  </si>
  <si>
    <t>607 SHELBY ST STE 400</t>
  </si>
  <si>
    <t>Provides low-income individuals and families with energy assistance.  Recipients include the elderly, unemployed, underemployed and disabled individuals who find themselves in an energy crisis.</t>
  </si>
  <si>
    <t>Senior Delray Housing</t>
  </si>
  <si>
    <t>275 W GRAND BLVD</t>
  </si>
  <si>
    <t>Provide meals and transportation services to senior services</t>
  </si>
  <si>
    <t>ACCOUNTING AID SOCIETY</t>
  </si>
  <si>
    <t>MICHIGAN NONPROFIT MANAGEMENT CENTER</t>
  </si>
  <si>
    <t>7700 2ND AVE STE 314</t>
  </si>
  <si>
    <t>Accounting Aid Society</t>
  </si>
  <si>
    <t>Provide free tax preparation and counseling assistance to low and moderate income Detroit Households.</t>
  </si>
  <si>
    <t>Support the Oasis--Detroit Project.  It provides supportive housing for up to 10 severely mentally ill and homeless men and women at 11850 Woodrow Wilson.</t>
  </si>
  <si>
    <t>Provide support for the homeless and those who are in jeopardy of becoming homeless.</t>
  </si>
  <si>
    <t>OPERATION GET DOWN, INC.</t>
  </si>
  <si>
    <t>10100 HARPER AVE</t>
  </si>
  <si>
    <t>Operate a shelter facility and provide things such as food, clothing, and medical care, housing placement, case management, and referrals.</t>
  </si>
  <si>
    <t>MICHIGAN VETERANS FOUNDATION, INC.</t>
  </si>
  <si>
    <t>DETROIT VETERANS CENTER</t>
  </si>
  <si>
    <t>2770 PARK AVE</t>
  </si>
  <si>
    <t>Provide transitional housing facility, emergency shelter and resource center needed for homeless veterans to break the cycle of homelessness and return to independent living.</t>
  </si>
  <si>
    <t>M14MC260202</t>
  </si>
  <si>
    <t>HOME Grant</t>
  </si>
  <si>
    <t>MIH14F001</t>
  </si>
  <si>
    <t>HOPWA</t>
  </si>
  <si>
    <t>ADMINISTRATION DEPT</t>
  </si>
  <si>
    <t>1151 TAYLOR</t>
  </si>
  <si>
    <t>Funding for the Department of Health and Wellness Promotion for HOWPA Program.</t>
  </si>
  <si>
    <t>Wellspring</t>
  </si>
  <si>
    <t>16742 LAMPHERE ST</t>
  </si>
  <si>
    <t>Serve 120 children ages 7-14 in 5 Detroit communities with an education mentoring program dealing with academic performance, behavior, social functioning, etc.</t>
  </si>
  <si>
    <t>FRANKLIN-WRIGHT SETTLEMENTS INC</t>
  </si>
  <si>
    <t>3360 CHARLEVOIX ST</t>
  </si>
  <si>
    <t>Rehabilitation of facility located at 3360 Charlevoix.</t>
  </si>
  <si>
    <t>EMMANUEL HOUSE</t>
  </si>
  <si>
    <t>RECOVERY PROGRAM</t>
  </si>
  <si>
    <t>18572 FITZPATRICK CT</t>
  </si>
  <si>
    <t>Recovery program for substance abuse for men and women, includes counseling support services, relapse prevention, health and wellness, housing assistance, and behavioral therapy.</t>
  </si>
  <si>
    <t>Provide free basic dental services to underserved residents of the Detroit area.  Free prescriptions to low income patients in need of continuous medications.  Free/low cost full dentures and partial dentures/free/low cost dental surgery.</t>
  </si>
  <si>
    <t>ADULT WELL-BEING SERVICES</t>
  </si>
  <si>
    <t>1423 FIELD AVE</t>
  </si>
  <si>
    <t>Rehabilitation of the Stapleton Center Community building.</t>
  </si>
  <si>
    <t>Provides intervention services and monetary assistance to individuals/families who are literally homeless.</t>
  </si>
  <si>
    <t>Clark Park Coalition</t>
  </si>
  <si>
    <t>1130 CLARK ST</t>
  </si>
  <si>
    <t>Provide summer and afterschool recreation programs.</t>
  </si>
  <si>
    <t>WORLD MEDICAL RELIEF INC</t>
  </si>
  <si>
    <t>11745 ROSA PARKS BLVD</t>
  </si>
  <si>
    <t>Provide prescription medication to adults.</t>
  </si>
  <si>
    <t>Rehabilitation of the Art gallery's parking lot located within the Whitdel Arts Building.</t>
  </si>
  <si>
    <t>MOSAIC YOUTH THEATRE OF DETROIT</t>
  </si>
  <si>
    <t>2251 ANTIETAM</t>
  </si>
  <si>
    <t>Provide year round youth development and performing arts training to approximately 150 youth artist.  Core Training program for acting and social skills, summer training program for acting with special training and travel.</t>
  </si>
  <si>
    <t>U50DD000876</t>
  </si>
  <si>
    <t>MICHIGAN TRANSFUSION EXPOSURE &amp; RISK MONITORING SYSTEM</t>
  </si>
  <si>
    <t>MI Transfusion Exposure and Risk Monitoring</t>
  </si>
  <si>
    <t>FREEDOM HOUSE</t>
  </si>
  <si>
    <t>2630 W LAFAYETTE BLVD</t>
  </si>
  <si>
    <t>Provide comprehensive services, intake and assessment, shelter, and off-site supportive housing to homeless political refugees and to victims of human trafficking as they seek legal asylum in the U.S. after asylum is granted.</t>
  </si>
  <si>
    <t>Provide an adult basic education program, which includes one-to-one tutoring, transportation assistance, and mentoring.</t>
  </si>
  <si>
    <t>MUSEUM AFRCAN AMRCN HSTORY</t>
  </si>
  <si>
    <t>CHARLES H WRIGHT MUSEUM OF AFR</t>
  </si>
  <si>
    <t>315 E WARREN</t>
  </si>
  <si>
    <t>Redesign of the Children's Reading Room.</t>
  </si>
  <si>
    <t>Saint Patricks Senior Center Inc</t>
  </si>
  <si>
    <t>58 PARSONS ST</t>
  </si>
  <si>
    <t>Help Detroit older adults in 1) Improve and maintain physical health through participating in disease prevention and health promotion activities and programs.  2) Empower participants to access services.</t>
  </si>
  <si>
    <t>Provide services such as food, case management, health care, clothing, respite services, and referrals to homeless people, includes chronically homeless, substance abuser, alcoholic, newly released persons, handicapped.</t>
  </si>
  <si>
    <t>THE DETROIT ANNUAL CONFERENCE OF THE UNITED METHODIST CHURCH</t>
  </si>
  <si>
    <t>CENTRAL UNITED METH CHURCH</t>
  </si>
  <si>
    <t>23 E ADAMS AVE</t>
  </si>
  <si>
    <t>Serves homeless and chronically homeless with bag lunches, case management, emergency mental health and physical health services, referrals for emergency shelter, housing, and ongoing mental health services.</t>
  </si>
  <si>
    <t>LATIN AMERICANS FOR SOCIAL AND ECONOMIC DEVELOPMENT, INC.</t>
  </si>
  <si>
    <t>LASED</t>
  </si>
  <si>
    <t>4138 W VERNOR HWY</t>
  </si>
  <si>
    <t>Enable vulnerable elder residents to live independently; provide hot meals daily; exercise and use weights; participate in recreational and intergenerational activities; assistance with housing and tax preparation; food pantry.</t>
  </si>
  <si>
    <t>VHS CHILDREN'S HOSPITAL OF MICHIGAN, INC.</t>
  </si>
  <si>
    <t>3901 BEAUBIEN</t>
  </si>
  <si>
    <t>LEGAL AID AND DEFENDER ASSOCIATION, INC.</t>
  </si>
  <si>
    <t>613 ABBOTT ST</t>
  </si>
  <si>
    <t>Provide legal services to people who are at risk of becoming homeless.</t>
  </si>
  <si>
    <t>E14MC260006</t>
  </si>
  <si>
    <t>ESG Grant</t>
  </si>
  <si>
    <t>UNIVERSITY OF MICHIGAN</t>
  </si>
  <si>
    <t>SP019440</t>
  </si>
  <si>
    <t>Michigan PFS II SEOW</t>
  </si>
  <si>
    <t>Partnership for Success</t>
  </si>
  <si>
    <t>Pathways To Healthy Living</t>
  </si>
  <si>
    <t>U01DK094157</t>
  </si>
  <si>
    <t>EPIDEMIOLOGY OF DIABETES INTERVENTIONS AND COMPLICATIONS (EDIC)</t>
  </si>
  <si>
    <t>RES506684</t>
  </si>
  <si>
    <t xml:space="preserve">DESCRIPTION (provided by applicant):  Contaminated surfaces are an important potential source for transmission of Clostridium difficile. However, interventions to improve environmental cleaning have not consistently been effective in reducing the incidence of C. difficile infection (CDI). Moreover, there is considerable uncertainty regarding optimal strategies to monitor the effectiveness of environmental disinfection. The goal of this application is to develop evidence-based strategies to improve environmental disinfection and to test their effectiveness in reducing rates of healthcare- associated CDI. Our central hypothesis is that an evidence-based intervention to improve environmental disinfection will reduce rates of healthcare-associated CDI. The specific aims of our application are: 1). Validate the effectiveness of the fluorescent marker method as a means to monitor disinfection of high-touch surfaces in CDI rooms. To accomplish this aim, we will correlate removal of fluorescent marker from high-touch surfaces in CDI rooms with removal of spores based on culture and PCR of toxin B genes. 2). Determine if daily disinfection of high- touch surfaces during CDI treatment will reduce healthcare worker hand contamination. To accomplish this aim, we will perform a prospective, randomized trial to compare standard cleaning (i.e., high-touch surfaces only cleaned if soiled) of CDI rooms versus standard cleaning plus daily decontamination of high-touch surfaces. The primary outcome measure will be healthcare worker hand contamination. and 3). Determine if an intervention to improve environmental disinfection by housekeeping staff will reduce rates of healthcare-associated CDI. To accomplish this aim, we will perform a 12-month randomized trial of 16 Cleveland area hospitals to compare standard housekeeping cleaning to enhance cleaning with ongoing monitoring and feedback. The primary outcome measure will be incidence of healthcare- associated CDI. Our laboratory is ideally poised to accomplish the proposed research because we have extensive experience investigating the role of the environment in pathogen transmission and in evaluation of disinfection methods. The results will be significant because CDI is an important cause of morbidity and mortality and because there is a need for development of optimal environmental disinfection strategies to prevent transmission. The Department of Health and Human Services Action Plan to Prevent Healthcare-Associated Infections identified development and assessment of the impact of a Clostridium difficile environmental cleaning bundle as an important unmet need.      PUBLIC HEALTH RELEVANCE:  The Department of Health and Human Services Action Plan to Prevent Healthcare-Associated Infections identified development and assessment of the impact of a Clostridium difficile environmental cleaning bundle as an important unmet need. The goal of this application is to develop evidence-based strategies to improve environmental disinfection and to test their effectiveness in reducing rates of healthcare-associated C. difficile infection (CDI). We will first perform studies to validate the effectiveness of a fluorescent marker method to monitor disinfection of high-touch surfaces in CDI rooms. We will then evaluate daily disinfection of high-touch surfaces during CDI treatment as a strategy to reduce healthcare worker hand contamination. Finally, we will perform a randomized trial of 16 hospitals to determine if an intervention to improve environmental disinfection by housekeeping staff will reduce rates of healthcare-associated CDI.       </t>
  </si>
  <si>
    <t>RES507518</t>
  </si>
  <si>
    <t>The Diabetes Control and Complications Trial (DCCT, 1983-1993) compared intensive therapy aimed at near normal glycemia versus conventional therapy with no specific glucose targets in 1441 subjects with type 1 diabetes (T1DM). In 1993, after a mean follow-up of 6.5 yrs, the study showed conclusively that intensive therapy reduced the risks of retinopathy, nephropathy, and neuropathy by 35-76%, and that hyperglycemia was a primary determinant of complications. We also described potential adverse effects of intensive therapy; assessed its effects on cardiovascular disease (CVD) risk factors, neurocognition and quality of life; and projected the lifetime health-economic impact. DCCT intensive therapy was then adopted worldwide as standard-of-care for T1DM. The Epidemiology of Diabetes Interventions and its Complications (EDIC, 1994-present) is the observational follow-up study of the DCCT cohort, with 95% of those surviving actively participating. Most outcomes are evaluated annually. CVD events and deaths are carefully documented and adjudicated. EDIC has notably discovered that the early beneficial effects of intensive treatment on complications have persisted for over 10 years despite the similar HbA1c levels during EDIC in the two groups, termed metabolic memory. Remarkably, former intensive therapy also greatly reduced the risk of CVD events. DCCT/EDIC collaborators have also conducted numerous ancillary studies, with separate funding, most recently including measurement of cardiac function on cardiac MRI and measurement of biomarkers of oxidative stress and inflammation as determinants of complications. The overarching goals for the next 5 years are to follow at least 90% of the surviving cohort; to describe accurately the study-long effects of glycemia (HbA1c) and other established and putative risk factors on diabetes complications and the metabolic memory effects of prior DCCT intensive therapy; and to expand knowledge regarding T1DM and its complications by supporting collaborations for new research funding applications to maximally utilize the cohort, phenotypic data set, and collected biologic and genetic samples. The specific scientific aims are to 1) evaluate effects of risk factors, biomarkers and glycemia on risk of clinical CVD; 2) assess the long-term changes in CVD risk factors; 3) describe effects of DCCT intensive versus conventional therapy on mortality; 4) evaluate risk factors for severe retinopathy/nephropathy; 5) assess effects of diurnal glycemic variation on complications; and 6) conduct eight new research projects involving new measurements and analyses.</t>
  </si>
  <si>
    <t>H181A120012</t>
  </si>
  <si>
    <t>820004408-131320</t>
  </si>
  <si>
    <t>90CT7002</t>
  </si>
  <si>
    <t>CHILD WELFARE TRAINING: NATIONAL CHILD WELFARE WORKFORCE INSTITUTE</t>
  </si>
  <si>
    <t>14-20</t>
  </si>
  <si>
    <t>The University Partnerships will be expected to implement:  traineeships to improve child welfare knowledge and practice, including financial support for students, specialized field placements and program supports attentive to the transition and retention of funded BSW and MSW trainees to agency employment;  Partnership activities designed collaboratively by the social work program and local child welfare or tribal agency to address workforce challenges and oppotunities such as facilitating transition to work, implementing specialized practice or promoting the retention of child welfare professionals.  Programs must participate in the national cross site evaluation of the UP by tracking student demographic data using a web based data portal, supporting the administration of questionnaires for traineeship students, supporting the assessment of standardized student competencies, submitting semi annual progress reports and participating in qualitative interviews.  Any revisions to the work plan, if necessary, will be submitted to the NCWWI and Children's Bureau for review and approval.  The UP will collaborate with the NCWWI and Children's Bureau by participating in consultations, meetings, briefings, teleconferences, and other forums to review current and planned activities, to share information and to promote coordination of the UP program.  The UP will provide written six month progress reports and financial status reports to the NCWWI, for submission to the Children's Bureau.  The UP will participate in the initial start up conversations and ongoing project management conversations throughout the grant period.  The UP will provide to the NCWWI materials that are developed or printed with resources made available under this cooperative agreement.  The UP will include proper disclaimer and attribution language on all products or materials produced, developed and disseminated with resources made available under this cooperative agreement.  The UP will submit a copy of the final report, final evaluation report and any project materials to the NCWWI 60 days after the project end date (upon completion of the five year project</t>
  </si>
  <si>
    <t>93.648 Child Welfare Research Training or Demonstration</t>
  </si>
  <si>
    <t>DEEE0006338</t>
  </si>
  <si>
    <t>LEVERAGING INDUSTRY RESEARCH TO EDUCATE A FUTURE ELECTRIC GRID WORKFORCE</t>
  </si>
  <si>
    <t>This project is to develop, implement, and demonstrate smart-grid ready inverters with grid support functionality. Key objectives are to expand PV inverter capabilities and apply communication protocols that are currently evolving in international standards. Together they are intended to enable grid operators to better utilize distributed grid assets. This is an amendment to the previous agreement with DTE Energy to add tasks.</t>
  </si>
  <si>
    <t>R01HD069562</t>
  </si>
  <si>
    <t>Mechanisms and novel therapy in intrauterine inflammation induced brain injury</t>
  </si>
  <si>
    <t>E12MC260006</t>
  </si>
  <si>
    <t>Homeless Prevention</t>
  </si>
  <si>
    <t>SALVATION ARMY, THE</t>
  </si>
  <si>
    <t>SALVATION ARMY</t>
  </si>
  <si>
    <t>3737 LAWTON ST</t>
  </si>
  <si>
    <t>Emergency Shelter Services</t>
  </si>
  <si>
    <t>Emergency Shelter Rehabilitation and funding for the warming center</t>
  </si>
  <si>
    <t>Homeless Prevention and Rapid Re-Housing</t>
  </si>
  <si>
    <t>PE244081360A42</t>
  </si>
  <si>
    <t>Prisoner-Re-entry</t>
  </si>
  <si>
    <t>281-187</t>
  </si>
  <si>
    <t>To support BBBSA's Youth Workforce Opportunity Initiative (YWOI) designed to serve across the network a total of 1,000 juvenile offenders and/or a minimum number of juveniles at-risk of offending, ages fourteen (14) years and older, who come from high-poverty, high crime communities, in order to improve the juveniles' long-term labor market opportunities.</t>
  </si>
  <si>
    <t>17.270 Reintegration of Ex-Offenders</t>
  </si>
  <si>
    <t>261482065M2301</t>
  </si>
  <si>
    <t>Various From Alter Street and Charlevoix Street to Warren Av Pavement Markings at 169 intersections</t>
  </si>
  <si>
    <t>Pavement Markings at 169 intersections</t>
  </si>
  <si>
    <t>261482068M2301</t>
  </si>
  <si>
    <t>John R, 7 Mi E, Seymour, Centr 7 Mile Road East from Conant 6.45 miles of cold milling hot mix asphalt surface, hot mix asphalt</t>
  </si>
  <si>
    <t>6.45 miles of cold milling hot mix asphalt surface, hot mix asphalt re</t>
  </si>
  <si>
    <t>B12MC260006</t>
  </si>
  <si>
    <t>CASS COMMUNITY SOCIAL SERVICES, INC.</t>
  </si>
  <si>
    <t>11850 WOODROW WILSON ST</t>
  </si>
  <si>
    <t>Provide housing for mentally ill and homeless men</t>
  </si>
  <si>
    <t>CATHOLIC SOCIAL SERVICES OF WAYNE COUNTY</t>
  </si>
  <si>
    <t>Transitional housing for pregnant or parenting teen mothers</t>
  </si>
  <si>
    <t>Provide emergency shelter and transitional housing, and case management to homeless veterans</t>
  </si>
  <si>
    <t>Provide comprehensive services for homeless male and female youth in a college campus dormitory setting</t>
  </si>
  <si>
    <t>Provide intervention services and monetary assistance to individuals/families who are at risk of homelessness.</t>
  </si>
  <si>
    <t>Economic Development for technical assistance for local businesses</t>
  </si>
  <si>
    <t>Commercial FaÃ§ade Rehab for matching grants.</t>
  </si>
  <si>
    <t>Public services for seniors</t>
  </si>
  <si>
    <t>teen program focusing on education, employment, family life, sex education, and self expression (music, dance, art, and drama workshops)</t>
  </si>
  <si>
    <t>Prescription medication to individuals who are uninsured.</t>
  </si>
  <si>
    <t>Public Facility Rehab for 111 E. Kirby</t>
  </si>
  <si>
    <t>Emergency shelter and transitional housing to homeless young homeless women and their children</t>
  </si>
  <si>
    <t>Residential transitional/emergency facility for women and children who are homeless and HIV infected.</t>
  </si>
  <si>
    <t>tutoring, academic instruction, and yoga/meditation training to children who suffer with Sickle Cell disease.</t>
  </si>
  <si>
    <t>EASTERN MARKET ADVANCEMENT COALITION</t>
  </si>
  <si>
    <t>3445 RUSSELL ST</t>
  </si>
  <si>
    <t>Commercial FaÃ§ade Rehab to enhance districts core parking lot</t>
  </si>
  <si>
    <t>Effective Alternative Comm</t>
  </si>
  <si>
    <t>1876 E GRAND BLVD</t>
  </si>
  <si>
    <t>Emergency shelter and transitional housing for men and men with children</t>
  </si>
  <si>
    <t>Provide supportive services, educational instruction, counseling, emergency, and resource and development</t>
  </si>
  <si>
    <t>After school programs for youth</t>
  </si>
  <si>
    <t>INSIDEOUT LITERARY ARTS PROJECT INC</t>
  </si>
  <si>
    <t>5143 CASS AVE # 225</t>
  </si>
  <si>
    <t>Writing workshops and mentorships for youth</t>
  </si>
  <si>
    <t>Assist senior citizens in navigating the complex human and social delivery system</t>
  </si>
  <si>
    <t>261482067M2301</t>
  </si>
  <si>
    <t>Pavement repairs at 15 locatio Ann Arbor Trail to WB U-turn Pavement repairs at 15 locations</t>
  </si>
  <si>
    <t>Pavement repairs at 15 locations Pavement repairs at 15 locatio  Ann Arbor Trail to WB U-turn</t>
  </si>
  <si>
    <t>261482065M2302</t>
  </si>
  <si>
    <t>261482068M2302</t>
  </si>
  <si>
    <t>provide emergency and supportive services for people to maintain shelter</t>
  </si>
  <si>
    <t>Provide mental and physical health assessments, crisis interventions, counseling, suicide prevention and other case management services.</t>
  </si>
  <si>
    <t>U SNAP BAC NONPROFIT HOUSING CORPORATION</t>
  </si>
  <si>
    <t>14901 E WARREN AVE</t>
  </si>
  <si>
    <t>Homebuyer education and empowerment training.</t>
  </si>
  <si>
    <t>Courville Concert Choir, Inc.</t>
  </si>
  <si>
    <t>18700 GREENLAWN ST</t>
  </si>
  <si>
    <t>Musical and performing arts enrichment program for youth.</t>
  </si>
  <si>
    <t>Provide recreational, educational, and social skills programs to youth.</t>
  </si>
  <si>
    <t>Fort Street Presbyterian Church</t>
  </si>
  <si>
    <t>631 W FORT ST</t>
  </si>
  <si>
    <t>Provide prepared meals, clothing, shower/hygiene care, and transportation</t>
  </si>
  <si>
    <t>provide adult day care for seniors with developmental disabilities and mental impairments or physical disabilities</t>
  </si>
  <si>
    <t>Provide tutoring and GED preparation</t>
  </si>
  <si>
    <t>After school program that provides music instruction and instruments</t>
  </si>
  <si>
    <t>Moore Community Council</t>
  </si>
  <si>
    <t>2990 W GRAND BLVD</t>
  </si>
  <si>
    <t>After school programs for academic skills and address identified health problems.</t>
  </si>
  <si>
    <t>Provide Kumon math, reading, and recreation to youth</t>
  </si>
  <si>
    <t>Provide emergency shelter and re-housing through SRO units onsite as well as other units at 10100 Harper</t>
  </si>
  <si>
    <t>NATIONAL COUNCIL ON ALCOHOLISM AND OTHER DEPENDENCES GREATER DETROIT AREA (INC)</t>
  </si>
  <si>
    <t>16647 WYOMING ST</t>
  </si>
  <si>
    <t>Individual and group substance abuse treatment and recovery support.</t>
  </si>
  <si>
    <t>Public Facility Rehab for 5555 Conner</t>
  </si>
  <si>
    <t>Economic Development to offer technical assistance to small businesses and property owners</t>
  </si>
  <si>
    <t>WARREN/CONNER DEVELOPMENT COALITION INC</t>
  </si>
  <si>
    <t>Commercial FaÃ§ade Rehab to build out 4401 Conner</t>
  </si>
  <si>
    <t>Provide emergency shelter, transportation, counseling, mentoring, employment assistance, education, health care and legal aid to homeless men.</t>
  </si>
  <si>
    <t>Saint Christine Christian Services</t>
  </si>
  <si>
    <t>15317 DACOSTA ST</t>
  </si>
  <si>
    <t>hot meals, groceries, and a center for warming, snacks, and computer lab.</t>
  </si>
  <si>
    <t>The Quality Measurement, Evaluation, Testing, Review and Implementation Consortiu</t>
  </si>
  <si>
    <t>Dr. Mahajan will provide oversight for the pediatric sepsis quality measure testing in Detroit, Michigan. A research manager from ChildrenÂ’s Hospital of Michigan will assist Dr. Mahajan in the preparation and submission of IRB documents and logistics related to chart review and data abstraction including working with a data analyst to set up data queries and work with the lead site to ensure chart abstractors are trained in the electronic health records (EHR) system CHM.</t>
  </si>
  <si>
    <t>Public Improvements to complete the redevelopment of the Phoenix Playground.</t>
  </si>
  <si>
    <t>YOUNG DETROIT BUILDERS</t>
  </si>
  <si>
    <t>YOUTHBUILD DETROIT</t>
  </si>
  <si>
    <t>1627 W LAFAYETTE BLVD</t>
  </si>
  <si>
    <t>Economic development to provide Detroit based contractors entrepreneurial instruction and assistance.</t>
  </si>
  <si>
    <t>Provide dental care and employment and training</t>
  </si>
  <si>
    <t>Provide free health care, pharmacy support and preventative health education for low/mod uninsured Detroit residents.</t>
  </si>
  <si>
    <t>provide education and employment for youth in ecology and conservation practices.</t>
  </si>
  <si>
    <t>A &amp; H Financial Solutions L.L.C.</t>
  </si>
  <si>
    <t>440 E CONGRESS ST STE 350</t>
  </si>
  <si>
    <t>After school and summer programs</t>
  </si>
  <si>
    <t>provide emergency shelter, food, clothing, assault advocacy, transportation, resources, and other assistance to victims of domestic and sexual abuse.</t>
  </si>
  <si>
    <t>Provide prevention activities including legal representation to prevent evictions of tenants and homeowners after foreclosure, mortgage and tax foreclosure counseling.</t>
  </si>
  <si>
    <t>Public Facility Rehab at 6821 Medbury</t>
  </si>
  <si>
    <t>adult literacy, basic education, and GED preparation for low income women.</t>
  </si>
  <si>
    <t>Services for seniors</t>
  </si>
  <si>
    <t>Provide emergency need services and then comprehensive case management including housing assistance, counseling, linkages to medical treatments, etc.</t>
  </si>
  <si>
    <t>DETROIT CENTRAL CITY COMMUNITY MENTAL HEALTH INC</t>
  </si>
  <si>
    <t>10 PETERBORO ST STE 2</t>
  </si>
  <si>
    <t>Provide essential services to homeless with severe and persistent mental illness with/or co-occurring substance abuse disorder.</t>
  </si>
  <si>
    <t>Argnl Windsr Dance</t>
  </si>
  <si>
    <t>3031 W GRAND BLVD STE 350</t>
  </si>
  <si>
    <t>Provide dance instruction, self-esteem and motivational seminars, teen mentoring, and tutorial programs.</t>
  </si>
  <si>
    <t>After school dance programs.</t>
  </si>
  <si>
    <t>DETROIT CATHOLIC PASTORAL ALLIANCE</t>
  </si>
  <si>
    <t>9200 GRATIOT</t>
  </si>
  <si>
    <t>educate youth in math, science, engineering through interactive and hands-on instruction.</t>
  </si>
  <si>
    <t>provide tutoring, arts, sewing, healthy eating, job search assistance, grocery and clothing assistance to at risk families.</t>
  </si>
  <si>
    <t>DETROITERS WORKING FOR ENVIRONMENTAL JUSTICE</t>
  </si>
  <si>
    <t>4750 WOODWARD AVE STE 406</t>
  </si>
  <si>
    <t>job training and placement in environmental and green sectors</t>
  </si>
  <si>
    <t>261482067M2302</t>
  </si>
  <si>
    <t>Pavement repairs at 15 locations</t>
  </si>
  <si>
    <t>Provide impact orientated and direct emergency legal services to eliminate barriers to economic independence for homeless and low-income residents.</t>
  </si>
  <si>
    <t>Multimedia Production Training program for youth.</t>
  </si>
  <si>
    <t>Public Facility Rehabilitation for 14320 Kercheval</t>
  </si>
  <si>
    <t>Public Facility Rehab at 1360 Oakman</t>
  </si>
  <si>
    <t>MAYOR'S TIME</t>
  </si>
  <si>
    <t>YOUTH CONNECTION, THE</t>
  </si>
  <si>
    <t>4777 E OUTER DR</t>
  </si>
  <si>
    <t>Provide youth with life skills for college and careers</t>
  </si>
  <si>
    <t>LOVE N KINDNESS COMMUNITY DEVELOPMENT CORPORATION</t>
  </si>
  <si>
    <t>FAITH CLINIC LOVE N KINDNESS</t>
  </si>
  <si>
    <t>12249 CAMDEN ST</t>
  </si>
  <si>
    <t>Provide temporary shelter for individuals and families</t>
  </si>
  <si>
    <t>provide public services support for HIV infected persons</t>
  </si>
  <si>
    <t>Caring Together Inc</t>
  </si>
  <si>
    <t>PROJECT SAVE</t>
  </si>
  <si>
    <t>provide supportive services to Southwest Detroit's frail elderly</t>
  </si>
  <si>
    <t>ABAYOMI COMMUNITY DEVELOPMENT CORPORATION INC</t>
  </si>
  <si>
    <t>24331 W 8 MILE RD</t>
  </si>
  <si>
    <t>Public Facility Rehab for 24331 W. Eight Mile.</t>
  </si>
  <si>
    <t>Services for senior citizens</t>
  </si>
  <si>
    <t>Provide shelter, substance abuse treatment, and transitional and permanent housing.</t>
  </si>
  <si>
    <t>emergency shelter, meals, substance abuse treatment, employment, education, parenting, and life skills.</t>
  </si>
  <si>
    <t>PEOPLE'S COMMUNITY SERVICES OF METROPOLITAN DETROIT</t>
  </si>
  <si>
    <t>420 S LEIGH ST</t>
  </si>
  <si>
    <t>educational activities, youth development, counseling, and physical activities for at risk youth in the Delray area.</t>
  </si>
  <si>
    <t>Intensive education and training in acting and vocal music</t>
  </si>
  <si>
    <t>Provide substance abuse, alcoholic, and mental help services to homeless, ex-convicts, and anyone is crisis.</t>
  </si>
  <si>
    <t>Public service to provide free tax preparation assistance for 13,0000 people in Detroit</t>
  </si>
  <si>
    <t>Legal services to low/moderate income Detroiters with foreclosure problems, landlord tenant issues, public benefit problems, child support issues, employments issues,etc</t>
  </si>
  <si>
    <t>Provide community-based programs for residents of southwest Detroit with emphasis on the senior population.</t>
  </si>
  <si>
    <t>261482073LZ2E1</t>
  </si>
  <si>
    <t>Gibraltar Road at Norfolk Southern Railway Highway Crossing, Install extended cantilever and gate in eastbound lanes and shorten</t>
  </si>
  <si>
    <t xml:space="preserve">Install extended cantilever and gate in eastbound lanes and shorten ga Gibraltar Road at Norfolk Southern Railway Highway Crossing, </t>
  </si>
  <si>
    <t>M11SG260100</t>
  </si>
  <si>
    <t>M-2008-0136-TBR</t>
  </si>
  <si>
    <t xml:space="preserve">Through the Homeless Chronic Initiative, MSHDA has awarded Southwest Counseling Solutions funding for chronically homeless individuals who have significant needs for housing and supportive services. </t>
  </si>
  <si>
    <t>M-2005-0136-CHI</t>
  </si>
  <si>
    <t>Through the Homeless Chronic Initiative, MSHDA has awarded Southwest Counseling Solutions funding to provide Tenant Based Rental Assistance for chronically homeless individuals who have significant needs for housing and supportive services.  Apartments will be located at scattered-sites around the city of Detroit with supportive services available for residents.</t>
  </si>
  <si>
    <t>Household Studies of Influenza and Other Respiratory Viruses</t>
  </si>
  <si>
    <t>M-2009-0187</t>
  </si>
  <si>
    <t>Habitat Detroit has been awarded up to $2 million of MSHDA HOME funds. The HOME funds will be allocated in $500,000 increments based on timely performance and availability of MSHDA HOME funds when requested. Habitat Detroit in partnership with the Michigan Department of Corrections (MDOC) and the Wayne County Michigan Prisoner Reentry Initiative (MPRI) will use residential, redevelopment activities as a means of training and mentoring returning citizens. The MSHDA HOME funds will be used for the new construction of a minimum of 20 homes.</t>
  </si>
  <si>
    <t>M-2010-0172</t>
  </si>
  <si>
    <t>Grandmont Rosedale Development will grant funds for Homeowner Rehabilitation. Grandmont Rosedale Development Corporation will rehabilitate 11 owner-occupied homes (with multiple program year dollars) located in the City of Detroit (Wayne County).</t>
  </si>
  <si>
    <t>1301MIRCMA</t>
  </si>
  <si>
    <t>FY 2013 REFUGEE CASH AND MEDICAL ASSISTANCE</t>
  </si>
  <si>
    <t>RAUM13-99001</t>
  </si>
  <si>
    <t>Refugee services</t>
  </si>
  <si>
    <t xml:space="preserve">The overall goal of the proposed study is to assess the efficiency of diagnosing crystals leading to inflammation of joints using a cost-efficient device which uses laser light. The study will fabricate the device, collect samples from the clinic and determine the sensitivity of the method in comparison to existing clinical diagnostic methods.  </t>
  </si>
  <si>
    <t xml:space="preserve">The primary mission of the DCCT/EDIC study is to determine the effects of glycemic control and of non- hyperglycemic risk factors on the complications of type 1 diabetes. Persons with type 1 diabetes may have a greater prevalence of hearing loss than comparable non-diabetic individuals. Whether hearing loss is altered by the degree of present or past glucose control or the presence of other diabetes complications is unknown. The DCCT/EDIC cohort provides an excellent opportunity to characterize hearing impairment in type 1 diabetes owing to its long term follow-up of the cohort (30 years). We propose to utilize both a hearing questionnaire and pure tone audiometry testing to define the auditory capability of the entire DCCT/EDIC cohort, to be compared with the results of like assessments in a comparable group of approximately 260 individuals without diabetes, We anticipate that at least 1,100 of the 1,350 surviving EDIC volunteers will volunteer. A hearing questionnaire will be administered by each clinic. Standardized pure tone audiometry testing will be done by each clinic. The primary outcome is the prevalence of hearing impairment based on a mean of the pure tone average of thresholds at 500, 1000, 2000, and 4000 Hz. Hearing impairment will be defined as a pure tone average greater than 25 dB. The Specific Aims of this proposal are: 1) To determine whether hearing impairment, based on both self-administered questionnaire and measurement of air conduction pure tone thresholds at various frequencies, is more prevalent in the DCCT/EDIC cohort than in a control group without diabetes; 2) To assess the association of hyperglycemia, as measured by the mean A1C over ~30 years of the DCCT/EDIC study, with the prevalence and extent of hearing impairment; 3) To determine whether the prevalence and extent of hearing impairment differs between the prior DCCT intensive treatment group versus the conventional treatment groups; and 4) To evaluate whether other determinants (e.g., demographic, clinical status, biochemical parameters, behavioral characteristics, and environmental) are related to the prevalence and extent of hearing impairment in the DCCT/EDIC cohort. The above protocol will have greater than 90% power to detect a two-fold difference in the odds of having a hearing loss between the controls and the DCCT/EDIC volunteers. The results will establish the hearing capabilities of individuals with type 1 diabetes compared to non diabetic controls, the impact of glycemic control, the presence of other diabetic complications on hearing, and the identification of hearing impairment risk factors (demographic, clinical, biochemical, behavioral, and environmental). We anticipate that these data will lead to audiological screening and testing recommendations that will have a major quality of life health benefit for all individuals with type 1 diabetes.   </t>
  </si>
  <si>
    <t>R34HL109296</t>
  </si>
  <si>
    <t>FEASIBILITY OF AN ED-INITIATED ONLINE MANAGEMENT PROGRAM FOR URBAN TEENS</t>
  </si>
  <si>
    <t>B11099</t>
  </si>
  <si>
    <t>Subject enrollment, data collection, entry and chart abstraction at site. Addtional $49,938 obligated 09/13/2013 Addtional $9,268 obligated 01/10/2014 Addtional $49,938 obligated 06/18/2014</t>
  </si>
  <si>
    <t>R01HL112979</t>
  </si>
  <si>
    <t>Heart Camp:  Promoting Adherence to Exercise in Patients with Heart Failure</t>
  </si>
  <si>
    <t>34-1822-2001-001</t>
  </si>
  <si>
    <t>B13MC260006</t>
  </si>
  <si>
    <t>Rehab for several public building in Eastern Market</t>
  </si>
  <si>
    <t>Homeless Public Service to provide food and case management to adults and children living in an emergency shelter.</t>
  </si>
  <si>
    <t>Homeless Public Service to support homeless prevention activities including legal representation.</t>
  </si>
  <si>
    <t>Public Service to provide prescription medication to adults</t>
  </si>
  <si>
    <t>Homeless Public Service to rehabilitate homeless men who are addicted to alcohol and/or drugs.</t>
  </si>
  <si>
    <t>Public Service to provide educational services to help newcomer to the City of Detroit become self-sufficient.</t>
  </si>
  <si>
    <t>Public Service to provide youth with instruction in fuel cell technology, calculus, renewable energy, etc.</t>
  </si>
  <si>
    <t>Tax preparation and counseling assistance for 12,000 low and moderate income households.</t>
  </si>
  <si>
    <t>Public Service health program for seniors</t>
  </si>
  <si>
    <t>Public Service to support healthy lifestyles for children and their caregivers.</t>
  </si>
  <si>
    <t>Homeless Public Service to fund a crisis center for youth.</t>
  </si>
  <si>
    <t>Homeless Public Service to provide intervention services and monetary assistance to individuals/families who are at risk of homelessness.</t>
  </si>
  <si>
    <t>Summer and after-school recreation programs for youth</t>
  </si>
  <si>
    <t>Public Service to provide transportation to seniors with disabilities, mental illness, dementia, etc.</t>
  </si>
  <si>
    <t>Homeless Public Service to provide temporary housing for young women.</t>
  </si>
  <si>
    <t>Homeless Public Service to provide services to homeless political refugees.</t>
  </si>
  <si>
    <t>Homeless Public Service to provide legal services to people who are at risk of becoming homeless.</t>
  </si>
  <si>
    <t>Homeless Public Service to help veterans break the cycle of homelessness.</t>
  </si>
  <si>
    <t>Public Service for individual and group substance abuse treatment and recovery support services for adults and youth.</t>
  </si>
  <si>
    <t>Homeless Public Service to provide resources for residents to obtain transitional or permanent supportive housing.</t>
  </si>
  <si>
    <t>Homeless Public Service to provide meals to homeless</t>
  </si>
  <si>
    <t>Public Facility Rehabilitation</t>
  </si>
  <si>
    <t>Homeless Public Service to provide temporary emergency shelter for women an children that have been victims of domestic and sexual violence.</t>
  </si>
  <si>
    <t>Homeless Public Service to provide transitional housing and supportive services to pregnant women.</t>
  </si>
  <si>
    <t>Homeless Public Service to provide supportive housing for mentally ill and homeless men and women.</t>
  </si>
  <si>
    <t>Homeless Public Service to provide emergency shelter and transitional housing to homeless men.</t>
  </si>
  <si>
    <t>Homeless Public Service to provide services to homeless.</t>
  </si>
  <si>
    <t>Public Service to provide dental care to uninsured adults.</t>
  </si>
  <si>
    <t>Year round program enrichment program in music and performing arts for youth</t>
  </si>
  <si>
    <t>Commercial FaÃ§ade Rehabilitation for storefronts at the Woodward Ave. and Peterboro Corner.</t>
  </si>
  <si>
    <t>Public Service to provide an adult basic education program.</t>
  </si>
  <si>
    <t>Homeless Public Service to operate a shelter facility and provide services for homeless.</t>
  </si>
  <si>
    <t>Public Service to provide 3,000 free health care visits.</t>
  </si>
  <si>
    <t>res507518</t>
  </si>
  <si>
    <t>The Diabetes Control and Complications Trial (DCCT, 1983-1993) compared intensive therapy aimed at near normal glycemia versus conventional therapy with no specific glucose targets in 1441 subjects with type 1 diabetes (T1DM). In 1993, after a mean follow-up of 6.5 yrs, the study showed conclusively that intensive therapy reduced the risks of retinopathy, nephropathy, and neuropathy by 35-76%, and that hyperglycemia was a primary determinant of complications. We also described potential adverse effects of intensive therapy; assessed its effects on cardiovascular disease (CVD) risk factors, neurocognition and quality of life; and projected the lifetime health-economic impact. DCCT intensive therapy was then adopted worldwide as standard-of-care for T1DM. The Epidemiology of Diabetes Interventions and its Complications (EDIC, 1994-present) is the observational follow-up study of the DCCT cohort, with 95% of those surviving actively participating. Most outcomes are evaluated annually. CVD events and deaths are carefully documented and adjudicated. EDIC has notably discovered that the early beneficial effects of intensive treatment on complications have persisted for over 10 years despite the similar HbA1c levels during EDIC in the two groups, termed metabolic memory. Remarkably, former intensive therapy also greatly reduced the risk of CVD events. DCCT/EDIC collaborators have also conducted numerous ancillary studies, with separate funding, most recently including measurement of cardiac function on cardiac MRI and measurement of biomarkers of oxidative stress and inflammation as determinants of complications. The overarching goals for the next 5 years are to follow at least 90% of the surviving cohort; to describe accurately the study-long effects of glycemia (HbA1c) and other established and putative risk factors on diabetes complications and the metabolic memory effects of prior DCCT intensive therapy; and to expand knowledge regarding T1DM and its complications by supporting collaborations for new research funding applications to maximally utilize the cohort, phenotypic data set, and collected biologic and genetic samples. The specific scientific aims are to 1) evaluate effects of risk factors, biomarkers and glycemia on risk of clinical CVD; 2) assess the long-term changes in CVD risk factors; 3) describe effects of DCCT intensive versus conventional therapy on mortality; 4) evaluate risk factors for severe retinopathy/nephropathy; 5) assess effects of diurnal glycemic variation on complications; and 6) conduct eight new research projects involving new measurements and analyses</t>
  </si>
  <si>
    <t>RES508311</t>
  </si>
  <si>
    <t xml:space="preserve">The Diabetes Control and Complications Trial (DCCT, 1983-1993) compared intensive therapy aimed at near normal glycemia versus conventional therapy with no specific glucose targets in 1441 subjects with type 1 diabetes (T1DM). In 1993, after a mean follow-up of 6.5 yrs, the study showed conclusively that intensive therapy reduced the risks of retinopathy, nephropathy, and neuropathy by 35-76%, and that hyperglycemia was a primary determinant of complications. We also described potential adverse effects of intensive therapy; assessed its effects on cardiovascular disease (CVD) risk factors, neurocognition and quality of life; and projected the lifetime health-economic impact. DCCT intensive therapy was then adopted world- wide as standard-of-care for T1DM.  The Epidemiology of Diabetes Interventions and its Complications (EDIC, 1994-present) is the observational follow-up study of the DCCT cohort, with 95% of those surviving actively participating. Most outcomes are evaluated annually. CVD events and deaths are carefully documented and adjudicated. EDIC has notably discovered that the early beneficial effects of intensive treatment on complications have persisted for over 10 years despite the similar HbA1c levels during EDIC in the two groups, termed metabolic memory. Remarkably, former intensive therapy also greatly reduced the risk of CVD events. DCCT/EDIC collaborators have also conducted numerous ancillary studies, with separate funding, most recently including measurement of cardiac function on cardiac MRI and measurement of biomarkers of oxidative stress and inflammation as determinants of complications.  The overarching goals for the next 5 years are to follow at least 90% of the surviving cohort; to describe accurately the study-long effects of glycemia (HbA1c) and other established and putative risk factors on diabetes complications and the metabolic memory effects of prior DCCT intensive therapy; and to expand knowledge regarding T1DM and its complications by supporting collaborations for new research funding applications to maximally utilize the cohort, phenotypic data set, and collected biologic and genetic samples.  The specific scientific aims are to 1) evaluate effects of risk factors, biomarkers and glycemia on risk of clinical CVD; 2) assess the long-term changes in CVD risk factors; 3) describe effects of DCCT intensive versus conventional therapy on mortality; 4) evaluate risk factors for severe retinopathy/nephropathy; 5) assess effects of diurnal glycemic variation on complications; and 6) conduct eight new research projects involving new measurements and analyses.   </t>
  </si>
  <si>
    <t>H133G130021</t>
  </si>
  <si>
    <t>W-D1401</t>
  </si>
  <si>
    <t>The subrecipient will maintain relationships with WSU, the DMC Hospitals and the NIDRR Project Officer. They will oversee all aspects of the grant, will be administratively responsible for the ongoing performance of the grant, and will  direct the evaluation and research activities. Her responsibilities also include data analysis, presentation of findings and manuscript preparation.</t>
  </si>
  <si>
    <t>Merging Marine-Derived Cytotoxic Natural Products With Experimental Therapeutics</t>
  </si>
  <si>
    <t>Merging Marine-Derived Cytotoxic Natural Products With Experimental Therapeutics R01 (Renewal)</t>
  </si>
  <si>
    <t>H21612CA</t>
  </si>
  <si>
    <t>ASSISTANT SECRETARY FOR POLICY DEVELOPMENT AND RESEARCH</t>
  </si>
  <si>
    <t>NATIONAL EXP GRANT</t>
  </si>
  <si>
    <t>RES506079</t>
  </si>
  <si>
    <t xml:space="preserve">Opportunity Neighborhoods for Latino and African American Children- Dr. George C. Galster will be involved in virtually all aspects of the proposed study. This will include quality assurance activities, model estimation, data analysis, manuscript preparation and dissemination of research findings to policymakers and at professional conferences. He will supervise all WSU project staff, ensure timely management and appropriate utilizations of funds, as well as adherence to the IRB and Data Confidentiality protocols. </t>
  </si>
  <si>
    <t>14.524 Transformation Initiative Research Grants: Natural Experiments</t>
  </si>
  <si>
    <t>S367B120019</t>
  </si>
  <si>
    <t>820004408-130290</t>
  </si>
  <si>
    <t>This project supports the Great Lakes Restoration Initiative and the Great Lakes Water Quality Agreement, pursuant to Public Law 113-6. The project w</t>
  </si>
  <si>
    <t>Reducing Exposure to Toxic Substances from Fish Consumption</t>
  </si>
  <si>
    <t>66.469 Great Lakes Program</t>
  </si>
  <si>
    <t>12122MI013W5003</t>
  </si>
  <si>
    <t>INGHAM COUNTY HEALTH DEPARTMENT</t>
  </si>
  <si>
    <t>INGHAM, COUNTY OF</t>
  </si>
  <si>
    <t>H98MC26257</t>
  </si>
  <si>
    <t>AWARENESS AND ACCESS TO CARE FOR CHILDREN AND YOUTH WITH EPILEPSY</t>
  </si>
  <si>
    <t>Epilepsy/Telemed Grant Project</t>
  </si>
  <si>
    <t>Intragraft expression to Predict Future GFR Decline in Kidney Transplantation</t>
  </si>
  <si>
    <t>MILHB051312</t>
  </si>
  <si>
    <t>HEALTHY HOMES OUTREACH</t>
  </si>
  <si>
    <t>HUD Lead-based paint hazard control</t>
  </si>
  <si>
    <t>14.900 Lead-Based Paint Hazard Control in Privately-Owned Housing; 14.905 Lead Hazard Reduction Demonstration Grant Program</t>
  </si>
  <si>
    <t>261482085M3002</t>
  </si>
  <si>
    <t>Madison Avenue, St. Antoine to Randolph, City The City of Detroit will construct a streetscape project on Madison Av</t>
  </si>
  <si>
    <t xml:space="preserve">The City of Detroit will construct a streetscape project on Madison Av Madison Avenue, St. Antoine to Randolph, City </t>
  </si>
  <si>
    <t>R01HL114981</t>
  </si>
  <si>
    <t>PRAGMATIC CLUSTER RANDOMIZED TRIAL OF AN ASTHMA INTERVENTION FOR URBAN TEENS</t>
  </si>
  <si>
    <t>Ann Arbor</t>
  </si>
  <si>
    <t>B11101</t>
  </si>
  <si>
    <t>Pragmatic Cluster Randomized Trial of an Asthma Intervention for Urban Teens Obligated $49,091 07/31/2013 Obligated $40,817 07/15/2014</t>
  </si>
  <si>
    <t>13132MI100S2514</t>
  </si>
  <si>
    <t>58107 46324</t>
  </si>
  <si>
    <t>Food Assistance</t>
  </si>
  <si>
    <t>1301MI1420</t>
  </si>
  <si>
    <t>2013 CHAFEE</t>
  </si>
  <si>
    <t>58107 46343</t>
  </si>
  <si>
    <t>Foster Care Summer Youth Employment Program</t>
  </si>
  <si>
    <t>93.674 Chafee Foster Care Independence Program</t>
  </si>
  <si>
    <t>2013DJBX0503</t>
  </si>
  <si>
    <t>2013 JAG grant</t>
  </si>
  <si>
    <t>Justice Assistance</t>
  </si>
  <si>
    <t>1404MI4005</t>
  </si>
  <si>
    <t>FY 2014 State Child Support</t>
  </si>
  <si>
    <t>3RD JUDICIAL CIRCUIT COURT</t>
  </si>
  <si>
    <t>PENOBSCOT BLDG 645 GRISWOLD STE 750</t>
  </si>
  <si>
    <t>CSCOM13-82003 2</t>
  </si>
  <si>
    <t>Co-op Reimbursement</t>
  </si>
  <si>
    <t>93.563 Child Support Enforcement</t>
  </si>
  <si>
    <t>2011JBFX0037</t>
  </si>
  <si>
    <t>Juvenile Accountability Block Grant</t>
  </si>
  <si>
    <t>JUVENILE SERVICES</t>
  </si>
  <si>
    <t>58107 44032</t>
  </si>
  <si>
    <t>PATH SUPPORTIVE SERVICES</t>
  </si>
  <si>
    <t>58107 44030</t>
  </si>
  <si>
    <t>PATH</t>
  </si>
  <si>
    <t>R01AR066634</t>
  </si>
  <si>
    <t>Simultaneous Targeting of IRE1a in B Cells and Macrophages for Lupus Therapy</t>
  </si>
  <si>
    <t>PROJ0006728</t>
  </si>
  <si>
    <t xml:space="preserve">The current proposed research project is based on a long-term successful collaboration between Fang and Zhang laboratories in studying the molecular mechanisms of IRE1&amp;#945; activation in autoimmune inflammatory diseases and IRE1&amp;#945; targeting in autoimmune therapy. During the last several years, we have successfully synergized the strengths of both laboratoriesÂ’ expertise and have made significant progresses as shown in our recent publications (EMBO J, 2013; JBC, 2013) as well as in the preliminary discoveries of the current proposal. This application will continue the strength of synergy to delineate the molecular mechanisms underlying how IRE1&amp;#945; activation causes lupus diseases and to evaluate the pre-clinical efficacy of IRE1&amp;#945; inhibition, by both genetic and pharmacological approaches, in lupus therapy. </t>
  </si>
  <si>
    <t>Engages AmeriCorps members in full and part-time service to meet community needs in education, the environment, health, veterans, and other areas. Co</t>
  </si>
  <si>
    <t>MACF13-82369</t>
  </si>
  <si>
    <t>AMERICORPS</t>
  </si>
  <si>
    <t>Life After Pediatric Sepsis Evaluation, LAPSE</t>
  </si>
  <si>
    <t>MACF13-82368</t>
  </si>
  <si>
    <t>UH3AR066795</t>
  </si>
  <si>
    <t>A Pragmatic Trial of Lumbar Image Reporting with Epidemiology (LIRE)</t>
  </si>
  <si>
    <t>2799 West Grand Boulevard, Detroit</t>
  </si>
  <si>
    <t>93.310 Trans-NIH Research Support</t>
  </si>
  <si>
    <t>A Self-Regulation Intervention for Older Adults with Asthma</t>
  </si>
  <si>
    <t>R21CA179652</t>
  </si>
  <si>
    <t>Targeted Platinates/siRNA Combination Therapy for Resistant Lung Cancer</t>
  </si>
  <si>
    <t>500331-78050</t>
  </si>
  <si>
    <t>MACF14-82371</t>
  </si>
  <si>
    <t>S367A120021</t>
  </si>
  <si>
    <t>MN</t>
  </si>
  <si>
    <t>New Paradigm Loving Academy</t>
  </si>
  <si>
    <t>1000 LYNN ST</t>
  </si>
  <si>
    <t>82735-130520</t>
  </si>
  <si>
    <t>Rutherford Winans Academy</t>
  </si>
  <si>
    <t>82748-130520</t>
  </si>
  <si>
    <t>JOY PREPARATORY ACADEMY</t>
  </si>
  <si>
    <t>1129 OAKMAN BLVD</t>
  </si>
  <si>
    <t>82958-130520</t>
  </si>
  <si>
    <t>U58DP001973</t>
  </si>
  <si>
    <t>MICHIGAN COLLABORATIVE PREVENTION PROJECTS (BRFSS, DIABETES, TOBACCO AND HEALTHY</t>
  </si>
  <si>
    <t>CHERRY STREET HEALTH SERVICES</t>
  </si>
  <si>
    <t>CHERRY STREET SERVICES, INC.</t>
  </si>
  <si>
    <t>Diabetes, Tobacco, BRFSS</t>
  </si>
  <si>
    <t xml:space="preserve">93.283 Centers for Disease Control and Prevention_Investigations and Technical Assistance ; 93.520 Centers for Disease Control and Prevention Â–Affordable Care Act (ACA) Â– Communities Putting Prevention to Work ; 93.723 ARRA - Prevention and Wellness-State, Territories and Pacific Islands; 93.544 The Patient Protection and Affordable Care Act of 2010 (Affordable Care Act) authorizes Coordinated Chronic Disease prevention and Health Promotion Program </t>
  </si>
  <si>
    <t>1502MITANF</t>
  </si>
  <si>
    <t>2015 TANF</t>
  </si>
  <si>
    <t>HYR13-82001</t>
  </si>
  <si>
    <t>rape prevention and prevention of out of wedlock pregnancy.</t>
  </si>
  <si>
    <t>FF13-13001</t>
  </si>
  <si>
    <t>NON-ASSISTANCE TANF</t>
  </si>
  <si>
    <t>1501MIRSOC</t>
  </si>
  <si>
    <t>FY 2015 Refugee Social Services</t>
  </si>
  <si>
    <t>RAES13-82001</t>
  </si>
  <si>
    <t>REFUGEE ASSISTANCE</t>
  </si>
  <si>
    <t>RAES13-63001</t>
  </si>
  <si>
    <t>D89MC23151</t>
  </si>
  <si>
    <t>Affordable Care Act - Maternal, Infant and Early Childhood Home Visiting Program</t>
  </si>
  <si>
    <t>Early Childhood Home Visiting Program</t>
  </si>
  <si>
    <t>93.505 Affordable Care Act (ACA) Maternal, Infant, and Early Childhood Home Visiting Program</t>
  </si>
  <si>
    <t>Genetic Services Project</t>
  </si>
  <si>
    <t>R01HD071915</t>
  </si>
  <si>
    <t>Impact of Emergency Department Probiotic Treatment of Pediatric Gastroenteritis</t>
  </si>
  <si>
    <t>WU-14-228</t>
  </si>
  <si>
    <t xml:space="preserve">Scope of Work  Dr. Prashant Mahajanl will serve as site principal investigator. He will devote 2% effort to oversee site-specific personnel, patient enrollment, data collection </t>
  </si>
  <si>
    <t>HEALTH DEPARTMENT OF NORTHWEST MICHIGAN</t>
  </si>
  <si>
    <t>NORTH WEST MICHIGAN COMMUNITY HEALTH AGENCY</t>
  </si>
  <si>
    <t>9009627_WayneSU_Flaherty</t>
  </si>
  <si>
    <t>1402MIAEGP</t>
  </si>
  <si>
    <t>2014 Abstinence</t>
  </si>
  <si>
    <t>UB4HP19064</t>
  </si>
  <si>
    <t>Geriatric Education Centers</t>
  </si>
  <si>
    <t>61-0038WSU</t>
  </si>
  <si>
    <t>Annual "Issues on Aging" conference delivered on a yearly basis.</t>
  </si>
  <si>
    <t>93.969 PPHF Geriatric Education Centers</t>
  </si>
  <si>
    <t>MG14-MI-03</t>
  </si>
  <si>
    <t>U59DD000930</t>
  </si>
  <si>
    <t>IMPROVING HEALTH OF PEOPLE WITH DISABILITIES-MICHIGAN</t>
  </si>
  <si>
    <t>Health Promotion for Persons with Disabilities</t>
  </si>
  <si>
    <t>93.184 Disabilities Prevention</t>
  </si>
  <si>
    <t>U59EH000525</t>
  </si>
  <si>
    <t>Comprehensive Asthma Control Through Evidence-based Strategies and Public Health - Health Care Collaboration</t>
  </si>
  <si>
    <t>Addressing Asthma/Public Perspective</t>
  </si>
  <si>
    <t>H25PS004333</t>
  </si>
  <si>
    <t>IMPRVNG THE ST OF MI STD PRGRM THRGH ASSMT, ASSRNCE, POLCY DEV</t>
  </si>
  <si>
    <t>Improving the State of MI STD Program</t>
  </si>
  <si>
    <t>B04MC25350</t>
  </si>
  <si>
    <t>MATERNAL AND CHILD HEALTH SERVICES</t>
  </si>
  <si>
    <t>Maternal and Child Health Services</t>
  </si>
  <si>
    <t>93.994 Maternal and Child Health Services Block Grant to the States</t>
  </si>
  <si>
    <t>Detrot</t>
  </si>
  <si>
    <t>H98MC20273</t>
  </si>
  <si>
    <t>AWARENESS AND ACCESS TO CARE FOR CHILDREN AND YOUTHS WITH EPILEPSY</t>
  </si>
  <si>
    <t>Awareness &amp; Accessibility to Care for Children and Youths with Epilepsy</t>
  </si>
  <si>
    <t>261382239L23R1</t>
  </si>
  <si>
    <t>Evergreen St 3 locations from Evergreen to Livernois, Wayne  2.02 miles of cold milling hot mix asphalt surface, hot mix asphalt</t>
  </si>
  <si>
    <t xml:space="preserve">Evergreen St 3 locations from Evergreen to Livernois, Wayne  2.02  miles of cold milling hot mix asphalt surface, hot mix asphalt s </t>
  </si>
  <si>
    <t>AD241951355A48</t>
  </si>
  <si>
    <t>CHICAGO</t>
  </si>
  <si>
    <t>PY13CSS</t>
  </si>
  <si>
    <t xml:space="preserve">Carry out local SCSEP activities including recruitment, cash management, identification of host agency training sites, identification and removal of unsubsidized employment barriers, and job search. </t>
  </si>
  <si>
    <t>261382239L23R2</t>
  </si>
  <si>
    <t>SM01602312</t>
  </si>
  <si>
    <t>PATH Formula Grant</t>
  </si>
  <si>
    <t>93.150 Projects for Assistance in Transition from Homelessness (PATH)</t>
  </si>
  <si>
    <t>LIFEWAYS MCO</t>
  </si>
  <si>
    <t>LIFEWAYS MANAGED CARE ORGANIZATION</t>
  </si>
  <si>
    <t>SM01602313</t>
  </si>
  <si>
    <t>AD255341455A48</t>
  </si>
  <si>
    <t>PY14CHICAGO</t>
  </si>
  <si>
    <t>X02MC23110</t>
  </si>
  <si>
    <t>Affordable Care Act (ACA) Maternal, Infant and Early Childhood Home Visiting Program</t>
  </si>
  <si>
    <t>C A C S</t>
  </si>
  <si>
    <t>Home Visiting Program</t>
  </si>
  <si>
    <t>MACOMB COUNTY COMMUNITY MENTAL HEALTH</t>
  </si>
  <si>
    <t>COMMUNITY MENTAL HEALTH AUTHORITY OF CLINTON, EATON &amp; INGHAM COUNTIES</t>
  </si>
  <si>
    <t>R21ES024470</t>
  </si>
  <si>
    <t>Mechanisms of fibrosis exacerbation by trichloroethylene in hepatic autoimmunity</t>
  </si>
  <si>
    <t>RC104066WSU</t>
  </si>
  <si>
    <t>Conduct assays of TCE metabolism in samples of liver, serum, and urine from TCE exposed mice. Measurement of TCE, TCA, DCA, TCOH, and glucuronide (TCOG) by GC; measurement of DCVC and DCVG formation by HPLC</t>
  </si>
  <si>
    <t>93.113 Environmental Health</t>
  </si>
  <si>
    <t>TI025348</t>
  </si>
  <si>
    <t>Michigan Housing and Recovery Initiative</t>
  </si>
  <si>
    <t>261482138M0031</t>
  </si>
  <si>
    <t>City of Detroit, City wide Install APUs on up to 33 Ambulances</t>
  </si>
  <si>
    <t xml:space="preserve">Install APUs on up to 33 Ambulances City of Detroit, City wide </t>
  </si>
  <si>
    <t>V002A130023</t>
  </si>
  <si>
    <t>82010-141130</t>
  </si>
  <si>
    <t>Siena Literacy Center Inc</t>
  </si>
  <si>
    <t>16888 TRINITY ST</t>
  </si>
  <si>
    <t>820001534-141130</t>
  </si>
  <si>
    <t>820004408-141130</t>
  </si>
  <si>
    <t>W911NF1410378</t>
  </si>
  <si>
    <t>Precision Chemical Dynamics and Quantum Control of Ultracold Molecular Ion Reactions</t>
  </si>
  <si>
    <t>1000 G SA784</t>
  </si>
  <si>
    <t>Develop, characterzie and expand range of reactant species of merged beam approach. Modified according to the evolving needs and findings of the groups working on the ion-trap and reaction dynamics experiments.</t>
  </si>
  <si>
    <t>820001531-141130</t>
  </si>
  <si>
    <t>990000220-141130</t>
  </si>
  <si>
    <t>820001016-141130</t>
  </si>
  <si>
    <t>261482134LZ2E2</t>
  </si>
  <si>
    <t>Beck Road at Saltz Road, Wayne County Traffic Signal Installation.</t>
  </si>
  <si>
    <t xml:space="preserve">Traffic Signal Installation. Beck Road at Saltz Road, Wayne County </t>
  </si>
  <si>
    <t>Homeless Prevention and Rapid Re-housing</t>
  </si>
  <si>
    <t>Rapid Re-Housing</t>
  </si>
  <si>
    <t>Warming Center</t>
  </si>
  <si>
    <t>Homeless Prevention, Warming Center, and Emergency Shelter Rehabilitation</t>
  </si>
  <si>
    <t>Rapid Re-Housing Program</t>
  </si>
  <si>
    <t>E13MC260006</t>
  </si>
  <si>
    <t>Emergency Shelter</t>
  </si>
  <si>
    <t>Emergency shelter services.</t>
  </si>
  <si>
    <t>Funding for Emergency Shelter Services</t>
  </si>
  <si>
    <t>Funding for emergency shelter services and warming center.</t>
  </si>
  <si>
    <t>COMMUNITY &amp; HOME SUPPORTS INC</t>
  </si>
  <si>
    <t>2111 WOODWARD AVE STE 608</t>
  </si>
  <si>
    <t>Funding for rapid rehousing and homeless prevention.</t>
  </si>
  <si>
    <t>Rapid Rehousing</t>
  </si>
  <si>
    <t>Funding for emergency shelter services</t>
  </si>
  <si>
    <t>Emergency shelter services</t>
  </si>
  <si>
    <t>M13MC260202</t>
  </si>
  <si>
    <t>HOME Program</t>
  </si>
  <si>
    <t>R01CA136861</t>
  </si>
  <si>
    <t>Life Course Energy Balance and Breast Cancer Risk in Black/White Women Under 50</t>
  </si>
  <si>
    <t xml:space="preserve">Scope of Work Wayne State University   The objectives of this study are to investigate whether lifecourse energy balance-related factors or polymorphic variation in candidate genes in energy balance pathways influence risk of specific breast tumor subtypes in a socioeconomically diverse population of African American and white non-Hispanic women &lt; 50 years of age. We will also assist in the storage of blood, tumor tissue and DNA for future studies. The study will be conducted in the Metropolitan Detroit (Oakland, Wayne, and Macomb counties) and the Los Angeles County areas. A total of 2,000 breast cancer cases diagnosed in September 1, 2010 - August 31, 2015 and 2,000 control subjects identified through a population-based sample design will be recruited and enrolled for study. Black and White women will be equally represented. Data on women with breast cancer will be identified by the NCI SEER Metropolitan Detroit Cancer Surveillance System (Oakland, Wayne, and Macomb counties) through Wayne State University/Karmanos Cancer Institute and the Los Angeles County Cancer Surveillance Program through the University of Southern California. Information from each cancer surveillance program will be provided to investigators at each data collection study site Â– Wayne State University/Karmanos Cancer Insitute and University of Southern California. Information for control participants will be identified by WESTSTAT Inc, provided to University of Wisconsin-Milwaukee (UWM) and in turn provided to each study site for follow-up data collection.  Each study site (Wayne State University and University of Southern California) will conduct all data collection efforts, as outlined below, for study participants.    </t>
  </si>
  <si>
    <t>MI34000302</t>
  </si>
  <si>
    <t>2013&amp;2014 5339 for Bus/Equip/Facili</t>
  </si>
  <si>
    <t>12-0170/P30</t>
  </si>
  <si>
    <t>Up to one  &lt;30 ft replacement bus with lift</t>
  </si>
  <si>
    <t>323-14-MI-03</t>
  </si>
  <si>
    <t>MIH13F001</t>
  </si>
  <si>
    <t>DEPARTMENT OF HEALTH AND WELLNESS PROMOTION</t>
  </si>
  <si>
    <t>1600 W LAFAYETTE STE 200</t>
  </si>
  <si>
    <t>HOPWA funding</t>
  </si>
  <si>
    <t>MI20133</t>
  </si>
  <si>
    <t>MEDICAID ENTITLEMENT FOR MICHIGAN - FY 2013 QUARTER 3 - T19</t>
  </si>
  <si>
    <t>Eye Care Services</t>
  </si>
  <si>
    <t>7800 W OUTER DR LBBY</t>
  </si>
  <si>
    <t>Medicaid Services - Medical Assistance Payments</t>
  </si>
  <si>
    <t>MI20134</t>
  </si>
  <si>
    <t>MEDICAID ENTITLEMENT FOR MICHIGAN - FY 2013 QUARTER 4 - T19</t>
  </si>
  <si>
    <t>JACKSON, COUNTY OF</t>
  </si>
  <si>
    <t>RICE MEMORIAL CENTER</t>
  </si>
  <si>
    <t>CHIPPEWA, COUNTY OF</t>
  </si>
  <si>
    <t>U01HG007031</t>
  </si>
  <si>
    <t>Removing statistical bottle-necks in data analysis for the ENCODE Consortium</t>
  </si>
  <si>
    <t>The specific role of co-investigator Dr. Lipovich within the Berkeley project Â“Removing statistical bottle-necks in data analysis for the ENCODE Consortium,Â” an NIH (NHGRI) ENCODE U01 project, will be to carry out one aspect of Aim 4 (inference and characterization of complex quantitative networks) and all wet-lab work in Aim 5 (rapid prototyping of modeling paradigms via targeted validation). In Aim 4, Dr. LipovichÂ’s lab will analyze specific models of biological systems and collaboratively with Dr. Ben Brown, will convert targeted predictions into concrete, testable hypotheses about the underlying gene regulatory networks. Furthermore Dr. Lipovich will curate fitted network components to distinguish protein-coding and noncoding-RNA nodes, and to differentiate cis-regulatory networks (encoded by multiple genes in the same genomic locus) from trans-regulatory networks.  In Aim 5, assisted by his lab technician Becky Cai, Dr. Lipovich will design and systematically implement RNAi-based knockdowns of genes that reside in the networks inferred in Aim 4. All validations will be performed in an ENCODE human cell line, and for each validation, the particular cell line will be chosen using information from the fitted models.  A single validation experiment is defined as follows: we will conduct a siRNA knockdown of a network component gene. We will verify, by quantitative real-time PCR / qRTPCR, that the knockdown was successful, and will determine, also by qRTPCR, if other perturbation of the target component. For 50% of validation targets, we will also assess the phenotypic impact (rather than solely the impact on gene expression levels) of a successful perturbation (see Aim 5). Two biological replicates of each experiment will be performed. Per year, 50 genes will be validated as described, and 25 will be followed up by phenotypic assays. These post-RNAi assays will be specific to the known function of the perturbed network as well as to the prediction of how the network would behave upon the perturbation, and will be chosen from among four possibilities: Western blots, apoptosis (TUNL), proliferation and viability (MTS), or, if applicable, Matrigel invasion.</t>
  </si>
  <si>
    <t>93.172 Human Genome Research</t>
  </si>
  <si>
    <t>1401MIFPSS</t>
  </si>
  <si>
    <t>2014 PSSF</t>
  </si>
  <si>
    <t>FTBS13-73001</t>
  </si>
  <si>
    <t>FAMILY PRESERVATION</t>
  </si>
  <si>
    <t>CATHOLIC HUMAN SERVICES</t>
  </si>
  <si>
    <t>NATIONAL KIDNEY FOUNDATION OF MICHIGAN, INC.</t>
  </si>
  <si>
    <t>ACC</t>
  </si>
  <si>
    <t>ARAB AMERICAN AND CHALDEAN COUNCIL</t>
  </si>
  <si>
    <t>MI20131</t>
  </si>
  <si>
    <t>MEDICAID ENTITLEMENT FOR MICHIGAN - FY 2013 QUARTER 1 - T19</t>
  </si>
  <si>
    <t>13WCHMI001</t>
  </si>
  <si>
    <t>Engages individuals in service in the nations lowest-performing schools to support and sustain turnaround efforts.</t>
  </si>
  <si>
    <t>MACF15-82371</t>
  </si>
  <si>
    <t>AMERICORP SCHOOL TURN AROUND</t>
  </si>
  <si>
    <t>Behavioral Treatment of Menopausal Insomnia; Sleep, Depression, Daytime Outcomes</t>
  </si>
  <si>
    <t>CAN12-82002</t>
  </si>
  <si>
    <t>MAINTAIN TWO PARENT HOUSEHOLDS</t>
  </si>
  <si>
    <t>FF13-23001</t>
  </si>
  <si>
    <t>NON ASSISTANCE TANF</t>
  </si>
  <si>
    <t>FF13-41001</t>
  </si>
  <si>
    <t>non assistance TANF</t>
  </si>
  <si>
    <t>RAES13-13001</t>
  </si>
  <si>
    <t>1501MIRCMA</t>
  </si>
  <si>
    <t>FY 2015 Cash and Medical Assistance</t>
  </si>
  <si>
    <t>RAES13-50001</t>
  </si>
  <si>
    <t>The Healthy Homes Section (HHS) of the Michigan Department of Community Health is seeking this grant to continue to expand the state's lead-based pai</t>
  </si>
  <si>
    <t>EPA - State Lead Grant</t>
  </si>
  <si>
    <t>66.707 TSCA Title IV State Lead Grants Certification of Lead-Based Paint Professionals</t>
  </si>
  <si>
    <t>VHS SINAI-GRACE HOSPITAL, INC</t>
  </si>
  <si>
    <t>SINAI-GRACE HOSPITAL</t>
  </si>
  <si>
    <t>6071 W OUTER DR</t>
  </si>
  <si>
    <t>INGHAM INTERMEDIATE SCHOOL DISTRICT</t>
  </si>
  <si>
    <t>UM1AI069503</t>
  </si>
  <si>
    <t>Terry Beirn CPCRA Clinical Trials Unit</t>
  </si>
  <si>
    <t>13-M119</t>
  </si>
  <si>
    <t>CPCRA Clinical Trials Unit</t>
  </si>
  <si>
    <t>HYR13-82002</t>
  </si>
  <si>
    <t>RAPE PREVENTION AND PREVENTION OF OUT OF WEDLOCK PREGNANCY</t>
  </si>
  <si>
    <t>DV11-82002</t>
  </si>
  <si>
    <t>STOP DOMESTIC VIOLENCE</t>
  </si>
  <si>
    <t>FF13-82001</t>
  </si>
  <si>
    <t>RAFG13-33001</t>
  </si>
  <si>
    <t>MACF15-82367</t>
  </si>
  <si>
    <t>Americorp</t>
  </si>
  <si>
    <t>13132MI003W1003</t>
  </si>
  <si>
    <t>Women Infant and Children Adm</t>
  </si>
  <si>
    <t>EMW2014EP00023</t>
  </si>
  <si>
    <t>GRANT TO LOCAL GOVERNMENT FOR REPAIR OR REPLACEMENT OF DISASTER DAMAGED FACILITIES</t>
  </si>
  <si>
    <t>FY 2014 EMPG</t>
  </si>
  <si>
    <t>FY 2014 EMPG Award</t>
  </si>
  <si>
    <t>DETROIT URBAN LEAGUE</t>
  </si>
  <si>
    <t>208 MACK AVE</t>
  </si>
  <si>
    <t>V048A130022</t>
  </si>
  <si>
    <t>82SF06000-143510</t>
  </si>
  <si>
    <t>82010-143520</t>
  </si>
  <si>
    <t>S287C130022</t>
  </si>
  <si>
    <t>82010-142110</t>
  </si>
  <si>
    <t>820004408-143260</t>
  </si>
  <si>
    <t>Omankane The Collective</t>
  </si>
  <si>
    <t>17357 WASHBURN ST</t>
  </si>
  <si>
    <t>990000147-142110</t>
  </si>
  <si>
    <t>84060-143520</t>
  </si>
  <si>
    <t>DON BOSCO HALL INC</t>
  </si>
  <si>
    <t>2340 CALVERT ST</t>
  </si>
  <si>
    <t>820008004-142110</t>
  </si>
  <si>
    <t>82987-142110</t>
  </si>
  <si>
    <t>82731-142110</t>
  </si>
  <si>
    <t>820004408-142110</t>
  </si>
  <si>
    <t>82998-142110</t>
  </si>
  <si>
    <t>TI01002614</t>
  </si>
  <si>
    <t>Substance Abuse Prevention &amp; Treatment Block Grant</t>
  </si>
  <si>
    <t>R01GM062444</t>
  </si>
  <si>
    <t>Using Dendrimers to Design Multivalent Therapeutic Agents</t>
  </si>
  <si>
    <t>G121-13-W4198</t>
  </si>
  <si>
    <t>Using Dendrimers in Cancer Studies</t>
  </si>
  <si>
    <t>SCORE2 Comparative Trial (SCT)</t>
  </si>
  <si>
    <t>WUKEY023533</t>
  </si>
  <si>
    <t>Subaward for Score2 Comparative Trial (SCT)</t>
  </si>
  <si>
    <t>SM01006114</t>
  </si>
  <si>
    <t>Block Grants for Community Mental Health Services</t>
  </si>
  <si>
    <t>COVENANT COMMUNITY CARE, INC.</t>
  </si>
  <si>
    <t>559 W GRAND BLVD</t>
  </si>
  <si>
    <t>ATLANTA</t>
  </si>
  <si>
    <t>GA</t>
  </si>
  <si>
    <t>AD RESIDENTIAL</t>
  </si>
  <si>
    <t>14132MI810N8103</t>
  </si>
  <si>
    <t>Child Nutrition Discretionary Grants Limited Availability</t>
  </si>
  <si>
    <t>82060-141990</t>
  </si>
  <si>
    <t>10.579 Child Nutrition Discretionary Grants Limited Availability</t>
  </si>
  <si>
    <t>Futility Study of Deferoxamine Mesylate in Intracerebral Hemorrhage (i-DEF)</t>
  </si>
  <si>
    <t>14142IL120Q7503</t>
  </si>
  <si>
    <t>FCSTG03525</t>
  </si>
  <si>
    <t>SNAP JOB PLACEMENT</t>
  </si>
  <si>
    <t>82010-141990</t>
  </si>
  <si>
    <t>R01CA123451</t>
  </si>
  <si>
    <t>Tryptophan metabolism in human brain tumors</t>
  </si>
  <si>
    <t>WSU14052</t>
  </si>
  <si>
    <t xml:space="preserve">This subaward entity is responsible for the availability of the [C-11] methyl-L-tryptophan necessary for the is project even in patients who have to be scanned on a short notice because they need surgery.  This subaward entity will also perform radiosynthesis and supervise other radiochemistry personnel working on reliable production of the radiotracer.  Finally, they will consult with the Principal Investigator and Co-Investigators in any issues related to AMT chemistry.  </t>
  </si>
  <si>
    <t>H133G130207</t>
  </si>
  <si>
    <t>METROPOLITAN DETROIT CENTER FOR INDEPENDENT LIVING</t>
  </si>
  <si>
    <t>5555 CONNER ST STE 2224</t>
  </si>
  <si>
    <t>203OSC416</t>
  </si>
  <si>
    <t>Disability Network Wayne County/Detroit will identify two male Disability Network staff members who have an interest in the project work focus topic and who commit to work in the role of Peer Researchers for the project over its three-year life.</t>
  </si>
  <si>
    <t>1201MICA01</t>
  </si>
  <si>
    <t>2012NCCAN</t>
  </si>
  <si>
    <t>ADMIN12-99004</t>
  </si>
  <si>
    <t>CPS MEDICAL EDUCATION TRAINING VOUCHERS</t>
  </si>
  <si>
    <t>93.669 Child Abuse and Neglect State Grants</t>
  </si>
  <si>
    <t>DV11-82002 5</t>
  </si>
  <si>
    <t>93.671 Family Violence Prevention and Services/Domestic Violence Shelter and Supportive Services</t>
  </si>
  <si>
    <t>STOPU12-82001 4</t>
  </si>
  <si>
    <t>STOP11-82001 5</t>
  </si>
  <si>
    <t>E14DC260001</t>
  </si>
  <si>
    <t>3701 MIRACLES BLVD # 101</t>
  </si>
  <si>
    <t>HML-2014-Homeless-5839-ESF</t>
  </si>
  <si>
    <t>Michigan State Housing Development Authority has awarded $301,979 to Homeless Action Network of Detroit (HAND), as the Fiduciary for Wayne CoC serving homeless or at risk of homeless population in Wayne County from 10/1/2014 through 09/30/2015. With these funds, Wayne County will serve 37 individuals, 33 households and 99 families with children. In accordance with the grant and the Memorandum of Understanding, the Fiduciary will administer/monitor grant funds for the following sub grantees: Southwest Counseling Solutions: $160,825 for Rapid Rehousing, $116,584 for Prevention Assistance, $9,000 for HMIS and $10,004 for Administrative Costs; Homeless Action Network of Detroit: $5,566 for Administrative Costs.</t>
  </si>
  <si>
    <t>STOP11-82002 5</t>
  </si>
  <si>
    <t>261482136L2301</t>
  </si>
  <si>
    <t>Mack Avenue at Cadieux Road and Rivard Boulevard / Marseille Traffic signal improvements.</t>
  </si>
  <si>
    <t>Traffic signal improvements.</t>
  </si>
  <si>
    <t>261482136L2302</t>
  </si>
  <si>
    <t>82SF06000-141130</t>
  </si>
  <si>
    <t>820001533-141130</t>
  </si>
  <si>
    <t>82SF06000-141190</t>
  </si>
  <si>
    <t>Detroit Literacy Coalition</t>
  </si>
  <si>
    <t>5057 WOODWARD AVE STE 11207-2</t>
  </si>
  <si>
    <t>820001524-141130</t>
  </si>
  <si>
    <t>115-9341-HFHS-02</t>
  </si>
  <si>
    <t>The Cancer Research Network (CRN) is an NCI-funded initiative to support and facilitate cancer research based in non-profit integrated health care delivery settings.</t>
  </si>
  <si>
    <t>B13CBMD0001</t>
  </si>
  <si>
    <t>Midtown Detroit Inc</t>
  </si>
  <si>
    <t>14L0035</t>
  </si>
  <si>
    <t>Borrower must use the Loan proceeds to fund costs in connection with its working capital needs and predevelopment expenses associated with its various projects throughout the Midtown Neighborhood of Detroit, Michigan (the "Project").  The Loan will help to further Borrower's mission to preserve and expand quality affordable housing in Detroit.</t>
  </si>
  <si>
    <t>14SG4967</t>
  </si>
  <si>
    <t>This grant will support predevelopment expenses associated with the new construction of a transit-oriented mixed-use residential/commercial building located at 9100 Gratiot. Specifically funds will be used for staff salaries related to predevelopment of the project.</t>
  </si>
  <si>
    <t>14SG4979</t>
  </si>
  <si>
    <t>This grant will help to implement an equitable transit-oriented development project focused on two key commercial nodes in Detroit: Van Dyke/East Jefferson and Chalmers/East Jefferson. Specifically, funds will be used for staff and consultant costs.</t>
  </si>
  <si>
    <t>Deliberative Engagement of Communities in Decisions about Research Spending</t>
  </si>
  <si>
    <t>1. Assist in the overall planning the project in its entirety  2.Provide leadership and direction to the team 3.Participate in the design of survey instruments by reviewing and prioritizing domains and identifying measures of greatest impact 4.Participate</t>
  </si>
  <si>
    <t>The main objective of the project is to demonstrate the value of a multi-centered ED research network designed primarily to conduct investigations on the efficacy of treatments, transport and care responses in pediatric emergency care.</t>
  </si>
  <si>
    <t>The project is requesting add additional funding to the Wayne State/RIM (already approved by the Sponsor) for continuation of the project goals. WSU/RIM are co-leading experts (along with UM PM&amp;R) in the field of TBI and as such, have a unique knowledge o</t>
  </si>
  <si>
    <t>UH2AT007755</t>
  </si>
  <si>
    <t>PRAGMATIC TRIAL OF POPULATION-BASED PROGRAMS TO PREVENT SUICIDE ATTEMPT</t>
  </si>
  <si>
    <t>Two distinct approaches to selective prevention of suicide attempt have been identified. This first (exemplified by the successful suicide prevention program at the Subawardee) focuses on more accurate assessment of risk and establishment of standard treatment pathways for high-risk patients. The second (exemplified by the Dialectical Behavior Therapy (DBT) or DBT treatment developed by Dr. Marsha Linehan at the University of Washington) focuses on patient-centered interventions to develop emotional regulation skills.  This project proposed a large, pragmatic trial to examine two specific selective prevention programs. Both programs are based in a re-conceptualization of suicidal ideation as an enduring vulnerability rather than a short-term crisis. The trial would be conducted in 3 or more large, integrated health care systems. During the full randomized trial, we propose to enroll approximately 16,000 adults for whom responses to Item 9 of the PHQ depression scale (regarding thoughts of death or suicide) indicate elevated risk. Participants will be randomly assigned to continued usual care or usual care plus one of the two prevention programs:  Â• A systema</t>
  </si>
  <si>
    <t>R01AI109139</t>
  </si>
  <si>
    <t>Prophylaxis of Clostridium difficile infection</t>
  </si>
  <si>
    <t>15-789B-A-00</t>
  </si>
  <si>
    <t>The Firestine lab will be in charge of the synthesis of new anti-germinant analogs. CamSA was identified in a study designed to map interactions between germinants and C. difficile spores. As such CamSA has not been optimized as a pharmacophore. Three different sets of analogs will be synthesized: The first set will include amide isosteres to improve stability. The second set will have side chain modifications to increase activity. The third set will consist of multivalent analogs. The Firestine lab is expected to synthesize roughly 200 CamSA analogs/year.</t>
  </si>
  <si>
    <t>B01DP009028</t>
  </si>
  <si>
    <t>PREVENTIVE HEALTH SERVICES</t>
  </si>
  <si>
    <t>Preventitive Health Services</t>
  </si>
  <si>
    <t>93.991 Preventive Health and Health Services Block Grant</t>
  </si>
  <si>
    <t>U58SO000004</t>
  </si>
  <si>
    <t>SO11-1101, Behavioral Risk Factor Surveillance System (BRFSS)</t>
  </si>
  <si>
    <t>Behavioral Risk Factor Survey (BRFS) Asthma Call Back Survey</t>
  </si>
  <si>
    <t>93.283 Centers for Disease Control and Prevention_Investigations and Technical Assistance ; 93.988 Cooperative Agreements for State-Based Diabetes Control Programs and Evaluation of Surveillance Systems; 93.745 PPHF: Health Care Surveillance/Health Statistics Â– Surveillance Program Announcement: Behavioral Risk Factor Surveillance System Financed in Part by Prevention and Public Health Fund</t>
  </si>
  <si>
    <t>U58DP004867</t>
  </si>
  <si>
    <t>MICHIGAN WISEWOMEN PROJECT</t>
  </si>
  <si>
    <t>93.094 Well-Integrated Screening and Evaluation for Women Across the Nation</t>
  </si>
  <si>
    <t>H23IP000711</t>
  </si>
  <si>
    <t>CAPACITY BUILDING MICHIGAN IMMUNIZATION PROGRAM. AREAS OF FOCUS FOR THIS GRANT AR</t>
  </si>
  <si>
    <t>Capacity Building Michigan Immunization Pt 0</t>
  </si>
  <si>
    <t>93.268 Immunization Cooperative Agreements; 93.733 Capacity Building Assistance to Strengthen Public Health Immunization Infrastructure and Performance Â– financed in part by the Prevention and Public Health Fund (PPHF)</t>
  </si>
  <si>
    <t>H12HA24795</t>
  </si>
  <si>
    <t>Ryan White Title IV Women, Infants, Children, Youth and  Affected Family Members AIDS Healthcare</t>
  </si>
  <si>
    <t>Ryan White Title IV Program - Part D</t>
  </si>
  <si>
    <t>93.153 Coordinated Services and Access to Research for Women, Infants, Children, and Youth</t>
  </si>
  <si>
    <t>UD7HP25052</t>
  </si>
  <si>
    <t>Nurse Education, Practice, Quality, and Retention - Interprofessional Collborative Practice</t>
  </si>
  <si>
    <t>Nurse Ed, Practice, Quality, Retention</t>
  </si>
  <si>
    <t>93.359 Nurse Education, Practice Quality and Retention Grants</t>
  </si>
  <si>
    <t>X07HA00044</t>
  </si>
  <si>
    <t>RYAN WHITE CARE ACT TITLE II</t>
  </si>
  <si>
    <t>Title II HIV Care Grant</t>
  </si>
  <si>
    <t>93.917 HIV Care Formula Grants</t>
  </si>
  <si>
    <t>VOICES OF DETROIT INTIATIVE</t>
  </si>
  <si>
    <t>4201 SAINT ANTOINE ST</t>
  </si>
  <si>
    <t>MERCY HEALTH SAINT MARY'S</t>
  </si>
  <si>
    <t>SM01002614</t>
  </si>
  <si>
    <t>MI95X11300</t>
  </si>
  <si>
    <t>FY2014 CMAQ M-1 RAIL Streetcars</t>
  </si>
  <si>
    <t>M-2 RAIL</t>
  </si>
  <si>
    <t>600 RENAISSANCE CTR STE 1740</t>
  </si>
  <si>
    <t>Up to two streetcars from Larned to Bethune, along M-1 Detroit, Michigan.</t>
  </si>
  <si>
    <t>20.507 Federal Transit_Formula Grants</t>
  </si>
  <si>
    <t>SM01602314</t>
  </si>
  <si>
    <t>ALLEGAN, COUNTY OF</t>
  </si>
  <si>
    <t>B14UC260003</t>
  </si>
  <si>
    <t>URBAN COUNTIES</t>
  </si>
  <si>
    <t>DETROIT RECOVERY PROJECT</t>
  </si>
  <si>
    <t>1121 E MCNICHOLS RD</t>
  </si>
  <si>
    <t>B14UC26003</t>
  </si>
  <si>
    <t>CDBG</t>
  </si>
  <si>
    <t>C A R E S</t>
  </si>
  <si>
    <t>MEADOWS GOLF CLUB , THE</t>
  </si>
  <si>
    <t>COMMUNITY A I D S RESOURCE &amp; EDUCATION SERVICES INC</t>
  </si>
  <si>
    <t>HIV AIDS RESOURCE CENTER</t>
  </si>
  <si>
    <t>CENTRAL MI DISTRICT HEALTH DEPARTMART</t>
  </si>
  <si>
    <t>WELLNESS SERVICES</t>
  </si>
  <si>
    <t>1201MIPREP</t>
  </si>
  <si>
    <t>2012 PREP</t>
  </si>
  <si>
    <t>2014VAGX0046</t>
  </si>
  <si>
    <t>OVC FY 14 VOCA Victim Assistance Formula</t>
  </si>
  <si>
    <t>WAYNE COUNTY PROSECUTORS OFFICE</t>
  </si>
  <si>
    <t>1441 SAINT ANTOINE ST</t>
  </si>
  <si>
    <t>2013VAGX0058</t>
  </si>
  <si>
    <t>OVC FY 13 VOCA Victim Assistance Formula</t>
  </si>
  <si>
    <t>H027A140110</t>
  </si>
  <si>
    <t>VAN BUREN TECHNICAL CENTER</t>
  </si>
  <si>
    <t>VAN BUREN INTERMEDIATE SCHOOL DISTRICT</t>
  </si>
  <si>
    <t>84060-150450</t>
  </si>
  <si>
    <t>1301MIPREP</t>
  </si>
  <si>
    <t>2013 PREP</t>
  </si>
  <si>
    <t>C A N</t>
  </si>
  <si>
    <t>S010A130022</t>
  </si>
  <si>
    <t>82970-141530</t>
  </si>
  <si>
    <t>82942-141530</t>
  </si>
  <si>
    <t>Hamilton Academy</t>
  </si>
  <si>
    <t>82733-141530</t>
  </si>
  <si>
    <t xml:space="preserve">To help improve teaching and learning in high-poverty schools in particular for children failing, or most at-risk of failing, to meet challenging State academic achievement standards. </t>
  </si>
  <si>
    <t>82950-141530</t>
  </si>
  <si>
    <t>82987-141530</t>
  </si>
  <si>
    <t>82919-141530</t>
  </si>
  <si>
    <t>82958-141530</t>
  </si>
  <si>
    <t>82701-141530</t>
  </si>
  <si>
    <t>82977-141530</t>
  </si>
  <si>
    <t>82930-141530</t>
  </si>
  <si>
    <t>82060-141530</t>
  </si>
  <si>
    <t>82974-141530</t>
  </si>
  <si>
    <t>82998-141700</t>
  </si>
  <si>
    <t>82728-141530</t>
  </si>
  <si>
    <t>82010-141530</t>
  </si>
  <si>
    <t>84060-141530</t>
  </si>
  <si>
    <t>82956-141530</t>
  </si>
  <si>
    <t>82904-141530</t>
  </si>
  <si>
    <t>84060-150480</t>
  </si>
  <si>
    <t>82727-141530</t>
  </si>
  <si>
    <t>82731-141530</t>
  </si>
  <si>
    <t>82735-141530</t>
  </si>
  <si>
    <t>8701 W VERNOR HWY STE 100</t>
  </si>
  <si>
    <t>82746-141530</t>
  </si>
  <si>
    <t>82702-141530</t>
  </si>
  <si>
    <t>82741-141530</t>
  </si>
  <si>
    <t>82724-141530</t>
  </si>
  <si>
    <t>82730-141530</t>
  </si>
  <si>
    <t>82971-141700</t>
  </si>
  <si>
    <t>82979-141530</t>
  </si>
  <si>
    <t>82933-141530</t>
  </si>
  <si>
    <t>82748-141530</t>
  </si>
  <si>
    <t>82742-141530</t>
  </si>
  <si>
    <t>DETROIT PUBLIC SAFETY ACADEMY</t>
  </si>
  <si>
    <t>1250 ROSA PARKS BLVD</t>
  </si>
  <si>
    <t>82704-141530</t>
  </si>
  <si>
    <t>82940-141530</t>
  </si>
  <si>
    <t>82991-141530</t>
  </si>
  <si>
    <t>82924-141530</t>
  </si>
  <si>
    <t>82948-141530</t>
  </si>
  <si>
    <t>82943-141530</t>
  </si>
  <si>
    <t>82732-141530</t>
  </si>
  <si>
    <t>82902-141530</t>
  </si>
  <si>
    <t>82734-141530</t>
  </si>
  <si>
    <t>82918-141530</t>
  </si>
  <si>
    <t>82752-141700</t>
  </si>
  <si>
    <t>82703-141530</t>
  </si>
  <si>
    <t>82955-141530</t>
  </si>
  <si>
    <t>82913-141530</t>
  </si>
  <si>
    <t>82957-141530</t>
  </si>
  <si>
    <t>13132MI060N1099</t>
  </si>
  <si>
    <t>990002938-130900</t>
  </si>
  <si>
    <t>63912-131970</t>
  </si>
  <si>
    <t>82913-131960</t>
  </si>
  <si>
    <t>82724-131970</t>
  </si>
  <si>
    <t>990000397-131920</t>
  </si>
  <si>
    <t>CHILDREN'S OUTREACH, INC.</t>
  </si>
  <si>
    <t>4180 MARTIN ST</t>
  </si>
  <si>
    <t>820000321-131920</t>
  </si>
  <si>
    <t>82933-131960</t>
  </si>
  <si>
    <t>82924-131970</t>
  </si>
  <si>
    <t>82913-131920</t>
  </si>
  <si>
    <t>82945-131970</t>
  </si>
  <si>
    <t>820000143-131920</t>
  </si>
  <si>
    <t>Mind N Motion</t>
  </si>
  <si>
    <t>11341 E MCNICHOLS RD</t>
  </si>
  <si>
    <t>990001362-131920</t>
  </si>
  <si>
    <t>82929-131960</t>
  </si>
  <si>
    <t>82910-141530</t>
  </si>
  <si>
    <t>82992-131960</t>
  </si>
  <si>
    <t>82060-131960</t>
  </si>
  <si>
    <t>82010-131920</t>
  </si>
  <si>
    <t>990001938-131920</t>
  </si>
  <si>
    <t>Toddlertime Child Care Center 2</t>
  </si>
  <si>
    <t>15909 W MCNICHOLS RD</t>
  </si>
  <si>
    <t>990000921-131920</t>
  </si>
  <si>
    <t>82SPX0098-131920</t>
  </si>
  <si>
    <t>82739-131960</t>
  </si>
  <si>
    <t>82750-141700</t>
  </si>
  <si>
    <t>82703-131960</t>
  </si>
  <si>
    <t>82977-131960</t>
  </si>
  <si>
    <t>82937-141530</t>
  </si>
  <si>
    <t>82933-131970</t>
  </si>
  <si>
    <t>82739-141530</t>
  </si>
  <si>
    <t>82745-141530</t>
  </si>
  <si>
    <t>820008037-131920</t>
  </si>
  <si>
    <t>Taylor Preparatory High School</t>
  </si>
  <si>
    <t>500 WOODWARD AVE STE 3500</t>
  </si>
  <si>
    <t>TAYLOR</t>
  </si>
  <si>
    <t>82756-141530</t>
  </si>
  <si>
    <t>82010-141700</t>
  </si>
  <si>
    <t>82904-131960</t>
  </si>
  <si>
    <t>82945-131960</t>
  </si>
  <si>
    <t>GLEANERS COMMUNITY FOOD BANK, INC.</t>
  </si>
  <si>
    <t>GLEANERS COMMUNITY FOOD BANK OF SOUTHEASTERN MICHIGAN</t>
  </si>
  <si>
    <t>2131 BEAUFAIT ST</t>
  </si>
  <si>
    <t>82SF13000-130900</t>
  </si>
  <si>
    <t>82992-141530</t>
  </si>
  <si>
    <t>82723-141530</t>
  </si>
  <si>
    <t>82925-141530</t>
  </si>
  <si>
    <t>82904-131970</t>
  </si>
  <si>
    <t>82947-141530</t>
  </si>
  <si>
    <t>82722-141530</t>
  </si>
  <si>
    <t>82060-130900</t>
  </si>
  <si>
    <t>82742-131960</t>
  </si>
  <si>
    <t>82983-141530</t>
  </si>
  <si>
    <t>82905-141530</t>
  </si>
  <si>
    <t>82956-131960</t>
  </si>
  <si>
    <t>82979-131960</t>
  </si>
  <si>
    <t>82SPX0044-131920</t>
  </si>
  <si>
    <t>Village Of Shiny Stars</t>
  </si>
  <si>
    <t>2639 Sturtevant St</t>
  </si>
  <si>
    <t>82SPX0043-131920</t>
  </si>
  <si>
    <t>82060-131970</t>
  </si>
  <si>
    <t>82987-131970</t>
  </si>
  <si>
    <t>Joleka Kiddies Korner Child Care</t>
  </si>
  <si>
    <t>781 E GRAND BLVD</t>
  </si>
  <si>
    <t>82SPX0029-131920</t>
  </si>
  <si>
    <t>82913-131970</t>
  </si>
  <si>
    <t>BOY SCOUTS OF AMERICA</t>
  </si>
  <si>
    <t>Boy Scouts Of America</t>
  </si>
  <si>
    <t>1776 W WARREN AVE</t>
  </si>
  <si>
    <t>82SC07500-131940</t>
  </si>
  <si>
    <t>820000181-131920</t>
  </si>
  <si>
    <t>Christ Liberty Ministry</t>
  </si>
  <si>
    <t>14305 E 7 MILE RD</t>
  </si>
  <si>
    <t>82SPX0050-131920</t>
  </si>
  <si>
    <t>82SPX0082-131920</t>
  </si>
  <si>
    <t>82SPX0053-131920</t>
  </si>
  <si>
    <t>82953-131970</t>
  </si>
  <si>
    <t>82010-130900</t>
  </si>
  <si>
    <t>82940-131960</t>
  </si>
  <si>
    <t>82930-131970</t>
  </si>
  <si>
    <t>82922-131960</t>
  </si>
  <si>
    <t>82902-131960</t>
  </si>
  <si>
    <t>82977-131970</t>
  </si>
  <si>
    <t>A PLACE OF OUR OWN</t>
  </si>
  <si>
    <t>15022 TIREMAN ST</t>
  </si>
  <si>
    <t>82SPX0092-131920</t>
  </si>
  <si>
    <t>82738-131960</t>
  </si>
  <si>
    <t>820000316-131920</t>
  </si>
  <si>
    <t>CALUMET CENTER</t>
  </si>
  <si>
    <t>Spectrum Juvenile Services</t>
  </si>
  <si>
    <t>820008050-131980</t>
  </si>
  <si>
    <t>990001052-131920</t>
  </si>
  <si>
    <t>820000251-131920</t>
  </si>
  <si>
    <t>82958-131960</t>
  </si>
  <si>
    <t>82730-131960</t>
  </si>
  <si>
    <t>82974-131970</t>
  </si>
  <si>
    <t>820107599-131960</t>
  </si>
  <si>
    <t>820008032-131970</t>
  </si>
  <si>
    <t>Tott's Early Learning Center, LLC</t>
  </si>
  <si>
    <t>20000 W CHICAGO ST</t>
  </si>
  <si>
    <t>990001579-131920</t>
  </si>
  <si>
    <t>82722-131960</t>
  </si>
  <si>
    <t>WAYNE</t>
  </si>
  <si>
    <t>82SF04000-130900</t>
  </si>
  <si>
    <t>82739-131970</t>
  </si>
  <si>
    <t>82963-131960</t>
  </si>
  <si>
    <t>14142MI060N2020</t>
  </si>
  <si>
    <t>82010-142010</t>
  </si>
  <si>
    <t>820008032-131960</t>
  </si>
  <si>
    <t>82929-141530</t>
  </si>
  <si>
    <t>82953-141530</t>
  </si>
  <si>
    <t>82724-131960</t>
  </si>
  <si>
    <t>82940-131970</t>
  </si>
  <si>
    <t>82955-131960</t>
  </si>
  <si>
    <t>82992-131970</t>
  </si>
  <si>
    <t>82950-131960</t>
  </si>
  <si>
    <t>82942-131960</t>
  </si>
  <si>
    <t>82985-141530</t>
  </si>
  <si>
    <t>63912-131960</t>
  </si>
  <si>
    <t>82963-141530</t>
  </si>
  <si>
    <t>82983-131970</t>
  </si>
  <si>
    <t>82747-141530</t>
  </si>
  <si>
    <t>82979-131970</t>
  </si>
  <si>
    <t>82997-141530</t>
  </si>
  <si>
    <t>990000801-131920</t>
  </si>
  <si>
    <t>82943-131960</t>
  </si>
  <si>
    <t>82745-131970</t>
  </si>
  <si>
    <t>82SPX0033-131920</t>
  </si>
  <si>
    <t>82987-131960</t>
  </si>
  <si>
    <t>82918-131970</t>
  </si>
  <si>
    <t>82919-131970</t>
  </si>
  <si>
    <t>82702-131920</t>
  </si>
  <si>
    <t>82997-131970</t>
  </si>
  <si>
    <t>82SPX0006-131920</t>
  </si>
  <si>
    <t>82723-131970</t>
  </si>
  <si>
    <t>82010-131970</t>
  </si>
  <si>
    <t>820000241-131920</t>
  </si>
  <si>
    <t>82930-131960</t>
  </si>
  <si>
    <t>Harvest Temple Church Of God In Christ, Inc</t>
  </si>
  <si>
    <t>4919 ELMHURST ST</t>
  </si>
  <si>
    <t>990000282-131920</t>
  </si>
  <si>
    <t>82937-131960</t>
  </si>
  <si>
    <t>82957-131960</t>
  </si>
  <si>
    <t>ROMAN CATHOLIC ARCHDIOCESE OF DETROIT</t>
  </si>
  <si>
    <t>Archdiocese Of Detroit</t>
  </si>
  <si>
    <t>1234 WASHINGTON BLVD</t>
  </si>
  <si>
    <t>ERIE</t>
  </si>
  <si>
    <t>580900108-131970</t>
  </si>
  <si>
    <t>82702-131960</t>
  </si>
  <si>
    <t>82955-131920</t>
  </si>
  <si>
    <t>82957-131970</t>
  </si>
  <si>
    <t>82745-131960</t>
  </si>
  <si>
    <t>820000060-131920</t>
  </si>
  <si>
    <t>990000958-131920</t>
  </si>
  <si>
    <t>820008050-131970</t>
  </si>
  <si>
    <t>82733-131960</t>
  </si>
  <si>
    <t>82701-131960</t>
  </si>
  <si>
    <t>82937-131970</t>
  </si>
  <si>
    <t>82727-131960</t>
  </si>
  <si>
    <t>82970-131960</t>
  </si>
  <si>
    <t>82727-131970</t>
  </si>
  <si>
    <t>82955-131970</t>
  </si>
  <si>
    <t>990000952-131920</t>
  </si>
  <si>
    <t>82905-131960</t>
  </si>
  <si>
    <t>82010-131960</t>
  </si>
  <si>
    <t>82SPX0014-131920</t>
  </si>
  <si>
    <t>82918-131960</t>
  </si>
  <si>
    <t>82943-131970</t>
  </si>
  <si>
    <t>82010-131900</t>
  </si>
  <si>
    <t>82942-131970</t>
  </si>
  <si>
    <t>M12SG260100</t>
  </si>
  <si>
    <t>M-2011-0172</t>
  </si>
  <si>
    <t>GRDC will use HOME funds for their Homeowner Home Repair Program.  0% interest deferred loans will be provided to 20 low/moderate income households within their five neighborhood service area in Detroit (Wayne County).</t>
  </si>
  <si>
    <t>82723-131960</t>
  </si>
  <si>
    <t>820000243-131920</t>
  </si>
  <si>
    <t>820000271-131920</t>
  </si>
  <si>
    <t>82956-131970</t>
  </si>
  <si>
    <t>820000200-131920</t>
  </si>
  <si>
    <t>SPRMCO15CA1014</t>
  </si>
  <si>
    <t>FY 2015 Reception and Placement</t>
  </si>
  <si>
    <t>RP15-MI-01</t>
  </si>
  <si>
    <t>FY15 Reception and Placement</t>
  </si>
  <si>
    <t>R01CA184798</t>
  </si>
  <si>
    <t>Stopping Tyrosine Kinase Inhibitors in CML Patients (Stop-TKIs)</t>
  </si>
  <si>
    <t>R01CA184798-2</t>
  </si>
  <si>
    <t>82945-141530</t>
  </si>
  <si>
    <t>82986-141530</t>
  </si>
  <si>
    <t>63912-141530</t>
  </si>
  <si>
    <t>82738-141530</t>
  </si>
  <si>
    <t>82929-131970</t>
  </si>
  <si>
    <t>820000133-131920</t>
  </si>
  <si>
    <t>580900108-131960</t>
  </si>
  <si>
    <t>82733-131970</t>
  </si>
  <si>
    <t>820000003-131920</t>
  </si>
  <si>
    <t>82919-131960</t>
  </si>
  <si>
    <t>82983-131960</t>
  </si>
  <si>
    <t>82985-131970</t>
  </si>
  <si>
    <t>ANGEL FULLER</t>
  </si>
  <si>
    <t>Angels Kiddie Kingdom Lrng Ctr</t>
  </si>
  <si>
    <t>19377 JAMES COUZENS FWY</t>
  </si>
  <si>
    <t>82SPX0102-131920</t>
  </si>
  <si>
    <t>820008050-131960</t>
  </si>
  <si>
    <t>82SF13000-131900</t>
  </si>
  <si>
    <t>82986-131960</t>
  </si>
  <si>
    <t>82974-131960</t>
  </si>
  <si>
    <t>82924-131960</t>
  </si>
  <si>
    <t>990002985-130900</t>
  </si>
  <si>
    <t>Angels Praying Child Cre</t>
  </si>
  <si>
    <t>21556 GRAND RIVER AVE</t>
  </si>
  <si>
    <t>990001414-131920</t>
  </si>
  <si>
    <t>82925-131970</t>
  </si>
  <si>
    <t>82722-131970</t>
  </si>
  <si>
    <t>82953-131960</t>
  </si>
  <si>
    <t>82950-131970</t>
  </si>
  <si>
    <t>82703-131970</t>
  </si>
  <si>
    <t>82963-131970</t>
  </si>
  <si>
    <t>82997-131960</t>
  </si>
  <si>
    <t>82SPX0012-131920</t>
  </si>
  <si>
    <t>820000275-131920</t>
  </si>
  <si>
    <t>82910-131960</t>
  </si>
  <si>
    <t>82947-131960</t>
  </si>
  <si>
    <t>Quality Child Care &amp; Learning Center I</t>
  </si>
  <si>
    <t>4719 E 7 MILE RD</t>
  </si>
  <si>
    <t>990001495-131920</t>
  </si>
  <si>
    <t>820000330-131920</t>
  </si>
  <si>
    <t>82702-131970</t>
  </si>
  <si>
    <t>82728-131960</t>
  </si>
  <si>
    <t>82985-131960</t>
  </si>
  <si>
    <t>The Nurturing Nest</t>
  </si>
  <si>
    <t>15851 W 7 MILE RD</t>
  </si>
  <si>
    <t>990001611-131920</t>
  </si>
  <si>
    <t>82925-131960</t>
  </si>
  <si>
    <t>82970-131970</t>
  </si>
  <si>
    <t>82948-131960</t>
  </si>
  <si>
    <t>990001416-131920</t>
  </si>
  <si>
    <t>820000107-131920</t>
  </si>
  <si>
    <t>820107599-131970</t>
  </si>
  <si>
    <t>82986-131970</t>
  </si>
  <si>
    <t>AA221101155A26</t>
  </si>
  <si>
    <t>WIA Youth/Adult/Dislocated Workers Formula Combined</t>
  </si>
  <si>
    <t>58107 47603</t>
  </si>
  <si>
    <t>WIA DISLOCATED WORKER</t>
  </si>
  <si>
    <t>17.278 WIA Dislocated Worker Formula Grants; 17.258 WIA Adult Program</t>
  </si>
  <si>
    <t>AA253601455A26</t>
  </si>
  <si>
    <t>58107 48524</t>
  </si>
  <si>
    <t>WIA Dislocated Worker</t>
  </si>
  <si>
    <t>17.278 WIA Dislocated Worker Formula Grants; 17.258 WIA Adult Program; 17.259 WIA Youth Activities</t>
  </si>
  <si>
    <t>AA240991355A26</t>
  </si>
  <si>
    <t>58107 48523</t>
  </si>
  <si>
    <t>17.281 Workforce Investment Act (WIA) Dislocated Worker National Reserve Technical Assistance and Training; 17.278 WIA Dislocated Worker Formula Grants; 17.258 WIA Adult Program; 17.259 WIA Youth Activities</t>
  </si>
  <si>
    <t>58107 49345</t>
  </si>
  <si>
    <t>JAG Expansion</t>
  </si>
  <si>
    <t>90RV0071</t>
  </si>
  <si>
    <t>FY 2105 Matching Grant Program</t>
  </si>
  <si>
    <t>MG15-MI-01</t>
  </si>
  <si>
    <t>FY15 Matching Grant</t>
  </si>
  <si>
    <t>ES246251355A26</t>
  </si>
  <si>
    <t>58107 51132</t>
  </si>
  <si>
    <t>17.207 Employment Service/Wagner-Peyser Funded Activities; 17.225 Unemployment Insurance</t>
  </si>
  <si>
    <t>TA243491355A26</t>
  </si>
  <si>
    <t>58107 51168</t>
  </si>
  <si>
    <t>TRADE REVERSION 2014</t>
  </si>
  <si>
    <t>58107 51166</t>
  </si>
  <si>
    <t>58107 47202</t>
  </si>
  <si>
    <t>EARN AND LEARN</t>
  </si>
  <si>
    <t>AA229421255A26</t>
  </si>
  <si>
    <t>58107 48522</t>
  </si>
  <si>
    <t>58107 48514</t>
  </si>
  <si>
    <t>WIA Youth</t>
  </si>
  <si>
    <t>58107 48504</t>
  </si>
  <si>
    <t>WIA Adult</t>
  </si>
  <si>
    <t>58107 49332</t>
  </si>
  <si>
    <t>MWSC</t>
  </si>
  <si>
    <t>58107 48513</t>
  </si>
  <si>
    <t>58107 48503</t>
  </si>
  <si>
    <t>WIA ADULT</t>
  </si>
  <si>
    <t>EM244571360A26</t>
  </si>
  <si>
    <t>NEG</t>
  </si>
  <si>
    <t>58107 48902</t>
  </si>
  <si>
    <t>NEG DW TRAINING FY13</t>
  </si>
  <si>
    <t>17.277 Workforce Investment Act (WIA) National Emergency Grants</t>
  </si>
  <si>
    <t>ES260561455A26</t>
  </si>
  <si>
    <t>58107 51143</t>
  </si>
  <si>
    <t>Wagner Peyser 7(A)</t>
  </si>
  <si>
    <t>17.207 Employment Service/Wagner-Peyser Funded Activities</t>
  </si>
  <si>
    <t>58107 51165</t>
  </si>
  <si>
    <t>S287C140022</t>
  </si>
  <si>
    <t>82060-152110</t>
  </si>
  <si>
    <t xml:space="preserve">To create community learning centers that provide academic enrichment opportunities for children, particularly students who attend high-poverty and low-performing schools. The program is intended to help students meet state and local student standards in core academic subjects, such as reading and math; offers students a broad array of enrichment activities that should complement their regular academic programs; and to offer literacy and other educational services to the families of participating children.  </t>
  </si>
  <si>
    <t>820004408-152110</t>
  </si>
  <si>
    <t>S365A140022</t>
  </si>
  <si>
    <t>82983-150580</t>
  </si>
  <si>
    <t>To help ensure that limited English proficient (LEP) children, including immigrant children and youth, attain English proficiency and meet the same challenging State academic content and student academic achievement standards as all children are expected to meet.</t>
  </si>
  <si>
    <t>S367A130021</t>
  </si>
  <si>
    <t>RADIO STATION WCHA</t>
  </si>
  <si>
    <t>SUTTONS BAY PUBLIC SCHOOL DISTRICT</t>
  </si>
  <si>
    <t>82943-140520</t>
  </si>
  <si>
    <t>82950-140520</t>
  </si>
  <si>
    <t>82701-140520</t>
  </si>
  <si>
    <t>PEWAMO WESTPHALIA HIGH SCHOOL</t>
  </si>
  <si>
    <t>82971-140520</t>
  </si>
  <si>
    <t>GLADSTONE AREA SCHOOLS</t>
  </si>
  <si>
    <t>82724-140520</t>
  </si>
  <si>
    <t>WHITEFORD HIGH SCHOOL</t>
  </si>
  <si>
    <t>PINE RIVER AREA SCHOOLS (INC)</t>
  </si>
  <si>
    <t>82992-140520</t>
  </si>
  <si>
    <t>CENTRAL OFFICE</t>
  </si>
  <si>
    <t>82929-140520</t>
  </si>
  <si>
    <t>DUNDEE COMMUNITY SCHOOLS INC</t>
  </si>
  <si>
    <t>82727-140520</t>
  </si>
  <si>
    <t>82703-140520</t>
  </si>
  <si>
    <t>82723-140520</t>
  </si>
  <si>
    <t>DELTON KELLOGG SCHOOLS</t>
  </si>
  <si>
    <t>82010-140520</t>
  </si>
  <si>
    <t>HOUGHTON HIGH SCHOOL</t>
  </si>
  <si>
    <t>HOUGHTON-PORTAGE TOWNSHIP SCHOOL DISTRICT</t>
  </si>
  <si>
    <t>82745-140520</t>
  </si>
  <si>
    <t>82987-152110</t>
  </si>
  <si>
    <t>S365A130022</t>
  </si>
  <si>
    <t>82983-140580</t>
  </si>
  <si>
    <t>82998-152110</t>
  </si>
  <si>
    <t>82986-140580</t>
  </si>
  <si>
    <t>82010-150580</t>
  </si>
  <si>
    <t>82918-150580</t>
  </si>
  <si>
    <t>63912-150580</t>
  </si>
  <si>
    <t>Bangor Public Schools</t>
  </si>
  <si>
    <t>82987-140520</t>
  </si>
  <si>
    <t>V002A140023</t>
  </si>
  <si>
    <t>82SF06000-151130</t>
  </si>
  <si>
    <t>FAIRVIEW AREA SCHOOLS</t>
  </si>
  <si>
    <t>NORTH ADAMS JEROME SCHOOL DISTRICT</t>
  </si>
  <si>
    <t>82910-140520</t>
  </si>
  <si>
    <t>UBLY COMMUNITY ELEMENTARY SCHOOL</t>
  </si>
  <si>
    <t>IRONWOOD SCHOOL DISTRICT 27220</t>
  </si>
  <si>
    <t>82742-140520</t>
  </si>
  <si>
    <t>Q184Y100028</t>
  </si>
  <si>
    <t>IMPROVING THE CLIMATE FOR LEARNING</t>
  </si>
  <si>
    <t>84060-142790</t>
  </si>
  <si>
    <t>To enhance efforts to prevent the illegal use of drugs and violence among, and promote safety and discipline for, students at all educational levels; and to support programs to reduce alcohol abuse among secondary school students.</t>
  </si>
  <si>
    <t>84.184 Safe and Drug-Free Schools and Communities_National Programs</t>
  </si>
  <si>
    <t>82986-140520</t>
  </si>
  <si>
    <t>PONTIAC SCHOOL DISTRICT</t>
  </si>
  <si>
    <t>82919-140520</t>
  </si>
  <si>
    <t>VANDERBILT AREA SCHOOLS</t>
  </si>
  <si>
    <t>82746-140520</t>
  </si>
  <si>
    <t>84060-132790</t>
  </si>
  <si>
    <t>U282A100003</t>
  </si>
  <si>
    <t>PUBLIC CHARTER SCHOOLS</t>
  </si>
  <si>
    <t>Potters House Ministries</t>
  </si>
  <si>
    <t>12935 W Buena Vista St</t>
  </si>
  <si>
    <t>8200t0521-130610</t>
  </si>
  <si>
    <t>The program supports the planning, development, and initial implementation, and replication of charter schools and the dissemination of information on charter schools.</t>
  </si>
  <si>
    <t>84.282 Charter Schools</t>
  </si>
  <si>
    <t>82945-110610</t>
  </si>
  <si>
    <t>Greater Detroit Community Development Foundation</t>
  </si>
  <si>
    <t>3129 CANIFF ST</t>
  </si>
  <si>
    <t>8200T0507-110610</t>
  </si>
  <si>
    <t>82732-110610</t>
  </si>
  <si>
    <t>82739-130610</t>
  </si>
  <si>
    <t>NAPOLEON COMMUNITY SCHOOLS</t>
  </si>
  <si>
    <t>BD OF EDUC JACKSON &amp; WASHTENAW CO</t>
  </si>
  <si>
    <t>82963-140520</t>
  </si>
  <si>
    <t>S010A140022</t>
  </si>
  <si>
    <t>82010-151530</t>
  </si>
  <si>
    <t>ONSTED COMMUNITY SCHOOL DISTRICT</t>
  </si>
  <si>
    <t>82997-140520</t>
  </si>
  <si>
    <t>ELLSWORTH COMMUNITY SCHOOLS</t>
  </si>
  <si>
    <t>82953-151530</t>
  </si>
  <si>
    <t>LAKE ORION COMMUNITY SCHOOLS</t>
  </si>
  <si>
    <t>82904-151530</t>
  </si>
  <si>
    <t>82979-140520</t>
  </si>
  <si>
    <t>82924-151530</t>
  </si>
  <si>
    <t>82940-140520</t>
  </si>
  <si>
    <t>REACH ACADEMY</t>
  </si>
  <si>
    <t>82991-151530</t>
  </si>
  <si>
    <t>82937-151530</t>
  </si>
  <si>
    <t>PECK COMMUNITY SCHOOLS</t>
  </si>
  <si>
    <t>82919-151530</t>
  </si>
  <si>
    <t>Waverly Community Schools</t>
  </si>
  <si>
    <t>82948-151530</t>
  </si>
  <si>
    <t>82953-140520</t>
  </si>
  <si>
    <t>82750-151700</t>
  </si>
  <si>
    <t>CENTERVILLE PUBLIC SCHOOLS</t>
  </si>
  <si>
    <t>MUNISING PUBLIC SCHOOLS</t>
  </si>
  <si>
    <t>82956-140520</t>
  </si>
  <si>
    <t>82010-140580</t>
  </si>
  <si>
    <t>82745-140580</t>
  </si>
  <si>
    <t>SCHOOL DISTRICT OF THE CITY OF GARDEN CITY</t>
  </si>
  <si>
    <t>82925-151530</t>
  </si>
  <si>
    <t>82756-151530</t>
  </si>
  <si>
    <t>DOLLAR BAY-TAMARACK AREA SCHS</t>
  </si>
  <si>
    <t>82950-151530</t>
  </si>
  <si>
    <t>SCHOOL DISTRICT 31-130</t>
  </si>
  <si>
    <t>REED CITY AREA PUBLIC SCHOOLS</t>
  </si>
  <si>
    <t>82704-151530</t>
  </si>
  <si>
    <t>ESCUELA AVANCEMOS</t>
  </si>
  <si>
    <t>3811 CICOTTE ST</t>
  </si>
  <si>
    <t>82744-151530</t>
  </si>
  <si>
    <t>820001016-151130</t>
  </si>
  <si>
    <t>820001524-151190</t>
  </si>
  <si>
    <t>84060-152790</t>
  </si>
  <si>
    <t>Metro Charter Academy</t>
  </si>
  <si>
    <t>82977-151530</t>
  </si>
  <si>
    <t>PUBLIC SCHOOL DISTRICT</t>
  </si>
  <si>
    <t>ALLEN PARK PUBLIC SCHOOLS</t>
  </si>
  <si>
    <t>82727-151530</t>
  </si>
  <si>
    <t>82970-151530</t>
  </si>
  <si>
    <t>82742-151530</t>
  </si>
  <si>
    <t>Minerva Education &amp; Devel</t>
  </si>
  <si>
    <t>24760 W 7 MILE RD</t>
  </si>
  <si>
    <t>8200T0396-130610</t>
  </si>
  <si>
    <t xml:space="preserve">The program supports the planning, development, and initial implementation, and replication of charter schools and the dissemination of information on charter schools. </t>
  </si>
  <si>
    <t>Operation Graduation</t>
  </si>
  <si>
    <t>8200T0397-110610</t>
  </si>
  <si>
    <t>82738-130610</t>
  </si>
  <si>
    <t>82745-130610</t>
  </si>
  <si>
    <t>82727-110610</t>
  </si>
  <si>
    <t>82747-151530</t>
  </si>
  <si>
    <t>82742-130610</t>
  </si>
  <si>
    <t>82060-151530</t>
  </si>
  <si>
    <t>82910-151530</t>
  </si>
  <si>
    <t>S367A140021</t>
  </si>
  <si>
    <t>82953-150520</t>
  </si>
  <si>
    <t>National Heritage Academy</t>
  </si>
  <si>
    <t>82942-151530</t>
  </si>
  <si>
    <t>NEW HAVEN COMMUNITY SCHOOLS</t>
  </si>
  <si>
    <t>82933-151530</t>
  </si>
  <si>
    <t>82010-150520</t>
  </si>
  <si>
    <t>CARSONVILLE-PORT SANILAC SCHOOLS</t>
  </si>
  <si>
    <t>BD OF EDUC SANILAC CO BR HAMPTON</t>
  </si>
  <si>
    <t>82739-151530</t>
  </si>
  <si>
    <t>82929-150520</t>
  </si>
  <si>
    <t>82728-150520</t>
  </si>
  <si>
    <t>BURTON GLEN CHARTER ACADEMY</t>
  </si>
  <si>
    <t>WEST OTTAWA SCHOOLS</t>
  </si>
  <si>
    <t>82738-151530</t>
  </si>
  <si>
    <t>82703-151530</t>
  </si>
  <si>
    <t>AKRON FAIRGROVE SCHOOLS</t>
  </si>
  <si>
    <t>AKRON FAIRGROVE SCHOOL DISTRICT</t>
  </si>
  <si>
    <t>82956-151530</t>
  </si>
  <si>
    <t>82703-150520</t>
  </si>
  <si>
    <t>CONNER CREEK ACADEMY/EAST</t>
  </si>
  <si>
    <t>63912-151530</t>
  </si>
  <si>
    <t>82745-151530</t>
  </si>
  <si>
    <t>82752-151700</t>
  </si>
  <si>
    <t>WOODHAVEN-BRWONSTOWN SCHOOL DISTRICT</t>
  </si>
  <si>
    <t>82979-150520</t>
  </si>
  <si>
    <t>82970-150520</t>
  </si>
  <si>
    <t>ADDISON COMMUNITY SCHOOLS</t>
  </si>
  <si>
    <t>82742-150520</t>
  </si>
  <si>
    <t>WAY ACADEMY-DETROIT</t>
  </si>
  <si>
    <t>82746-151530</t>
  </si>
  <si>
    <t>BIRCH RUN AREA SCHOOLS</t>
  </si>
  <si>
    <t>BIRCH RUN SCHOOL DISTRICT</t>
  </si>
  <si>
    <t>82723-151530</t>
  </si>
  <si>
    <t>82060-150520</t>
  </si>
  <si>
    <t>1501MIFOST</t>
  </si>
  <si>
    <t>FY 2015 Foster Care</t>
  </si>
  <si>
    <t>RFCJJ15-79013</t>
  </si>
  <si>
    <t>93.658 Foster Care_Title IV-E</t>
  </si>
  <si>
    <t>UM1AI114271</t>
  </si>
  <si>
    <t>Inner City Asthma consortium 3 (ICAC3)</t>
  </si>
  <si>
    <t>561K385</t>
  </si>
  <si>
    <t>The Subcontractor is expected to contribute to the design and conduct of clinical and affiliated mechanistic studies with the goals of: 1) further developing cockroach allergen immunotherapy and new allergen immunotherapies; 2) develop and execute clinical and mechanistic studies targeted to innercity asthma phenotypes, and interventions designed to prevent the incidence of asthma or its progression; and 3) continue the URECA birth cohort study with the goal of providing information on the immunologic basis of late chi ldhood and adolescence-onset asthma, as well as the remission of asthma during the same years. The Subcontractor will also: a) maintain an ICAC staff possessing expertise and skills consistent with study needs; b) actively and continuously cultivate positive community relationships and pursue other strategies to ensure that a ready pool of potential study participants is available when needed; and c) provide facilities and infrastructureÂ·suitable for the safe, efficient, and confidential conduct of ICAC3 procedures and studies. Principal Investigator participation in meetings and conference calls involving Steering Committee business, protocol development, quality assurance activities, manuscript preparation, and other ICAC3-related business is expected. Because the Subcontractor's completion of the Scope of Work is critical to Wisconsin's ability to meet its obligations to the Sponsor under the Grant, Wisconsin must approve any significant changes to the Scope of Work, in advance and in writing.</t>
  </si>
  <si>
    <t>14142MI060N1099</t>
  </si>
  <si>
    <t>WOLVERINE COMMUNITY SCHOOL DISTRICT</t>
  </si>
  <si>
    <t>82722-141970</t>
  </si>
  <si>
    <t>82703-141960</t>
  </si>
  <si>
    <t>OXFORD AREA COMMUNITY SCHOOL DISTRICT #7</t>
  </si>
  <si>
    <t>82955-141970</t>
  </si>
  <si>
    <t>ACCESS</t>
  </si>
  <si>
    <t>ARAB COMMUNITY CENTER FOR ECONOMIC AND SOCIAL SERVICES (ACCESS)</t>
  </si>
  <si>
    <t>82722-141960</t>
  </si>
  <si>
    <t>82724-141970</t>
  </si>
  <si>
    <t>ARMADA AREA SCHOOLS</t>
  </si>
  <si>
    <t>82913-141920</t>
  </si>
  <si>
    <t>82060-140900</t>
  </si>
  <si>
    <t>CADILLAC AREA PUBLIC SCHOOLS</t>
  </si>
  <si>
    <t>82924-150520</t>
  </si>
  <si>
    <t>82747-150520</t>
  </si>
  <si>
    <t>John Evans Montessori Academy, Inc.</t>
  </si>
  <si>
    <t>Family Crt Jvnile Dtention Ctr</t>
  </si>
  <si>
    <t>160 WEBB ST</t>
  </si>
  <si>
    <t>OTTAWA, COUNTY OF</t>
  </si>
  <si>
    <t>990003655-141920</t>
  </si>
  <si>
    <t>ONEKAMA SCHOOL (K-12)</t>
  </si>
  <si>
    <t>ONEKAMA CONSOLIDATED SCHOOLS</t>
  </si>
  <si>
    <t>82937-150520</t>
  </si>
  <si>
    <t>82910-141960</t>
  </si>
  <si>
    <t>82985-141970</t>
  </si>
  <si>
    <t>82701-141960</t>
  </si>
  <si>
    <t>BD OF EDUC MILAN AREA SCHOOLS</t>
  </si>
  <si>
    <t>82953-141970</t>
  </si>
  <si>
    <t>82930-141960</t>
  </si>
  <si>
    <t>CARMAN AINSWORTH COMMUNITY SCHOOLS</t>
  </si>
  <si>
    <t>82947-141960</t>
  </si>
  <si>
    <t>82983-141970</t>
  </si>
  <si>
    <t>82987-141970</t>
  </si>
  <si>
    <t>82977-141960</t>
  </si>
  <si>
    <t>GRANDVILLE PUBLIC SCHOOL DISTRICT</t>
  </si>
  <si>
    <t>82992-141960</t>
  </si>
  <si>
    <t>MANISTEE AREA PUBLIC SCHOOLS</t>
  </si>
  <si>
    <t>63912-141960</t>
  </si>
  <si>
    <t>ONSTED COMMUNITY SCHOOLS</t>
  </si>
  <si>
    <t>82SPX0053-141920</t>
  </si>
  <si>
    <t>MILAN AREA SCHOOLS</t>
  </si>
  <si>
    <t>82723-150520</t>
  </si>
  <si>
    <t>SAGINAW PUBLIC SCHOOLS</t>
  </si>
  <si>
    <t>82977-150520</t>
  </si>
  <si>
    <t>82727-150520</t>
  </si>
  <si>
    <t>990001416-141920</t>
  </si>
  <si>
    <t>82979-141960</t>
  </si>
  <si>
    <t>82702-141920</t>
  </si>
  <si>
    <t>82945-141970</t>
  </si>
  <si>
    <t>82974-141960</t>
  </si>
  <si>
    <t>Pippen Palace Child Care Academy, Inc.</t>
  </si>
  <si>
    <t>LAKE CITY AREA SCHOOL DISTRICT</t>
  </si>
  <si>
    <t>15001 W 8 MILE RD</t>
  </si>
  <si>
    <t>BD OF EDUC MISSAUKEE CO</t>
  </si>
  <si>
    <t>82SPX0099-141920</t>
  </si>
  <si>
    <t>LINDEN CHARTER ACADEMY</t>
  </si>
  <si>
    <t>82970-141970</t>
  </si>
  <si>
    <t>WHITMORE LAKE PUBLIC SCHOOLS</t>
  </si>
  <si>
    <t>82956-141970</t>
  </si>
  <si>
    <t>WAYNE-WESTLAND COMMUNITY SCHOOLS</t>
  </si>
  <si>
    <t>82730-141970</t>
  </si>
  <si>
    <t>GIBRALTAR SCHOOL DISTRICT</t>
  </si>
  <si>
    <t>82723-141960</t>
  </si>
  <si>
    <t>82723-141970</t>
  </si>
  <si>
    <t>82733-141970</t>
  </si>
  <si>
    <t>990001611-141920</t>
  </si>
  <si>
    <t>990000282-141920</t>
  </si>
  <si>
    <t>82985-141960</t>
  </si>
  <si>
    <t>82997-141970</t>
  </si>
  <si>
    <t>82701-141920</t>
  </si>
  <si>
    <t>MASON CONSOLIDATED SCHOOLS</t>
  </si>
  <si>
    <t>82953-141960</t>
  </si>
  <si>
    <t>82963-141970</t>
  </si>
  <si>
    <t>990002938-140900</t>
  </si>
  <si>
    <t>82977-141970</t>
  </si>
  <si>
    <t>990001495-141920</t>
  </si>
  <si>
    <t>BENZIE COUNTY CENTRAL SCHOOLS</t>
  </si>
  <si>
    <t>820000275-141920</t>
  </si>
  <si>
    <t>BEDFORD PUBLIC SCHOOLS</t>
  </si>
  <si>
    <t>820000200-141920</t>
  </si>
  <si>
    <t>82702-141960</t>
  </si>
  <si>
    <t>YPSILANTI PUB SCHOOL DISTRICT</t>
  </si>
  <si>
    <t>82943-141970</t>
  </si>
  <si>
    <t>82945-141960</t>
  </si>
  <si>
    <t>82974-141970</t>
  </si>
  <si>
    <t>82SPX0082-141920</t>
  </si>
  <si>
    <t>82010-141900</t>
  </si>
  <si>
    <t>82956-141960</t>
  </si>
  <si>
    <t>HARPER WOODS SCHOOL DISTRICT</t>
  </si>
  <si>
    <t>82929-141960</t>
  </si>
  <si>
    <t>H181A140012</t>
  </si>
  <si>
    <t>820004408-151320</t>
  </si>
  <si>
    <t>820000243-141920</t>
  </si>
  <si>
    <t>82746-141960</t>
  </si>
  <si>
    <t>OAK PARK SCHOOL DISTRICT</t>
  </si>
  <si>
    <t>82918-141970</t>
  </si>
  <si>
    <t>82925-141960</t>
  </si>
  <si>
    <t>82937-141960</t>
  </si>
  <si>
    <t>82SF13000-140900</t>
  </si>
  <si>
    <t>82SF13000-141920</t>
  </si>
  <si>
    <t>RUDYARD AREA SCHOOL DISTRICT</t>
  </si>
  <si>
    <t>82739-140520</t>
  </si>
  <si>
    <t>820000107-141920</t>
  </si>
  <si>
    <t>82745-141960</t>
  </si>
  <si>
    <t>SCHOOLCRAFT HIGH SCHOOL</t>
  </si>
  <si>
    <t>SCHOOLCRAFT COMMUNITY SCHOOL DISTRICT</t>
  </si>
  <si>
    <t>82925-140520</t>
  </si>
  <si>
    <t>ESSEXVILLE-HAMPTON PUBLIC SCHOOLS</t>
  </si>
  <si>
    <t>82738-141960</t>
  </si>
  <si>
    <t>82060-141970</t>
  </si>
  <si>
    <t>82728-140520</t>
  </si>
  <si>
    <t xml:space="preserve">"To increase student academic achievement through such strategies as improving teacher and principal quality and increasing the number of highly qualified teachers in the classroom.  " </t>
  </si>
  <si>
    <t>82010-141970</t>
  </si>
  <si>
    <t>82010-140900</t>
  </si>
  <si>
    <t>82745-141970</t>
  </si>
  <si>
    <t>82945-140520</t>
  </si>
  <si>
    <t>82940-151960</t>
  </si>
  <si>
    <t>82945-151960</t>
  </si>
  <si>
    <t>82724-151960</t>
  </si>
  <si>
    <t>82060-151960</t>
  </si>
  <si>
    <t>82918-141960</t>
  </si>
  <si>
    <t>820000241-141920</t>
  </si>
  <si>
    <t>990001414-141920</t>
  </si>
  <si>
    <t>FLINT COMMUNITY SCHOOLS</t>
  </si>
  <si>
    <t>82937-140520</t>
  </si>
  <si>
    <t>THORNAPPLE KELLOGG SCHOOLS</t>
  </si>
  <si>
    <t>82937-141970</t>
  </si>
  <si>
    <t>82010-151960</t>
  </si>
  <si>
    <t>82727-141970</t>
  </si>
  <si>
    <t>82SPX0098-141920</t>
  </si>
  <si>
    <t>DOWAGIAC BOARD OF EDUCATION</t>
  </si>
  <si>
    <t>82991-140520</t>
  </si>
  <si>
    <t>82745-151960</t>
  </si>
  <si>
    <t>PENNFIELD SCHOOL DISTRICT</t>
  </si>
  <si>
    <t>82955-140520</t>
  </si>
  <si>
    <t>82925-151970</t>
  </si>
  <si>
    <t>82748-140520</t>
  </si>
  <si>
    <t>82986-151960</t>
  </si>
  <si>
    <t>82958-141960</t>
  </si>
  <si>
    <t>KINGSTON COMMUNITY SCHOOL DISTRICT</t>
  </si>
  <si>
    <t>82924-140520</t>
  </si>
  <si>
    <t>82974-140520</t>
  </si>
  <si>
    <t>58107 51115</t>
  </si>
  <si>
    <t>MARTIN PUBLIC SCHOOLS</t>
  </si>
  <si>
    <t>CASS CITY PUBLIC SCHOOL DISTRICT</t>
  </si>
  <si>
    <t>82747-140520</t>
  </si>
  <si>
    <t>West Iron County Pub Schl Dst</t>
  </si>
  <si>
    <t>WEST IRON COUNTY EDUCATIONAL ASSOCIATION</t>
  </si>
  <si>
    <t>82904-140520</t>
  </si>
  <si>
    <t>Lowell Area Schools</t>
  </si>
  <si>
    <t>82957-140520</t>
  </si>
  <si>
    <t>82SF13000-151920</t>
  </si>
  <si>
    <t>82987-151970</t>
  </si>
  <si>
    <t>82942-151960</t>
  </si>
  <si>
    <t>63912-140580</t>
  </si>
  <si>
    <t>82970-151960</t>
  </si>
  <si>
    <t>820000241-151920</t>
  </si>
  <si>
    <t>82010-140570</t>
  </si>
  <si>
    <t>FITZGERALD PUBLIC SCHOOLS</t>
  </si>
  <si>
    <t>820008050-141980</t>
  </si>
  <si>
    <t>82060-140570</t>
  </si>
  <si>
    <t xml:space="preserve">To help ensure that limited English proficient (LEP) children, including immigrant children and youth, attain English proficiency and meet the same challenging State academic content and student academic achievement standards as all children are expected to meet.  </t>
  </si>
  <si>
    <t>KELLOGGSVILLE SCHOOL DISTRICT</t>
  </si>
  <si>
    <t>820008050-141970</t>
  </si>
  <si>
    <t>820001534-151130</t>
  </si>
  <si>
    <t>820001533-151130</t>
  </si>
  <si>
    <t xml:space="preserve">Grants to fund local programs of adult education and literacy services, including workplace literacy services; family literacy services; English literacy programs and integrated English literacy-civics education programs. </t>
  </si>
  <si>
    <t>82930-151960</t>
  </si>
  <si>
    <t>82010-151130</t>
  </si>
  <si>
    <t>82701-151960</t>
  </si>
  <si>
    <t>820004408-151130</t>
  </si>
  <si>
    <t>580900108-141960</t>
  </si>
  <si>
    <t>82953-151960</t>
  </si>
  <si>
    <t>82963-151960</t>
  </si>
  <si>
    <t>63912-151970</t>
  </si>
  <si>
    <t>58107 51167</t>
  </si>
  <si>
    <t>TRADE 2009/2011</t>
  </si>
  <si>
    <t>82950-151960</t>
  </si>
  <si>
    <t>82956-151970</t>
  </si>
  <si>
    <t>8200t0521-110610</t>
  </si>
  <si>
    <t>82913-151960</t>
  </si>
  <si>
    <t>82746-130610</t>
  </si>
  <si>
    <t>82723-151970</t>
  </si>
  <si>
    <t>82987-151960</t>
  </si>
  <si>
    <t>FOCUS HOPE MFG</t>
  </si>
  <si>
    <t>1400 OAKMAN BLVD</t>
  </si>
  <si>
    <t>8200T0378-110610</t>
  </si>
  <si>
    <t>82734-130610</t>
  </si>
  <si>
    <t>ISAAC E CRARY JUNIOR HIGH SCHO</t>
  </si>
  <si>
    <t>WATERFORD SCHOOL DISTRICT</t>
  </si>
  <si>
    <t>82940-151530</t>
  </si>
  <si>
    <t>82728-151530</t>
  </si>
  <si>
    <t>CLARKSTON BOARD OF EDUCATION</t>
  </si>
  <si>
    <t>CLARKSTON COMMUNITY SCHOOLS</t>
  </si>
  <si>
    <t>82730-151530</t>
  </si>
  <si>
    <t>82943-151960</t>
  </si>
  <si>
    <t>82010-151700</t>
  </si>
  <si>
    <t>TRENTON PUBLIC SCHOOLS</t>
  </si>
  <si>
    <t>82918-151530</t>
  </si>
  <si>
    <t>82983-151530</t>
  </si>
  <si>
    <t>82945-151970</t>
  </si>
  <si>
    <t>ISHPEMING PUBLIC SCHOOL DISTRICT #1</t>
  </si>
  <si>
    <t>84060-151530</t>
  </si>
  <si>
    <t>82904-151970</t>
  </si>
  <si>
    <t>WALTON CHARTER ACADEMY</t>
  </si>
  <si>
    <t>LAKESHORE SCHOOL DISTRICT (INC)</t>
  </si>
  <si>
    <t>82929-151530</t>
  </si>
  <si>
    <t>82937-151970</t>
  </si>
  <si>
    <t>82983-151960</t>
  </si>
  <si>
    <t>WHITE PIGEON COMMUNITY SCHOOL DISTRICT</t>
  </si>
  <si>
    <t>82905-151530</t>
  </si>
  <si>
    <t>82974-151960</t>
  </si>
  <si>
    <t>82724-151970</t>
  </si>
  <si>
    <t>82957-151960</t>
  </si>
  <si>
    <t>82703-151960</t>
  </si>
  <si>
    <t>Lincoln Consolidated Schools</t>
  </si>
  <si>
    <t>82985-151530</t>
  </si>
  <si>
    <t>82974-151530</t>
  </si>
  <si>
    <t>82734-151530</t>
  </si>
  <si>
    <t>82997-151960</t>
  </si>
  <si>
    <t>82958-151530</t>
  </si>
  <si>
    <t>63912-151960</t>
  </si>
  <si>
    <t>82918-150520</t>
  </si>
  <si>
    <t>82955-150520</t>
  </si>
  <si>
    <t>82925-151960</t>
  </si>
  <si>
    <t>82727-151960</t>
  </si>
  <si>
    <t>82745-150520</t>
  </si>
  <si>
    <t>ATLANTA COMMUNITY SCHOOLS</t>
  </si>
  <si>
    <t>84060-150520</t>
  </si>
  <si>
    <t>CHIPPEWA HILLS HIGH SCHOOL</t>
  </si>
  <si>
    <t>82991-150520</t>
  </si>
  <si>
    <t>82919-150520</t>
  </si>
  <si>
    <t>82746-150520</t>
  </si>
  <si>
    <t>82985-151960</t>
  </si>
  <si>
    <t>1501MISOSR</t>
  </si>
  <si>
    <t>2015SSBG</t>
  </si>
  <si>
    <t>YOUTH IN TRANSITION HOMELESS AND RUNAWAY</t>
  </si>
  <si>
    <t>82956-150520</t>
  </si>
  <si>
    <t>82724-150520</t>
  </si>
  <si>
    <t>82985-150520</t>
  </si>
  <si>
    <t>82748-150520</t>
  </si>
  <si>
    <t>LIVONIA PUBLIC SCHOOLS</t>
  </si>
  <si>
    <t>82963-150520</t>
  </si>
  <si>
    <t>82955-141920</t>
  </si>
  <si>
    <t>KALAMAZOO, COUNTY OF</t>
  </si>
  <si>
    <t>82724-141960</t>
  </si>
  <si>
    <t>EAST LANSING PUBLIC SCHOOLS</t>
  </si>
  <si>
    <t>SCHOOL DISTRICT OF EAST LANSING INC</t>
  </si>
  <si>
    <t>82955-141960</t>
  </si>
  <si>
    <t>82913-141970</t>
  </si>
  <si>
    <t>82940-141960</t>
  </si>
  <si>
    <t>SOUTHGATE COMMUNITY SCHOOL DISTRICT</t>
  </si>
  <si>
    <t>990000958-141920</t>
  </si>
  <si>
    <t>82940-141970</t>
  </si>
  <si>
    <t>PUBLIC SCHOOLS OF THE CITY OF MUSKEGON</t>
  </si>
  <si>
    <t>82904-141970</t>
  </si>
  <si>
    <t>CONSTANTINE PUBLIC SCHOOLS</t>
  </si>
  <si>
    <t>990000397-141920</t>
  </si>
  <si>
    <t>82987-141960</t>
  </si>
  <si>
    <t>82933-141960</t>
  </si>
  <si>
    <t>990000952-141920</t>
  </si>
  <si>
    <t>82SPX0044-141920</t>
  </si>
  <si>
    <t>820008032-141960</t>
  </si>
  <si>
    <t>82979-141970</t>
  </si>
  <si>
    <t>82702-141970</t>
  </si>
  <si>
    <t>82741-141960</t>
  </si>
  <si>
    <t>BRIDGEPORT-SPAULDING COMMUNITY SCHOOL DISTRICT</t>
  </si>
  <si>
    <t>82943-141960</t>
  </si>
  <si>
    <t>82060-141960</t>
  </si>
  <si>
    <t>82948-141960</t>
  </si>
  <si>
    <t>TEACHING-FAMILY HOMES OF UPPER MICHIGAN</t>
  </si>
  <si>
    <t>820000330-141920</t>
  </si>
  <si>
    <t>82970-141960</t>
  </si>
  <si>
    <t>820000271-141920</t>
  </si>
  <si>
    <t>82925-141970</t>
  </si>
  <si>
    <t>820000143-141920</t>
  </si>
  <si>
    <t>990001938-141920</t>
  </si>
  <si>
    <t>82950-141970</t>
  </si>
  <si>
    <t>Creative Learning Childrens College LLC</t>
  </si>
  <si>
    <t>20111 GREENFIELD RD</t>
  </si>
  <si>
    <t>990004094-141920</t>
  </si>
  <si>
    <t>82739-141970</t>
  </si>
  <si>
    <t>82739-141960</t>
  </si>
  <si>
    <t>82010-141960</t>
  </si>
  <si>
    <t>82957-141970</t>
  </si>
  <si>
    <t>NORTH ELEMENTARY SCHOOL</t>
  </si>
  <si>
    <t>82SPX0043-141920</t>
  </si>
  <si>
    <t>990000801-141920</t>
  </si>
  <si>
    <t>82942-141960</t>
  </si>
  <si>
    <t>820008037-141920</t>
  </si>
  <si>
    <t>820008050-141960</t>
  </si>
  <si>
    <t>82SPX0033-141920</t>
  </si>
  <si>
    <t>580900108-141970</t>
  </si>
  <si>
    <t>82919-141960</t>
  </si>
  <si>
    <t>82010-151920</t>
  </si>
  <si>
    <t>82904-151960</t>
  </si>
  <si>
    <t>820008037-151920</t>
  </si>
  <si>
    <t>82955-151960</t>
  </si>
  <si>
    <t>82979-151960</t>
  </si>
  <si>
    <t>82985-151970</t>
  </si>
  <si>
    <t>820008050-151960</t>
  </si>
  <si>
    <t>82918-151960</t>
  </si>
  <si>
    <t>82733-151960</t>
  </si>
  <si>
    <t>82942-151970</t>
  </si>
  <si>
    <t>82958-151960</t>
  </si>
  <si>
    <t>82983-151970</t>
  </si>
  <si>
    <t>82937-151960</t>
  </si>
  <si>
    <t>820000060-151920</t>
  </si>
  <si>
    <t>820000181-151920</t>
  </si>
  <si>
    <t>82977-151960</t>
  </si>
  <si>
    <t>82731-152110</t>
  </si>
  <si>
    <t>82060-150580</t>
  </si>
  <si>
    <t xml:space="preserve">To help ensure that limited English proficient (LEP) children, including immigrant children and youth, attain English proficiency and meet the same challenging State academic content and student academic achievement standards as all children are expected to meet. </t>
  </si>
  <si>
    <t>KELLOGSVILLE PUBLIC SCHOOL</t>
  </si>
  <si>
    <t>WHITTMRE-PRESCOTT AREA SCHOOLS</t>
  </si>
  <si>
    <t>82905-140520</t>
  </si>
  <si>
    <t>82733-140520</t>
  </si>
  <si>
    <t>MUSKEGON PUBLIC SCHOOLS</t>
  </si>
  <si>
    <t>82933-140520</t>
  </si>
  <si>
    <t>PERRY PUBLIC SCHOOLS</t>
  </si>
  <si>
    <t>PERRY PUBLIC SCHOOL DISTRICT</t>
  </si>
  <si>
    <t>82930-140520</t>
  </si>
  <si>
    <t>VAN BUREN PUBLIC SCHOOL DISTRICT</t>
  </si>
  <si>
    <t>82983-140520</t>
  </si>
  <si>
    <t>82913-140520</t>
  </si>
  <si>
    <t>82977-140520</t>
  </si>
  <si>
    <t>82970-140520</t>
  </si>
  <si>
    <t>82985-140520</t>
  </si>
  <si>
    <t>84060-140520</t>
  </si>
  <si>
    <t>BULLOCK CREEK SCHOOL DISTRICT</t>
  </si>
  <si>
    <t>WESTWOOD COMMUNITY SCHOOL DISTRICT</t>
  </si>
  <si>
    <t>82918-140520</t>
  </si>
  <si>
    <t>ALMONT ELEMENTARY SCHOOL</t>
  </si>
  <si>
    <t>ALMONT COMMUNITY SCHOOLS</t>
  </si>
  <si>
    <t>82732-140520</t>
  </si>
  <si>
    <t>BOARD OF EDUCATION</t>
  </si>
  <si>
    <t>LINDEN COMMUNITY SCHOOLS</t>
  </si>
  <si>
    <t>82722-140520</t>
  </si>
  <si>
    <t>82731-140520</t>
  </si>
  <si>
    <t>63912-140570</t>
  </si>
  <si>
    <t>82918-140580</t>
  </si>
  <si>
    <t>82957-140580</t>
  </si>
  <si>
    <t>82060-140580</t>
  </si>
  <si>
    <t>5555 CONNER ST STE 1414</t>
  </si>
  <si>
    <t>820001531-151130</t>
  </si>
  <si>
    <t>990000220-151130</t>
  </si>
  <si>
    <t>82SF06000-151190</t>
  </si>
  <si>
    <t>82756-150610</t>
  </si>
  <si>
    <t>82724-110610</t>
  </si>
  <si>
    <t>KEEP IT MOVING INC</t>
  </si>
  <si>
    <t>4781 IROQUOIS ST</t>
  </si>
  <si>
    <t>8200T0422-110610</t>
  </si>
  <si>
    <t>Learn Everywhere</t>
  </si>
  <si>
    <t>277 GRATIOT AVE STE 800</t>
  </si>
  <si>
    <t>Okemos</t>
  </si>
  <si>
    <t>3300T0327-110610</t>
  </si>
  <si>
    <t>Walled Lake</t>
  </si>
  <si>
    <t>6300T0410-110610</t>
  </si>
  <si>
    <t>82731-110610</t>
  </si>
  <si>
    <t>Magna Charter Planning Group</t>
  </si>
  <si>
    <t>3033 BOURKE ST</t>
  </si>
  <si>
    <t>990001856-130610</t>
  </si>
  <si>
    <t>82998-151700</t>
  </si>
  <si>
    <t>82955-151530</t>
  </si>
  <si>
    <t>RIVERVIEW COMMUNITY SCHOOL DISTRICT</t>
  </si>
  <si>
    <t>82735-151530</t>
  </si>
  <si>
    <t>CLAWSON PUBLIC SCHOOLS</t>
  </si>
  <si>
    <t>82945-151530</t>
  </si>
  <si>
    <t>82997-151530</t>
  </si>
  <si>
    <t>82943-151530</t>
  </si>
  <si>
    <t>82741-151530</t>
  </si>
  <si>
    <t>82930-151530</t>
  </si>
  <si>
    <t>HOLLAND PUBLIC SCHOOL DISTRICT</t>
  </si>
  <si>
    <t>82724-151530</t>
  </si>
  <si>
    <t>82979-151530</t>
  </si>
  <si>
    <t>WOODHAVEN SCHOOL DISTRICT (ICN)</t>
  </si>
  <si>
    <t>82947-151530</t>
  </si>
  <si>
    <t>82733-151530</t>
  </si>
  <si>
    <t>Cross Creek Academy</t>
  </si>
  <si>
    <t>BRONSON COMMUNITY SCHOOL DISTRICT</t>
  </si>
  <si>
    <t>82963-151530</t>
  </si>
  <si>
    <t>SOUTH LAKE SCHOOLS</t>
  </si>
  <si>
    <t>82904-150520</t>
  </si>
  <si>
    <t>82940-150520</t>
  </si>
  <si>
    <t>82983-150520</t>
  </si>
  <si>
    <t>STEPHENSON HIGH SCHOOL</t>
  </si>
  <si>
    <t>82997-150520</t>
  </si>
  <si>
    <t>82945-150520</t>
  </si>
  <si>
    <t>82739-150520</t>
  </si>
  <si>
    <t>82974-150520</t>
  </si>
  <si>
    <t>82733-150520</t>
  </si>
  <si>
    <t>FARWELL AREA SCHOOL DISTRICT</t>
  </si>
  <si>
    <t>82730-141960</t>
  </si>
  <si>
    <t>82703-141970</t>
  </si>
  <si>
    <t>990003151-141920</t>
  </si>
  <si>
    <t>82913-141960</t>
  </si>
  <si>
    <t>82904-141960</t>
  </si>
  <si>
    <t>82997-141960</t>
  </si>
  <si>
    <t>MELVINDALE-NORTHERN ALLEN PARK PUBLIC SCHOOLS</t>
  </si>
  <si>
    <t>82963-141960</t>
  </si>
  <si>
    <t>820107599-141960</t>
  </si>
  <si>
    <t>82983-141960</t>
  </si>
  <si>
    <t>COLDWATER COMMUNITY SCHOOLS</t>
  </si>
  <si>
    <t>82992-141970</t>
  </si>
  <si>
    <t>82933-141970</t>
  </si>
  <si>
    <t>63912-141970</t>
  </si>
  <si>
    <t>82986-141960</t>
  </si>
  <si>
    <t>82986-141970</t>
  </si>
  <si>
    <t>820000060-141920</t>
  </si>
  <si>
    <t>820000181-141920</t>
  </si>
  <si>
    <t>82733-141960</t>
  </si>
  <si>
    <t>PARCHMENT HIGH SCHOOL</t>
  </si>
  <si>
    <t>82950-141960</t>
  </si>
  <si>
    <t>990001579-141920</t>
  </si>
  <si>
    <t>82SPX0102-141920</t>
  </si>
  <si>
    <t>82010-141920</t>
  </si>
  <si>
    <t>990001052-141920</t>
  </si>
  <si>
    <t>82929-141970</t>
  </si>
  <si>
    <t>82957-141960</t>
  </si>
  <si>
    <t>990001362-141920</t>
  </si>
  <si>
    <t>82727-141960</t>
  </si>
  <si>
    <t>82942-141970</t>
  </si>
  <si>
    <t>82742-141960</t>
  </si>
  <si>
    <t>82919-141970</t>
  </si>
  <si>
    <t>82010-151970</t>
  </si>
  <si>
    <t>82730-151960</t>
  </si>
  <si>
    <t>82953-151970</t>
  </si>
  <si>
    <t>82060-151970</t>
  </si>
  <si>
    <t>82918-151970</t>
  </si>
  <si>
    <t>82702-151960</t>
  </si>
  <si>
    <t>82913-151970</t>
  </si>
  <si>
    <t>82947-151960</t>
  </si>
  <si>
    <t>580900108-151960</t>
  </si>
  <si>
    <t>82963-151970</t>
  </si>
  <si>
    <t>82929-151970</t>
  </si>
  <si>
    <t>990001938-151920</t>
  </si>
  <si>
    <t>82956-151960</t>
  </si>
  <si>
    <t>82723-151960</t>
  </si>
  <si>
    <t>82929-151960</t>
  </si>
  <si>
    <t>YOUTH IN TRANSITION - HOMELESS AND RUNAWAY</t>
  </si>
  <si>
    <t>MI20143</t>
  </si>
  <si>
    <t>Medicaid entitlement for Michigan - FY 2014 Quarter 3 - T19</t>
  </si>
  <si>
    <t>MI20141</t>
  </si>
  <si>
    <t>Medicaid entitlement for Michigan - FY 2014 Quarter 1 - T19</t>
  </si>
  <si>
    <t>UPCAP SERVICES</t>
  </si>
  <si>
    <t>MI20142</t>
  </si>
  <si>
    <t>Medicaid entitlement for Michigan - FY 2014 Quarter 2 - T19</t>
  </si>
  <si>
    <t>MI20144</t>
  </si>
  <si>
    <t>Medicaid entitlement for Michigan - FY 2014 Quarter 4 - T19</t>
  </si>
  <si>
    <t>326SBGP0852012</t>
  </si>
  <si>
    <t>F2600273811</t>
  </si>
  <si>
    <t xml:space="preserve">Coleman A. Young Municipal Coleman A. Young Municipal, Detro reimbursement for the acquisition of parcels 385, 478, 482, 484, 499,  </t>
  </si>
  <si>
    <t>MI20152</t>
  </si>
  <si>
    <t>Medicaid entitlement for Michigan - FY 2015 Quarter 2 - T19</t>
  </si>
  <si>
    <t>R01GM107542</t>
  </si>
  <si>
    <t>Mitochondria-cytoplasm interactions for cytosolic Fe-S cluster assembly</t>
  </si>
  <si>
    <t>Mitochondria-Cytoplasm Interactions for Cytosolic Fe-S Cluster Assembly</t>
  </si>
  <si>
    <t>326SBGP0812011</t>
  </si>
  <si>
    <t>F2600273711</t>
  </si>
  <si>
    <t xml:space="preserve">Coleman A. Young Municipal Coleman A. Young Municipal, Detro Rehab Runway-Crack Sealing &amp; Paint Marking </t>
  </si>
  <si>
    <t>MONROE, COUNTY OF</t>
  </si>
  <si>
    <t>Huron County Cmnty Mental Hlth</t>
  </si>
  <si>
    <t>R01CA154848</t>
  </si>
  <si>
    <t>PREDICTORS OF ADJUVANT ENDOCRINE THERAPY ADHERENCE IN WOMEN WITH BREAST CANCER</t>
  </si>
  <si>
    <t>RX4442-024-HFHS</t>
  </si>
  <si>
    <t>The site PI will oversee all participant recruitment, participate in the development of the study protocols, and on-site staff management.</t>
  </si>
  <si>
    <t>HEAD START - 05CH8299-007</t>
  </si>
  <si>
    <t>14142MI013W5003</t>
  </si>
  <si>
    <t>261582029H4001</t>
  </si>
  <si>
    <t>At Areawide in the SEMCOG area Ozone Action Program--Continuation of education and outreach program d</t>
  </si>
  <si>
    <t>1001 WOODWARD AVE STE 1400</t>
  </si>
  <si>
    <t>Ozone Action Program--Continuation of education and outreach program d Areawide in the SEMCOG area</t>
  </si>
  <si>
    <t>14142MI003W1003</t>
  </si>
  <si>
    <t>15152MI003W1003</t>
  </si>
  <si>
    <t>R21DC013895</t>
  </si>
  <si>
    <t>Novel Theranostic Approaches to Identify and Treat Tinnitus Using Functionalized Nanoparticles</t>
  </si>
  <si>
    <t>15-60</t>
  </si>
  <si>
    <t>To establish targeting of specific proteins within the inferior colliculus (IC) using Custom fabricated nanoparticles. To optimize transport of MRI detectable custom fabricated nanoparticles across the BBB.</t>
  </si>
  <si>
    <t>93.173 Research Related to Deafness and Communication Disorders</t>
  </si>
  <si>
    <t>B01OT009028</t>
  </si>
  <si>
    <t>Preventive Health and Health Services Block Grant</t>
  </si>
  <si>
    <t>93.758 Preventive Health and Health Services Block Grant funded solely with Prevention and Public Health Funds (PPHF)</t>
  </si>
  <si>
    <t>REGION 3B AREA AGENCY ON AGING</t>
  </si>
  <si>
    <t>COPPER COUNTRY COMMUNITY MENTAL HEALTH</t>
  </si>
  <si>
    <t>U1BPS003263</t>
  </si>
  <si>
    <t>NATIONAL HIV BEHAVIORAL SURVEILLANCE SYSTEM-MICHIGAN</t>
  </si>
  <si>
    <t>National HIV Behavioral Surveillance Program</t>
  </si>
  <si>
    <t>93.940 HIV Prevention Activities_Health Department Based</t>
  </si>
  <si>
    <t>U58DP003968</t>
  </si>
  <si>
    <t>MICHIGAN ACUTE STROKE REGISTRY</t>
  </si>
  <si>
    <t>Michigan Stroke Registry</t>
  </si>
  <si>
    <t>U58DP003921</t>
  </si>
  <si>
    <t>MICHIGAN CANCER PREVENTION &amp; CONTROL PROGRAM</t>
  </si>
  <si>
    <t>MUSKEGON COUNTY HEALTH DEPT</t>
  </si>
  <si>
    <t>Michigan Cancer Prevention &amp; Control Program</t>
  </si>
  <si>
    <t>93.283 Centers for Disease Control and Prevention_Investigations and Technical Assistance ; 93.752 Cancer Prevention and Control Programs for State, Territorial and Tribal Organizations financed in part by Prevention and Public Health Funds</t>
  </si>
  <si>
    <t>TUSCOLA COUNTY HEALTH DEPARTMENT</t>
  </si>
  <si>
    <t>U62PS003671</t>
  </si>
  <si>
    <t>PS12-1201 COMPREHENSIVE HIV PREVENTION PROJECT FOR HEALTH DEPTS</t>
  </si>
  <si>
    <t>HIV Prevention</t>
  </si>
  <si>
    <t>GOSPEL AGAINST AIDS INC</t>
  </si>
  <si>
    <t>MERCY HEALTH PARTNERS</t>
  </si>
  <si>
    <t>3011 WEST GRAND BLVD. SUITE 230</t>
  </si>
  <si>
    <t>HACKLEY HOSPITAL</t>
  </si>
  <si>
    <t>3011 W GRAND BLVD STE 230</t>
  </si>
  <si>
    <t>Sacred Heart Rehabilitation Center, Inc</t>
  </si>
  <si>
    <t>GE</t>
  </si>
  <si>
    <t>5575 CONNER ST STE 1</t>
  </si>
  <si>
    <t>GENERAL ELECTRIC COMPANY</t>
  </si>
  <si>
    <t>VHS DETROIT RECEIVING HOSPITAL, INC.</t>
  </si>
  <si>
    <t>DETROIT RECEIVING HOSPITAL</t>
  </si>
  <si>
    <t>4201 ST ANTOINE ST</t>
  </si>
  <si>
    <t>DETROIT HEALTH CARE FOR THE HOMELESS</t>
  </si>
  <si>
    <t>ADVANTAGE HEALTH CENTERS</t>
  </si>
  <si>
    <t>15400 W MCNICHOLS RD</t>
  </si>
  <si>
    <t>BAYSIDE HEALTH CENTER</t>
  </si>
  <si>
    <t>VIRTUAL CHC</t>
  </si>
  <si>
    <t>U90TP000528</t>
  </si>
  <si>
    <t>TP12-1201:  PHEP SUPPLEMENTAL FOR EBOLA VIRUS DISEASE ACTIVE MONITORING AND DIRECT ACTIVE MONITORING ACTIVITIES</t>
  </si>
  <si>
    <t>Hosp Preparedness &amp; PH Emergency Prep</t>
  </si>
  <si>
    <t>93.074 Hospital Preparedness Program (HPP) and Public Health Emergency Preparedness (PHEP) Aligned Cooperative Agreements</t>
  </si>
  <si>
    <t>Muskegon County Medic</t>
  </si>
  <si>
    <t>EMW2013SS00049</t>
  </si>
  <si>
    <t>URBAN AREA SECURITY INTIATIVE</t>
  </si>
  <si>
    <t>FY 2013 HSGP-OPSGG</t>
  </si>
  <si>
    <t>FY 2013 HSGP-OPSG Wayne</t>
  </si>
  <si>
    <t>97.067 Homeland Security Grant Program</t>
  </si>
  <si>
    <t>DELTA MENOMINEE DISTRICT HEALTH DEPARTMENT</t>
  </si>
  <si>
    <t>CONTROLLERS OFFICE</t>
  </si>
  <si>
    <t>KENT, COUNTY OF (INC)</t>
  </si>
  <si>
    <t>L A A N</t>
  </si>
  <si>
    <t>15152MI060L1603</t>
  </si>
  <si>
    <t>82010-150950</t>
  </si>
  <si>
    <t>14VGHMI001</t>
  </si>
  <si>
    <t>MVGF15-82028</t>
  </si>
  <si>
    <t>VOLUNTEER GENERATION</t>
  </si>
  <si>
    <t>Mac</t>
  </si>
  <si>
    <t>VAN BUREN-CASS COUNTY DISTRICT HEALTH DEPT</t>
  </si>
  <si>
    <t>VAN BUREN, COUNTY OF</t>
  </si>
  <si>
    <t>MICHIGAN PUBLIC HEALTH INSTITUTE</t>
  </si>
  <si>
    <t>CALHOUN, COUNTY OF</t>
  </si>
  <si>
    <t>RUTH ELLIS CENTER</t>
  </si>
  <si>
    <t>Kalamazoo County Finance</t>
  </si>
  <si>
    <t>77 VICTOR STREET</t>
  </si>
  <si>
    <t>H23IP000752</t>
  </si>
  <si>
    <t>IMMUNIZATION VACCINES FOR CHILDREN GRANT FOR INFRASTRUCTURE TO STATE OF MICHIGAN</t>
  </si>
  <si>
    <t>93.268 Immunization Cooperative Agreements; 93.539 PPHF Capacity Building Assistance to Strengthen Public Health Immunization Infrastructure and Performance financed in part by Prevention and Public Health Funds</t>
  </si>
  <si>
    <t>U62PS001594</t>
  </si>
  <si>
    <t>MEDICAL MONITORING PROJECT- (MMP)</t>
  </si>
  <si>
    <t>Medical Monitoring Project</t>
  </si>
  <si>
    <t>93.944 Human Immunodeficiency Virus (HIV)/Acquired Immunodeficiency Virus Syndrome (AIDS) Surveillance</t>
  </si>
  <si>
    <t>GENESEE ROAD COMMISSION</t>
  </si>
  <si>
    <t>GENESEE, COUNTY OF</t>
  </si>
  <si>
    <t>Home Health Nursing Service</t>
  </si>
  <si>
    <t>MIDLAND COUNTY, THE</t>
  </si>
  <si>
    <t>Applying Biopsychosocial Model to Post-MVC Pain Development in African Americans</t>
  </si>
  <si>
    <t>GRANDK TRAVERSE COUNTY HEALTH DEPARTMENT</t>
  </si>
  <si>
    <t>GRAND TRAVERSE, COUNTY OF</t>
  </si>
  <si>
    <t>B04MC26674</t>
  </si>
  <si>
    <t>B04MC28106</t>
  </si>
  <si>
    <t>R01HL104608</t>
  </si>
  <si>
    <t>New Approaches for Empowering Studies of Asthma in Populations of African Descent</t>
  </si>
  <si>
    <t>NEW APPROACHES FOR EMPOWERING STUDIES OF ASTHMA IN POPULATIONS OF AFRICAN DESCENT</t>
  </si>
  <si>
    <t>93.837 Cardiovascular Diseases Research; 93.838 Lung Diseases Research; 93.310 Trans-NIH Research Support</t>
  </si>
  <si>
    <t>U01NS080824</t>
  </si>
  <si>
    <t>MISTIE III_ Lead Grant_ Cluster Application for the Clinical Coordinating Center</t>
  </si>
  <si>
    <t>MISTIE III_ LEAD GRANT_ CLUSTER APPLICATION FOR THE CLINICAL COORDINATING CENTER</t>
  </si>
  <si>
    <t>ALLEGAN COUNTY TRANSPORTATION</t>
  </si>
  <si>
    <t>MACOMB, COUNTY OF</t>
  </si>
  <si>
    <t>Ionia County Health Department</t>
  </si>
  <si>
    <t>ST CLAIR, COUNTY OF</t>
  </si>
  <si>
    <t>Island Resort And Casino</t>
  </si>
  <si>
    <t>HANNAHVILLE INDIAN COMMUNITY</t>
  </si>
  <si>
    <t>U62PS004011</t>
  </si>
  <si>
    <t>Core and Incidence Surveillance for HIV in Michigan</t>
  </si>
  <si>
    <t>import_number</t>
  </si>
  <si>
    <t>id</t>
  </si>
  <si>
    <t>ledgerized_prime_award_funding_major_agency_name</t>
  </si>
  <si>
    <t>ledgerized_subawardee_name</t>
  </si>
  <si>
    <t>USASpending org name</t>
  </si>
  <si>
    <t>Detroit Ledger org name, corrected</t>
  </si>
  <si>
    <t xml:space="preserve">if in ledger, the ledger-normalized name or the usaspending name if it matches, otherwise the usaspending name
</t>
  </si>
  <si>
    <t>not in Ledger?</t>
  </si>
  <si>
    <t>weird?</t>
  </si>
  <si>
    <t>maybe we're wrong?</t>
  </si>
  <si>
    <t>notes</t>
  </si>
  <si>
    <t>Henry Ford Health System</t>
  </si>
  <si>
    <t>Institute for Population Health Inc.</t>
  </si>
  <si>
    <t>Sphinx Organization, Inc</t>
  </si>
  <si>
    <t>x</t>
  </si>
  <si>
    <t>St John Community Health Investment Corporation</t>
  </si>
  <si>
    <t>Big Brothers Big Sisters of Metropolitan Detroit</t>
  </si>
  <si>
    <t>Urban Neighborhood Initiatives, Inc</t>
  </si>
  <si>
    <t>Homeless Action Network of Detroit (HAND)</t>
  </si>
  <si>
    <t>YWCA of Metropolitan Detroit</t>
  </si>
  <si>
    <t>Wayne County SAFE Program</t>
  </si>
  <si>
    <t>Greater Detroit Area Health Council</t>
  </si>
  <si>
    <t>Public School Academies of Detroit</t>
  </si>
  <si>
    <t>Education Achievement Authority</t>
  </si>
  <si>
    <t>Focus: HOPE</t>
  </si>
  <si>
    <t>Children's Center of Wayne County Inc.</t>
  </si>
  <si>
    <t>Cornerstone Schools Association</t>
  </si>
  <si>
    <t>x - we have "Wolverine Solutions Group"</t>
  </si>
  <si>
    <t>Wayne County Kidspace</t>
  </si>
  <si>
    <t>we have Detroit Central City Community Mental Health, Inc</t>
  </si>
  <si>
    <t>City of Detroit</t>
  </si>
  <si>
    <t>Southwest Counseling Solutions, Inc</t>
  </si>
  <si>
    <t>Development Centers, Inc</t>
  </si>
  <si>
    <t>AIDS Partnership Michigan, Inc</t>
  </si>
  <si>
    <t>Villages Community Development Corporation</t>
  </si>
  <si>
    <t>Pro-Literacy Detroit</t>
  </si>
  <si>
    <t>Community Health and Social Services Center</t>
  </si>
  <si>
    <t>Black Family Development, Inc</t>
  </si>
  <si>
    <t>Triangle Foundation, Inc</t>
  </si>
  <si>
    <t>Detroit Employment Solutions Corporation</t>
  </si>
  <si>
    <t>Southwest Detroit Environmental Vision Project</t>
  </si>
  <si>
    <t>City Connect Detroit</t>
  </si>
  <si>
    <t>Children's Aid Society of Southeastern Michigan</t>
  </si>
  <si>
    <t>NextEnergy</t>
  </si>
  <si>
    <t>Serco, Inc</t>
  </si>
  <si>
    <t>Wayne Children's Healthcare Access Program</t>
  </si>
  <si>
    <t>Habitat for Humanity Metro Detroit</t>
  </si>
  <si>
    <t>SER Metro Detroit Jobs for Progress, Inc</t>
  </si>
  <si>
    <t>Alkebu-Lan Village</t>
  </si>
  <si>
    <t>Michigan Legal Services</t>
  </si>
  <si>
    <t>Greater Detroit Agency for the Blind and Visually Impaired</t>
  </si>
  <si>
    <t>Joy-Southfield Community Development Corporation</t>
  </si>
  <si>
    <t>sub-program</t>
  </si>
  <si>
    <t>Sickle Cell Disease Association of America Michigan Chapter, Inc</t>
  </si>
  <si>
    <t>Coleman A. Young Foundation</t>
  </si>
  <si>
    <t>L &amp; L Adult Day Care, Inc</t>
  </si>
  <si>
    <t>Bridging Communities, Inc</t>
  </si>
  <si>
    <t>Detroit Area Pre-College Engineering Program, Inc</t>
  </si>
  <si>
    <t>International Institute of Metropolitan Detroit, Inc</t>
  </si>
  <si>
    <t>Community Social Services of Wayne County</t>
  </si>
  <si>
    <t>Mariners Inn</t>
  </si>
  <si>
    <t>no apostrophe in real name</t>
  </si>
  <si>
    <t>Samaritan Center</t>
  </si>
  <si>
    <t>Detroit Rescue Mission Ministries</t>
  </si>
  <si>
    <t>Covenant House Michigan</t>
  </si>
  <si>
    <t>Jefferson East, Inc</t>
  </si>
  <si>
    <t>should be East Michigan Christian Community Development Association</t>
  </si>
  <si>
    <t>Society of St Vincent de Paul (SVDP) - Detroit</t>
  </si>
  <si>
    <t>Greening of Detroit</t>
  </si>
  <si>
    <t>Heat and Warmth Fund (THAW)</t>
  </si>
  <si>
    <t>Operation Get Down</t>
  </si>
  <si>
    <t>Michigan Veterans Foundation</t>
  </si>
  <si>
    <t>grants already added</t>
  </si>
  <si>
    <t>Franklin-Wright Settlements, Inc</t>
  </si>
  <si>
    <t>Emmanuel House</t>
  </si>
  <si>
    <t>Adult Well Being Services</t>
  </si>
  <si>
    <t>gaa</t>
  </si>
  <si>
    <t>World Medical Relief, Inc.</t>
  </si>
  <si>
    <t>Mosaic Youth Theatre of Detroit</t>
  </si>
  <si>
    <t>Freedom House Detroit</t>
  </si>
  <si>
    <t>Charles H. Wright Museum of African American History</t>
  </si>
  <si>
    <t>St Patrick Senior Center, Inc</t>
  </si>
  <si>
    <t xml:space="preserve">add as "United Methodist Church"? </t>
  </si>
  <si>
    <t>Latin Americans for Social and Economic Development, Inc</t>
  </si>
  <si>
    <t>Legal Aid and Defender Association</t>
  </si>
  <si>
    <t>The Salvation Army</t>
  </si>
  <si>
    <t>Cass Community Social Services, Inc</t>
  </si>
  <si>
    <t>renamed</t>
  </si>
  <si>
    <t>Effective Alternative Community Housing</t>
  </si>
  <si>
    <t>InsideOut Literary Arts Project</t>
  </si>
  <si>
    <t>U-SNAP-BAC</t>
  </si>
  <si>
    <t>Courville Concert Choir</t>
  </si>
  <si>
    <t>National Council on Alcoholism and Drug Dependence Greater Detroit Area</t>
  </si>
  <si>
    <t>Warren-Connor Development Coalition, Inc</t>
  </si>
  <si>
    <t>Young Detroit Builders</t>
  </si>
  <si>
    <t>Detroit Central City Community Mental Health, Inc</t>
  </si>
  <si>
    <t>that's actually their name</t>
  </si>
  <si>
    <t>Detroit Catholic Pastoral Alliance</t>
  </si>
  <si>
    <t>Detroiters Working for Environmental Justice</t>
  </si>
  <si>
    <t>Love N Kindness CDC</t>
  </si>
  <si>
    <t>Abayomi Community Development Corporation</t>
  </si>
  <si>
    <t>People's Community Services of Metropolitan Detroit</t>
  </si>
  <si>
    <t>New Paradigm for Education</t>
  </si>
  <si>
    <t>sub-program (indiv school)</t>
  </si>
  <si>
    <t>Should be DMC Sinai-Grace Hospital?</t>
  </si>
  <si>
    <t>Detroit Urban League, Inc</t>
  </si>
  <si>
    <t>Don Bosco Hall, Inc</t>
  </si>
  <si>
    <t>Covenant Community Care, Inc</t>
  </si>
  <si>
    <t>Metropolitan Detroit Center for Independent Living</t>
  </si>
  <si>
    <t>Midtown Detroit, Inc</t>
  </si>
  <si>
    <t>Voices of Detroit Initiative</t>
  </si>
  <si>
    <t>M-1 Rail</t>
  </si>
  <si>
    <t>lol</t>
  </si>
  <si>
    <t>Detroit Recovery Project</t>
  </si>
  <si>
    <t>Gleaners Community Food Bank, Inc</t>
  </si>
  <si>
    <t>Boy Scouts of America - Great Lakes Council</t>
  </si>
  <si>
    <t>Roman Catholic Archdiocese of Detroit</t>
  </si>
  <si>
    <t>Minerva Education and Development Foundation</t>
  </si>
  <si>
    <t>connected to Sacred Heart Major Seminary Foundation?</t>
  </si>
  <si>
    <t>Should be "DMC Detroit Receiving Hospital" ?</t>
  </si>
  <si>
    <t>Detroit Health Care for the Homeless dba Advantage Health Centers</t>
  </si>
  <si>
    <t>Ruth Ellis Center, Inc</t>
  </si>
  <si>
    <t>USASpending agency</t>
  </si>
  <si>
    <t>Detroit Ledger agency name, corrected</t>
  </si>
  <si>
    <t>U.S. Department of Health and Human Services (DHHS)</t>
  </si>
  <si>
    <t>U.S. Department of Energy</t>
  </si>
  <si>
    <t>U.S. Department of Justice (DOJ)</t>
  </si>
  <si>
    <t>U.S. Department of Housing and Urban Development (HUD)</t>
  </si>
  <si>
    <t>National Science Foundation</t>
  </si>
  <si>
    <t>National Endowment for the Arts</t>
  </si>
  <si>
    <t>U.S. Department of Transportation (DOT)</t>
  </si>
  <si>
    <t>U.S. Department of State</t>
  </si>
  <si>
    <t>U.S. Department of Education (ED)</t>
  </si>
  <si>
    <t>U.S. Department of Labor (DOL)</t>
  </si>
  <si>
    <t>U.S. Department of Defense (DOD)</t>
  </si>
  <si>
    <t>U.S. Department of Agriculture (USDA)</t>
  </si>
  <si>
    <t>U.S. Department of Homeland Security (DHS)</t>
  </si>
  <si>
    <t>Corporation for National and Community Service</t>
  </si>
  <si>
    <t>U.S. Department of Commerce (DOC)</t>
  </si>
  <si>
    <t>U.S. Environmental Protection Agency (EPA)</t>
  </si>
</sst>
</file>

<file path=xl/styles.xml><?xml version="1.0" encoding="utf-8"?>
<styleSheet xmlns="http://schemas.openxmlformats.org/spreadsheetml/2006/main" xmlns:x14ac="http://schemas.microsoft.com/office/spreadsheetml/2009/9/ac" xmlns:mc="http://schemas.openxmlformats.org/markup-compatibility/2006">
  <fonts count="3">
    <font>
      <sz val="10.0"/>
      <color rgb="FF000000"/>
      <name val="Arial"/>
    </font>
    <font/>
    <font>
      <sz val="10.0"/>
      <name val="Arial"/>
    </font>
  </fonts>
  <fills count="2">
    <fill>
      <patternFill patternType="none"/>
    </fill>
    <fill>
      <patternFill patternType="lightGray"/>
    </fill>
  </fills>
  <borders count="1">
    <border/>
  </borders>
  <cellStyleXfs count="1">
    <xf borderId="0" fillId="0" fontId="0" numFmtId="0" applyAlignment="1" applyFont="1"/>
  </cellStyleXfs>
  <cellXfs count="9">
    <xf borderId="0" fillId="0" fontId="0" numFmtId="0" xfId="0" applyAlignment="1" applyFont="1">
      <alignment readingOrder="0" shrinkToFit="0" vertical="bottom" wrapText="0"/>
    </xf>
    <xf borderId="0" fillId="0" fontId="1" numFmtId="0" xfId="0" applyAlignment="1" applyFont="1">
      <alignment readingOrder="0"/>
    </xf>
    <xf borderId="0" fillId="0" fontId="1" numFmtId="14" xfId="0" applyAlignment="1" applyFont="1" applyNumberFormat="1">
      <alignment readingOrder="0"/>
    </xf>
    <xf borderId="0" fillId="0" fontId="1" numFmtId="11" xfId="0" applyAlignment="1" applyFont="1" applyNumberFormat="1">
      <alignment readingOrder="0"/>
    </xf>
    <xf borderId="0" fillId="0" fontId="1" numFmtId="0" xfId="0" applyAlignment="1" applyFont="1">
      <alignment vertical="bottom"/>
    </xf>
    <xf borderId="0" fillId="0" fontId="1" numFmtId="0" xfId="0" applyAlignment="1" applyFont="1">
      <alignment readingOrder="0" vertical="bottom"/>
    </xf>
    <xf borderId="0" fillId="0" fontId="2" numFmtId="0" xfId="0" applyAlignment="1" applyFont="1">
      <alignment readingOrder="0"/>
    </xf>
    <xf borderId="0" fillId="0" fontId="2" numFmtId="0" xfId="0" applyAlignment="1" applyFont="1">
      <alignment readingOrder="0" shrinkToFit="0" wrapText="1"/>
    </xf>
    <xf borderId="0" fillId="0" fontId="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63"/>
    <col customWidth="1" min="2" max="2" width="23.63"/>
    <col customWidth="1" min="3" max="3" width="60.0"/>
    <col customWidth="1" min="5" max="5" width="16.63"/>
    <col customWidth="1" min="6" max="6" width="20.0"/>
    <col customWidth="1" min="7" max="7" width="56.0"/>
    <col customWidth="1" min="14" max="14" width="36.0"/>
    <col customWidth="1" min="15" max="15" width="23.38"/>
    <col customWidth="1" min="16" max="16" width="78.75"/>
    <col customWidth="1" min="27" max="27" width="30.25"/>
    <col customWidth="1" min="31" max="31" width="27.25"/>
    <col customWidth="1" min="33" max="33" width="37.25"/>
  </cols>
  <sheetData>
    <row r="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row>
    <row r="2">
      <c r="A2" s="1" t="s">
        <v>37</v>
      </c>
      <c r="B2" s="1" t="s">
        <v>37</v>
      </c>
      <c r="C2" s="1" t="s">
        <v>38</v>
      </c>
      <c r="E2" s="1">
        <v>327379.0</v>
      </c>
      <c r="F2" s="2">
        <v>41208.0</v>
      </c>
      <c r="G2" s="1" t="s">
        <v>39</v>
      </c>
      <c r="I2" s="1" t="s">
        <v>39</v>
      </c>
      <c r="L2" s="1" t="s">
        <v>40</v>
      </c>
      <c r="M2" s="1">
        <v>7500.0</v>
      </c>
      <c r="N2" s="1" t="s">
        <v>40</v>
      </c>
      <c r="O2" s="1">
        <v>7.3134603E7</v>
      </c>
      <c r="P2" s="1" t="s">
        <v>41</v>
      </c>
      <c r="Q2" s="1" t="s">
        <v>42</v>
      </c>
      <c r="R2" s="1" t="s">
        <v>43</v>
      </c>
      <c r="S2" s="1" t="s">
        <v>44</v>
      </c>
      <c r="T2" s="1" t="s">
        <v>45</v>
      </c>
      <c r="U2" s="1">
        <v>4.8202345E8</v>
      </c>
      <c r="W2" s="1" t="s">
        <v>46</v>
      </c>
      <c r="X2" s="1" t="s">
        <v>45</v>
      </c>
      <c r="Y2" s="1">
        <v>4.8202345E8</v>
      </c>
      <c r="Z2" s="1">
        <v>7.3134603E7</v>
      </c>
      <c r="AA2" s="1" t="s">
        <v>41</v>
      </c>
      <c r="AB2" s="1">
        <v>30639.0</v>
      </c>
      <c r="AC2" s="2">
        <v>41208.0</v>
      </c>
      <c r="AD2" s="1">
        <v>7500.0</v>
      </c>
      <c r="AE2" s="1" t="s">
        <v>40</v>
      </c>
      <c r="AF2" s="1">
        <v>3.002053564E9</v>
      </c>
      <c r="AG2" s="1" t="s">
        <v>47</v>
      </c>
      <c r="AH2" s="1">
        <v>10.0</v>
      </c>
      <c r="AI2" s="1">
        <v>2012.0</v>
      </c>
      <c r="AJ2" s="1">
        <v>2013.0</v>
      </c>
      <c r="AK2" s="1" t="s">
        <v>48</v>
      </c>
    </row>
    <row r="3">
      <c r="A3" s="1" t="s">
        <v>49</v>
      </c>
      <c r="B3" s="1" t="s">
        <v>49</v>
      </c>
      <c r="C3" s="1" t="s">
        <v>50</v>
      </c>
      <c r="E3" s="1">
        <v>562243.0</v>
      </c>
      <c r="F3" s="2">
        <v>41204.0</v>
      </c>
      <c r="G3" s="1" t="s">
        <v>51</v>
      </c>
      <c r="I3" s="1" t="s">
        <v>51</v>
      </c>
      <c r="L3" s="1" t="s">
        <v>50</v>
      </c>
      <c r="M3" s="1">
        <v>8900.0</v>
      </c>
      <c r="N3" s="1" t="s">
        <v>50</v>
      </c>
      <c r="O3" s="1">
        <v>1962224.0</v>
      </c>
      <c r="P3" s="1" t="s">
        <v>52</v>
      </c>
      <c r="R3" s="1" t="s">
        <v>53</v>
      </c>
      <c r="S3" s="1" t="s">
        <v>44</v>
      </c>
      <c r="T3" s="1" t="s">
        <v>45</v>
      </c>
      <c r="U3" s="1">
        <v>4.82023692E8</v>
      </c>
      <c r="W3" s="1" t="s">
        <v>46</v>
      </c>
      <c r="X3" s="1" t="s">
        <v>45</v>
      </c>
      <c r="Y3" s="1">
        <v>4.8202405E8</v>
      </c>
      <c r="Z3" s="1">
        <v>1962224.0</v>
      </c>
      <c r="AA3" s="1" t="s">
        <v>52</v>
      </c>
      <c r="AB3" s="1">
        <v>371791.0</v>
      </c>
      <c r="AC3" s="2">
        <v>41204.0</v>
      </c>
      <c r="AD3" s="1">
        <v>8900.0</v>
      </c>
      <c r="AE3" s="1" t="s">
        <v>50</v>
      </c>
      <c r="AF3" s="1" t="s">
        <v>54</v>
      </c>
      <c r="AG3" s="1" t="s">
        <v>55</v>
      </c>
      <c r="AH3" s="1">
        <v>11.0</v>
      </c>
      <c r="AI3" s="1">
        <v>2012.0</v>
      </c>
      <c r="AJ3" s="1">
        <v>2013.0</v>
      </c>
      <c r="AK3" s="1" t="s">
        <v>56</v>
      </c>
    </row>
    <row r="4">
      <c r="A4" s="1" t="s">
        <v>57</v>
      </c>
      <c r="B4" s="1" t="s">
        <v>57</v>
      </c>
      <c r="C4" s="1" t="s">
        <v>38</v>
      </c>
      <c r="E4" s="1">
        <v>346750.0</v>
      </c>
      <c r="F4" s="2">
        <v>41199.0</v>
      </c>
      <c r="G4" s="1" t="s">
        <v>58</v>
      </c>
      <c r="I4" s="1" t="s">
        <v>58</v>
      </c>
      <c r="L4" s="1" t="s">
        <v>40</v>
      </c>
      <c r="M4" s="1">
        <v>7500.0</v>
      </c>
      <c r="N4" s="1" t="s">
        <v>40</v>
      </c>
      <c r="O4" s="1">
        <v>1962224.0</v>
      </c>
      <c r="P4" s="1" t="s">
        <v>52</v>
      </c>
      <c r="R4" s="1" t="s">
        <v>53</v>
      </c>
      <c r="S4" s="1" t="s">
        <v>44</v>
      </c>
      <c r="T4" s="1" t="s">
        <v>45</v>
      </c>
      <c r="U4" s="1">
        <v>4.82023692E8</v>
      </c>
      <c r="W4" s="1" t="s">
        <v>46</v>
      </c>
      <c r="X4" s="1" t="s">
        <v>45</v>
      </c>
      <c r="Y4" s="1">
        <v>4.8202405E8</v>
      </c>
      <c r="Z4" s="1">
        <v>1962224.0</v>
      </c>
      <c r="AA4" s="1" t="s">
        <v>52</v>
      </c>
      <c r="AB4" s="1">
        <v>36586.0</v>
      </c>
      <c r="AC4" s="2">
        <v>41199.0</v>
      </c>
      <c r="AD4" s="1">
        <v>7500.0</v>
      </c>
      <c r="AE4" s="1" t="s">
        <v>40</v>
      </c>
      <c r="AF4" s="1" t="s">
        <v>59</v>
      </c>
      <c r="AG4" s="1" t="s">
        <v>60</v>
      </c>
      <c r="AH4" s="1">
        <v>11.0</v>
      </c>
      <c r="AI4" s="1">
        <v>2012.0</v>
      </c>
      <c r="AJ4" s="1">
        <v>2013.0</v>
      </c>
      <c r="AK4" s="1" t="s">
        <v>61</v>
      </c>
    </row>
    <row r="5">
      <c r="A5" s="1" t="s">
        <v>62</v>
      </c>
      <c r="B5" s="1" t="s">
        <v>62</v>
      </c>
      <c r="C5" s="1" t="s">
        <v>63</v>
      </c>
      <c r="E5" s="1">
        <v>2955883.0</v>
      </c>
      <c r="F5" s="2">
        <v>41183.0</v>
      </c>
      <c r="G5" s="1" t="s">
        <v>64</v>
      </c>
      <c r="I5" s="1" t="s">
        <v>64</v>
      </c>
      <c r="L5" s="1" t="s">
        <v>40</v>
      </c>
      <c r="M5" s="1">
        <v>7500.0</v>
      </c>
      <c r="N5" s="1" t="s">
        <v>40</v>
      </c>
      <c r="O5" s="1">
        <v>7.8583404E7</v>
      </c>
      <c r="P5" s="1" t="s">
        <v>65</v>
      </c>
      <c r="R5" s="1" t="s">
        <v>66</v>
      </c>
      <c r="S5" s="1" t="s">
        <v>44</v>
      </c>
      <c r="T5" s="1" t="s">
        <v>45</v>
      </c>
      <c r="U5" s="1">
        <v>4.82021732E8</v>
      </c>
      <c r="W5" s="1" t="s">
        <v>46</v>
      </c>
      <c r="X5" s="1" t="s">
        <v>45</v>
      </c>
      <c r="Y5" s="1">
        <v>4.82021732E8</v>
      </c>
      <c r="AB5" s="1">
        <v>3750.0</v>
      </c>
      <c r="AC5" s="2">
        <v>41183.0</v>
      </c>
      <c r="AD5" s="1">
        <v>7500.0</v>
      </c>
      <c r="AE5" s="1" t="s">
        <v>40</v>
      </c>
      <c r="AF5" s="1">
        <v>2.01304E7</v>
      </c>
      <c r="AG5" s="1" t="s">
        <v>67</v>
      </c>
      <c r="AH5" s="1">
        <v>10.0</v>
      </c>
      <c r="AI5" s="1">
        <v>2010.0</v>
      </c>
      <c r="AJ5" s="1">
        <v>2013.0</v>
      </c>
      <c r="AK5" s="1" t="s">
        <v>68</v>
      </c>
    </row>
    <row r="6">
      <c r="A6" s="1" t="s">
        <v>69</v>
      </c>
      <c r="B6" s="1" t="s">
        <v>69</v>
      </c>
      <c r="C6" s="1" t="s">
        <v>70</v>
      </c>
      <c r="E6" s="1">
        <v>6449224.0</v>
      </c>
      <c r="F6" s="2">
        <v>41183.0</v>
      </c>
      <c r="G6" s="1" t="s">
        <v>71</v>
      </c>
      <c r="I6" s="1" t="s">
        <v>71</v>
      </c>
      <c r="L6" s="1" t="s">
        <v>72</v>
      </c>
      <c r="M6" s="1">
        <v>1500.0</v>
      </c>
      <c r="N6" s="1" t="s">
        <v>72</v>
      </c>
      <c r="O6" s="1">
        <v>1.37199266E8</v>
      </c>
      <c r="P6" s="1" t="s">
        <v>73</v>
      </c>
      <c r="Q6" s="1" t="s">
        <v>74</v>
      </c>
      <c r="R6" s="1" t="s">
        <v>75</v>
      </c>
      <c r="S6" s="1" t="s">
        <v>44</v>
      </c>
      <c r="T6" s="1" t="s">
        <v>45</v>
      </c>
      <c r="U6" s="1">
        <v>4.82262308E8</v>
      </c>
      <c r="W6" s="1" t="s">
        <v>46</v>
      </c>
      <c r="X6" s="1" t="s">
        <v>45</v>
      </c>
      <c r="Y6" s="1">
        <v>4.82262308E8</v>
      </c>
      <c r="Z6" s="1">
        <v>6530661.0</v>
      </c>
      <c r="AA6" s="1" t="s">
        <v>76</v>
      </c>
      <c r="AB6" s="1">
        <v>50000.0</v>
      </c>
      <c r="AC6" s="2">
        <v>41183.0</v>
      </c>
      <c r="AD6" s="1">
        <v>1500.0</v>
      </c>
      <c r="AE6" s="1" t="s">
        <v>72</v>
      </c>
      <c r="AF6" s="1" t="s">
        <v>77</v>
      </c>
      <c r="AG6" s="1" t="s">
        <v>78</v>
      </c>
      <c r="AH6" s="1">
        <v>10.0</v>
      </c>
      <c r="AI6" s="1">
        <v>2012.0</v>
      </c>
      <c r="AJ6" s="1">
        <v>2013.0</v>
      </c>
      <c r="AK6" s="1" t="s">
        <v>79</v>
      </c>
    </row>
    <row r="7">
      <c r="A7" s="1" t="s">
        <v>69</v>
      </c>
      <c r="B7" s="1" t="s">
        <v>69</v>
      </c>
      <c r="C7" s="1" t="s">
        <v>70</v>
      </c>
      <c r="E7" s="1">
        <v>6449224.0</v>
      </c>
      <c r="F7" s="2">
        <v>41183.0</v>
      </c>
      <c r="G7" s="1" t="s">
        <v>71</v>
      </c>
      <c r="I7" s="1" t="s">
        <v>71</v>
      </c>
      <c r="L7" s="1" t="s">
        <v>72</v>
      </c>
      <c r="M7" s="1">
        <v>1500.0</v>
      </c>
      <c r="N7" s="1" t="s">
        <v>72</v>
      </c>
      <c r="O7" s="1">
        <v>1.37199266E8</v>
      </c>
      <c r="P7" s="1" t="s">
        <v>73</v>
      </c>
      <c r="Q7" s="1" t="s">
        <v>74</v>
      </c>
      <c r="R7" s="1" t="s">
        <v>75</v>
      </c>
      <c r="S7" s="1" t="s">
        <v>44</v>
      </c>
      <c r="T7" s="1" t="s">
        <v>45</v>
      </c>
      <c r="U7" s="1">
        <v>4.82262308E8</v>
      </c>
      <c r="W7" s="1" t="s">
        <v>46</v>
      </c>
      <c r="X7" s="1" t="s">
        <v>45</v>
      </c>
      <c r="Y7" s="1">
        <v>4.82262308E8</v>
      </c>
      <c r="Z7" s="1">
        <v>6530661.0</v>
      </c>
      <c r="AA7" s="1" t="s">
        <v>76</v>
      </c>
      <c r="AB7" s="1">
        <v>100000.0</v>
      </c>
      <c r="AC7" s="2">
        <v>41183.0</v>
      </c>
      <c r="AD7" s="1">
        <v>1500.0</v>
      </c>
      <c r="AE7" s="1" t="s">
        <v>72</v>
      </c>
      <c r="AF7" s="1" t="s">
        <v>80</v>
      </c>
      <c r="AG7" s="1" t="s">
        <v>81</v>
      </c>
      <c r="AH7" s="1">
        <v>10.0</v>
      </c>
      <c r="AI7" s="1">
        <v>2012.0</v>
      </c>
      <c r="AJ7" s="1">
        <v>2013.0</v>
      </c>
      <c r="AK7" s="1" t="s">
        <v>79</v>
      </c>
    </row>
    <row r="8">
      <c r="A8" s="1" t="s">
        <v>69</v>
      </c>
      <c r="B8" s="1" t="s">
        <v>69</v>
      </c>
      <c r="C8" s="1" t="s">
        <v>70</v>
      </c>
      <c r="E8" s="1">
        <v>6449224.0</v>
      </c>
      <c r="F8" s="2">
        <v>41183.0</v>
      </c>
      <c r="G8" s="1" t="s">
        <v>71</v>
      </c>
      <c r="I8" s="1" t="s">
        <v>71</v>
      </c>
      <c r="L8" s="1" t="s">
        <v>72</v>
      </c>
      <c r="M8" s="1">
        <v>1500.0</v>
      </c>
      <c r="N8" s="1" t="s">
        <v>72</v>
      </c>
      <c r="O8" s="1">
        <v>1962224.0</v>
      </c>
      <c r="P8" s="1" t="s">
        <v>52</v>
      </c>
      <c r="R8" s="1" t="s">
        <v>53</v>
      </c>
      <c r="S8" s="1" t="s">
        <v>44</v>
      </c>
      <c r="T8" s="1" t="s">
        <v>45</v>
      </c>
      <c r="U8" s="1">
        <v>4.82023692E8</v>
      </c>
      <c r="W8" s="1" t="s">
        <v>46</v>
      </c>
      <c r="X8" s="1" t="s">
        <v>45</v>
      </c>
      <c r="Y8" s="1">
        <v>4.82023692E8</v>
      </c>
      <c r="Z8" s="1">
        <v>1962224.0</v>
      </c>
      <c r="AA8" s="1" t="s">
        <v>52</v>
      </c>
      <c r="AB8" s="1">
        <v>50000.0</v>
      </c>
      <c r="AC8" s="2">
        <v>41183.0</v>
      </c>
      <c r="AD8" s="1">
        <v>1500.0</v>
      </c>
      <c r="AE8" s="1" t="s">
        <v>72</v>
      </c>
      <c r="AF8" s="1" t="s">
        <v>82</v>
      </c>
      <c r="AG8" s="1" t="s">
        <v>83</v>
      </c>
      <c r="AH8" s="1">
        <v>10.0</v>
      </c>
      <c r="AI8" s="1">
        <v>2012.0</v>
      </c>
      <c r="AJ8" s="1">
        <v>2013.0</v>
      </c>
      <c r="AK8" s="1" t="s">
        <v>79</v>
      </c>
    </row>
    <row r="9">
      <c r="A9" s="1" t="s">
        <v>84</v>
      </c>
      <c r="B9" s="1" t="s">
        <v>84</v>
      </c>
      <c r="C9" s="1" t="s">
        <v>85</v>
      </c>
      <c r="E9" s="1">
        <v>286829.0</v>
      </c>
      <c r="F9" s="2">
        <v>41183.0</v>
      </c>
      <c r="G9" s="1" t="s">
        <v>86</v>
      </c>
      <c r="I9" s="1" t="s">
        <v>86</v>
      </c>
      <c r="L9" s="1" t="s">
        <v>40</v>
      </c>
      <c r="M9" s="1">
        <v>7500.0</v>
      </c>
      <c r="N9" s="1" t="s">
        <v>40</v>
      </c>
      <c r="O9" s="1">
        <v>1962224.0</v>
      </c>
      <c r="P9" s="1" t="s">
        <v>52</v>
      </c>
      <c r="R9" s="1" t="s">
        <v>53</v>
      </c>
      <c r="S9" s="1" t="s">
        <v>44</v>
      </c>
      <c r="T9" s="1" t="s">
        <v>45</v>
      </c>
      <c r="U9" s="1">
        <v>4.82023692E8</v>
      </c>
      <c r="W9" s="1" t="s">
        <v>46</v>
      </c>
      <c r="X9" s="1" t="s">
        <v>45</v>
      </c>
      <c r="Y9" s="1">
        <v>4.82023692E8</v>
      </c>
      <c r="Z9" s="1">
        <v>1962224.0</v>
      </c>
      <c r="AA9" s="1" t="s">
        <v>52</v>
      </c>
      <c r="AB9" s="1">
        <v>70000.0</v>
      </c>
      <c r="AC9" s="2">
        <v>41183.0</v>
      </c>
      <c r="AD9" s="1">
        <v>7500.0</v>
      </c>
      <c r="AE9" s="1" t="s">
        <v>40</v>
      </c>
      <c r="AF9" s="1">
        <v>2.0131067E7</v>
      </c>
      <c r="AG9" s="1" t="s">
        <v>87</v>
      </c>
      <c r="AH9" s="1">
        <v>10.0</v>
      </c>
      <c r="AI9" s="1">
        <v>2011.0</v>
      </c>
      <c r="AJ9" s="1">
        <v>2013.0</v>
      </c>
      <c r="AK9" s="1" t="s">
        <v>88</v>
      </c>
    </row>
    <row r="10">
      <c r="A10" s="1" t="s">
        <v>89</v>
      </c>
      <c r="B10" s="1" t="s">
        <v>89</v>
      </c>
      <c r="C10" s="1" t="s">
        <v>38</v>
      </c>
      <c r="E10" s="1">
        <v>2282414.0</v>
      </c>
      <c r="F10" s="2">
        <v>41213.0</v>
      </c>
      <c r="G10" s="1" t="s">
        <v>90</v>
      </c>
      <c r="I10" s="1" t="s">
        <v>90</v>
      </c>
      <c r="L10" s="1" t="s">
        <v>40</v>
      </c>
      <c r="M10" s="1">
        <v>7500.0</v>
      </c>
      <c r="N10" s="1" t="s">
        <v>40</v>
      </c>
      <c r="O10" s="1">
        <v>1962224.0</v>
      </c>
      <c r="P10" s="1" t="s">
        <v>52</v>
      </c>
      <c r="R10" s="1" t="s">
        <v>53</v>
      </c>
      <c r="S10" s="1" t="s">
        <v>44</v>
      </c>
      <c r="T10" s="1" t="s">
        <v>45</v>
      </c>
      <c r="U10" s="1">
        <v>4.82023692E8</v>
      </c>
      <c r="W10" s="1" t="s">
        <v>46</v>
      </c>
      <c r="X10" s="1" t="s">
        <v>45</v>
      </c>
      <c r="Y10" s="1">
        <v>4.82012013E8</v>
      </c>
      <c r="Z10" s="1">
        <v>1962224.0</v>
      </c>
      <c r="AA10" s="1" t="s">
        <v>52</v>
      </c>
      <c r="AB10" s="1">
        <v>80304.0</v>
      </c>
      <c r="AC10" s="2">
        <v>41213.0</v>
      </c>
      <c r="AD10" s="1">
        <v>7500.0</v>
      </c>
      <c r="AE10" s="1" t="s">
        <v>40</v>
      </c>
      <c r="AF10" s="1" t="s">
        <v>91</v>
      </c>
      <c r="AG10" s="1" t="s">
        <v>92</v>
      </c>
      <c r="AH10" s="1">
        <v>11.0</v>
      </c>
      <c r="AI10" s="1">
        <v>2012.0</v>
      </c>
      <c r="AJ10" s="1">
        <v>2013.0</v>
      </c>
      <c r="AK10" s="1" t="s">
        <v>93</v>
      </c>
    </row>
    <row r="11">
      <c r="A11" s="1" t="s">
        <v>94</v>
      </c>
      <c r="B11" s="1" t="s">
        <v>94</v>
      </c>
      <c r="C11" s="1" t="s">
        <v>38</v>
      </c>
      <c r="E11" s="1">
        <v>370015.0</v>
      </c>
      <c r="F11" s="2">
        <v>41185.0</v>
      </c>
      <c r="G11" s="1" t="s">
        <v>95</v>
      </c>
      <c r="I11" s="1" t="s">
        <v>95</v>
      </c>
      <c r="L11" s="1" t="s">
        <v>40</v>
      </c>
      <c r="M11" s="1">
        <v>7500.0</v>
      </c>
      <c r="N11" s="1" t="s">
        <v>40</v>
      </c>
      <c r="O11" s="1">
        <v>7.3134603E7</v>
      </c>
      <c r="P11" s="1" t="s">
        <v>41</v>
      </c>
      <c r="Q11" s="1" t="s">
        <v>42</v>
      </c>
      <c r="R11" s="1" t="s">
        <v>43</v>
      </c>
      <c r="S11" s="1" t="s">
        <v>44</v>
      </c>
      <c r="T11" s="1" t="s">
        <v>45</v>
      </c>
      <c r="U11" s="1">
        <v>4.8202345E8</v>
      </c>
      <c r="W11" s="1" t="s">
        <v>46</v>
      </c>
      <c r="X11" s="1" t="s">
        <v>45</v>
      </c>
      <c r="Y11" s="1">
        <v>4.8202345E8</v>
      </c>
      <c r="Z11" s="1">
        <v>7.3134603E7</v>
      </c>
      <c r="AA11" s="1" t="s">
        <v>41</v>
      </c>
      <c r="AB11" s="1">
        <v>97330.0</v>
      </c>
      <c r="AC11" s="2">
        <v>41185.0</v>
      </c>
      <c r="AD11" s="1">
        <v>7500.0</v>
      </c>
      <c r="AE11" s="1" t="s">
        <v>40</v>
      </c>
      <c r="AF11" s="1" t="s">
        <v>96</v>
      </c>
      <c r="AG11" s="1" t="s">
        <v>97</v>
      </c>
      <c r="AH11" s="1">
        <v>12.0</v>
      </c>
      <c r="AI11" s="1">
        <v>2012.0</v>
      </c>
      <c r="AJ11" s="1">
        <v>2013.0</v>
      </c>
      <c r="AK11" s="1" t="s">
        <v>98</v>
      </c>
    </row>
    <row r="12">
      <c r="A12" s="1" t="s">
        <v>99</v>
      </c>
      <c r="B12" s="1" t="s">
        <v>99</v>
      </c>
      <c r="C12" s="1" t="s">
        <v>100</v>
      </c>
      <c r="E12" s="1">
        <v>177672.0</v>
      </c>
      <c r="F12" s="2">
        <v>41183.0</v>
      </c>
      <c r="G12" s="1" t="s">
        <v>101</v>
      </c>
      <c r="I12" s="1" t="s">
        <v>101</v>
      </c>
      <c r="L12" s="1" t="s">
        <v>102</v>
      </c>
      <c r="M12" s="1">
        <v>8600.0</v>
      </c>
      <c r="N12" s="1" t="s">
        <v>102</v>
      </c>
      <c r="O12" s="1">
        <v>1.31984697E8</v>
      </c>
      <c r="P12" s="1" t="s">
        <v>103</v>
      </c>
      <c r="Q12" s="1" t="s">
        <v>104</v>
      </c>
      <c r="R12" s="1" t="s">
        <v>105</v>
      </c>
      <c r="S12" s="1" t="s">
        <v>44</v>
      </c>
      <c r="T12" s="1" t="s">
        <v>45</v>
      </c>
      <c r="U12" s="1">
        <v>4.82161435E8</v>
      </c>
      <c r="W12" s="1" t="s">
        <v>46</v>
      </c>
      <c r="X12" s="1" t="s">
        <v>45</v>
      </c>
      <c r="Y12" s="1">
        <v>4.82161435E8</v>
      </c>
      <c r="Z12" s="1">
        <v>7.6385699E7</v>
      </c>
      <c r="AA12" s="1" t="s">
        <v>106</v>
      </c>
      <c r="AB12" s="1">
        <v>86245.64</v>
      </c>
      <c r="AC12" s="2">
        <v>41183.0</v>
      </c>
      <c r="AD12" s="1">
        <v>8600.0</v>
      </c>
      <c r="AE12" s="1" t="s">
        <v>102</v>
      </c>
      <c r="AF12" s="1">
        <v>2.0130876E7</v>
      </c>
      <c r="AG12" s="1" t="s">
        <v>107</v>
      </c>
      <c r="AH12" s="1">
        <v>10.0</v>
      </c>
      <c r="AI12" s="1">
        <v>2011.0</v>
      </c>
      <c r="AJ12" s="1">
        <v>2013.0</v>
      </c>
      <c r="AK12" s="1" t="s">
        <v>108</v>
      </c>
    </row>
    <row r="13">
      <c r="A13" s="1">
        <v>1128122.0</v>
      </c>
      <c r="B13" s="1">
        <v>1128122.0</v>
      </c>
      <c r="C13" s="1" t="s">
        <v>109</v>
      </c>
      <c r="E13" s="1">
        <v>1.1207676E7</v>
      </c>
      <c r="F13" s="2">
        <v>41219.0</v>
      </c>
      <c r="G13" s="1" t="s">
        <v>110</v>
      </c>
      <c r="I13" s="1" t="s">
        <v>110</v>
      </c>
      <c r="L13" s="1" t="s">
        <v>109</v>
      </c>
      <c r="M13" s="1">
        <v>4900.0</v>
      </c>
      <c r="N13" s="1" t="s">
        <v>109</v>
      </c>
      <c r="O13" s="1">
        <v>1962224.0</v>
      </c>
      <c r="P13" s="1" t="s">
        <v>52</v>
      </c>
      <c r="R13" s="1" t="s">
        <v>53</v>
      </c>
      <c r="S13" s="1" t="s">
        <v>44</v>
      </c>
      <c r="T13" s="1" t="s">
        <v>45</v>
      </c>
      <c r="U13" s="1">
        <v>4.82023692E8</v>
      </c>
      <c r="W13" s="1" t="s">
        <v>46</v>
      </c>
      <c r="X13" s="1" t="s">
        <v>45</v>
      </c>
      <c r="Y13" s="1">
        <v>4.8202405E8</v>
      </c>
      <c r="Z13" s="1">
        <v>1962224.0</v>
      </c>
      <c r="AA13" s="1" t="s">
        <v>52</v>
      </c>
      <c r="AB13" s="1">
        <v>141445.0</v>
      </c>
      <c r="AC13" s="2">
        <v>41219.0</v>
      </c>
      <c r="AD13" s="1">
        <v>4900.0</v>
      </c>
      <c r="AE13" s="1" t="s">
        <v>109</v>
      </c>
      <c r="AF13" s="1" t="s">
        <v>111</v>
      </c>
      <c r="AG13" s="1" t="s">
        <v>112</v>
      </c>
      <c r="AH13" s="1">
        <v>11.0</v>
      </c>
      <c r="AI13" s="1">
        <v>2012.0</v>
      </c>
      <c r="AJ13" s="1">
        <v>2013.0</v>
      </c>
      <c r="AK13" s="1" t="s">
        <v>113</v>
      </c>
    </row>
    <row r="14">
      <c r="A14" s="1">
        <v>1.261002049E9</v>
      </c>
      <c r="B14" s="1">
        <v>1.261002049E9</v>
      </c>
      <c r="C14" s="1" t="s">
        <v>114</v>
      </c>
      <c r="E14" s="1">
        <v>768945.0</v>
      </c>
      <c r="F14" s="2">
        <v>41547.0</v>
      </c>
      <c r="G14" s="1" t="s">
        <v>115</v>
      </c>
      <c r="I14" s="1" t="s">
        <v>115</v>
      </c>
      <c r="L14" s="1" t="s">
        <v>114</v>
      </c>
      <c r="M14" s="1">
        <v>5920.0</v>
      </c>
      <c r="N14" s="1" t="s">
        <v>114</v>
      </c>
      <c r="O14" s="1">
        <v>1.43199672E8</v>
      </c>
      <c r="P14" s="1" t="s">
        <v>116</v>
      </c>
      <c r="R14" s="1" t="s">
        <v>117</v>
      </c>
      <c r="S14" s="1" t="s">
        <v>44</v>
      </c>
      <c r="T14" s="1" t="s">
        <v>45</v>
      </c>
      <c r="U14" s="1">
        <v>4.82431607E8</v>
      </c>
      <c r="W14" s="1" t="s">
        <v>46</v>
      </c>
      <c r="X14" s="1" t="s">
        <v>45</v>
      </c>
      <c r="Y14" s="1">
        <v>4.82431607E8</v>
      </c>
      <c r="AB14" s="1">
        <v>50000.0</v>
      </c>
      <c r="AC14" s="2">
        <v>41547.0</v>
      </c>
      <c r="AD14" s="1">
        <v>5920.0</v>
      </c>
      <c r="AE14" s="1" t="s">
        <v>114</v>
      </c>
      <c r="AF14" s="1" t="s">
        <v>118</v>
      </c>
      <c r="AG14" s="1" t="s">
        <v>119</v>
      </c>
      <c r="AH14" s="1">
        <v>11.0</v>
      </c>
      <c r="AI14" s="1">
        <v>2012.0</v>
      </c>
      <c r="AJ14" s="1">
        <v>2013.0</v>
      </c>
      <c r="AK14" s="1" t="s">
        <v>120</v>
      </c>
    </row>
    <row r="15">
      <c r="A15" s="1" t="s">
        <v>121</v>
      </c>
      <c r="B15" s="1" t="s">
        <v>121</v>
      </c>
      <c r="C15" s="1" t="s">
        <v>100</v>
      </c>
      <c r="E15" s="1">
        <v>3.8521788E7</v>
      </c>
      <c r="F15" s="2">
        <v>41255.0</v>
      </c>
      <c r="G15" s="1" t="s">
        <v>122</v>
      </c>
      <c r="I15" s="1" t="s">
        <v>122</v>
      </c>
      <c r="L15" s="1" t="s">
        <v>102</v>
      </c>
      <c r="M15" s="1">
        <v>8600.0</v>
      </c>
      <c r="N15" s="1" t="s">
        <v>102</v>
      </c>
      <c r="O15" s="1">
        <v>9.64523815E8</v>
      </c>
      <c r="P15" s="1" t="s">
        <v>123</v>
      </c>
      <c r="Q15" s="1" t="s">
        <v>124</v>
      </c>
      <c r="R15" s="1" t="s">
        <v>125</v>
      </c>
      <c r="S15" s="1" t="s">
        <v>44</v>
      </c>
      <c r="T15" s="1" t="s">
        <v>45</v>
      </c>
      <c r="U15" s="1">
        <v>4.82231227E8</v>
      </c>
      <c r="W15" s="1" t="s">
        <v>46</v>
      </c>
      <c r="X15" s="1" t="s">
        <v>45</v>
      </c>
      <c r="Y15" s="1">
        <v>4.82231227E8</v>
      </c>
      <c r="AB15" s="1">
        <v>40000.0</v>
      </c>
      <c r="AC15" s="2">
        <v>41255.0</v>
      </c>
      <c r="AD15" s="1">
        <v>8600.0</v>
      </c>
      <c r="AE15" s="1" t="s">
        <v>102</v>
      </c>
      <c r="AF15" s="1">
        <v>4.07420076E8</v>
      </c>
      <c r="AG15" s="1" t="s">
        <v>126</v>
      </c>
      <c r="AH15" s="1">
        <v>12.0</v>
      </c>
      <c r="AI15" s="1">
        <v>2012.0</v>
      </c>
      <c r="AJ15" s="1">
        <v>2013.0</v>
      </c>
      <c r="AK15" s="1" t="s">
        <v>127</v>
      </c>
    </row>
    <row r="16">
      <c r="A16" s="1" t="s">
        <v>128</v>
      </c>
      <c r="B16" s="1" t="s">
        <v>128</v>
      </c>
      <c r="C16" s="1" t="s">
        <v>129</v>
      </c>
      <c r="E16" s="1">
        <v>1.12959E7</v>
      </c>
      <c r="F16" s="2">
        <v>41271.0</v>
      </c>
      <c r="G16" s="1" t="s">
        <v>130</v>
      </c>
      <c r="I16" s="1" t="s">
        <v>130</v>
      </c>
      <c r="L16" s="1" t="s">
        <v>40</v>
      </c>
      <c r="M16" s="1">
        <v>7500.0</v>
      </c>
      <c r="N16" s="1" t="s">
        <v>40</v>
      </c>
      <c r="O16" s="1">
        <v>6.9840817E7</v>
      </c>
      <c r="P16" s="1" t="s">
        <v>131</v>
      </c>
      <c r="R16" s="1" t="s">
        <v>132</v>
      </c>
      <c r="S16" s="1" t="s">
        <v>44</v>
      </c>
      <c r="T16" s="1" t="s">
        <v>45</v>
      </c>
      <c r="U16" s="1">
        <v>4.8214261E8</v>
      </c>
      <c r="W16" s="1" t="s">
        <v>133</v>
      </c>
      <c r="X16" s="1" t="s">
        <v>45</v>
      </c>
      <c r="Y16" s="1">
        <v>4.8214261E8</v>
      </c>
      <c r="Z16" s="1">
        <v>6.9840817E7</v>
      </c>
      <c r="AA16" s="1" t="s">
        <v>131</v>
      </c>
      <c r="AB16" s="1">
        <v>429400.0</v>
      </c>
      <c r="AC16" s="2">
        <v>41271.0</v>
      </c>
      <c r="AD16" s="1">
        <v>7500.0</v>
      </c>
      <c r="AE16" s="1" t="s">
        <v>40</v>
      </c>
      <c r="AF16" s="1" t="s">
        <v>134</v>
      </c>
      <c r="AG16" s="1" t="s">
        <v>135</v>
      </c>
      <c r="AH16" s="1">
        <v>12.0</v>
      </c>
      <c r="AI16" s="1">
        <v>2012.0</v>
      </c>
      <c r="AJ16" s="1">
        <v>2013.0</v>
      </c>
      <c r="AK16" s="1" t="s">
        <v>136</v>
      </c>
    </row>
    <row r="17">
      <c r="A17" s="1" t="s">
        <v>137</v>
      </c>
      <c r="B17" s="1" t="s">
        <v>137</v>
      </c>
      <c r="C17" s="1" t="s">
        <v>129</v>
      </c>
      <c r="E17" s="1">
        <v>1.4258505E7</v>
      </c>
      <c r="F17" s="2">
        <v>41277.0</v>
      </c>
      <c r="G17" s="1" t="s">
        <v>138</v>
      </c>
      <c r="I17" s="1" t="s">
        <v>138</v>
      </c>
      <c r="L17" s="1" t="s">
        <v>40</v>
      </c>
      <c r="M17" s="1">
        <v>7500.0</v>
      </c>
      <c r="N17" s="1" t="s">
        <v>40</v>
      </c>
      <c r="O17" s="1">
        <v>6.9840817E7</v>
      </c>
      <c r="P17" s="1" t="s">
        <v>131</v>
      </c>
      <c r="R17" s="1" t="s">
        <v>132</v>
      </c>
      <c r="S17" s="1" t="s">
        <v>44</v>
      </c>
      <c r="T17" s="1" t="s">
        <v>45</v>
      </c>
      <c r="U17" s="1">
        <v>4.8214261E8</v>
      </c>
      <c r="W17" s="1" t="s">
        <v>46</v>
      </c>
      <c r="X17" s="1" t="s">
        <v>45</v>
      </c>
      <c r="Y17" s="1">
        <v>4.8214261E8</v>
      </c>
      <c r="Z17" s="1">
        <v>6.9840817E7</v>
      </c>
      <c r="AA17" s="1" t="s">
        <v>131</v>
      </c>
      <c r="AB17" s="1">
        <v>186287.0</v>
      </c>
      <c r="AC17" s="2">
        <v>41277.0</v>
      </c>
      <c r="AD17" s="1">
        <v>7500.0</v>
      </c>
      <c r="AE17" s="1" t="s">
        <v>40</v>
      </c>
      <c r="AF17" s="1" t="s">
        <v>139</v>
      </c>
      <c r="AG17" s="1" t="s">
        <v>140</v>
      </c>
      <c r="AH17" s="1">
        <v>1.0</v>
      </c>
      <c r="AI17" s="1">
        <v>2013.0</v>
      </c>
      <c r="AJ17" s="1">
        <v>2013.0</v>
      </c>
      <c r="AK17" s="1" t="s">
        <v>141</v>
      </c>
    </row>
    <row r="18">
      <c r="A18" s="1" t="s">
        <v>142</v>
      </c>
      <c r="B18" s="1" t="s">
        <v>142</v>
      </c>
      <c r="C18" s="1" t="s">
        <v>129</v>
      </c>
      <c r="E18" s="1">
        <v>1650532.0</v>
      </c>
      <c r="F18" s="2">
        <v>41183.0</v>
      </c>
      <c r="G18" s="1" t="s">
        <v>143</v>
      </c>
      <c r="I18" s="1" t="s">
        <v>143</v>
      </c>
      <c r="L18" s="1" t="s">
        <v>40</v>
      </c>
      <c r="M18" s="1">
        <v>7500.0</v>
      </c>
      <c r="N18" s="1" t="s">
        <v>40</v>
      </c>
      <c r="O18" s="1">
        <v>1.41947783E8</v>
      </c>
      <c r="P18" s="1" t="s">
        <v>144</v>
      </c>
      <c r="R18" s="1" t="s">
        <v>145</v>
      </c>
      <c r="S18" s="1" t="s">
        <v>44</v>
      </c>
      <c r="T18" s="1" t="s">
        <v>45</v>
      </c>
      <c r="U18" s="1">
        <v>4.82362148E8</v>
      </c>
      <c r="W18" s="1" t="s">
        <v>46</v>
      </c>
      <c r="X18" s="1" t="s">
        <v>45</v>
      </c>
      <c r="Y18" s="1">
        <v>4.82362148E8</v>
      </c>
      <c r="AB18" s="1">
        <v>100000.0</v>
      </c>
      <c r="AC18" s="2">
        <v>41183.0</v>
      </c>
      <c r="AD18" s="1">
        <v>7500.0</v>
      </c>
      <c r="AE18" s="1" t="s">
        <v>40</v>
      </c>
      <c r="AF18" s="1">
        <v>2.0130452E7</v>
      </c>
      <c r="AG18" s="1" t="s">
        <v>146</v>
      </c>
      <c r="AH18" s="1">
        <v>10.0</v>
      </c>
      <c r="AI18" s="1">
        <v>2012.0</v>
      </c>
      <c r="AJ18" s="1">
        <v>2013.0</v>
      </c>
      <c r="AK18" s="1" t="s">
        <v>147</v>
      </c>
    </row>
    <row r="19">
      <c r="A19" s="1" t="s">
        <v>148</v>
      </c>
      <c r="B19" s="1" t="s">
        <v>148</v>
      </c>
      <c r="C19" s="1" t="s">
        <v>149</v>
      </c>
      <c r="E19" s="1">
        <v>3493000.0</v>
      </c>
      <c r="F19" s="2">
        <v>41294.0</v>
      </c>
      <c r="G19" s="1" t="s">
        <v>150</v>
      </c>
      <c r="I19" s="1" t="s">
        <v>150</v>
      </c>
      <c r="L19" s="1" t="s">
        <v>151</v>
      </c>
      <c r="M19" s="1">
        <v>6900.0</v>
      </c>
      <c r="N19" s="1" t="s">
        <v>151</v>
      </c>
      <c r="O19" s="1">
        <v>7.3135402E7</v>
      </c>
      <c r="P19" s="1" t="s">
        <v>152</v>
      </c>
      <c r="Q19" s="1" t="s">
        <v>153</v>
      </c>
      <c r="R19" s="1" t="s">
        <v>154</v>
      </c>
      <c r="S19" s="1" t="s">
        <v>44</v>
      </c>
      <c r="T19" s="1" t="s">
        <v>45</v>
      </c>
      <c r="U19" s="1">
        <v>4.82213038E8</v>
      </c>
      <c r="W19" s="1" t="s">
        <v>46</v>
      </c>
      <c r="X19" s="1" t="s">
        <v>45</v>
      </c>
      <c r="Y19" s="1">
        <v>4.82213038E8</v>
      </c>
      <c r="Z19" s="1">
        <v>7.3135402E7</v>
      </c>
      <c r="AA19" s="1" t="s">
        <v>152</v>
      </c>
      <c r="AB19" s="1">
        <v>133111.0</v>
      </c>
      <c r="AC19" s="2">
        <v>41294.0</v>
      </c>
      <c r="AD19" s="1">
        <v>6900.0</v>
      </c>
      <c r="AE19" s="1" t="s">
        <v>151</v>
      </c>
      <c r="AF19" s="1" t="s">
        <v>155</v>
      </c>
      <c r="AG19" s="1" t="s">
        <v>156</v>
      </c>
      <c r="AH19" s="1">
        <v>2.0</v>
      </c>
      <c r="AI19" s="1">
        <v>2013.0</v>
      </c>
      <c r="AJ19" s="1">
        <v>2013.0</v>
      </c>
      <c r="AK19" s="1" t="s">
        <v>157</v>
      </c>
    </row>
    <row r="20">
      <c r="A20" s="1" t="s">
        <v>158</v>
      </c>
      <c r="B20" s="1" t="s">
        <v>158</v>
      </c>
      <c r="C20" s="1" t="s">
        <v>159</v>
      </c>
      <c r="E20" s="1">
        <v>299996.0</v>
      </c>
      <c r="F20" s="2">
        <v>41183.0</v>
      </c>
      <c r="G20" s="1" t="s">
        <v>160</v>
      </c>
      <c r="I20" s="1" t="s">
        <v>160</v>
      </c>
      <c r="L20" s="1" t="s">
        <v>40</v>
      </c>
      <c r="M20" s="1">
        <v>7500.0</v>
      </c>
      <c r="N20" s="1" t="s">
        <v>40</v>
      </c>
      <c r="O20" s="1">
        <v>1962224.0</v>
      </c>
      <c r="P20" s="1" t="s">
        <v>52</v>
      </c>
      <c r="R20" s="1" t="s">
        <v>53</v>
      </c>
      <c r="S20" s="1" t="s">
        <v>44</v>
      </c>
      <c r="T20" s="1" t="s">
        <v>45</v>
      </c>
      <c r="U20" s="1">
        <v>4.82023692E8</v>
      </c>
      <c r="W20" s="1" t="s">
        <v>46</v>
      </c>
      <c r="X20" s="1" t="s">
        <v>45</v>
      </c>
      <c r="Y20" s="1">
        <v>4.82023692E8</v>
      </c>
      <c r="Z20" s="1">
        <v>1962224.0</v>
      </c>
      <c r="AA20" s="1" t="s">
        <v>52</v>
      </c>
      <c r="AB20" s="1">
        <v>0.0</v>
      </c>
      <c r="AC20" s="2">
        <v>41183.0</v>
      </c>
      <c r="AD20" s="1">
        <v>7500.0</v>
      </c>
      <c r="AE20" s="1" t="s">
        <v>40</v>
      </c>
      <c r="AF20" s="1">
        <v>2.0131061E7</v>
      </c>
      <c r="AG20" s="1" t="s">
        <v>161</v>
      </c>
      <c r="AH20" s="1">
        <v>10.0</v>
      </c>
      <c r="AI20" s="1">
        <v>2012.0</v>
      </c>
      <c r="AJ20" s="1">
        <v>2013.0</v>
      </c>
      <c r="AK20" s="1" t="s">
        <v>162</v>
      </c>
    </row>
    <row r="21">
      <c r="A21" s="1" t="s">
        <v>163</v>
      </c>
      <c r="B21" s="1" t="s">
        <v>163</v>
      </c>
      <c r="C21" s="1">
        <v>7545.0</v>
      </c>
      <c r="E21" s="1">
        <v>715669.0</v>
      </c>
      <c r="F21" s="2">
        <v>41183.0</v>
      </c>
      <c r="G21" s="1" t="s">
        <v>164</v>
      </c>
      <c r="I21" s="1" t="s">
        <v>164</v>
      </c>
      <c r="L21" s="1" t="s">
        <v>40</v>
      </c>
      <c r="M21" s="1">
        <v>7500.0</v>
      </c>
      <c r="N21" s="1" t="s">
        <v>40</v>
      </c>
      <c r="O21" s="1">
        <v>4.6842605E7</v>
      </c>
      <c r="P21" s="1" t="s">
        <v>165</v>
      </c>
      <c r="Q21" s="1" t="s">
        <v>166</v>
      </c>
      <c r="R21" s="1" t="s">
        <v>167</v>
      </c>
      <c r="S21" s="1" t="s">
        <v>44</v>
      </c>
      <c r="T21" s="1" t="s">
        <v>45</v>
      </c>
      <c r="U21" s="1">
        <v>4.82074544E8</v>
      </c>
      <c r="W21" s="1" t="s">
        <v>46</v>
      </c>
      <c r="X21" s="1" t="s">
        <v>45</v>
      </c>
      <c r="Y21" s="1">
        <v>4.82074544E8</v>
      </c>
      <c r="AB21" s="1">
        <v>22432.0</v>
      </c>
      <c r="AC21" s="2">
        <v>41183.0</v>
      </c>
      <c r="AD21" s="1">
        <v>7500.0</v>
      </c>
      <c r="AE21" s="1" t="s">
        <v>40</v>
      </c>
      <c r="AF21" s="1">
        <v>2.0131585E7</v>
      </c>
      <c r="AG21" s="1" t="s">
        <v>168</v>
      </c>
      <c r="AH21" s="1">
        <v>10.0</v>
      </c>
      <c r="AI21" s="1">
        <v>2011.0</v>
      </c>
      <c r="AJ21" s="1">
        <v>2013.0</v>
      </c>
      <c r="AK21" s="1" t="s">
        <v>169</v>
      </c>
    </row>
    <row r="22">
      <c r="A22" s="1">
        <v>1231742.0</v>
      </c>
      <c r="B22" s="1">
        <v>1231742.0</v>
      </c>
      <c r="C22" s="1" t="s">
        <v>109</v>
      </c>
      <c r="E22" s="1">
        <v>444999.0</v>
      </c>
      <c r="F22" s="2">
        <v>41261.0</v>
      </c>
      <c r="G22" s="1" t="s">
        <v>170</v>
      </c>
      <c r="I22" s="1" t="s">
        <v>170</v>
      </c>
      <c r="L22" s="1" t="s">
        <v>109</v>
      </c>
      <c r="M22" s="1">
        <v>4900.0</v>
      </c>
      <c r="N22" s="1" t="s">
        <v>109</v>
      </c>
      <c r="O22" s="1">
        <v>7.3134603E7</v>
      </c>
      <c r="P22" s="1" t="s">
        <v>41</v>
      </c>
      <c r="Q22" s="1" t="s">
        <v>42</v>
      </c>
      <c r="R22" s="1" t="s">
        <v>43</v>
      </c>
      <c r="S22" s="1" t="s">
        <v>44</v>
      </c>
      <c r="T22" s="1" t="s">
        <v>45</v>
      </c>
      <c r="U22" s="1">
        <v>4.8202345E8</v>
      </c>
      <c r="W22" s="1" t="s">
        <v>46</v>
      </c>
      <c r="X22" s="1" t="s">
        <v>45</v>
      </c>
      <c r="Y22" s="1">
        <v>4.8202345E8</v>
      </c>
      <c r="Z22" s="1">
        <v>7.3134603E7</v>
      </c>
      <c r="AA22" s="1" t="s">
        <v>41</v>
      </c>
      <c r="AB22" s="1">
        <v>112978.0</v>
      </c>
      <c r="AC22" s="2">
        <v>41261.0</v>
      </c>
      <c r="AD22" s="1">
        <v>4900.0</v>
      </c>
      <c r="AE22" s="1" t="s">
        <v>109</v>
      </c>
      <c r="AF22" s="1" t="s">
        <v>171</v>
      </c>
      <c r="AG22" s="1" t="s">
        <v>172</v>
      </c>
      <c r="AH22" s="1">
        <v>12.0</v>
      </c>
      <c r="AI22" s="1">
        <v>2012.0</v>
      </c>
      <c r="AJ22" s="1">
        <v>2013.0</v>
      </c>
      <c r="AK22" s="1" t="s">
        <v>113</v>
      </c>
    </row>
    <row r="23">
      <c r="A23" s="1" t="s">
        <v>173</v>
      </c>
      <c r="B23" s="1" t="s">
        <v>173</v>
      </c>
      <c r="C23" s="1" t="s">
        <v>159</v>
      </c>
      <c r="E23" s="1">
        <v>1310940.0</v>
      </c>
      <c r="F23" s="2">
        <v>41263.0</v>
      </c>
      <c r="G23" s="1" t="s">
        <v>174</v>
      </c>
      <c r="I23" s="1" t="s">
        <v>174</v>
      </c>
      <c r="L23" s="1" t="s">
        <v>40</v>
      </c>
      <c r="M23" s="1">
        <v>7500.0</v>
      </c>
      <c r="N23" s="1" t="s">
        <v>40</v>
      </c>
      <c r="O23" s="1">
        <v>8.09204196E8</v>
      </c>
      <c r="P23" s="1" t="s">
        <v>175</v>
      </c>
      <c r="R23" s="1" t="s">
        <v>176</v>
      </c>
      <c r="S23" s="1" t="s">
        <v>44</v>
      </c>
      <c r="T23" s="1" t="s">
        <v>45</v>
      </c>
      <c r="U23" s="1">
        <v>4.82023025E8</v>
      </c>
      <c r="W23" s="1" t="s">
        <v>46</v>
      </c>
      <c r="X23" s="1" t="s">
        <v>45</v>
      </c>
      <c r="Y23" s="1">
        <v>4.82023046E8</v>
      </c>
      <c r="AB23" s="1">
        <v>57380.0</v>
      </c>
      <c r="AC23" s="2">
        <v>41263.0</v>
      </c>
      <c r="AD23" s="1">
        <v>7500.0</v>
      </c>
      <c r="AE23" s="1" t="s">
        <v>40</v>
      </c>
      <c r="AF23" s="1" t="s">
        <v>177</v>
      </c>
      <c r="AG23" s="1" t="s">
        <v>178</v>
      </c>
      <c r="AH23" s="1">
        <v>1.0</v>
      </c>
      <c r="AI23" s="1">
        <v>2013.0</v>
      </c>
      <c r="AJ23" s="1">
        <v>2013.0</v>
      </c>
      <c r="AK23" s="1" t="s">
        <v>179</v>
      </c>
    </row>
    <row r="24">
      <c r="A24" s="1" t="s">
        <v>180</v>
      </c>
      <c r="B24" s="1" t="s">
        <v>180</v>
      </c>
      <c r="C24" s="1" t="s">
        <v>70</v>
      </c>
      <c r="E24" s="1">
        <v>7000000.0</v>
      </c>
      <c r="F24" s="2">
        <v>41275.0</v>
      </c>
      <c r="G24" s="1" t="s">
        <v>181</v>
      </c>
      <c r="I24" s="1" t="s">
        <v>181</v>
      </c>
      <c r="L24" s="1" t="s">
        <v>72</v>
      </c>
      <c r="M24" s="1">
        <v>1500.0</v>
      </c>
      <c r="N24" s="1" t="s">
        <v>72</v>
      </c>
      <c r="O24" s="1">
        <v>3.2345709E7</v>
      </c>
      <c r="P24" s="1" t="s">
        <v>182</v>
      </c>
      <c r="R24" s="1" t="s">
        <v>183</v>
      </c>
      <c r="S24" s="1" t="s">
        <v>44</v>
      </c>
      <c r="T24" s="1" t="s">
        <v>45</v>
      </c>
      <c r="U24" s="1">
        <v>4.82022411E8</v>
      </c>
      <c r="W24" s="1" t="s">
        <v>44</v>
      </c>
      <c r="X24" s="1" t="s">
        <v>45</v>
      </c>
      <c r="Y24" s="1">
        <v>4.82022411E8</v>
      </c>
      <c r="Z24" s="1">
        <v>3.2345709E7</v>
      </c>
      <c r="AA24" s="1" t="s">
        <v>182</v>
      </c>
      <c r="AB24" s="1">
        <v>87500.0</v>
      </c>
      <c r="AC24" s="2">
        <v>41275.0</v>
      </c>
      <c r="AD24" s="1">
        <v>1500.0</v>
      </c>
      <c r="AE24" s="1" t="s">
        <v>72</v>
      </c>
      <c r="AF24" s="1" t="s">
        <v>184</v>
      </c>
      <c r="AG24" s="1" t="s">
        <v>185</v>
      </c>
      <c r="AH24" s="1">
        <v>1.0</v>
      </c>
      <c r="AI24" s="1">
        <v>2013.0</v>
      </c>
      <c r="AJ24" s="1">
        <v>2013.0</v>
      </c>
      <c r="AK24" s="1" t="s">
        <v>186</v>
      </c>
    </row>
    <row r="25">
      <c r="A25" s="1" t="s">
        <v>187</v>
      </c>
      <c r="B25" s="1" t="s">
        <v>187</v>
      </c>
      <c r="C25" s="1" t="s">
        <v>188</v>
      </c>
      <c r="E25" s="1">
        <v>7453022.0</v>
      </c>
      <c r="F25" s="2">
        <v>41276.0</v>
      </c>
      <c r="G25" s="1" t="s">
        <v>189</v>
      </c>
      <c r="I25" s="1" t="s">
        <v>189</v>
      </c>
      <c r="L25" s="1" t="s">
        <v>188</v>
      </c>
      <c r="M25" s="1">
        <v>1900.0</v>
      </c>
      <c r="N25" s="1" t="s">
        <v>188</v>
      </c>
      <c r="O25" s="1">
        <v>6.9840817E7</v>
      </c>
      <c r="P25" s="1" t="s">
        <v>131</v>
      </c>
      <c r="R25" s="1" t="s">
        <v>132</v>
      </c>
      <c r="S25" s="1" t="s">
        <v>44</v>
      </c>
      <c r="T25" s="1" t="s">
        <v>45</v>
      </c>
      <c r="U25" s="1">
        <v>4.8214261E8</v>
      </c>
      <c r="W25" s="1" t="s">
        <v>46</v>
      </c>
      <c r="X25" s="1" t="s">
        <v>45</v>
      </c>
      <c r="Y25" s="1">
        <v>4.8214261E8</v>
      </c>
      <c r="Z25" s="1">
        <v>6.9840817E7</v>
      </c>
      <c r="AA25" s="1" t="s">
        <v>131</v>
      </c>
      <c r="AB25" s="1">
        <v>863950.0</v>
      </c>
      <c r="AC25" s="2">
        <v>41276.0</v>
      </c>
      <c r="AD25" s="1">
        <v>1900.0</v>
      </c>
      <c r="AE25" s="1" t="s">
        <v>188</v>
      </c>
      <c r="AF25" s="1" t="s">
        <v>190</v>
      </c>
      <c r="AG25" s="1" t="s">
        <v>191</v>
      </c>
      <c r="AH25" s="1">
        <v>12.0</v>
      </c>
      <c r="AI25" s="1">
        <v>2012.0</v>
      </c>
      <c r="AJ25" s="1">
        <v>2013.0</v>
      </c>
      <c r="AK25" s="1" t="s">
        <v>192</v>
      </c>
    </row>
    <row r="26">
      <c r="A26" s="1" t="s">
        <v>193</v>
      </c>
      <c r="B26" s="1" t="s">
        <v>193</v>
      </c>
      <c r="C26" s="1" t="s">
        <v>194</v>
      </c>
      <c r="E26" s="1">
        <v>199696.0</v>
      </c>
      <c r="F26" s="2">
        <v>41319.0</v>
      </c>
      <c r="G26" s="1" t="s">
        <v>195</v>
      </c>
      <c r="I26" s="1" t="s">
        <v>195</v>
      </c>
      <c r="L26" s="1" t="s">
        <v>194</v>
      </c>
      <c r="M26" s="1">
        <v>9100.0</v>
      </c>
      <c r="N26" s="1" t="s">
        <v>194</v>
      </c>
      <c r="O26" s="1">
        <v>1962224.0</v>
      </c>
      <c r="P26" s="1" t="s">
        <v>52</v>
      </c>
      <c r="R26" s="1" t="s">
        <v>53</v>
      </c>
      <c r="S26" s="1" t="s">
        <v>44</v>
      </c>
      <c r="T26" s="1" t="s">
        <v>45</v>
      </c>
      <c r="U26" s="1">
        <v>4.82023692E8</v>
      </c>
      <c r="W26" s="1" t="s">
        <v>46</v>
      </c>
      <c r="X26" s="1" t="s">
        <v>45</v>
      </c>
      <c r="Y26" s="1">
        <v>4.82011309E8</v>
      </c>
      <c r="Z26" s="1">
        <v>1962224.0</v>
      </c>
      <c r="AA26" s="1" t="s">
        <v>52</v>
      </c>
      <c r="AB26" s="1">
        <v>44248.0</v>
      </c>
      <c r="AC26" s="2">
        <v>41319.0</v>
      </c>
      <c r="AD26" s="1">
        <v>9100.0</v>
      </c>
      <c r="AE26" s="1" t="s">
        <v>194</v>
      </c>
      <c r="AF26" s="1">
        <v>4.500001161E9</v>
      </c>
      <c r="AG26" s="1" t="s">
        <v>196</v>
      </c>
      <c r="AH26" s="1">
        <v>2.0</v>
      </c>
      <c r="AI26" s="1">
        <v>2013.0</v>
      </c>
      <c r="AJ26" s="1">
        <v>2013.0</v>
      </c>
      <c r="AK26" s="1" t="s">
        <v>197</v>
      </c>
    </row>
    <row r="27">
      <c r="A27" s="1" t="s">
        <v>198</v>
      </c>
      <c r="B27" s="1" t="s">
        <v>198</v>
      </c>
      <c r="C27" s="1" t="s">
        <v>38</v>
      </c>
      <c r="E27" s="1">
        <v>3271317.0</v>
      </c>
      <c r="F27" s="2">
        <v>41263.0</v>
      </c>
      <c r="G27" s="1" t="s">
        <v>199</v>
      </c>
      <c r="I27" s="1" t="s">
        <v>199</v>
      </c>
      <c r="L27" s="1" t="s">
        <v>40</v>
      </c>
      <c r="M27" s="1">
        <v>7500.0</v>
      </c>
      <c r="N27" s="1" t="s">
        <v>40</v>
      </c>
      <c r="O27" s="1">
        <v>7.3134603E7</v>
      </c>
      <c r="P27" s="1" t="s">
        <v>41</v>
      </c>
      <c r="Q27" s="1" t="s">
        <v>42</v>
      </c>
      <c r="R27" s="1" t="s">
        <v>43</v>
      </c>
      <c r="S27" s="1" t="s">
        <v>44</v>
      </c>
      <c r="T27" s="1" t="s">
        <v>45</v>
      </c>
      <c r="U27" s="1">
        <v>4.8202345E8</v>
      </c>
      <c r="W27" s="1" t="s">
        <v>44</v>
      </c>
      <c r="X27" s="1" t="s">
        <v>45</v>
      </c>
      <c r="Y27" s="1">
        <v>4.8202345E8</v>
      </c>
      <c r="Z27" s="1">
        <v>7.3134603E7</v>
      </c>
      <c r="AA27" s="1" t="s">
        <v>41</v>
      </c>
      <c r="AB27" s="1">
        <v>94308.0</v>
      </c>
      <c r="AC27" s="2">
        <v>41263.0</v>
      </c>
      <c r="AD27" s="1">
        <v>7500.0</v>
      </c>
      <c r="AE27" s="1" t="s">
        <v>40</v>
      </c>
      <c r="AF27" s="1" t="s">
        <v>200</v>
      </c>
      <c r="AG27" s="1" t="s">
        <v>201</v>
      </c>
      <c r="AH27" s="1">
        <v>2.0</v>
      </c>
      <c r="AI27" s="1">
        <v>2013.0</v>
      </c>
      <c r="AJ27" s="1">
        <v>2013.0</v>
      </c>
      <c r="AK27" s="1" t="s">
        <v>202</v>
      </c>
    </row>
    <row r="28">
      <c r="A28" s="1" t="s">
        <v>203</v>
      </c>
      <c r="B28" s="1" t="s">
        <v>203</v>
      </c>
      <c r="C28" s="1" t="s">
        <v>100</v>
      </c>
      <c r="E28" s="1">
        <v>2.2173386E7</v>
      </c>
      <c r="F28" s="2">
        <v>41291.0</v>
      </c>
      <c r="G28" s="1" t="s">
        <v>122</v>
      </c>
      <c r="I28" s="1" t="s">
        <v>122</v>
      </c>
      <c r="L28" s="1" t="s">
        <v>102</v>
      </c>
      <c r="M28" s="1">
        <v>8600.0</v>
      </c>
      <c r="N28" s="1" t="s">
        <v>102</v>
      </c>
      <c r="O28" s="1">
        <v>9.64523815E8</v>
      </c>
      <c r="P28" s="1" t="s">
        <v>123</v>
      </c>
      <c r="Q28" s="1" t="s">
        <v>124</v>
      </c>
      <c r="R28" s="1" t="s">
        <v>125</v>
      </c>
      <c r="S28" s="1" t="s">
        <v>44</v>
      </c>
      <c r="T28" s="1" t="s">
        <v>45</v>
      </c>
      <c r="U28" s="1">
        <v>4.82231227E8</v>
      </c>
      <c r="W28" s="1" t="s">
        <v>46</v>
      </c>
      <c r="X28" s="1" t="s">
        <v>45</v>
      </c>
      <c r="Y28" s="1">
        <v>4.82231227E8</v>
      </c>
      <c r="AB28" s="1">
        <v>90000.0</v>
      </c>
      <c r="AC28" s="2">
        <v>41291.0</v>
      </c>
      <c r="AD28" s="1">
        <v>8600.0</v>
      </c>
      <c r="AE28" s="1" t="s">
        <v>102</v>
      </c>
      <c r="AF28" s="1" t="s">
        <v>204</v>
      </c>
      <c r="AG28" s="1" t="s">
        <v>205</v>
      </c>
      <c r="AH28" s="1">
        <v>1.0</v>
      </c>
      <c r="AI28" s="1">
        <v>2013.0</v>
      </c>
      <c r="AJ28" s="1">
        <v>2013.0</v>
      </c>
      <c r="AK28" s="1" t="s">
        <v>127</v>
      </c>
    </row>
    <row r="29">
      <c r="A29" s="1" t="s">
        <v>206</v>
      </c>
      <c r="B29" s="1" t="s">
        <v>206</v>
      </c>
      <c r="C29" s="1" t="s">
        <v>207</v>
      </c>
      <c r="E29" s="1">
        <v>3060000.0</v>
      </c>
      <c r="F29" s="2">
        <v>41183.0</v>
      </c>
      <c r="G29" s="1" t="s">
        <v>208</v>
      </c>
      <c r="I29" s="1" t="s">
        <v>208</v>
      </c>
      <c r="L29" s="1" t="s">
        <v>40</v>
      </c>
      <c r="M29" s="1">
        <v>7500.0</v>
      </c>
      <c r="N29" s="1" t="s">
        <v>40</v>
      </c>
      <c r="O29" s="1">
        <v>3.8775243E7</v>
      </c>
      <c r="P29" s="1" t="s">
        <v>209</v>
      </c>
      <c r="Q29" s="1" t="s">
        <v>210</v>
      </c>
      <c r="R29" s="1" t="s">
        <v>211</v>
      </c>
      <c r="S29" s="1" t="s">
        <v>44</v>
      </c>
      <c r="T29" s="1" t="s">
        <v>45</v>
      </c>
      <c r="U29" s="1">
        <v>4.82023068E8</v>
      </c>
      <c r="W29" s="1" t="s">
        <v>46</v>
      </c>
      <c r="X29" s="1" t="s">
        <v>45</v>
      </c>
      <c r="Y29" s="1">
        <v>4.82023068E8</v>
      </c>
      <c r="Z29" s="1">
        <v>3.8775243E7</v>
      </c>
      <c r="AA29" s="1" t="s">
        <v>209</v>
      </c>
      <c r="AB29" s="1">
        <v>0.0</v>
      </c>
      <c r="AC29" s="2">
        <v>41183.0</v>
      </c>
      <c r="AD29" s="1">
        <v>7500.0</v>
      </c>
      <c r="AE29" s="1" t="s">
        <v>40</v>
      </c>
      <c r="AF29" s="1">
        <v>2.0131079E7</v>
      </c>
      <c r="AG29" s="1" t="s">
        <v>212</v>
      </c>
      <c r="AH29" s="1">
        <v>11.0</v>
      </c>
      <c r="AI29" s="1">
        <v>2012.0</v>
      </c>
      <c r="AJ29" s="1">
        <v>2013.0</v>
      </c>
      <c r="AK29" s="1" t="s">
        <v>213</v>
      </c>
    </row>
    <row r="30">
      <c r="A30" s="1" t="s">
        <v>206</v>
      </c>
      <c r="B30" s="1" t="s">
        <v>206</v>
      </c>
      <c r="C30" s="1" t="s">
        <v>207</v>
      </c>
      <c r="E30" s="1">
        <v>3060000.0</v>
      </c>
      <c r="F30" s="2">
        <v>41183.0</v>
      </c>
      <c r="G30" s="1" t="s">
        <v>208</v>
      </c>
      <c r="I30" s="1" t="s">
        <v>208</v>
      </c>
      <c r="L30" s="1" t="s">
        <v>40</v>
      </c>
      <c r="M30" s="1">
        <v>7500.0</v>
      </c>
      <c r="N30" s="1" t="s">
        <v>40</v>
      </c>
      <c r="O30" s="1">
        <v>3.8775243E7</v>
      </c>
      <c r="P30" s="1" t="s">
        <v>209</v>
      </c>
      <c r="Q30" s="1" t="s">
        <v>210</v>
      </c>
      <c r="R30" s="1" t="s">
        <v>211</v>
      </c>
      <c r="S30" s="1" t="s">
        <v>44</v>
      </c>
      <c r="T30" s="1" t="s">
        <v>45</v>
      </c>
      <c r="U30" s="1">
        <v>4.82023068E8</v>
      </c>
      <c r="W30" s="1" t="s">
        <v>46</v>
      </c>
      <c r="X30" s="1" t="s">
        <v>45</v>
      </c>
      <c r="Y30" s="1">
        <v>4.82023068E8</v>
      </c>
      <c r="Z30" s="1">
        <v>3.8775243E7</v>
      </c>
      <c r="AA30" s="1" t="s">
        <v>209</v>
      </c>
      <c r="AB30" s="1">
        <v>0.0</v>
      </c>
      <c r="AC30" s="2">
        <v>41183.0</v>
      </c>
      <c r="AD30" s="1">
        <v>7500.0</v>
      </c>
      <c r="AE30" s="1" t="s">
        <v>40</v>
      </c>
      <c r="AF30" s="1">
        <v>2.0131085E7</v>
      </c>
      <c r="AG30" s="1" t="s">
        <v>212</v>
      </c>
      <c r="AH30" s="1">
        <v>11.0</v>
      </c>
      <c r="AI30" s="1">
        <v>2012.0</v>
      </c>
      <c r="AJ30" s="1">
        <v>2013.0</v>
      </c>
      <c r="AK30" s="1" t="s">
        <v>213</v>
      </c>
    </row>
    <row r="31">
      <c r="A31" s="1" t="s">
        <v>206</v>
      </c>
      <c r="B31" s="1" t="s">
        <v>206</v>
      </c>
      <c r="C31" s="1" t="s">
        <v>207</v>
      </c>
      <c r="E31" s="1">
        <v>3060000.0</v>
      </c>
      <c r="F31" s="2">
        <v>41183.0</v>
      </c>
      <c r="G31" s="1" t="s">
        <v>208</v>
      </c>
      <c r="I31" s="1" t="s">
        <v>208</v>
      </c>
      <c r="L31" s="1" t="s">
        <v>40</v>
      </c>
      <c r="M31" s="1">
        <v>7500.0</v>
      </c>
      <c r="N31" s="1" t="s">
        <v>40</v>
      </c>
      <c r="O31" s="1">
        <v>7.8583404E7</v>
      </c>
      <c r="P31" s="1" t="s">
        <v>65</v>
      </c>
      <c r="R31" s="1" t="s">
        <v>66</v>
      </c>
      <c r="S31" s="1" t="s">
        <v>44</v>
      </c>
      <c r="T31" s="1" t="s">
        <v>45</v>
      </c>
      <c r="U31" s="1">
        <v>4.82021732E8</v>
      </c>
      <c r="W31" s="1" t="s">
        <v>46</v>
      </c>
      <c r="X31" s="1" t="s">
        <v>45</v>
      </c>
      <c r="Y31" s="1">
        <v>4.82021732E8</v>
      </c>
      <c r="AB31" s="1">
        <v>0.0</v>
      </c>
      <c r="AC31" s="2">
        <v>41183.0</v>
      </c>
      <c r="AD31" s="1">
        <v>7500.0</v>
      </c>
      <c r="AE31" s="1" t="s">
        <v>40</v>
      </c>
      <c r="AF31" s="1">
        <v>2.01304E7</v>
      </c>
      <c r="AG31" s="1" t="s">
        <v>212</v>
      </c>
      <c r="AH31" s="1">
        <v>11.0</v>
      </c>
      <c r="AI31" s="1">
        <v>2012.0</v>
      </c>
      <c r="AJ31" s="1">
        <v>2013.0</v>
      </c>
      <c r="AK31" s="1" t="s">
        <v>213</v>
      </c>
    </row>
    <row r="32">
      <c r="A32" s="1" t="s">
        <v>206</v>
      </c>
      <c r="B32" s="1" t="s">
        <v>206</v>
      </c>
      <c r="C32" s="1" t="s">
        <v>207</v>
      </c>
      <c r="E32" s="1">
        <v>3060000.0</v>
      </c>
      <c r="F32" s="2">
        <v>41183.0</v>
      </c>
      <c r="G32" s="1" t="s">
        <v>208</v>
      </c>
      <c r="I32" s="1" t="s">
        <v>208</v>
      </c>
      <c r="L32" s="1" t="s">
        <v>40</v>
      </c>
      <c r="M32" s="1">
        <v>7500.0</v>
      </c>
      <c r="N32" s="1" t="s">
        <v>40</v>
      </c>
      <c r="O32" s="1">
        <v>8.09204196E8</v>
      </c>
      <c r="P32" s="1" t="s">
        <v>175</v>
      </c>
      <c r="R32" s="1" t="s">
        <v>176</v>
      </c>
      <c r="S32" s="1" t="s">
        <v>44</v>
      </c>
      <c r="T32" s="1" t="s">
        <v>45</v>
      </c>
      <c r="U32" s="1">
        <v>4.82023025E8</v>
      </c>
      <c r="W32" s="1" t="s">
        <v>46</v>
      </c>
      <c r="X32" s="1" t="s">
        <v>45</v>
      </c>
      <c r="Y32" s="1">
        <v>4.82023025E8</v>
      </c>
      <c r="AB32" s="1">
        <v>0.0</v>
      </c>
      <c r="AC32" s="2">
        <v>41183.0</v>
      </c>
      <c r="AD32" s="1">
        <v>7500.0</v>
      </c>
      <c r="AE32" s="1" t="s">
        <v>40</v>
      </c>
      <c r="AF32" s="1">
        <v>2.0131444E7</v>
      </c>
      <c r="AG32" s="1" t="s">
        <v>212</v>
      </c>
      <c r="AH32" s="1">
        <v>11.0</v>
      </c>
      <c r="AI32" s="1">
        <v>2012.0</v>
      </c>
      <c r="AJ32" s="1">
        <v>2013.0</v>
      </c>
      <c r="AK32" s="1" t="s">
        <v>213</v>
      </c>
    </row>
    <row r="33">
      <c r="A33" s="1" t="s">
        <v>214</v>
      </c>
      <c r="B33" s="1" t="s">
        <v>214</v>
      </c>
      <c r="C33" s="1" t="s">
        <v>50</v>
      </c>
      <c r="E33" s="1">
        <v>3287008.0</v>
      </c>
      <c r="F33" s="2">
        <v>41200.0</v>
      </c>
      <c r="G33" s="1" t="s">
        <v>215</v>
      </c>
      <c r="I33" s="1" t="s">
        <v>215</v>
      </c>
      <c r="L33" s="1" t="s">
        <v>50</v>
      </c>
      <c r="M33" s="1">
        <v>8900.0</v>
      </c>
      <c r="N33" s="1" t="s">
        <v>50</v>
      </c>
      <c r="O33" s="1">
        <v>6957872.0</v>
      </c>
      <c r="P33" s="1" t="s">
        <v>216</v>
      </c>
      <c r="Q33" s="1" t="s">
        <v>217</v>
      </c>
      <c r="R33" s="1" t="s">
        <v>218</v>
      </c>
      <c r="S33" s="1" t="s">
        <v>44</v>
      </c>
      <c r="T33" s="1" t="s">
        <v>45</v>
      </c>
      <c r="U33" s="1">
        <v>4.82261203E8</v>
      </c>
      <c r="W33" s="1" t="s">
        <v>46</v>
      </c>
      <c r="X33" s="1" t="s">
        <v>45</v>
      </c>
      <c r="Y33" s="1">
        <v>4.82261221E8</v>
      </c>
      <c r="Z33" s="1">
        <v>8.39329158E8</v>
      </c>
      <c r="AA33" s="1" t="s">
        <v>219</v>
      </c>
      <c r="AB33" s="1">
        <v>63817.0</v>
      </c>
      <c r="AC33" s="2">
        <v>41200.0</v>
      </c>
      <c r="AD33" s="1">
        <v>8900.0</v>
      </c>
      <c r="AE33" s="1" t="s">
        <v>50</v>
      </c>
      <c r="AF33" s="1" t="s">
        <v>220</v>
      </c>
      <c r="AG33" s="1" t="s">
        <v>221</v>
      </c>
      <c r="AH33" s="1">
        <v>9.0</v>
      </c>
      <c r="AI33" s="1">
        <v>2012.0</v>
      </c>
      <c r="AJ33" s="1">
        <v>2013.0</v>
      </c>
      <c r="AK33" s="1" t="s">
        <v>222</v>
      </c>
    </row>
    <row r="34">
      <c r="A34" s="1" t="s">
        <v>223</v>
      </c>
      <c r="B34" s="1" t="s">
        <v>223</v>
      </c>
      <c r="C34" s="1" t="s">
        <v>224</v>
      </c>
      <c r="E34" s="1">
        <v>365051.0</v>
      </c>
      <c r="F34" s="2">
        <v>41359.0</v>
      </c>
      <c r="G34" s="1" t="s">
        <v>225</v>
      </c>
      <c r="I34" s="1" t="s">
        <v>225</v>
      </c>
      <c r="L34" s="1" t="s">
        <v>151</v>
      </c>
      <c r="M34" s="1">
        <v>6900.0</v>
      </c>
      <c r="N34" s="1" t="s">
        <v>151</v>
      </c>
      <c r="O34" s="1">
        <v>1.1855476E8</v>
      </c>
      <c r="P34" s="1" t="s">
        <v>73</v>
      </c>
      <c r="Q34" s="1" t="s">
        <v>226</v>
      </c>
      <c r="R34" s="1" t="s">
        <v>227</v>
      </c>
      <c r="S34" s="1" t="s">
        <v>44</v>
      </c>
      <c r="T34" s="1" t="s">
        <v>45</v>
      </c>
      <c r="U34" s="1">
        <v>4.82262886E8</v>
      </c>
      <c r="W34" s="1" t="s">
        <v>46</v>
      </c>
      <c r="X34" s="1" t="s">
        <v>45</v>
      </c>
      <c r="Y34" s="1">
        <v>4.82262886E8</v>
      </c>
      <c r="Z34" s="1">
        <v>6530661.0</v>
      </c>
      <c r="AA34" s="1" t="s">
        <v>76</v>
      </c>
      <c r="AB34" s="1">
        <v>365051.0</v>
      </c>
      <c r="AC34" s="2">
        <v>41359.0</v>
      </c>
      <c r="AD34" s="1">
        <v>6900.0</v>
      </c>
      <c r="AE34" s="1" t="s">
        <v>151</v>
      </c>
      <c r="AF34" s="1">
        <v>1.0</v>
      </c>
      <c r="AG34" s="1" t="s">
        <v>228</v>
      </c>
      <c r="AH34" s="1">
        <v>4.0</v>
      </c>
      <c r="AI34" s="1">
        <v>2013.0</v>
      </c>
      <c r="AJ34" s="1">
        <v>2013.0</v>
      </c>
      <c r="AK34" s="1" t="s">
        <v>229</v>
      </c>
    </row>
    <row r="35">
      <c r="A35" s="1" t="s">
        <v>230</v>
      </c>
      <c r="B35" s="1" t="s">
        <v>230</v>
      </c>
      <c r="C35" s="1" t="s">
        <v>224</v>
      </c>
      <c r="E35" s="1">
        <v>2423169.0</v>
      </c>
      <c r="F35" s="2">
        <v>41359.0</v>
      </c>
      <c r="G35" s="1" t="s">
        <v>225</v>
      </c>
      <c r="I35" s="1" t="s">
        <v>225</v>
      </c>
      <c r="L35" s="1" t="s">
        <v>151</v>
      </c>
      <c r="M35" s="1">
        <v>6900.0</v>
      </c>
      <c r="N35" s="1" t="s">
        <v>151</v>
      </c>
      <c r="O35" s="1">
        <v>1.1855476E8</v>
      </c>
      <c r="P35" s="1" t="s">
        <v>73</v>
      </c>
      <c r="Q35" s="1" t="s">
        <v>226</v>
      </c>
      <c r="R35" s="1" t="s">
        <v>227</v>
      </c>
      <c r="S35" s="1" t="s">
        <v>44</v>
      </c>
      <c r="T35" s="1" t="s">
        <v>45</v>
      </c>
      <c r="U35" s="1">
        <v>4.82262886E8</v>
      </c>
      <c r="W35" s="1" t="s">
        <v>46</v>
      </c>
      <c r="X35" s="1" t="s">
        <v>45</v>
      </c>
      <c r="Y35" s="1">
        <v>4.82262886E8</v>
      </c>
      <c r="Z35" s="1">
        <v>6530661.0</v>
      </c>
      <c r="AA35" s="1" t="s">
        <v>76</v>
      </c>
      <c r="AB35" s="1">
        <v>2423169.25</v>
      </c>
      <c r="AC35" s="2">
        <v>41359.0</v>
      </c>
      <c r="AD35" s="1">
        <v>6900.0</v>
      </c>
      <c r="AE35" s="1" t="s">
        <v>151</v>
      </c>
      <c r="AF35" s="1">
        <v>1.0</v>
      </c>
      <c r="AG35" s="1" t="s">
        <v>228</v>
      </c>
      <c r="AH35" s="1">
        <v>4.0</v>
      </c>
      <c r="AI35" s="1">
        <v>2013.0</v>
      </c>
      <c r="AJ35" s="1">
        <v>2013.0</v>
      </c>
      <c r="AK35" s="1" t="s">
        <v>229</v>
      </c>
    </row>
    <row r="36">
      <c r="A36" s="1" t="s">
        <v>137</v>
      </c>
      <c r="B36" s="1" t="s">
        <v>137</v>
      </c>
      <c r="C36" s="1" t="s">
        <v>129</v>
      </c>
      <c r="E36" s="1">
        <v>1.7038268E7</v>
      </c>
      <c r="F36" s="2">
        <v>41362.0</v>
      </c>
      <c r="G36" s="1" t="s">
        <v>138</v>
      </c>
      <c r="I36" s="1" t="s">
        <v>138</v>
      </c>
      <c r="L36" s="1" t="s">
        <v>40</v>
      </c>
      <c r="M36" s="1">
        <v>7500.0</v>
      </c>
      <c r="N36" s="1" t="s">
        <v>40</v>
      </c>
      <c r="O36" s="1">
        <v>6.9840817E7</v>
      </c>
      <c r="P36" s="1" t="s">
        <v>131</v>
      </c>
      <c r="R36" s="1" t="s">
        <v>132</v>
      </c>
      <c r="S36" s="1" t="s">
        <v>44</v>
      </c>
      <c r="T36" s="1" t="s">
        <v>45</v>
      </c>
      <c r="U36" s="1">
        <v>4.8214261E8</v>
      </c>
      <c r="W36" s="1" t="s">
        <v>46</v>
      </c>
      <c r="X36" s="1" t="s">
        <v>45</v>
      </c>
      <c r="Y36" s="1">
        <v>4.8214261E8</v>
      </c>
      <c r="Z36" s="1">
        <v>6.9840817E7</v>
      </c>
      <c r="AA36" s="1" t="s">
        <v>131</v>
      </c>
      <c r="AB36" s="1">
        <v>95906.0</v>
      </c>
      <c r="AC36" s="2">
        <v>41362.0</v>
      </c>
      <c r="AD36" s="1">
        <v>7500.0</v>
      </c>
      <c r="AE36" s="1" t="s">
        <v>40</v>
      </c>
      <c r="AF36" s="1" t="s">
        <v>231</v>
      </c>
      <c r="AG36" s="1" t="s">
        <v>140</v>
      </c>
      <c r="AH36" s="1">
        <v>3.0</v>
      </c>
      <c r="AI36" s="1">
        <v>2013.0</v>
      </c>
      <c r="AJ36" s="1">
        <v>2013.0</v>
      </c>
      <c r="AK36" s="1" t="s">
        <v>141</v>
      </c>
    </row>
    <row r="37">
      <c r="A37" s="1" t="s">
        <v>232</v>
      </c>
      <c r="B37" s="1" t="s">
        <v>232</v>
      </c>
      <c r="C37" s="1" t="s">
        <v>233</v>
      </c>
      <c r="E37" s="1">
        <v>3293101.0</v>
      </c>
      <c r="F37" s="2">
        <v>41183.0</v>
      </c>
      <c r="G37" s="1" t="s">
        <v>234</v>
      </c>
      <c r="I37" s="1" t="s">
        <v>234</v>
      </c>
      <c r="L37" s="1" t="s">
        <v>151</v>
      </c>
      <c r="M37" s="1">
        <v>6900.0</v>
      </c>
      <c r="N37" s="1" t="s">
        <v>151</v>
      </c>
      <c r="O37" s="1">
        <v>1962224.0</v>
      </c>
      <c r="P37" s="1" t="s">
        <v>52</v>
      </c>
      <c r="R37" s="1" t="s">
        <v>53</v>
      </c>
      <c r="S37" s="1" t="s">
        <v>44</v>
      </c>
      <c r="T37" s="1" t="s">
        <v>45</v>
      </c>
      <c r="U37" s="1">
        <v>4.82023692E8</v>
      </c>
      <c r="W37" s="1" t="s">
        <v>46</v>
      </c>
      <c r="X37" s="1" t="s">
        <v>45</v>
      </c>
      <c r="Y37" s="1">
        <v>4.82023692E8</v>
      </c>
      <c r="Z37" s="1">
        <v>1962224.0</v>
      </c>
      <c r="AA37" s="1" t="s">
        <v>52</v>
      </c>
      <c r="AB37" s="1">
        <v>180000.0</v>
      </c>
      <c r="AC37" s="2">
        <v>41183.0</v>
      </c>
      <c r="AD37" s="1">
        <v>6900.0</v>
      </c>
      <c r="AE37" s="1" t="s">
        <v>151</v>
      </c>
      <c r="AF37" s="1" t="s">
        <v>235</v>
      </c>
      <c r="AG37" s="1" t="s">
        <v>236</v>
      </c>
      <c r="AH37" s="1">
        <v>2.0</v>
      </c>
      <c r="AI37" s="1">
        <v>2013.0</v>
      </c>
      <c r="AJ37" s="1">
        <v>2013.0</v>
      </c>
      <c r="AK37" s="1" t="s">
        <v>237</v>
      </c>
    </row>
    <row r="38">
      <c r="A38" s="1" t="s">
        <v>232</v>
      </c>
      <c r="B38" s="1" t="s">
        <v>232</v>
      </c>
      <c r="C38" s="1" t="s">
        <v>233</v>
      </c>
      <c r="E38" s="1">
        <v>3293101.0</v>
      </c>
      <c r="F38" s="2">
        <v>41183.0</v>
      </c>
      <c r="G38" s="1" t="s">
        <v>234</v>
      </c>
      <c r="I38" s="1" t="s">
        <v>234</v>
      </c>
      <c r="L38" s="1" t="s">
        <v>151</v>
      </c>
      <c r="M38" s="1">
        <v>6900.0</v>
      </c>
      <c r="N38" s="1" t="s">
        <v>151</v>
      </c>
      <c r="O38" s="1">
        <v>1.37199266E8</v>
      </c>
      <c r="P38" s="1" t="s">
        <v>73</v>
      </c>
      <c r="Q38" s="1" t="s">
        <v>74</v>
      </c>
      <c r="R38" s="1" t="s">
        <v>75</v>
      </c>
      <c r="S38" s="1" t="s">
        <v>44</v>
      </c>
      <c r="T38" s="1" t="s">
        <v>45</v>
      </c>
      <c r="U38" s="1">
        <v>4.82262308E8</v>
      </c>
      <c r="W38" s="1" t="s">
        <v>46</v>
      </c>
      <c r="X38" s="1" t="s">
        <v>45</v>
      </c>
      <c r="Y38" s="1">
        <v>4.82262308E8</v>
      </c>
      <c r="Z38" s="1">
        <v>6530661.0</v>
      </c>
      <c r="AA38" s="1" t="s">
        <v>76</v>
      </c>
      <c r="AB38" s="1">
        <v>300000.0</v>
      </c>
      <c r="AC38" s="2">
        <v>41183.0</v>
      </c>
      <c r="AD38" s="1">
        <v>6900.0</v>
      </c>
      <c r="AE38" s="1" t="s">
        <v>151</v>
      </c>
      <c r="AF38" s="1" t="s">
        <v>238</v>
      </c>
      <c r="AG38" s="1" t="s">
        <v>239</v>
      </c>
      <c r="AH38" s="1">
        <v>2.0</v>
      </c>
      <c r="AI38" s="1">
        <v>2013.0</v>
      </c>
      <c r="AJ38" s="1">
        <v>2013.0</v>
      </c>
      <c r="AK38" s="1" t="s">
        <v>237</v>
      </c>
    </row>
    <row r="39">
      <c r="A39" s="1" t="s">
        <v>240</v>
      </c>
      <c r="B39" s="1" t="s">
        <v>240</v>
      </c>
      <c r="C39" s="1" t="s">
        <v>224</v>
      </c>
      <c r="E39" s="1">
        <v>1371811.0</v>
      </c>
      <c r="F39" s="2">
        <v>41345.0</v>
      </c>
      <c r="G39" s="1" t="s">
        <v>241</v>
      </c>
      <c r="I39" s="1" t="s">
        <v>241</v>
      </c>
      <c r="L39" s="1" t="s">
        <v>151</v>
      </c>
      <c r="M39" s="1">
        <v>6900.0</v>
      </c>
      <c r="N39" s="1" t="s">
        <v>151</v>
      </c>
      <c r="O39" s="1">
        <v>7.84079899E8</v>
      </c>
      <c r="P39" s="1" t="s">
        <v>242</v>
      </c>
      <c r="Q39" s="1" t="s">
        <v>243</v>
      </c>
      <c r="R39" s="1" t="s">
        <v>244</v>
      </c>
      <c r="S39" s="1" t="s">
        <v>245</v>
      </c>
      <c r="T39" s="1" t="s">
        <v>45</v>
      </c>
      <c r="U39" s="1">
        <v>4.80211683E8</v>
      </c>
      <c r="W39" s="1" t="s">
        <v>245</v>
      </c>
      <c r="X39" s="1" t="s">
        <v>45</v>
      </c>
      <c r="Y39" s="1">
        <v>4.80211683E8</v>
      </c>
      <c r="Z39" s="1">
        <v>6.9831964E7</v>
      </c>
      <c r="AB39" s="1">
        <v>1371811.77</v>
      </c>
      <c r="AC39" s="2">
        <v>41345.0</v>
      </c>
      <c r="AD39" s="1">
        <v>6900.0</v>
      </c>
      <c r="AE39" s="1" t="s">
        <v>151</v>
      </c>
      <c r="AF39" s="1">
        <v>1.0</v>
      </c>
      <c r="AG39" s="1" t="s">
        <v>246</v>
      </c>
      <c r="AH39" s="1">
        <v>4.0</v>
      </c>
      <c r="AI39" s="1">
        <v>2013.0</v>
      </c>
      <c r="AJ39" s="1">
        <v>2013.0</v>
      </c>
      <c r="AK39" s="1" t="s">
        <v>229</v>
      </c>
    </row>
    <row r="40">
      <c r="A40" s="1" t="s">
        <v>247</v>
      </c>
      <c r="B40" s="1" t="s">
        <v>247</v>
      </c>
      <c r="C40" s="1" t="s">
        <v>224</v>
      </c>
      <c r="E40" s="1">
        <v>1169155.0</v>
      </c>
      <c r="F40" s="2">
        <v>41345.0</v>
      </c>
      <c r="G40" s="1" t="s">
        <v>248</v>
      </c>
      <c r="I40" s="1" t="s">
        <v>248</v>
      </c>
      <c r="L40" s="1" t="s">
        <v>151</v>
      </c>
      <c r="M40" s="1">
        <v>6900.0</v>
      </c>
      <c r="N40" s="1" t="s">
        <v>151</v>
      </c>
      <c r="O40" s="1">
        <v>7.84079899E8</v>
      </c>
      <c r="P40" s="1" t="s">
        <v>242</v>
      </c>
      <c r="Q40" s="1" t="s">
        <v>243</v>
      </c>
      <c r="R40" s="1" t="s">
        <v>244</v>
      </c>
      <c r="S40" s="1" t="s">
        <v>245</v>
      </c>
      <c r="T40" s="1" t="s">
        <v>45</v>
      </c>
      <c r="U40" s="1">
        <v>4.80211683E8</v>
      </c>
      <c r="W40" s="1" t="s">
        <v>245</v>
      </c>
      <c r="X40" s="1" t="s">
        <v>45</v>
      </c>
      <c r="Y40" s="1">
        <v>4.80211683E8</v>
      </c>
      <c r="Z40" s="1">
        <v>6.9831964E7</v>
      </c>
      <c r="AB40" s="1">
        <v>1169155.91</v>
      </c>
      <c r="AC40" s="2">
        <v>41345.0</v>
      </c>
      <c r="AD40" s="1">
        <v>6900.0</v>
      </c>
      <c r="AE40" s="1" t="s">
        <v>151</v>
      </c>
      <c r="AF40" s="1">
        <v>1.0</v>
      </c>
      <c r="AG40" s="1" t="s">
        <v>249</v>
      </c>
      <c r="AH40" s="1">
        <v>4.0</v>
      </c>
      <c r="AI40" s="1">
        <v>2013.0</v>
      </c>
      <c r="AJ40" s="1">
        <v>2013.0</v>
      </c>
      <c r="AK40" s="1" t="s">
        <v>229</v>
      </c>
    </row>
    <row r="41">
      <c r="A41" s="1" t="s">
        <v>250</v>
      </c>
      <c r="B41" s="1" t="s">
        <v>250</v>
      </c>
      <c r="C41" s="1" t="s">
        <v>38</v>
      </c>
      <c r="E41" s="1">
        <v>1017485.0</v>
      </c>
      <c r="F41" s="2">
        <v>41338.0</v>
      </c>
      <c r="G41" s="1" t="s">
        <v>251</v>
      </c>
      <c r="I41" s="1" t="s">
        <v>251</v>
      </c>
      <c r="L41" s="1" t="s">
        <v>40</v>
      </c>
      <c r="M41" s="1">
        <v>7500.0</v>
      </c>
      <c r="N41" s="1" t="s">
        <v>40</v>
      </c>
      <c r="O41" s="1">
        <v>7.3134603E7</v>
      </c>
      <c r="P41" s="1" t="s">
        <v>41</v>
      </c>
      <c r="Q41" s="1" t="s">
        <v>252</v>
      </c>
      <c r="R41" s="1" t="s">
        <v>253</v>
      </c>
      <c r="S41" s="1" t="s">
        <v>44</v>
      </c>
      <c r="T41" s="1" t="s">
        <v>45</v>
      </c>
      <c r="U41" s="1">
        <v>4.8202345E8</v>
      </c>
      <c r="W41" s="1" t="s">
        <v>46</v>
      </c>
      <c r="X41" s="1" t="s">
        <v>45</v>
      </c>
      <c r="Y41" s="1">
        <v>4.82022608E8</v>
      </c>
      <c r="Z41" s="1">
        <v>7.3134603E7</v>
      </c>
      <c r="AA41" s="1" t="s">
        <v>41</v>
      </c>
      <c r="AB41" s="1">
        <v>27500.0</v>
      </c>
      <c r="AC41" s="2">
        <v>41338.0</v>
      </c>
      <c r="AD41" s="1">
        <v>7500.0</v>
      </c>
      <c r="AE41" s="1" t="s">
        <v>40</v>
      </c>
      <c r="AF41" s="1" t="s">
        <v>254</v>
      </c>
      <c r="AG41" s="1" t="s">
        <v>255</v>
      </c>
      <c r="AH41" s="1">
        <v>4.0</v>
      </c>
      <c r="AI41" s="1">
        <v>2013.0</v>
      </c>
      <c r="AJ41" s="1">
        <v>2013.0</v>
      </c>
      <c r="AK41" s="1" t="s">
        <v>256</v>
      </c>
    </row>
    <row r="42">
      <c r="A42" s="1" t="s">
        <v>257</v>
      </c>
      <c r="B42" s="1" t="s">
        <v>257</v>
      </c>
      <c r="C42" s="1" t="s">
        <v>224</v>
      </c>
      <c r="E42" s="1">
        <v>155523.0</v>
      </c>
      <c r="F42" s="2">
        <v>41347.0</v>
      </c>
      <c r="G42" s="1" t="s">
        <v>258</v>
      </c>
      <c r="I42" s="1" t="s">
        <v>258</v>
      </c>
      <c r="L42" s="1" t="s">
        <v>151</v>
      </c>
      <c r="M42" s="1">
        <v>6900.0</v>
      </c>
      <c r="N42" s="1" t="s">
        <v>151</v>
      </c>
      <c r="O42" s="1">
        <v>9.63886101E8</v>
      </c>
      <c r="P42" s="1" t="s">
        <v>259</v>
      </c>
      <c r="R42" s="1" t="s">
        <v>260</v>
      </c>
      <c r="S42" s="1" t="s">
        <v>44</v>
      </c>
      <c r="T42" s="1" t="s">
        <v>45</v>
      </c>
      <c r="U42" s="1">
        <v>4.8226348E8</v>
      </c>
      <c r="W42" s="1" t="s">
        <v>46</v>
      </c>
      <c r="X42" s="1" t="s">
        <v>45</v>
      </c>
      <c r="Y42" s="1">
        <v>4.8226348E8</v>
      </c>
      <c r="Z42" s="1">
        <v>7.3134884E7</v>
      </c>
      <c r="AA42" s="1" t="s">
        <v>261</v>
      </c>
      <c r="AB42" s="1">
        <v>155523.01</v>
      </c>
      <c r="AC42" s="2">
        <v>41347.0</v>
      </c>
      <c r="AD42" s="1">
        <v>6900.0</v>
      </c>
      <c r="AE42" s="1" t="s">
        <v>151</v>
      </c>
      <c r="AF42" s="1">
        <v>1.0</v>
      </c>
      <c r="AG42" s="1" t="s">
        <v>262</v>
      </c>
      <c r="AH42" s="1">
        <v>4.0</v>
      </c>
      <c r="AI42" s="1">
        <v>2013.0</v>
      </c>
      <c r="AJ42" s="1">
        <v>2013.0</v>
      </c>
      <c r="AK42" s="1" t="s">
        <v>229</v>
      </c>
    </row>
    <row r="43">
      <c r="A43" s="1" t="s">
        <v>263</v>
      </c>
      <c r="B43" s="1" t="s">
        <v>263</v>
      </c>
      <c r="C43" s="1" t="s">
        <v>224</v>
      </c>
      <c r="E43" s="1">
        <v>1126594.0</v>
      </c>
      <c r="F43" s="2">
        <v>41345.0</v>
      </c>
      <c r="G43" s="1" t="s">
        <v>264</v>
      </c>
      <c r="I43" s="1" t="s">
        <v>264</v>
      </c>
      <c r="L43" s="1" t="s">
        <v>151</v>
      </c>
      <c r="M43" s="1">
        <v>6900.0</v>
      </c>
      <c r="N43" s="1" t="s">
        <v>151</v>
      </c>
      <c r="O43" s="1">
        <v>9.63886101E8</v>
      </c>
      <c r="P43" s="1" t="s">
        <v>259</v>
      </c>
      <c r="R43" s="1" t="s">
        <v>260</v>
      </c>
      <c r="S43" s="1" t="s">
        <v>44</v>
      </c>
      <c r="T43" s="1" t="s">
        <v>45</v>
      </c>
      <c r="U43" s="1">
        <v>4.8226348E8</v>
      </c>
      <c r="W43" s="1" t="s">
        <v>46</v>
      </c>
      <c r="X43" s="1" t="s">
        <v>45</v>
      </c>
      <c r="Y43" s="1">
        <v>4.8226348E8</v>
      </c>
      <c r="Z43" s="1">
        <v>7.3134884E7</v>
      </c>
      <c r="AA43" s="1" t="s">
        <v>261</v>
      </c>
      <c r="AB43" s="1">
        <v>1126594.04</v>
      </c>
      <c r="AC43" s="2">
        <v>41345.0</v>
      </c>
      <c r="AD43" s="1">
        <v>6900.0</v>
      </c>
      <c r="AE43" s="1" t="s">
        <v>151</v>
      </c>
      <c r="AF43" s="1">
        <v>1.0</v>
      </c>
      <c r="AG43" s="1" t="s">
        <v>265</v>
      </c>
      <c r="AH43" s="1">
        <v>4.0</v>
      </c>
      <c r="AI43" s="1">
        <v>2013.0</v>
      </c>
      <c r="AJ43" s="1">
        <v>2013.0</v>
      </c>
      <c r="AK43" s="1" t="s">
        <v>229</v>
      </c>
    </row>
    <row r="44">
      <c r="A44" s="1" t="s">
        <v>266</v>
      </c>
      <c r="B44" s="1" t="s">
        <v>266</v>
      </c>
      <c r="C44" s="1" t="s">
        <v>224</v>
      </c>
      <c r="E44" s="1">
        <v>254062.0</v>
      </c>
      <c r="F44" s="2">
        <v>41361.0</v>
      </c>
      <c r="G44" s="1" t="s">
        <v>267</v>
      </c>
      <c r="I44" s="1" t="s">
        <v>267</v>
      </c>
      <c r="L44" s="1" t="s">
        <v>151</v>
      </c>
      <c r="M44" s="1">
        <v>6900.0</v>
      </c>
      <c r="N44" s="1" t="s">
        <v>151</v>
      </c>
      <c r="O44" s="1">
        <v>1.1855476E8</v>
      </c>
      <c r="P44" s="1" t="s">
        <v>73</v>
      </c>
      <c r="Q44" s="1" t="s">
        <v>226</v>
      </c>
      <c r="R44" s="1" t="s">
        <v>227</v>
      </c>
      <c r="S44" s="1" t="s">
        <v>44</v>
      </c>
      <c r="T44" s="1" t="s">
        <v>45</v>
      </c>
      <c r="U44" s="1">
        <v>4.82262886E8</v>
      </c>
      <c r="W44" s="1" t="s">
        <v>46</v>
      </c>
      <c r="X44" s="1" t="s">
        <v>45</v>
      </c>
      <c r="Y44" s="1">
        <v>4.82262886E8</v>
      </c>
      <c r="Z44" s="1">
        <v>6530661.0</v>
      </c>
      <c r="AA44" s="1" t="s">
        <v>76</v>
      </c>
      <c r="AB44" s="1">
        <v>254062.4</v>
      </c>
      <c r="AC44" s="2">
        <v>41361.0</v>
      </c>
      <c r="AD44" s="1">
        <v>6900.0</v>
      </c>
      <c r="AE44" s="1" t="s">
        <v>151</v>
      </c>
      <c r="AF44" s="1">
        <v>1.0</v>
      </c>
      <c r="AG44" s="1" t="s">
        <v>268</v>
      </c>
      <c r="AH44" s="1">
        <v>4.0</v>
      </c>
      <c r="AI44" s="1">
        <v>2013.0</v>
      </c>
      <c r="AJ44" s="1">
        <v>2013.0</v>
      </c>
      <c r="AK44" s="1" t="s">
        <v>229</v>
      </c>
    </row>
    <row r="45">
      <c r="A45" s="1" t="s">
        <v>269</v>
      </c>
      <c r="B45" s="1" t="s">
        <v>269</v>
      </c>
      <c r="C45" s="1" t="s">
        <v>224</v>
      </c>
      <c r="E45" s="1">
        <v>921029.0</v>
      </c>
      <c r="F45" s="2">
        <v>41361.0</v>
      </c>
      <c r="G45" s="1" t="s">
        <v>270</v>
      </c>
      <c r="I45" s="1" t="s">
        <v>270</v>
      </c>
      <c r="L45" s="1" t="s">
        <v>151</v>
      </c>
      <c r="M45" s="1">
        <v>6900.0</v>
      </c>
      <c r="N45" s="1" t="s">
        <v>151</v>
      </c>
      <c r="O45" s="1">
        <v>9.63886101E8</v>
      </c>
      <c r="P45" s="1" t="s">
        <v>259</v>
      </c>
      <c r="R45" s="1" t="s">
        <v>260</v>
      </c>
      <c r="S45" s="1" t="s">
        <v>44</v>
      </c>
      <c r="T45" s="1" t="s">
        <v>45</v>
      </c>
      <c r="U45" s="1">
        <v>4.8226348E8</v>
      </c>
      <c r="W45" s="1" t="s">
        <v>46</v>
      </c>
      <c r="X45" s="1" t="s">
        <v>45</v>
      </c>
      <c r="Y45" s="1">
        <v>4.8226348E8</v>
      </c>
      <c r="Z45" s="1">
        <v>7.3134884E7</v>
      </c>
      <c r="AA45" s="1" t="s">
        <v>261</v>
      </c>
      <c r="AB45" s="1">
        <v>921029.56</v>
      </c>
      <c r="AC45" s="2">
        <v>41361.0</v>
      </c>
      <c r="AD45" s="1">
        <v>6900.0</v>
      </c>
      <c r="AE45" s="1" t="s">
        <v>151</v>
      </c>
      <c r="AF45" s="1">
        <v>1.0</v>
      </c>
      <c r="AG45" s="1" t="s">
        <v>271</v>
      </c>
      <c r="AH45" s="1">
        <v>4.0</v>
      </c>
      <c r="AI45" s="1">
        <v>2013.0</v>
      </c>
      <c r="AJ45" s="1">
        <v>2013.0</v>
      </c>
      <c r="AK45" s="1" t="s">
        <v>229</v>
      </c>
    </row>
    <row r="46">
      <c r="A46" s="1" t="s">
        <v>187</v>
      </c>
      <c r="B46" s="1" t="s">
        <v>187</v>
      </c>
      <c r="C46" s="1" t="s">
        <v>188</v>
      </c>
      <c r="E46" s="1">
        <v>1.356288E7</v>
      </c>
      <c r="F46" s="2">
        <v>41362.0</v>
      </c>
      <c r="G46" s="1" t="s">
        <v>189</v>
      </c>
      <c r="I46" s="1" t="s">
        <v>189</v>
      </c>
      <c r="L46" s="1" t="s">
        <v>188</v>
      </c>
      <c r="M46" s="1">
        <v>1900.0</v>
      </c>
      <c r="N46" s="1" t="s">
        <v>188</v>
      </c>
      <c r="O46" s="1">
        <v>6.9840817E7</v>
      </c>
      <c r="P46" s="1" t="s">
        <v>131</v>
      </c>
      <c r="R46" s="1" t="s">
        <v>132</v>
      </c>
      <c r="S46" s="1" t="s">
        <v>44</v>
      </c>
      <c r="T46" s="1" t="s">
        <v>45</v>
      </c>
      <c r="U46" s="1">
        <v>4.8214261E8</v>
      </c>
      <c r="W46" s="1" t="s">
        <v>46</v>
      </c>
      <c r="X46" s="1" t="s">
        <v>45</v>
      </c>
      <c r="Y46" s="1">
        <v>4.8214261E8</v>
      </c>
      <c r="Z46" s="1">
        <v>6.9840817E7</v>
      </c>
      <c r="AA46" s="1" t="s">
        <v>131</v>
      </c>
      <c r="AB46" s="1">
        <v>504800.0</v>
      </c>
      <c r="AC46" s="2">
        <v>41362.0</v>
      </c>
      <c r="AD46" s="1">
        <v>1900.0</v>
      </c>
      <c r="AE46" s="1" t="s">
        <v>188</v>
      </c>
      <c r="AF46" s="1" t="s">
        <v>272</v>
      </c>
      <c r="AG46" s="1" t="s">
        <v>191</v>
      </c>
      <c r="AH46" s="1">
        <v>3.0</v>
      </c>
      <c r="AI46" s="1">
        <v>2013.0</v>
      </c>
      <c r="AJ46" s="1">
        <v>2013.0</v>
      </c>
      <c r="AK46" s="1" t="s">
        <v>192</v>
      </c>
    </row>
    <row r="47">
      <c r="A47" s="1" t="s">
        <v>273</v>
      </c>
      <c r="B47" s="1" t="s">
        <v>273</v>
      </c>
      <c r="C47" s="1" t="s">
        <v>194</v>
      </c>
      <c r="E47" s="1">
        <v>2513837.0</v>
      </c>
      <c r="F47" s="2">
        <v>41383.0</v>
      </c>
      <c r="G47" s="1" t="s">
        <v>274</v>
      </c>
      <c r="I47" s="1" t="s">
        <v>274</v>
      </c>
      <c r="L47" s="1" t="s">
        <v>194</v>
      </c>
      <c r="M47" s="1">
        <v>9100.0</v>
      </c>
      <c r="N47" s="1" t="s">
        <v>194</v>
      </c>
      <c r="O47" s="1">
        <v>1962224.0</v>
      </c>
      <c r="P47" s="1" t="s">
        <v>52</v>
      </c>
      <c r="R47" s="1" t="s">
        <v>53</v>
      </c>
      <c r="S47" s="1" t="s">
        <v>44</v>
      </c>
      <c r="T47" s="1" t="s">
        <v>45</v>
      </c>
      <c r="U47" s="1">
        <v>4.82023692E8</v>
      </c>
      <c r="W47" s="1" t="s">
        <v>46</v>
      </c>
      <c r="X47" s="1" t="s">
        <v>45</v>
      </c>
      <c r="Y47" s="1">
        <v>4.82023424E8</v>
      </c>
      <c r="Z47" s="1">
        <v>1962224.0</v>
      </c>
      <c r="AA47" s="1" t="s">
        <v>52</v>
      </c>
      <c r="AB47" s="1">
        <v>268342.0</v>
      </c>
      <c r="AC47" s="2">
        <v>41383.0</v>
      </c>
      <c r="AD47" s="1">
        <v>9100.0</v>
      </c>
      <c r="AE47" s="1" t="s">
        <v>194</v>
      </c>
      <c r="AF47" s="1" t="s">
        <v>275</v>
      </c>
      <c r="AG47" s="1" t="s">
        <v>276</v>
      </c>
      <c r="AH47" s="1">
        <v>7.0</v>
      </c>
      <c r="AI47" s="1">
        <v>2012.0</v>
      </c>
      <c r="AJ47" s="1">
        <v>2013.0</v>
      </c>
      <c r="AK47" s="1" t="s">
        <v>277</v>
      </c>
    </row>
    <row r="48">
      <c r="A48" s="1" t="s">
        <v>278</v>
      </c>
      <c r="B48" s="1" t="s">
        <v>278</v>
      </c>
      <c r="C48" s="1" t="s">
        <v>194</v>
      </c>
      <c r="E48" s="1">
        <v>4.1284256E7</v>
      </c>
      <c r="F48" s="2">
        <v>41186.0</v>
      </c>
      <c r="G48" s="1" t="s">
        <v>279</v>
      </c>
      <c r="I48" s="1" t="s">
        <v>279</v>
      </c>
      <c r="L48" s="1" t="s">
        <v>194</v>
      </c>
      <c r="M48" s="1">
        <v>9100.0</v>
      </c>
      <c r="N48" s="1" t="s">
        <v>194</v>
      </c>
      <c r="O48" s="1">
        <v>8.01081899E8</v>
      </c>
      <c r="P48" s="1" t="s">
        <v>280</v>
      </c>
      <c r="R48" s="1" t="s">
        <v>281</v>
      </c>
      <c r="S48" s="1" t="s">
        <v>44</v>
      </c>
      <c r="T48" s="1" t="s">
        <v>45</v>
      </c>
      <c r="U48" s="1">
        <v>4.82033277E8</v>
      </c>
      <c r="W48" s="1" t="s">
        <v>282</v>
      </c>
      <c r="X48" s="1" t="s">
        <v>45</v>
      </c>
      <c r="Y48" s="1">
        <v>4.82202899E8</v>
      </c>
      <c r="AB48" s="1">
        <v>1350000.0</v>
      </c>
      <c r="AC48" s="2">
        <v>41186.0</v>
      </c>
      <c r="AD48" s="1">
        <v>9100.0</v>
      </c>
      <c r="AE48" s="1" t="s">
        <v>194</v>
      </c>
      <c r="AF48" s="1" t="s">
        <v>283</v>
      </c>
      <c r="AG48" s="1" t="s">
        <v>284</v>
      </c>
      <c r="AH48" s="1">
        <v>4.0</v>
      </c>
      <c r="AI48" s="1">
        <v>2013.0</v>
      </c>
      <c r="AJ48" s="1">
        <v>2013.0</v>
      </c>
      <c r="AK48" s="1" t="s">
        <v>285</v>
      </c>
    </row>
    <row r="49">
      <c r="A49" s="1" t="s">
        <v>232</v>
      </c>
      <c r="B49" s="1" t="s">
        <v>232</v>
      </c>
      <c r="C49" s="1" t="s">
        <v>233</v>
      </c>
      <c r="E49" s="1">
        <v>3293101.0</v>
      </c>
      <c r="F49" s="2">
        <v>41206.0</v>
      </c>
      <c r="G49" s="1" t="s">
        <v>234</v>
      </c>
      <c r="I49" s="1" t="s">
        <v>234</v>
      </c>
      <c r="L49" s="1" t="s">
        <v>151</v>
      </c>
      <c r="M49" s="1">
        <v>6900.0</v>
      </c>
      <c r="N49" s="1" t="s">
        <v>151</v>
      </c>
      <c r="O49" s="1">
        <v>7.3134884E7</v>
      </c>
      <c r="P49" s="1" t="s">
        <v>259</v>
      </c>
      <c r="R49" s="1" t="s">
        <v>286</v>
      </c>
      <c r="S49" s="1" t="s">
        <v>44</v>
      </c>
      <c r="T49" s="1" t="s">
        <v>45</v>
      </c>
      <c r="U49" s="1">
        <v>4.82262841E8</v>
      </c>
      <c r="W49" s="1" t="s">
        <v>287</v>
      </c>
      <c r="X49" s="1" t="s">
        <v>45</v>
      </c>
      <c r="Y49" s="1">
        <v>4.8186953E8</v>
      </c>
      <c r="Z49" s="1">
        <v>7.3134884E7</v>
      </c>
      <c r="AA49" s="1" t="s">
        <v>261</v>
      </c>
      <c r="AB49" s="1">
        <v>275000.0</v>
      </c>
      <c r="AC49" s="2">
        <v>41206.0</v>
      </c>
      <c r="AD49" s="1">
        <v>6900.0</v>
      </c>
      <c r="AE49" s="1" t="s">
        <v>151</v>
      </c>
      <c r="AF49" s="1" t="s">
        <v>288</v>
      </c>
      <c r="AG49" s="1" t="s">
        <v>239</v>
      </c>
      <c r="AH49" s="1">
        <v>2.0</v>
      </c>
      <c r="AI49" s="1">
        <v>2013.0</v>
      </c>
      <c r="AJ49" s="1">
        <v>2013.0</v>
      </c>
      <c r="AK49" s="1" t="s">
        <v>237</v>
      </c>
    </row>
    <row r="50">
      <c r="A50" s="1" t="s">
        <v>278</v>
      </c>
      <c r="B50" s="1" t="s">
        <v>278</v>
      </c>
      <c r="C50" s="1" t="s">
        <v>194</v>
      </c>
      <c r="E50" s="1">
        <v>4.1284256E7</v>
      </c>
      <c r="F50" s="2">
        <v>41204.0</v>
      </c>
      <c r="G50" s="1" t="s">
        <v>279</v>
      </c>
      <c r="I50" s="1" t="s">
        <v>279</v>
      </c>
      <c r="L50" s="1" t="s">
        <v>194</v>
      </c>
      <c r="M50" s="1">
        <v>9100.0</v>
      </c>
      <c r="N50" s="1" t="s">
        <v>194</v>
      </c>
      <c r="O50" s="1">
        <v>1.66664495E8</v>
      </c>
      <c r="P50" s="1" t="s">
        <v>289</v>
      </c>
      <c r="Q50" s="1" t="s">
        <v>290</v>
      </c>
      <c r="R50" s="1" t="s">
        <v>291</v>
      </c>
      <c r="S50" s="1" t="s">
        <v>44</v>
      </c>
      <c r="T50" s="1" t="s">
        <v>45</v>
      </c>
      <c r="U50" s="1">
        <v>4.82023158E8</v>
      </c>
      <c r="W50" s="1" t="s">
        <v>46</v>
      </c>
      <c r="X50" s="1" t="s">
        <v>45</v>
      </c>
      <c r="Y50" s="1">
        <v>4.82023157E8</v>
      </c>
      <c r="AB50" s="1">
        <v>405000.0</v>
      </c>
      <c r="AC50" s="2">
        <v>41204.0</v>
      </c>
      <c r="AD50" s="1">
        <v>9100.0</v>
      </c>
      <c r="AE50" s="1" t="s">
        <v>194</v>
      </c>
      <c r="AF50" s="1" t="s">
        <v>292</v>
      </c>
      <c r="AG50" s="1" t="s">
        <v>284</v>
      </c>
      <c r="AH50" s="1">
        <v>4.0</v>
      </c>
      <c r="AI50" s="1">
        <v>2013.0</v>
      </c>
      <c r="AJ50" s="1">
        <v>2013.0</v>
      </c>
      <c r="AK50" s="1" t="s">
        <v>285</v>
      </c>
    </row>
    <row r="51">
      <c r="A51" s="1" t="s">
        <v>293</v>
      </c>
      <c r="B51" s="1" t="s">
        <v>293</v>
      </c>
      <c r="C51" s="1" t="s">
        <v>224</v>
      </c>
      <c r="E51" s="1">
        <v>472261.0</v>
      </c>
      <c r="F51" s="2">
        <v>41255.0</v>
      </c>
      <c r="G51" s="1" t="s">
        <v>294</v>
      </c>
      <c r="I51" s="1" t="s">
        <v>294</v>
      </c>
      <c r="L51" s="1" t="s">
        <v>151</v>
      </c>
      <c r="M51" s="1">
        <v>6900.0</v>
      </c>
      <c r="N51" s="1" t="s">
        <v>151</v>
      </c>
      <c r="O51" s="1">
        <v>9.63886101E8</v>
      </c>
      <c r="P51" s="1" t="s">
        <v>259</v>
      </c>
      <c r="R51" s="1" t="s">
        <v>260</v>
      </c>
      <c r="S51" s="1" t="s">
        <v>44</v>
      </c>
      <c r="T51" s="1" t="s">
        <v>45</v>
      </c>
      <c r="U51" s="1">
        <v>4.8226348E8</v>
      </c>
      <c r="W51" s="1" t="s">
        <v>46</v>
      </c>
      <c r="X51" s="1" t="s">
        <v>45</v>
      </c>
      <c r="Y51" s="1">
        <v>4.8226348E8</v>
      </c>
      <c r="Z51" s="1">
        <v>7.3134884E7</v>
      </c>
      <c r="AA51" s="1" t="s">
        <v>261</v>
      </c>
      <c r="AB51" s="1">
        <v>472261.55</v>
      </c>
      <c r="AC51" s="2">
        <v>41255.0</v>
      </c>
      <c r="AD51" s="1">
        <v>6900.0</v>
      </c>
      <c r="AE51" s="1" t="s">
        <v>151</v>
      </c>
      <c r="AF51" s="1">
        <v>1.0</v>
      </c>
      <c r="AG51" s="1" t="s">
        <v>295</v>
      </c>
      <c r="AH51" s="1">
        <v>5.0</v>
      </c>
      <c r="AI51" s="1">
        <v>2013.0</v>
      </c>
      <c r="AJ51" s="1">
        <v>2013.0</v>
      </c>
      <c r="AK51" s="1" t="s">
        <v>229</v>
      </c>
    </row>
    <row r="52">
      <c r="A52" s="1" t="s">
        <v>296</v>
      </c>
      <c r="B52" s="1" t="s">
        <v>296</v>
      </c>
      <c r="C52" s="1" t="s">
        <v>100</v>
      </c>
      <c r="E52" s="1">
        <v>1303371.0</v>
      </c>
      <c r="F52" s="2">
        <v>41319.0</v>
      </c>
      <c r="G52" s="1" t="s">
        <v>297</v>
      </c>
      <c r="I52" s="1" t="s">
        <v>297</v>
      </c>
      <c r="L52" s="1" t="s">
        <v>102</v>
      </c>
      <c r="M52" s="1">
        <v>8600.0</v>
      </c>
      <c r="N52" s="1" t="s">
        <v>102</v>
      </c>
      <c r="O52" s="1">
        <v>4.9263668E7</v>
      </c>
      <c r="P52" s="1" t="s">
        <v>298</v>
      </c>
      <c r="R52" s="1" t="s">
        <v>299</v>
      </c>
      <c r="S52" s="1" t="s">
        <v>44</v>
      </c>
      <c r="T52" s="1" t="s">
        <v>45</v>
      </c>
      <c r="U52" s="1">
        <v>4.82264481E8</v>
      </c>
      <c r="W52" s="1" t="s">
        <v>300</v>
      </c>
      <c r="X52" s="1" t="s">
        <v>301</v>
      </c>
      <c r="Y52" s="1">
        <v>3.36341148E8</v>
      </c>
      <c r="Z52" s="1">
        <v>3.9866249E7</v>
      </c>
      <c r="AA52" s="1" t="s">
        <v>302</v>
      </c>
      <c r="AB52" s="1">
        <v>49940.0</v>
      </c>
      <c r="AC52" s="2">
        <v>41319.0</v>
      </c>
      <c r="AD52" s="1">
        <v>8600.0</v>
      </c>
      <c r="AE52" s="1" t="s">
        <v>102</v>
      </c>
      <c r="AF52" s="1" t="s">
        <v>303</v>
      </c>
      <c r="AG52" s="1" t="s">
        <v>304</v>
      </c>
      <c r="AH52" s="1">
        <v>3.0</v>
      </c>
      <c r="AI52" s="1">
        <v>2013.0</v>
      </c>
      <c r="AJ52" s="1">
        <v>2013.0</v>
      </c>
      <c r="AK52" s="1" t="s">
        <v>305</v>
      </c>
    </row>
    <row r="53">
      <c r="A53" s="1" t="s">
        <v>306</v>
      </c>
      <c r="B53" s="1" t="s">
        <v>306</v>
      </c>
      <c r="C53" s="1" t="s">
        <v>50</v>
      </c>
      <c r="E53" s="1">
        <v>2303343.0</v>
      </c>
      <c r="F53" s="2">
        <v>41244.0</v>
      </c>
      <c r="G53" s="1" t="s">
        <v>307</v>
      </c>
      <c r="I53" s="1" t="s">
        <v>307</v>
      </c>
      <c r="L53" s="1" t="s">
        <v>50</v>
      </c>
      <c r="M53" s="1">
        <v>8900.0</v>
      </c>
      <c r="N53" s="1" t="s">
        <v>50</v>
      </c>
      <c r="O53" s="1">
        <v>8.32447812E8</v>
      </c>
      <c r="P53" s="1" t="s">
        <v>308</v>
      </c>
      <c r="Q53" s="1" t="s">
        <v>309</v>
      </c>
      <c r="R53" s="1" t="s">
        <v>310</v>
      </c>
      <c r="S53" s="1" t="s">
        <v>44</v>
      </c>
      <c r="T53" s="1" t="s">
        <v>45</v>
      </c>
      <c r="U53" s="1">
        <v>4.82431403E8</v>
      </c>
      <c r="W53" s="1" t="s">
        <v>46</v>
      </c>
      <c r="X53" s="1" t="s">
        <v>45</v>
      </c>
      <c r="Y53" s="1">
        <v>4.82431403E8</v>
      </c>
      <c r="Z53" s="1">
        <v>8.32447812E8</v>
      </c>
      <c r="AB53" s="1">
        <v>81079.0</v>
      </c>
      <c r="AC53" s="2">
        <v>41244.0</v>
      </c>
      <c r="AD53" s="1">
        <v>8900.0</v>
      </c>
      <c r="AE53" s="1" t="s">
        <v>50</v>
      </c>
      <c r="AF53" s="1">
        <v>503020.0</v>
      </c>
      <c r="AG53" s="1" t="s">
        <v>311</v>
      </c>
      <c r="AH53" s="1">
        <v>12.0</v>
      </c>
      <c r="AI53" s="1">
        <v>2012.0</v>
      </c>
      <c r="AJ53" s="1">
        <v>2013.0</v>
      </c>
      <c r="AK53" s="1" t="s">
        <v>312</v>
      </c>
    </row>
    <row r="54">
      <c r="A54" s="1" t="s">
        <v>313</v>
      </c>
      <c r="B54" s="1" t="s">
        <v>313</v>
      </c>
      <c r="C54" s="1" t="s">
        <v>224</v>
      </c>
      <c r="E54" s="1">
        <v>170564.0</v>
      </c>
      <c r="F54" s="2">
        <v>41345.0</v>
      </c>
      <c r="G54" s="1" t="s">
        <v>264</v>
      </c>
      <c r="I54" s="1" t="s">
        <v>264</v>
      </c>
      <c r="L54" s="1" t="s">
        <v>151</v>
      </c>
      <c r="M54" s="1">
        <v>6900.0</v>
      </c>
      <c r="N54" s="1" t="s">
        <v>151</v>
      </c>
      <c r="O54" s="1">
        <v>9.63886101E8</v>
      </c>
      <c r="P54" s="1" t="s">
        <v>259</v>
      </c>
      <c r="R54" s="1" t="s">
        <v>260</v>
      </c>
      <c r="S54" s="1" t="s">
        <v>44</v>
      </c>
      <c r="T54" s="1" t="s">
        <v>45</v>
      </c>
      <c r="U54" s="1">
        <v>4.8226348E8</v>
      </c>
      <c r="W54" s="1" t="s">
        <v>46</v>
      </c>
      <c r="X54" s="1" t="s">
        <v>45</v>
      </c>
      <c r="Y54" s="1">
        <v>4.8226348E8</v>
      </c>
      <c r="Z54" s="1">
        <v>7.3134884E7</v>
      </c>
      <c r="AA54" s="1" t="s">
        <v>261</v>
      </c>
      <c r="AB54" s="1">
        <v>170564.76</v>
      </c>
      <c r="AC54" s="2">
        <v>41345.0</v>
      </c>
      <c r="AD54" s="1">
        <v>6900.0</v>
      </c>
      <c r="AE54" s="1" t="s">
        <v>151</v>
      </c>
      <c r="AF54" s="1">
        <v>1.0</v>
      </c>
      <c r="AG54" s="1" t="s">
        <v>265</v>
      </c>
      <c r="AH54" s="1">
        <v>4.0</v>
      </c>
      <c r="AI54" s="1">
        <v>2013.0</v>
      </c>
      <c r="AJ54" s="1">
        <v>2013.0</v>
      </c>
      <c r="AK54" s="1" t="s">
        <v>229</v>
      </c>
    </row>
    <row r="55">
      <c r="A55" s="1" t="s">
        <v>314</v>
      </c>
      <c r="B55" s="1" t="s">
        <v>314</v>
      </c>
      <c r="C55" s="1" t="s">
        <v>224</v>
      </c>
      <c r="E55" s="1">
        <v>1041091.0</v>
      </c>
      <c r="F55" s="2">
        <v>41347.0</v>
      </c>
      <c r="G55" s="1" t="s">
        <v>258</v>
      </c>
      <c r="I55" s="1" t="s">
        <v>258</v>
      </c>
      <c r="L55" s="1" t="s">
        <v>151</v>
      </c>
      <c r="M55" s="1">
        <v>6900.0</v>
      </c>
      <c r="N55" s="1" t="s">
        <v>151</v>
      </c>
      <c r="O55" s="1">
        <v>9.63886101E8</v>
      </c>
      <c r="P55" s="1" t="s">
        <v>259</v>
      </c>
      <c r="R55" s="1" t="s">
        <v>260</v>
      </c>
      <c r="S55" s="1" t="s">
        <v>44</v>
      </c>
      <c r="T55" s="1" t="s">
        <v>45</v>
      </c>
      <c r="U55" s="1">
        <v>4.8226348E8</v>
      </c>
      <c r="W55" s="1" t="s">
        <v>46</v>
      </c>
      <c r="X55" s="1" t="s">
        <v>45</v>
      </c>
      <c r="Y55" s="1">
        <v>4.8226348E8</v>
      </c>
      <c r="Z55" s="1">
        <v>7.3134884E7</v>
      </c>
      <c r="AA55" s="1" t="s">
        <v>261</v>
      </c>
      <c r="AB55" s="1">
        <v>1041091.97</v>
      </c>
      <c r="AC55" s="2">
        <v>41347.0</v>
      </c>
      <c r="AD55" s="1">
        <v>6900.0</v>
      </c>
      <c r="AE55" s="1" t="s">
        <v>151</v>
      </c>
      <c r="AF55" s="1">
        <v>1.0</v>
      </c>
      <c r="AG55" s="1" t="s">
        <v>262</v>
      </c>
      <c r="AH55" s="1">
        <v>4.0</v>
      </c>
      <c r="AI55" s="1">
        <v>2013.0</v>
      </c>
      <c r="AJ55" s="1">
        <v>2013.0</v>
      </c>
      <c r="AK55" s="1" t="s">
        <v>229</v>
      </c>
    </row>
    <row r="56">
      <c r="A56" s="1" t="s">
        <v>315</v>
      </c>
      <c r="B56" s="1" t="s">
        <v>315</v>
      </c>
      <c r="C56" s="1" t="s">
        <v>224</v>
      </c>
      <c r="E56" s="1">
        <v>139730.0</v>
      </c>
      <c r="F56" s="2">
        <v>41361.0</v>
      </c>
      <c r="G56" s="1" t="s">
        <v>270</v>
      </c>
      <c r="I56" s="1" t="s">
        <v>270</v>
      </c>
      <c r="L56" s="1" t="s">
        <v>151</v>
      </c>
      <c r="M56" s="1">
        <v>6900.0</v>
      </c>
      <c r="N56" s="1" t="s">
        <v>151</v>
      </c>
      <c r="O56" s="1">
        <v>9.63886101E8</v>
      </c>
      <c r="P56" s="1" t="s">
        <v>259</v>
      </c>
      <c r="R56" s="1" t="s">
        <v>260</v>
      </c>
      <c r="S56" s="1" t="s">
        <v>44</v>
      </c>
      <c r="T56" s="1" t="s">
        <v>45</v>
      </c>
      <c r="U56" s="1">
        <v>4.8226348E8</v>
      </c>
      <c r="W56" s="1" t="s">
        <v>46</v>
      </c>
      <c r="X56" s="1" t="s">
        <v>45</v>
      </c>
      <c r="Y56" s="1">
        <v>4.8226348E8</v>
      </c>
      <c r="Z56" s="1">
        <v>7.3134884E7</v>
      </c>
      <c r="AA56" s="1" t="s">
        <v>261</v>
      </c>
      <c r="AB56" s="1">
        <v>139730.05</v>
      </c>
      <c r="AC56" s="2">
        <v>41361.0</v>
      </c>
      <c r="AD56" s="1">
        <v>6900.0</v>
      </c>
      <c r="AE56" s="1" t="s">
        <v>151</v>
      </c>
      <c r="AF56" s="1">
        <v>1.0</v>
      </c>
      <c r="AG56" s="1" t="s">
        <v>271</v>
      </c>
      <c r="AH56" s="1">
        <v>4.0</v>
      </c>
      <c r="AI56" s="1">
        <v>2013.0</v>
      </c>
      <c r="AJ56" s="1">
        <v>2013.0</v>
      </c>
      <c r="AK56" s="1" t="s">
        <v>229</v>
      </c>
    </row>
    <row r="57">
      <c r="A57" s="1" t="s">
        <v>128</v>
      </c>
      <c r="B57" s="1" t="s">
        <v>128</v>
      </c>
      <c r="C57" s="1" t="s">
        <v>129</v>
      </c>
      <c r="E57" s="1">
        <v>1.50612E7</v>
      </c>
      <c r="F57" s="2">
        <v>41362.0</v>
      </c>
      <c r="G57" s="1" t="s">
        <v>130</v>
      </c>
      <c r="I57" s="1" t="s">
        <v>130</v>
      </c>
      <c r="L57" s="1" t="s">
        <v>40</v>
      </c>
      <c r="M57" s="1">
        <v>7500.0</v>
      </c>
      <c r="N57" s="1" t="s">
        <v>40</v>
      </c>
      <c r="O57" s="1">
        <v>6.9840817E7</v>
      </c>
      <c r="P57" s="1" t="s">
        <v>131</v>
      </c>
      <c r="R57" s="1" t="s">
        <v>132</v>
      </c>
      <c r="S57" s="1" t="s">
        <v>44</v>
      </c>
      <c r="T57" s="1" t="s">
        <v>45</v>
      </c>
      <c r="U57" s="1">
        <v>4.8214261E8</v>
      </c>
      <c r="W57" s="1" t="s">
        <v>133</v>
      </c>
      <c r="X57" s="1" t="s">
        <v>45</v>
      </c>
      <c r="Y57" s="1">
        <v>4.8214261E8</v>
      </c>
      <c r="Z57" s="1">
        <v>6.9840817E7</v>
      </c>
      <c r="AA57" s="1" t="s">
        <v>131</v>
      </c>
      <c r="AB57" s="1">
        <v>178600.0</v>
      </c>
      <c r="AC57" s="2">
        <v>41362.0</v>
      </c>
      <c r="AD57" s="1">
        <v>7500.0</v>
      </c>
      <c r="AE57" s="1" t="s">
        <v>40</v>
      </c>
      <c r="AF57" s="1" t="s">
        <v>316</v>
      </c>
      <c r="AG57" s="1" t="s">
        <v>135</v>
      </c>
      <c r="AH57" s="1">
        <v>3.0</v>
      </c>
      <c r="AI57" s="1">
        <v>2013.0</v>
      </c>
      <c r="AJ57" s="1">
        <v>2013.0</v>
      </c>
      <c r="AK57" s="1" t="s">
        <v>136</v>
      </c>
    </row>
    <row r="58">
      <c r="A58" s="1" t="s">
        <v>317</v>
      </c>
      <c r="B58" s="1" t="s">
        <v>317</v>
      </c>
      <c r="C58" s="1" t="s">
        <v>38</v>
      </c>
      <c r="E58" s="1">
        <v>811768.0</v>
      </c>
      <c r="F58" s="2">
        <v>41323.0</v>
      </c>
      <c r="G58" s="1" t="s">
        <v>318</v>
      </c>
      <c r="I58" s="1" t="s">
        <v>318</v>
      </c>
      <c r="L58" s="1" t="s">
        <v>40</v>
      </c>
      <c r="M58" s="1">
        <v>7500.0</v>
      </c>
      <c r="N58" s="1" t="s">
        <v>40</v>
      </c>
      <c r="O58" s="1">
        <v>7.3134603E7</v>
      </c>
      <c r="P58" s="1" t="s">
        <v>41</v>
      </c>
      <c r="Q58" s="1" t="s">
        <v>42</v>
      </c>
      <c r="R58" s="1" t="s">
        <v>43</v>
      </c>
      <c r="S58" s="1" t="s">
        <v>44</v>
      </c>
      <c r="T58" s="1" t="s">
        <v>45</v>
      </c>
      <c r="U58" s="1">
        <v>4.8202345E8</v>
      </c>
      <c r="W58" s="1" t="s">
        <v>44</v>
      </c>
      <c r="X58" s="1" t="s">
        <v>45</v>
      </c>
      <c r="Y58" s="1">
        <v>4.8202345E8</v>
      </c>
      <c r="Z58" s="1">
        <v>7.3134603E7</v>
      </c>
      <c r="AA58" s="1" t="s">
        <v>41</v>
      </c>
      <c r="AB58" s="1">
        <v>38232.0</v>
      </c>
      <c r="AC58" s="2">
        <v>41323.0</v>
      </c>
      <c r="AD58" s="1">
        <v>7500.0</v>
      </c>
      <c r="AE58" s="1" t="s">
        <v>40</v>
      </c>
      <c r="AF58" s="1" t="s">
        <v>319</v>
      </c>
      <c r="AG58" s="1" t="s">
        <v>320</v>
      </c>
      <c r="AH58" s="1">
        <v>3.0</v>
      </c>
      <c r="AI58" s="1">
        <v>2013.0</v>
      </c>
      <c r="AJ58" s="1">
        <v>2013.0</v>
      </c>
      <c r="AK58" s="1" t="s">
        <v>256</v>
      </c>
    </row>
    <row r="59">
      <c r="A59" s="1" t="s">
        <v>321</v>
      </c>
      <c r="B59" s="1" t="s">
        <v>321</v>
      </c>
      <c r="C59" s="1" t="s">
        <v>100</v>
      </c>
      <c r="E59" s="1">
        <v>2200845.0</v>
      </c>
      <c r="F59" s="2">
        <v>41288.0</v>
      </c>
      <c r="G59" s="1" t="s">
        <v>322</v>
      </c>
      <c r="I59" s="1" t="s">
        <v>322</v>
      </c>
      <c r="L59" s="1" t="s">
        <v>102</v>
      </c>
      <c r="M59" s="1">
        <v>8600.0</v>
      </c>
      <c r="N59" s="1" t="s">
        <v>102</v>
      </c>
      <c r="O59" s="1">
        <v>6530661.0</v>
      </c>
      <c r="P59" s="1" t="s">
        <v>73</v>
      </c>
      <c r="Q59" s="1" t="s">
        <v>323</v>
      </c>
      <c r="R59" s="1" t="s">
        <v>324</v>
      </c>
      <c r="S59" s="1" t="s">
        <v>44</v>
      </c>
      <c r="T59" s="1" t="s">
        <v>45</v>
      </c>
      <c r="U59" s="1">
        <v>4.8226E8</v>
      </c>
      <c r="W59" s="1" t="s">
        <v>46</v>
      </c>
      <c r="X59" s="1" t="s">
        <v>45</v>
      </c>
      <c r="Y59" s="1">
        <v>4.82263437E8</v>
      </c>
      <c r="Z59" s="1">
        <v>6530661.0</v>
      </c>
      <c r="AA59" s="1" t="s">
        <v>76</v>
      </c>
      <c r="AB59" s="1">
        <v>2200845.0</v>
      </c>
      <c r="AC59" s="2">
        <v>41288.0</v>
      </c>
      <c r="AD59" s="1">
        <v>8600.0</v>
      </c>
      <c r="AE59" s="1" t="s">
        <v>102</v>
      </c>
      <c r="AF59" s="1">
        <v>4.0</v>
      </c>
      <c r="AG59" s="1" t="s">
        <v>325</v>
      </c>
      <c r="AH59" s="1">
        <v>2.0</v>
      </c>
      <c r="AI59" s="1">
        <v>2013.0</v>
      </c>
      <c r="AJ59" s="1">
        <v>2013.0</v>
      </c>
      <c r="AK59" s="1" t="s">
        <v>326</v>
      </c>
    </row>
    <row r="60">
      <c r="A60" s="1" t="s">
        <v>203</v>
      </c>
      <c r="B60" s="1" t="s">
        <v>203</v>
      </c>
      <c r="C60" s="1" t="s">
        <v>100</v>
      </c>
      <c r="E60" s="1">
        <v>2.2173386E7</v>
      </c>
      <c r="F60" s="2">
        <v>41290.0</v>
      </c>
      <c r="G60" s="1" t="s">
        <v>122</v>
      </c>
      <c r="I60" s="1" t="s">
        <v>122</v>
      </c>
      <c r="L60" s="1" t="s">
        <v>102</v>
      </c>
      <c r="M60" s="1">
        <v>8600.0</v>
      </c>
      <c r="N60" s="1" t="s">
        <v>102</v>
      </c>
      <c r="O60" s="1">
        <v>1.45406612E8</v>
      </c>
      <c r="P60" s="1" t="s">
        <v>327</v>
      </c>
      <c r="R60" s="1" t="s">
        <v>328</v>
      </c>
      <c r="S60" s="1" t="s">
        <v>44</v>
      </c>
      <c r="T60" s="1" t="s">
        <v>45</v>
      </c>
      <c r="U60" s="1">
        <v>4.82112003E8</v>
      </c>
      <c r="W60" s="1" t="s">
        <v>46</v>
      </c>
      <c r="X60" s="1" t="s">
        <v>45</v>
      </c>
      <c r="Y60" s="1">
        <v>4.82112003E8</v>
      </c>
      <c r="AB60" s="1">
        <v>90000.0</v>
      </c>
      <c r="AC60" s="2">
        <v>41290.0</v>
      </c>
      <c r="AD60" s="1">
        <v>8600.0</v>
      </c>
      <c r="AE60" s="1" t="s">
        <v>102</v>
      </c>
      <c r="AF60" s="1" t="s">
        <v>329</v>
      </c>
      <c r="AG60" s="1" t="s">
        <v>330</v>
      </c>
      <c r="AH60" s="1">
        <v>1.0</v>
      </c>
      <c r="AI60" s="1">
        <v>2013.0</v>
      </c>
      <c r="AJ60" s="1">
        <v>2013.0</v>
      </c>
      <c r="AK60" s="1" t="s">
        <v>127</v>
      </c>
    </row>
    <row r="61">
      <c r="A61" s="1" t="s">
        <v>331</v>
      </c>
      <c r="B61" s="1" t="s">
        <v>331</v>
      </c>
      <c r="C61" s="1" t="s">
        <v>100</v>
      </c>
      <c r="E61" s="1">
        <v>5833389.0</v>
      </c>
      <c r="F61" s="2">
        <v>41288.0</v>
      </c>
      <c r="G61" s="1" t="s">
        <v>332</v>
      </c>
      <c r="I61" s="1" t="s">
        <v>332</v>
      </c>
      <c r="L61" s="1" t="s">
        <v>102</v>
      </c>
      <c r="M61" s="1">
        <v>8600.0</v>
      </c>
      <c r="N61" s="1" t="s">
        <v>102</v>
      </c>
      <c r="O61" s="1">
        <v>6530661.0</v>
      </c>
      <c r="P61" s="1" t="s">
        <v>73</v>
      </c>
      <c r="Q61" s="1" t="s">
        <v>323</v>
      </c>
      <c r="R61" s="1" t="s">
        <v>324</v>
      </c>
      <c r="S61" s="1" t="s">
        <v>44</v>
      </c>
      <c r="T61" s="1" t="s">
        <v>45</v>
      </c>
      <c r="U61" s="1">
        <v>4.8226E8</v>
      </c>
      <c r="W61" s="1" t="s">
        <v>46</v>
      </c>
      <c r="X61" s="1" t="s">
        <v>45</v>
      </c>
      <c r="Y61" s="1">
        <v>4.82263437E8</v>
      </c>
      <c r="Z61" s="1">
        <v>6530661.0</v>
      </c>
      <c r="AA61" s="1" t="s">
        <v>76</v>
      </c>
      <c r="AB61" s="1">
        <v>5833389.0</v>
      </c>
      <c r="AC61" s="2">
        <v>41288.0</v>
      </c>
      <c r="AD61" s="1">
        <v>8600.0</v>
      </c>
      <c r="AE61" s="1" t="s">
        <v>102</v>
      </c>
      <c r="AF61" s="1">
        <v>2.0</v>
      </c>
      <c r="AG61" s="1" t="s">
        <v>333</v>
      </c>
      <c r="AH61" s="1">
        <v>2.0</v>
      </c>
      <c r="AI61" s="1">
        <v>2013.0</v>
      </c>
      <c r="AJ61" s="1">
        <v>2013.0</v>
      </c>
      <c r="AK61" s="1" t="s">
        <v>334</v>
      </c>
    </row>
    <row r="62">
      <c r="A62" s="1" t="s">
        <v>206</v>
      </c>
      <c r="B62" s="1" t="s">
        <v>206</v>
      </c>
      <c r="C62" s="1" t="s">
        <v>207</v>
      </c>
      <c r="E62" s="1">
        <v>3060000.0</v>
      </c>
      <c r="F62" s="2">
        <v>41183.0</v>
      </c>
      <c r="G62" s="1" t="s">
        <v>208</v>
      </c>
      <c r="I62" s="1" t="s">
        <v>208</v>
      </c>
      <c r="L62" s="1" t="s">
        <v>40</v>
      </c>
      <c r="M62" s="1">
        <v>7500.0</v>
      </c>
      <c r="N62" s="1" t="s">
        <v>40</v>
      </c>
      <c r="O62" s="1">
        <v>3.8775243E7</v>
      </c>
      <c r="P62" s="1" t="s">
        <v>209</v>
      </c>
      <c r="Q62" s="1" t="s">
        <v>210</v>
      </c>
      <c r="R62" s="1" t="s">
        <v>211</v>
      </c>
      <c r="S62" s="1" t="s">
        <v>44</v>
      </c>
      <c r="T62" s="1" t="s">
        <v>45</v>
      </c>
      <c r="U62" s="1">
        <v>4.82023068E8</v>
      </c>
      <c r="W62" s="1" t="s">
        <v>46</v>
      </c>
      <c r="X62" s="1" t="s">
        <v>45</v>
      </c>
      <c r="Y62" s="1">
        <v>4.82023068E8</v>
      </c>
      <c r="Z62" s="1">
        <v>3.8775243E7</v>
      </c>
      <c r="AA62" s="1" t="s">
        <v>209</v>
      </c>
      <c r="AB62" s="1">
        <v>0.0</v>
      </c>
      <c r="AC62" s="2">
        <v>41183.0</v>
      </c>
      <c r="AD62" s="1">
        <v>7500.0</v>
      </c>
      <c r="AE62" s="1" t="s">
        <v>40</v>
      </c>
      <c r="AF62" s="1">
        <v>2.0131087E7</v>
      </c>
      <c r="AG62" s="1" t="s">
        <v>212</v>
      </c>
      <c r="AH62" s="1">
        <v>11.0</v>
      </c>
      <c r="AI62" s="1">
        <v>2012.0</v>
      </c>
      <c r="AJ62" s="1">
        <v>2013.0</v>
      </c>
      <c r="AK62" s="1" t="s">
        <v>213</v>
      </c>
    </row>
    <row r="63">
      <c r="A63" s="1" t="s">
        <v>206</v>
      </c>
      <c r="B63" s="1" t="s">
        <v>206</v>
      </c>
      <c r="C63" s="1" t="s">
        <v>207</v>
      </c>
      <c r="E63" s="1">
        <v>3060000.0</v>
      </c>
      <c r="F63" s="2">
        <v>41183.0</v>
      </c>
      <c r="G63" s="1" t="s">
        <v>208</v>
      </c>
      <c r="I63" s="1" t="s">
        <v>208</v>
      </c>
      <c r="L63" s="1" t="s">
        <v>40</v>
      </c>
      <c r="M63" s="1">
        <v>7500.0</v>
      </c>
      <c r="N63" s="1" t="s">
        <v>40</v>
      </c>
      <c r="O63" s="1">
        <v>3.8775243E7</v>
      </c>
      <c r="P63" s="1" t="s">
        <v>209</v>
      </c>
      <c r="Q63" s="1" t="s">
        <v>210</v>
      </c>
      <c r="R63" s="1" t="s">
        <v>211</v>
      </c>
      <c r="S63" s="1" t="s">
        <v>44</v>
      </c>
      <c r="T63" s="1" t="s">
        <v>45</v>
      </c>
      <c r="U63" s="1">
        <v>4.82023068E8</v>
      </c>
      <c r="W63" s="1" t="s">
        <v>46</v>
      </c>
      <c r="X63" s="1" t="s">
        <v>45</v>
      </c>
      <c r="Y63" s="1">
        <v>4.82023068E8</v>
      </c>
      <c r="Z63" s="1">
        <v>3.8775243E7</v>
      </c>
      <c r="AA63" s="1" t="s">
        <v>209</v>
      </c>
      <c r="AB63" s="1">
        <v>0.0</v>
      </c>
      <c r="AC63" s="2">
        <v>41183.0</v>
      </c>
      <c r="AD63" s="1">
        <v>7500.0</v>
      </c>
      <c r="AE63" s="1" t="s">
        <v>40</v>
      </c>
      <c r="AF63" s="1">
        <v>2.0131083E7</v>
      </c>
      <c r="AG63" s="1" t="s">
        <v>212</v>
      </c>
      <c r="AH63" s="1">
        <v>11.0</v>
      </c>
      <c r="AI63" s="1">
        <v>2012.0</v>
      </c>
      <c r="AJ63" s="1">
        <v>2013.0</v>
      </c>
      <c r="AK63" s="1" t="s">
        <v>213</v>
      </c>
    </row>
    <row r="64">
      <c r="A64" s="1" t="s">
        <v>206</v>
      </c>
      <c r="B64" s="1" t="s">
        <v>206</v>
      </c>
      <c r="C64" s="1" t="s">
        <v>207</v>
      </c>
      <c r="E64" s="1">
        <v>3060000.0</v>
      </c>
      <c r="F64" s="2">
        <v>41183.0</v>
      </c>
      <c r="G64" s="1" t="s">
        <v>208</v>
      </c>
      <c r="I64" s="1" t="s">
        <v>208</v>
      </c>
      <c r="L64" s="1" t="s">
        <v>40</v>
      </c>
      <c r="M64" s="1">
        <v>7500.0</v>
      </c>
      <c r="N64" s="1" t="s">
        <v>40</v>
      </c>
      <c r="O64" s="1">
        <v>3.8775243E7</v>
      </c>
      <c r="P64" s="1" t="s">
        <v>209</v>
      </c>
      <c r="Q64" s="1" t="s">
        <v>210</v>
      </c>
      <c r="R64" s="1" t="s">
        <v>211</v>
      </c>
      <c r="S64" s="1" t="s">
        <v>44</v>
      </c>
      <c r="T64" s="1" t="s">
        <v>45</v>
      </c>
      <c r="U64" s="1">
        <v>4.82023068E8</v>
      </c>
      <c r="W64" s="1" t="s">
        <v>46</v>
      </c>
      <c r="X64" s="1" t="s">
        <v>45</v>
      </c>
      <c r="Y64" s="1">
        <v>4.82023068E8</v>
      </c>
      <c r="Z64" s="1">
        <v>3.8775243E7</v>
      </c>
      <c r="AA64" s="1" t="s">
        <v>209</v>
      </c>
      <c r="AB64" s="1">
        <v>0.0</v>
      </c>
      <c r="AC64" s="2">
        <v>41183.0</v>
      </c>
      <c r="AD64" s="1">
        <v>7500.0</v>
      </c>
      <c r="AE64" s="1" t="s">
        <v>40</v>
      </c>
      <c r="AF64" s="1">
        <v>2.013108E7</v>
      </c>
      <c r="AG64" s="1" t="s">
        <v>212</v>
      </c>
      <c r="AH64" s="1">
        <v>11.0</v>
      </c>
      <c r="AI64" s="1">
        <v>2012.0</v>
      </c>
      <c r="AJ64" s="1">
        <v>2013.0</v>
      </c>
      <c r="AK64" s="1" t="s">
        <v>213</v>
      </c>
    </row>
    <row r="65">
      <c r="A65" s="1" t="s">
        <v>206</v>
      </c>
      <c r="B65" s="1" t="s">
        <v>206</v>
      </c>
      <c r="C65" s="1" t="s">
        <v>207</v>
      </c>
      <c r="E65" s="1">
        <v>3060000.0</v>
      </c>
      <c r="F65" s="2">
        <v>41183.0</v>
      </c>
      <c r="G65" s="1" t="s">
        <v>208</v>
      </c>
      <c r="I65" s="1" t="s">
        <v>208</v>
      </c>
      <c r="L65" s="1" t="s">
        <v>40</v>
      </c>
      <c r="M65" s="1">
        <v>7500.0</v>
      </c>
      <c r="N65" s="1" t="s">
        <v>40</v>
      </c>
      <c r="O65" s="1">
        <v>3.8775243E7</v>
      </c>
      <c r="P65" s="1" t="s">
        <v>209</v>
      </c>
      <c r="Q65" s="1" t="s">
        <v>210</v>
      </c>
      <c r="R65" s="1" t="s">
        <v>211</v>
      </c>
      <c r="S65" s="1" t="s">
        <v>44</v>
      </c>
      <c r="T65" s="1" t="s">
        <v>45</v>
      </c>
      <c r="U65" s="1">
        <v>4.82023068E8</v>
      </c>
      <c r="W65" s="1" t="s">
        <v>46</v>
      </c>
      <c r="X65" s="1" t="s">
        <v>45</v>
      </c>
      <c r="Y65" s="1">
        <v>4.82023068E8</v>
      </c>
      <c r="Z65" s="1">
        <v>3.8775243E7</v>
      </c>
      <c r="AA65" s="1" t="s">
        <v>209</v>
      </c>
      <c r="AB65" s="1">
        <v>0.0</v>
      </c>
      <c r="AC65" s="2">
        <v>41183.0</v>
      </c>
      <c r="AD65" s="1">
        <v>7500.0</v>
      </c>
      <c r="AE65" s="1" t="s">
        <v>40</v>
      </c>
      <c r="AF65" s="1">
        <v>2.0131081E7</v>
      </c>
      <c r="AG65" s="1" t="s">
        <v>212</v>
      </c>
      <c r="AH65" s="1">
        <v>11.0</v>
      </c>
      <c r="AI65" s="1">
        <v>2012.0</v>
      </c>
      <c r="AJ65" s="1">
        <v>2013.0</v>
      </c>
      <c r="AK65" s="1" t="s">
        <v>213</v>
      </c>
    </row>
    <row r="66">
      <c r="A66" s="1" t="s">
        <v>206</v>
      </c>
      <c r="B66" s="1" t="s">
        <v>206</v>
      </c>
      <c r="C66" s="1" t="s">
        <v>207</v>
      </c>
      <c r="E66" s="1">
        <v>3060000.0</v>
      </c>
      <c r="F66" s="2">
        <v>41183.0</v>
      </c>
      <c r="G66" s="1" t="s">
        <v>208</v>
      </c>
      <c r="I66" s="1" t="s">
        <v>208</v>
      </c>
      <c r="L66" s="1" t="s">
        <v>40</v>
      </c>
      <c r="M66" s="1">
        <v>7500.0</v>
      </c>
      <c r="N66" s="1" t="s">
        <v>40</v>
      </c>
      <c r="O66" s="1">
        <v>3.8775243E7</v>
      </c>
      <c r="P66" s="1" t="s">
        <v>209</v>
      </c>
      <c r="Q66" s="1" t="s">
        <v>210</v>
      </c>
      <c r="R66" s="1" t="s">
        <v>211</v>
      </c>
      <c r="S66" s="1" t="s">
        <v>44</v>
      </c>
      <c r="T66" s="1" t="s">
        <v>45</v>
      </c>
      <c r="U66" s="1">
        <v>4.82023068E8</v>
      </c>
      <c r="W66" s="1" t="s">
        <v>46</v>
      </c>
      <c r="X66" s="1" t="s">
        <v>45</v>
      </c>
      <c r="Y66" s="1">
        <v>4.82023068E8</v>
      </c>
      <c r="Z66" s="1">
        <v>3.8775243E7</v>
      </c>
      <c r="AA66" s="1" t="s">
        <v>209</v>
      </c>
      <c r="AB66" s="1">
        <v>0.0</v>
      </c>
      <c r="AC66" s="2">
        <v>41183.0</v>
      </c>
      <c r="AD66" s="1">
        <v>7500.0</v>
      </c>
      <c r="AE66" s="1" t="s">
        <v>40</v>
      </c>
      <c r="AF66" s="1">
        <v>2.0131257E7</v>
      </c>
      <c r="AG66" s="1" t="s">
        <v>212</v>
      </c>
      <c r="AH66" s="1">
        <v>11.0</v>
      </c>
      <c r="AI66" s="1">
        <v>2012.0</v>
      </c>
      <c r="AJ66" s="1">
        <v>2013.0</v>
      </c>
      <c r="AK66" s="1" t="s">
        <v>213</v>
      </c>
    </row>
    <row r="67">
      <c r="A67" s="1" t="s">
        <v>206</v>
      </c>
      <c r="B67" s="1" t="s">
        <v>206</v>
      </c>
      <c r="C67" s="1" t="s">
        <v>207</v>
      </c>
      <c r="E67" s="1">
        <v>3060000.0</v>
      </c>
      <c r="F67" s="2">
        <v>41183.0</v>
      </c>
      <c r="G67" s="1" t="s">
        <v>208</v>
      </c>
      <c r="I67" s="1" t="s">
        <v>208</v>
      </c>
      <c r="L67" s="1" t="s">
        <v>40</v>
      </c>
      <c r="M67" s="1">
        <v>7500.0</v>
      </c>
      <c r="N67" s="1" t="s">
        <v>40</v>
      </c>
      <c r="O67" s="1">
        <v>7.3134884E7</v>
      </c>
      <c r="P67" s="1" t="s">
        <v>259</v>
      </c>
      <c r="R67" s="1" t="s">
        <v>286</v>
      </c>
      <c r="S67" s="1" t="s">
        <v>44</v>
      </c>
      <c r="T67" s="1" t="s">
        <v>45</v>
      </c>
      <c r="U67" s="1">
        <v>4.82262841E8</v>
      </c>
      <c r="W67" s="1" t="s">
        <v>46</v>
      </c>
      <c r="X67" s="1" t="s">
        <v>45</v>
      </c>
      <c r="Y67" s="1">
        <v>4.8226348E8</v>
      </c>
      <c r="Z67" s="1">
        <v>7.3134884E7</v>
      </c>
      <c r="AA67" s="1" t="s">
        <v>261</v>
      </c>
      <c r="AB67" s="1">
        <v>0.0</v>
      </c>
      <c r="AC67" s="2">
        <v>41183.0</v>
      </c>
      <c r="AD67" s="1">
        <v>7500.0</v>
      </c>
      <c r="AE67" s="1" t="s">
        <v>40</v>
      </c>
      <c r="AF67" s="1">
        <v>2.0131302E7</v>
      </c>
      <c r="AG67" s="1" t="s">
        <v>212</v>
      </c>
      <c r="AH67" s="1">
        <v>11.0</v>
      </c>
      <c r="AI67" s="1">
        <v>2012.0</v>
      </c>
      <c r="AJ67" s="1">
        <v>2013.0</v>
      </c>
      <c r="AK67" s="1" t="s">
        <v>213</v>
      </c>
    </row>
    <row r="68">
      <c r="A68" s="1" t="s">
        <v>206</v>
      </c>
      <c r="B68" s="1" t="s">
        <v>206</v>
      </c>
      <c r="C68" s="1" t="s">
        <v>207</v>
      </c>
      <c r="E68" s="1">
        <v>3060000.0</v>
      </c>
      <c r="F68" s="2">
        <v>41183.0</v>
      </c>
      <c r="G68" s="1" t="s">
        <v>208</v>
      </c>
      <c r="I68" s="1" t="s">
        <v>208</v>
      </c>
      <c r="L68" s="1" t="s">
        <v>40</v>
      </c>
      <c r="M68" s="1">
        <v>7500.0</v>
      </c>
      <c r="N68" s="1" t="s">
        <v>40</v>
      </c>
      <c r="O68" s="1">
        <v>3.8775243E7</v>
      </c>
      <c r="P68" s="1" t="s">
        <v>209</v>
      </c>
      <c r="Q68" s="1" t="s">
        <v>210</v>
      </c>
      <c r="R68" s="1" t="s">
        <v>211</v>
      </c>
      <c r="S68" s="1" t="s">
        <v>44</v>
      </c>
      <c r="T68" s="1" t="s">
        <v>45</v>
      </c>
      <c r="U68" s="1">
        <v>4.82023068E8</v>
      </c>
      <c r="W68" s="1" t="s">
        <v>46</v>
      </c>
      <c r="X68" s="1" t="s">
        <v>45</v>
      </c>
      <c r="Y68" s="1">
        <v>4.82023068E8</v>
      </c>
      <c r="Z68" s="1">
        <v>3.8775243E7</v>
      </c>
      <c r="AA68" s="1" t="s">
        <v>209</v>
      </c>
      <c r="AB68" s="1">
        <v>0.0</v>
      </c>
      <c r="AC68" s="2">
        <v>41183.0</v>
      </c>
      <c r="AD68" s="1">
        <v>7500.0</v>
      </c>
      <c r="AE68" s="1" t="s">
        <v>40</v>
      </c>
      <c r="AF68" s="1">
        <v>2.0131083E7</v>
      </c>
      <c r="AG68" s="1" t="s">
        <v>212</v>
      </c>
      <c r="AH68" s="1">
        <v>11.0</v>
      </c>
      <c r="AI68" s="1">
        <v>2012.0</v>
      </c>
      <c r="AJ68" s="1">
        <v>2013.0</v>
      </c>
      <c r="AK68" s="1" t="s">
        <v>213</v>
      </c>
    </row>
    <row r="69">
      <c r="A69" s="1" t="s">
        <v>335</v>
      </c>
      <c r="B69" s="1" t="s">
        <v>335</v>
      </c>
      <c r="C69" s="1" t="s">
        <v>38</v>
      </c>
      <c r="E69" s="1">
        <v>1372244.0</v>
      </c>
      <c r="F69" s="2">
        <v>41416.0</v>
      </c>
      <c r="G69" s="1" t="s">
        <v>336</v>
      </c>
      <c r="I69" s="1" t="s">
        <v>336</v>
      </c>
      <c r="L69" s="1" t="s">
        <v>40</v>
      </c>
      <c r="M69" s="1">
        <v>7500.0</v>
      </c>
      <c r="N69" s="1" t="s">
        <v>40</v>
      </c>
      <c r="O69" s="1">
        <v>7.3134603E7</v>
      </c>
      <c r="P69" s="1" t="s">
        <v>41</v>
      </c>
      <c r="Q69" s="1" t="s">
        <v>252</v>
      </c>
      <c r="R69" s="1" t="s">
        <v>253</v>
      </c>
      <c r="S69" s="1" t="s">
        <v>44</v>
      </c>
      <c r="T69" s="1" t="s">
        <v>45</v>
      </c>
      <c r="U69" s="1">
        <v>4.8202345E8</v>
      </c>
      <c r="W69" s="1" t="s">
        <v>46</v>
      </c>
      <c r="X69" s="1" t="s">
        <v>45</v>
      </c>
      <c r="Y69" s="1">
        <v>4.82022689E8</v>
      </c>
      <c r="Z69" s="1">
        <v>7.3134603E7</v>
      </c>
      <c r="AA69" s="1" t="s">
        <v>41</v>
      </c>
      <c r="AB69" s="1">
        <v>14284.0</v>
      </c>
      <c r="AC69" s="2">
        <v>41416.0</v>
      </c>
      <c r="AD69" s="1">
        <v>7500.0</v>
      </c>
      <c r="AE69" s="1" t="s">
        <v>40</v>
      </c>
      <c r="AF69" s="1">
        <v>1025970.0</v>
      </c>
      <c r="AG69" s="1" t="s">
        <v>337</v>
      </c>
      <c r="AH69" s="1">
        <v>5.0</v>
      </c>
      <c r="AI69" s="1">
        <v>2013.0</v>
      </c>
      <c r="AJ69" s="1">
        <v>2013.0</v>
      </c>
      <c r="AK69" s="1" t="s">
        <v>338</v>
      </c>
    </row>
    <row r="70">
      <c r="A70" s="1" t="s">
        <v>339</v>
      </c>
      <c r="B70" s="1" t="s">
        <v>339</v>
      </c>
      <c r="C70" s="1" t="s">
        <v>63</v>
      </c>
      <c r="E70" s="1">
        <v>1097698.0</v>
      </c>
      <c r="F70" s="2">
        <v>41183.0</v>
      </c>
      <c r="G70" s="1" t="s">
        <v>340</v>
      </c>
      <c r="I70" s="1" t="s">
        <v>340</v>
      </c>
      <c r="L70" s="1" t="s">
        <v>40</v>
      </c>
      <c r="M70" s="1">
        <v>7500.0</v>
      </c>
      <c r="N70" s="1" t="s">
        <v>40</v>
      </c>
      <c r="O70" s="1">
        <v>3.8775243E7</v>
      </c>
      <c r="P70" s="1" t="s">
        <v>209</v>
      </c>
      <c r="Q70" s="1" t="s">
        <v>210</v>
      </c>
      <c r="R70" s="1" t="s">
        <v>211</v>
      </c>
      <c r="S70" s="1" t="s">
        <v>44</v>
      </c>
      <c r="T70" s="1" t="s">
        <v>45</v>
      </c>
      <c r="U70" s="1">
        <v>4.82023068E8</v>
      </c>
      <c r="W70" s="1" t="s">
        <v>46</v>
      </c>
      <c r="X70" s="1" t="s">
        <v>45</v>
      </c>
      <c r="Y70" s="1">
        <v>4.82023068E8</v>
      </c>
      <c r="Z70" s="1">
        <v>3.8775243E7</v>
      </c>
      <c r="AA70" s="1" t="s">
        <v>209</v>
      </c>
      <c r="AB70" s="1">
        <v>9295.0</v>
      </c>
      <c r="AC70" s="2">
        <v>41183.0</v>
      </c>
      <c r="AD70" s="1">
        <v>7500.0</v>
      </c>
      <c r="AE70" s="1" t="s">
        <v>40</v>
      </c>
      <c r="AF70" s="1">
        <v>2.0131247E7</v>
      </c>
      <c r="AG70" s="1" t="s">
        <v>341</v>
      </c>
      <c r="AH70" s="1">
        <v>10.0</v>
      </c>
      <c r="AI70" s="1">
        <v>2010.0</v>
      </c>
      <c r="AJ70" s="1">
        <v>2013.0</v>
      </c>
      <c r="AK70" s="1" t="s">
        <v>342</v>
      </c>
    </row>
    <row r="71">
      <c r="A71" s="1" t="s">
        <v>339</v>
      </c>
      <c r="B71" s="1" t="s">
        <v>339</v>
      </c>
      <c r="C71" s="1" t="s">
        <v>63</v>
      </c>
      <c r="E71" s="1">
        <v>1097698.0</v>
      </c>
      <c r="F71" s="2">
        <v>41183.0</v>
      </c>
      <c r="G71" s="1" t="s">
        <v>340</v>
      </c>
      <c r="I71" s="1" t="s">
        <v>340</v>
      </c>
      <c r="L71" s="1" t="s">
        <v>40</v>
      </c>
      <c r="M71" s="1">
        <v>7500.0</v>
      </c>
      <c r="N71" s="1" t="s">
        <v>40</v>
      </c>
      <c r="O71" s="1">
        <v>1962224.0</v>
      </c>
      <c r="P71" s="1" t="s">
        <v>52</v>
      </c>
      <c r="R71" s="1" t="s">
        <v>53</v>
      </c>
      <c r="S71" s="1" t="s">
        <v>44</v>
      </c>
      <c r="T71" s="1" t="s">
        <v>45</v>
      </c>
      <c r="U71" s="1">
        <v>4.82023692E8</v>
      </c>
      <c r="W71" s="1" t="s">
        <v>46</v>
      </c>
      <c r="X71" s="1" t="s">
        <v>45</v>
      </c>
      <c r="Y71" s="1">
        <v>4.82023692E8</v>
      </c>
      <c r="Z71" s="1">
        <v>1962224.0</v>
      </c>
      <c r="AA71" s="1" t="s">
        <v>52</v>
      </c>
      <c r="AB71" s="1">
        <v>0.0</v>
      </c>
      <c r="AC71" s="2">
        <v>41183.0</v>
      </c>
      <c r="AD71" s="1">
        <v>7500.0</v>
      </c>
      <c r="AE71" s="1" t="s">
        <v>40</v>
      </c>
      <c r="AF71" s="1">
        <v>2.0131983E7</v>
      </c>
      <c r="AG71" s="1" t="s">
        <v>341</v>
      </c>
      <c r="AH71" s="1">
        <v>10.0</v>
      </c>
      <c r="AI71" s="1">
        <v>2010.0</v>
      </c>
      <c r="AJ71" s="1">
        <v>2013.0</v>
      </c>
      <c r="AK71" s="1" t="s">
        <v>342</v>
      </c>
    </row>
    <row r="72">
      <c r="A72" s="1" t="s">
        <v>339</v>
      </c>
      <c r="B72" s="1" t="s">
        <v>339</v>
      </c>
      <c r="C72" s="1" t="s">
        <v>63</v>
      </c>
      <c r="E72" s="1">
        <v>1097698.0</v>
      </c>
      <c r="F72" s="2">
        <v>41183.0</v>
      </c>
      <c r="G72" s="1" t="s">
        <v>340</v>
      </c>
      <c r="I72" s="1" t="s">
        <v>340</v>
      </c>
      <c r="L72" s="1" t="s">
        <v>40</v>
      </c>
      <c r="M72" s="1">
        <v>7500.0</v>
      </c>
      <c r="N72" s="1" t="s">
        <v>40</v>
      </c>
      <c r="O72" s="1">
        <v>3.8775243E7</v>
      </c>
      <c r="P72" s="1" t="s">
        <v>209</v>
      </c>
      <c r="Q72" s="1" t="s">
        <v>210</v>
      </c>
      <c r="R72" s="1" t="s">
        <v>211</v>
      </c>
      <c r="S72" s="1" t="s">
        <v>44</v>
      </c>
      <c r="T72" s="1" t="s">
        <v>45</v>
      </c>
      <c r="U72" s="1">
        <v>4.82023068E8</v>
      </c>
      <c r="W72" s="1" t="s">
        <v>46</v>
      </c>
      <c r="X72" s="1" t="s">
        <v>45</v>
      </c>
      <c r="Y72" s="1">
        <v>4.82023068E8</v>
      </c>
      <c r="Z72" s="1">
        <v>3.8775243E7</v>
      </c>
      <c r="AA72" s="1" t="s">
        <v>209</v>
      </c>
      <c r="AB72" s="1">
        <v>12615.0</v>
      </c>
      <c r="AC72" s="2">
        <v>41183.0</v>
      </c>
      <c r="AD72" s="1">
        <v>7500.0</v>
      </c>
      <c r="AE72" s="1" t="s">
        <v>40</v>
      </c>
      <c r="AF72" s="1">
        <v>2.0131224E7</v>
      </c>
      <c r="AG72" s="1" t="s">
        <v>341</v>
      </c>
      <c r="AH72" s="1">
        <v>10.0</v>
      </c>
      <c r="AI72" s="1">
        <v>2010.0</v>
      </c>
      <c r="AJ72" s="1">
        <v>2013.0</v>
      </c>
      <c r="AK72" s="1" t="s">
        <v>342</v>
      </c>
    </row>
    <row r="73">
      <c r="A73" s="1" t="s">
        <v>343</v>
      </c>
      <c r="B73" s="1" t="s">
        <v>343</v>
      </c>
      <c r="C73" s="1" t="s">
        <v>70</v>
      </c>
      <c r="E73" s="1">
        <v>50000.0</v>
      </c>
      <c r="F73" s="2">
        <v>41395.0</v>
      </c>
      <c r="G73" s="1" t="s">
        <v>344</v>
      </c>
      <c r="I73" s="1" t="s">
        <v>344</v>
      </c>
      <c r="L73" s="1" t="s">
        <v>72</v>
      </c>
      <c r="M73" s="1">
        <v>1500.0</v>
      </c>
      <c r="N73" s="1" t="s">
        <v>72</v>
      </c>
      <c r="O73" s="1">
        <v>7.3134884E7</v>
      </c>
      <c r="P73" s="1" t="s">
        <v>259</v>
      </c>
      <c r="R73" s="1" t="s">
        <v>286</v>
      </c>
      <c r="S73" s="1" t="s">
        <v>44</v>
      </c>
      <c r="T73" s="1" t="s">
        <v>45</v>
      </c>
      <c r="U73" s="1">
        <v>4.82262841E8</v>
      </c>
      <c r="W73" s="1" t="s">
        <v>46</v>
      </c>
      <c r="X73" s="1" t="s">
        <v>45</v>
      </c>
      <c r="Y73" s="1">
        <v>4.82325555E8</v>
      </c>
      <c r="Z73" s="1">
        <v>7.3134884E7</v>
      </c>
      <c r="AA73" s="1" t="s">
        <v>261</v>
      </c>
      <c r="AB73" s="1">
        <v>112074.0</v>
      </c>
      <c r="AC73" s="2">
        <v>41395.0</v>
      </c>
      <c r="AD73" s="1">
        <v>1500.0</v>
      </c>
      <c r="AE73" s="1" t="s">
        <v>72</v>
      </c>
      <c r="AF73" s="1" t="s">
        <v>345</v>
      </c>
      <c r="AG73" s="1" t="s">
        <v>346</v>
      </c>
      <c r="AH73" s="1">
        <v>6.0</v>
      </c>
      <c r="AI73" s="1">
        <v>2013.0</v>
      </c>
      <c r="AJ73" s="1">
        <v>2013.0</v>
      </c>
      <c r="AK73" s="1" t="s">
        <v>347</v>
      </c>
    </row>
    <row r="74">
      <c r="A74" s="1" t="s">
        <v>348</v>
      </c>
      <c r="B74" s="1" t="s">
        <v>348</v>
      </c>
      <c r="C74" s="1" t="s">
        <v>38</v>
      </c>
      <c r="E74" s="1">
        <v>838162.0</v>
      </c>
      <c r="F74" s="2">
        <v>41243.0</v>
      </c>
      <c r="G74" s="1" t="s">
        <v>349</v>
      </c>
      <c r="I74" s="1" t="s">
        <v>349</v>
      </c>
      <c r="L74" s="1" t="s">
        <v>40</v>
      </c>
      <c r="M74" s="1">
        <v>7500.0</v>
      </c>
      <c r="N74" s="1" t="s">
        <v>40</v>
      </c>
      <c r="O74" s="1">
        <v>7.3134603E7</v>
      </c>
      <c r="P74" s="1" t="s">
        <v>41</v>
      </c>
      <c r="Q74" s="1" t="s">
        <v>42</v>
      </c>
      <c r="R74" s="1" t="s">
        <v>43</v>
      </c>
      <c r="S74" s="1" t="s">
        <v>44</v>
      </c>
      <c r="T74" s="1" t="s">
        <v>45</v>
      </c>
      <c r="U74" s="1">
        <v>4.8202345E8</v>
      </c>
      <c r="W74" s="1" t="s">
        <v>350</v>
      </c>
      <c r="X74" s="1" t="s">
        <v>45</v>
      </c>
      <c r="Y74" s="1">
        <v>4.82022689E8</v>
      </c>
      <c r="Z74" s="1">
        <v>7.3134603E7</v>
      </c>
      <c r="AA74" s="1" t="s">
        <v>41</v>
      </c>
      <c r="AB74" s="1">
        <v>87900.0</v>
      </c>
      <c r="AC74" s="2">
        <v>41243.0</v>
      </c>
      <c r="AD74" s="1">
        <v>7500.0</v>
      </c>
      <c r="AE74" s="1" t="s">
        <v>40</v>
      </c>
      <c r="AF74" s="1">
        <v>746347.0</v>
      </c>
      <c r="AG74" s="1" t="s">
        <v>351</v>
      </c>
      <c r="AH74" s="1">
        <v>11.0</v>
      </c>
      <c r="AI74" s="1">
        <v>2012.0</v>
      </c>
      <c r="AJ74" s="1">
        <v>2013.0</v>
      </c>
      <c r="AK74" s="1" t="s">
        <v>352</v>
      </c>
    </row>
    <row r="75">
      <c r="A75" s="1" t="s">
        <v>121</v>
      </c>
      <c r="B75" s="1" t="s">
        <v>121</v>
      </c>
      <c r="C75" s="1" t="s">
        <v>100</v>
      </c>
      <c r="E75" s="1">
        <v>3.8521788E7</v>
      </c>
      <c r="F75" s="2">
        <v>41242.0</v>
      </c>
      <c r="G75" s="1" t="s">
        <v>122</v>
      </c>
      <c r="I75" s="1" t="s">
        <v>122</v>
      </c>
      <c r="L75" s="1" t="s">
        <v>102</v>
      </c>
      <c r="M75" s="1">
        <v>8600.0</v>
      </c>
      <c r="N75" s="1" t="s">
        <v>102</v>
      </c>
      <c r="O75" s="1">
        <v>9.65680176E8</v>
      </c>
      <c r="P75" s="1" t="s">
        <v>353</v>
      </c>
      <c r="Q75" s="1" t="s">
        <v>354</v>
      </c>
      <c r="R75" s="1" t="s">
        <v>355</v>
      </c>
      <c r="S75" s="1" t="s">
        <v>44</v>
      </c>
      <c r="T75" s="1" t="s">
        <v>45</v>
      </c>
      <c r="U75" s="1">
        <v>4.8209344E8</v>
      </c>
      <c r="W75" s="1" t="s">
        <v>46</v>
      </c>
      <c r="X75" s="1" t="s">
        <v>45</v>
      </c>
      <c r="Y75" s="1">
        <v>4.8209344E8</v>
      </c>
      <c r="AB75" s="1">
        <v>40000.0</v>
      </c>
      <c r="AC75" s="2">
        <v>41242.0</v>
      </c>
      <c r="AD75" s="1">
        <v>8600.0</v>
      </c>
      <c r="AE75" s="1" t="s">
        <v>102</v>
      </c>
      <c r="AF75" s="1" t="s">
        <v>356</v>
      </c>
      <c r="AG75" s="1" t="s">
        <v>357</v>
      </c>
      <c r="AH75" s="1">
        <v>11.0</v>
      </c>
      <c r="AI75" s="1">
        <v>2012.0</v>
      </c>
      <c r="AJ75" s="1">
        <v>2013.0</v>
      </c>
      <c r="AK75" s="1" t="s">
        <v>127</v>
      </c>
    </row>
    <row r="76">
      <c r="A76" s="1" t="s">
        <v>203</v>
      </c>
      <c r="B76" s="1" t="s">
        <v>203</v>
      </c>
      <c r="C76" s="1" t="s">
        <v>100</v>
      </c>
      <c r="E76" s="1">
        <v>2.2173386E7</v>
      </c>
      <c r="F76" s="2">
        <v>41242.0</v>
      </c>
      <c r="G76" s="1" t="s">
        <v>122</v>
      </c>
      <c r="I76" s="1" t="s">
        <v>122</v>
      </c>
      <c r="L76" s="1" t="s">
        <v>102</v>
      </c>
      <c r="M76" s="1">
        <v>8600.0</v>
      </c>
      <c r="N76" s="1" t="s">
        <v>102</v>
      </c>
      <c r="O76" s="1">
        <v>9.65680176E8</v>
      </c>
      <c r="P76" s="1" t="s">
        <v>353</v>
      </c>
      <c r="Q76" s="1" t="s">
        <v>354</v>
      </c>
      <c r="R76" s="1" t="s">
        <v>355</v>
      </c>
      <c r="S76" s="1" t="s">
        <v>44</v>
      </c>
      <c r="T76" s="1" t="s">
        <v>45</v>
      </c>
      <c r="U76" s="1">
        <v>4.8209344E8</v>
      </c>
      <c r="W76" s="1" t="s">
        <v>46</v>
      </c>
      <c r="X76" s="1" t="s">
        <v>45</v>
      </c>
      <c r="Y76" s="1">
        <v>4.8209344E8</v>
      </c>
      <c r="AB76" s="1">
        <v>90000.0</v>
      </c>
      <c r="AC76" s="2">
        <v>41242.0</v>
      </c>
      <c r="AD76" s="1">
        <v>8600.0</v>
      </c>
      <c r="AE76" s="1" t="s">
        <v>102</v>
      </c>
      <c r="AF76" s="1" t="s">
        <v>358</v>
      </c>
      <c r="AG76" s="1" t="s">
        <v>359</v>
      </c>
      <c r="AH76" s="1">
        <v>11.0</v>
      </c>
      <c r="AI76" s="1">
        <v>2012.0</v>
      </c>
      <c r="AJ76" s="1">
        <v>2013.0</v>
      </c>
      <c r="AK76" s="1" t="s">
        <v>127</v>
      </c>
    </row>
    <row r="77">
      <c r="A77" s="1" t="s">
        <v>360</v>
      </c>
      <c r="B77" s="1" t="s">
        <v>360</v>
      </c>
      <c r="C77" s="1" t="s">
        <v>100</v>
      </c>
      <c r="E77" s="1">
        <v>5199118.0</v>
      </c>
      <c r="F77" s="2">
        <v>41206.0</v>
      </c>
      <c r="G77" s="1" t="s">
        <v>361</v>
      </c>
      <c r="I77" s="1" t="s">
        <v>361</v>
      </c>
      <c r="L77" s="1" t="s">
        <v>102</v>
      </c>
      <c r="M77" s="1">
        <v>8600.0</v>
      </c>
      <c r="N77" s="1" t="s">
        <v>102</v>
      </c>
      <c r="O77" s="1">
        <v>1.54693043E8</v>
      </c>
      <c r="P77" s="1" t="s">
        <v>362</v>
      </c>
      <c r="Q77" s="1" t="s">
        <v>363</v>
      </c>
      <c r="R77" s="1" t="s">
        <v>364</v>
      </c>
      <c r="S77" s="1" t="s">
        <v>44</v>
      </c>
      <c r="T77" s="1" t="s">
        <v>45</v>
      </c>
      <c r="U77" s="1">
        <v>4.82161936E8</v>
      </c>
      <c r="W77" s="1" t="s">
        <v>46</v>
      </c>
      <c r="X77" s="1" t="s">
        <v>45</v>
      </c>
      <c r="Y77" s="1">
        <v>4.82161936E8</v>
      </c>
      <c r="AB77" s="1">
        <v>416169.0</v>
      </c>
      <c r="AC77" s="2">
        <v>41206.0</v>
      </c>
      <c r="AD77" s="1">
        <v>8600.0</v>
      </c>
      <c r="AE77" s="1" t="s">
        <v>102</v>
      </c>
      <c r="AF77" s="1" t="s">
        <v>365</v>
      </c>
      <c r="AG77" s="1" t="s">
        <v>366</v>
      </c>
      <c r="AH77" s="1">
        <v>1.0</v>
      </c>
      <c r="AI77" s="1">
        <v>2013.0</v>
      </c>
      <c r="AJ77" s="1">
        <v>2013.0</v>
      </c>
      <c r="AK77" s="1" t="s">
        <v>367</v>
      </c>
    </row>
    <row r="78">
      <c r="A78" s="1" t="s">
        <v>368</v>
      </c>
      <c r="B78" s="1" t="s">
        <v>368</v>
      </c>
      <c r="C78" s="1" t="s">
        <v>38</v>
      </c>
      <c r="E78" s="1">
        <v>691298.0</v>
      </c>
      <c r="F78" s="2">
        <v>41198.0</v>
      </c>
      <c r="G78" s="1" t="s">
        <v>369</v>
      </c>
      <c r="I78" s="1" t="s">
        <v>369</v>
      </c>
      <c r="L78" s="1" t="s">
        <v>40</v>
      </c>
      <c r="M78" s="1">
        <v>7500.0</v>
      </c>
      <c r="N78" s="1" t="s">
        <v>40</v>
      </c>
      <c r="O78" s="1">
        <v>7.3134603E7</v>
      </c>
      <c r="P78" s="1" t="s">
        <v>41</v>
      </c>
      <c r="Q78" s="1" t="s">
        <v>42</v>
      </c>
      <c r="R78" s="1" t="s">
        <v>43</v>
      </c>
      <c r="S78" s="1" t="s">
        <v>44</v>
      </c>
      <c r="T78" s="1" t="s">
        <v>45</v>
      </c>
      <c r="U78" s="1">
        <v>4.8202345E8</v>
      </c>
      <c r="W78" s="1" t="s">
        <v>46</v>
      </c>
      <c r="X78" s="1" t="s">
        <v>45</v>
      </c>
      <c r="Y78" s="1">
        <v>4.8202345E8</v>
      </c>
      <c r="Z78" s="1">
        <v>7.3134603E7</v>
      </c>
      <c r="AA78" s="1" t="s">
        <v>41</v>
      </c>
      <c r="AB78" s="1">
        <v>45564.0</v>
      </c>
      <c r="AC78" s="2">
        <v>41198.0</v>
      </c>
      <c r="AD78" s="1">
        <v>7500.0</v>
      </c>
      <c r="AE78" s="1" t="s">
        <v>40</v>
      </c>
      <c r="AF78" s="1" t="s">
        <v>370</v>
      </c>
      <c r="AG78" s="1" t="s">
        <v>371</v>
      </c>
      <c r="AH78" s="1">
        <v>10.0</v>
      </c>
      <c r="AI78" s="1">
        <v>2012.0</v>
      </c>
      <c r="AJ78" s="1">
        <v>2013.0</v>
      </c>
      <c r="AK78" s="1" t="s">
        <v>372</v>
      </c>
    </row>
    <row r="79">
      <c r="A79" s="1" t="s">
        <v>373</v>
      </c>
      <c r="B79" s="1" t="s">
        <v>373</v>
      </c>
      <c r="C79" s="1" t="s">
        <v>63</v>
      </c>
      <c r="E79" s="1">
        <v>2.6863552E7</v>
      </c>
      <c r="F79" s="2">
        <v>41183.0</v>
      </c>
      <c r="G79" s="1" t="s">
        <v>374</v>
      </c>
      <c r="I79" s="1" t="s">
        <v>374</v>
      </c>
      <c r="L79" s="1" t="s">
        <v>40</v>
      </c>
      <c r="M79" s="1">
        <v>7500.0</v>
      </c>
      <c r="N79" s="1" t="s">
        <v>40</v>
      </c>
      <c r="O79" s="1">
        <v>7.8583404E7</v>
      </c>
      <c r="P79" s="1" t="s">
        <v>65</v>
      </c>
      <c r="R79" s="1" t="s">
        <v>66</v>
      </c>
      <c r="S79" s="1" t="s">
        <v>44</v>
      </c>
      <c r="T79" s="1" t="s">
        <v>45</v>
      </c>
      <c r="U79" s="1">
        <v>4.82021732E8</v>
      </c>
      <c r="W79" s="1" t="s">
        <v>46</v>
      </c>
      <c r="X79" s="1" t="s">
        <v>45</v>
      </c>
      <c r="Y79" s="1">
        <v>4.82021732E8</v>
      </c>
      <c r="AB79" s="1">
        <v>83041.0</v>
      </c>
      <c r="AC79" s="2">
        <v>41183.0</v>
      </c>
      <c r="AD79" s="1">
        <v>7500.0</v>
      </c>
      <c r="AE79" s="1" t="s">
        <v>40</v>
      </c>
      <c r="AF79" s="1">
        <v>2.01304E7</v>
      </c>
      <c r="AG79" s="1" t="s">
        <v>375</v>
      </c>
      <c r="AH79" s="1">
        <v>10.0</v>
      </c>
      <c r="AI79" s="1">
        <v>2010.0</v>
      </c>
      <c r="AJ79" s="1">
        <v>2013.0</v>
      </c>
      <c r="AK79" s="1" t="s">
        <v>376</v>
      </c>
    </row>
    <row r="80">
      <c r="A80" s="1" t="s">
        <v>377</v>
      </c>
      <c r="B80" s="1" t="s">
        <v>377</v>
      </c>
      <c r="C80" s="1" t="s">
        <v>224</v>
      </c>
      <c r="E80" s="1">
        <v>1180714.0</v>
      </c>
      <c r="F80" s="2">
        <v>41255.0</v>
      </c>
      <c r="G80" s="1" t="s">
        <v>294</v>
      </c>
      <c r="I80" s="1" t="s">
        <v>294</v>
      </c>
      <c r="L80" s="1" t="s">
        <v>151</v>
      </c>
      <c r="M80" s="1">
        <v>6900.0</v>
      </c>
      <c r="N80" s="1" t="s">
        <v>151</v>
      </c>
      <c r="O80" s="1">
        <v>9.63886101E8</v>
      </c>
      <c r="P80" s="1" t="s">
        <v>259</v>
      </c>
      <c r="R80" s="1" t="s">
        <v>260</v>
      </c>
      <c r="S80" s="1" t="s">
        <v>44</v>
      </c>
      <c r="T80" s="1" t="s">
        <v>45</v>
      </c>
      <c r="U80" s="1">
        <v>4.8226348E8</v>
      </c>
      <c r="W80" s="1" t="s">
        <v>46</v>
      </c>
      <c r="X80" s="1" t="s">
        <v>45</v>
      </c>
      <c r="Y80" s="1">
        <v>4.8226348E8</v>
      </c>
      <c r="Z80" s="1">
        <v>7.3134884E7</v>
      </c>
      <c r="AA80" s="1" t="s">
        <v>261</v>
      </c>
      <c r="AB80" s="1">
        <v>1180714.0</v>
      </c>
      <c r="AC80" s="2">
        <v>41255.0</v>
      </c>
      <c r="AD80" s="1">
        <v>6900.0</v>
      </c>
      <c r="AE80" s="1" t="s">
        <v>151</v>
      </c>
      <c r="AF80" s="1">
        <v>1.0</v>
      </c>
      <c r="AG80" s="1" t="s">
        <v>295</v>
      </c>
      <c r="AH80" s="1">
        <v>5.0</v>
      </c>
      <c r="AI80" s="1">
        <v>2013.0</v>
      </c>
      <c r="AJ80" s="1">
        <v>2013.0</v>
      </c>
      <c r="AK80" s="1" t="s">
        <v>229</v>
      </c>
    </row>
    <row r="81">
      <c r="A81" s="1" t="s">
        <v>378</v>
      </c>
      <c r="B81" s="1" t="s">
        <v>378</v>
      </c>
      <c r="C81" s="1" t="s">
        <v>129</v>
      </c>
      <c r="E81" s="1">
        <v>6.6218445E8</v>
      </c>
      <c r="F81" s="2">
        <v>41365.0</v>
      </c>
      <c r="G81" s="1" t="s">
        <v>379</v>
      </c>
      <c r="I81" s="1" t="s">
        <v>379</v>
      </c>
      <c r="L81" s="1" t="s">
        <v>40</v>
      </c>
      <c r="M81" s="1">
        <v>7500.0</v>
      </c>
      <c r="N81" s="1" t="s">
        <v>40</v>
      </c>
      <c r="O81" s="1">
        <v>1.21516199E8</v>
      </c>
      <c r="P81" s="1" t="s">
        <v>380</v>
      </c>
      <c r="Q81" s="1" t="s">
        <v>381</v>
      </c>
      <c r="R81" s="1" t="s">
        <v>382</v>
      </c>
      <c r="S81" s="1" t="s">
        <v>44</v>
      </c>
      <c r="T81" s="1" t="s">
        <v>45</v>
      </c>
      <c r="U81" s="1">
        <v>4.82073156E8</v>
      </c>
      <c r="W81" s="1" t="s">
        <v>46</v>
      </c>
      <c r="X81" s="1" t="s">
        <v>45</v>
      </c>
      <c r="Y81" s="1">
        <v>4.82073156E8</v>
      </c>
      <c r="Z81" s="1">
        <v>1.21516199E8</v>
      </c>
      <c r="AA81" s="1" t="s">
        <v>380</v>
      </c>
      <c r="AB81" s="1">
        <v>122330.0</v>
      </c>
      <c r="AC81" s="2">
        <v>41365.0</v>
      </c>
      <c r="AD81" s="1">
        <v>7500.0</v>
      </c>
      <c r="AE81" s="1" t="s">
        <v>40</v>
      </c>
      <c r="AF81" s="1" t="s">
        <v>383</v>
      </c>
      <c r="AG81" s="1" t="s">
        <v>384</v>
      </c>
      <c r="AH81" s="1">
        <v>1.0</v>
      </c>
      <c r="AI81" s="1">
        <v>2013.0</v>
      </c>
      <c r="AJ81" s="1">
        <v>2013.0</v>
      </c>
      <c r="AK81" s="1" t="s">
        <v>385</v>
      </c>
    </row>
    <row r="82">
      <c r="A82" s="1" t="s">
        <v>386</v>
      </c>
      <c r="B82" s="1" t="s">
        <v>386</v>
      </c>
      <c r="C82" s="1" t="s">
        <v>224</v>
      </c>
      <c r="E82" s="1">
        <v>2483750.0</v>
      </c>
      <c r="F82" s="2">
        <v>41255.0</v>
      </c>
      <c r="G82" s="1" t="s">
        <v>294</v>
      </c>
      <c r="I82" s="1" t="s">
        <v>294</v>
      </c>
      <c r="L82" s="1" t="s">
        <v>151</v>
      </c>
      <c r="M82" s="1">
        <v>6900.0</v>
      </c>
      <c r="N82" s="1" t="s">
        <v>151</v>
      </c>
      <c r="O82" s="1">
        <v>9.63886101E8</v>
      </c>
      <c r="P82" s="1" t="s">
        <v>259</v>
      </c>
      <c r="R82" s="1" t="s">
        <v>260</v>
      </c>
      <c r="S82" s="1" t="s">
        <v>44</v>
      </c>
      <c r="T82" s="1" t="s">
        <v>45</v>
      </c>
      <c r="U82" s="1">
        <v>4.8226348E8</v>
      </c>
      <c r="W82" s="1" t="s">
        <v>46</v>
      </c>
      <c r="X82" s="1" t="s">
        <v>45</v>
      </c>
      <c r="Y82" s="1">
        <v>4.8226348E8</v>
      </c>
      <c r="Z82" s="1">
        <v>7.3134884E7</v>
      </c>
      <c r="AA82" s="1" t="s">
        <v>261</v>
      </c>
      <c r="AB82" s="1">
        <v>2483750.0</v>
      </c>
      <c r="AC82" s="2">
        <v>41255.0</v>
      </c>
      <c r="AD82" s="1">
        <v>6900.0</v>
      </c>
      <c r="AE82" s="1" t="s">
        <v>151</v>
      </c>
      <c r="AF82" s="1">
        <v>1.0</v>
      </c>
      <c r="AG82" s="1" t="s">
        <v>295</v>
      </c>
      <c r="AH82" s="1">
        <v>5.0</v>
      </c>
      <c r="AI82" s="1">
        <v>2013.0</v>
      </c>
      <c r="AJ82" s="1">
        <v>2013.0</v>
      </c>
      <c r="AK82" s="1" t="s">
        <v>229</v>
      </c>
    </row>
    <row r="83">
      <c r="A83" s="1" t="s">
        <v>387</v>
      </c>
      <c r="B83" s="1" t="s">
        <v>387</v>
      </c>
      <c r="C83" s="1" t="s">
        <v>224</v>
      </c>
      <c r="E83" s="1">
        <v>206572.0</v>
      </c>
      <c r="F83" s="2">
        <v>41256.0</v>
      </c>
      <c r="G83" s="1" t="s">
        <v>294</v>
      </c>
      <c r="I83" s="1" t="s">
        <v>294</v>
      </c>
      <c r="L83" s="1" t="s">
        <v>151</v>
      </c>
      <c r="M83" s="1">
        <v>6900.0</v>
      </c>
      <c r="N83" s="1" t="s">
        <v>151</v>
      </c>
      <c r="O83" s="1">
        <v>9.63886101E8</v>
      </c>
      <c r="P83" s="1" t="s">
        <v>259</v>
      </c>
      <c r="R83" s="1" t="s">
        <v>260</v>
      </c>
      <c r="S83" s="1" t="s">
        <v>44</v>
      </c>
      <c r="T83" s="1" t="s">
        <v>45</v>
      </c>
      <c r="U83" s="1">
        <v>4.8226348E8</v>
      </c>
      <c r="W83" s="1" t="s">
        <v>46</v>
      </c>
      <c r="X83" s="1" t="s">
        <v>45</v>
      </c>
      <c r="Y83" s="1">
        <v>4.8226348E8</v>
      </c>
      <c r="Z83" s="1">
        <v>7.3134884E7</v>
      </c>
      <c r="AA83" s="1" t="s">
        <v>261</v>
      </c>
      <c r="AB83" s="1">
        <v>206572.48</v>
      </c>
      <c r="AC83" s="2">
        <v>41256.0</v>
      </c>
      <c r="AD83" s="1">
        <v>6900.0</v>
      </c>
      <c r="AE83" s="1" t="s">
        <v>151</v>
      </c>
      <c r="AF83" s="1">
        <v>1.0</v>
      </c>
      <c r="AG83" s="1" t="s">
        <v>295</v>
      </c>
      <c r="AH83" s="1">
        <v>5.0</v>
      </c>
      <c r="AI83" s="1">
        <v>2013.0</v>
      </c>
      <c r="AJ83" s="1">
        <v>2013.0</v>
      </c>
      <c r="AK83" s="1" t="s">
        <v>229</v>
      </c>
    </row>
    <row r="84">
      <c r="A84" s="1" t="s">
        <v>388</v>
      </c>
      <c r="B84" s="1" t="s">
        <v>388</v>
      </c>
      <c r="C84" s="1" t="s">
        <v>389</v>
      </c>
      <c r="E84" s="1">
        <v>2961529.0</v>
      </c>
      <c r="F84" s="2">
        <v>41183.0</v>
      </c>
      <c r="G84" s="1" t="s">
        <v>390</v>
      </c>
      <c r="I84" s="1" t="s">
        <v>390</v>
      </c>
      <c r="L84" s="1" t="s">
        <v>391</v>
      </c>
      <c r="M84" s="1">
        <v>1600.0</v>
      </c>
      <c r="N84" s="1" t="s">
        <v>391</v>
      </c>
      <c r="O84" s="1">
        <v>4.6842605E7</v>
      </c>
      <c r="P84" s="1" t="s">
        <v>165</v>
      </c>
      <c r="Q84" s="1" t="s">
        <v>166</v>
      </c>
      <c r="R84" s="1" t="s">
        <v>167</v>
      </c>
      <c r="S84" s="1" t="s">
        <v>44</v>
      </c>
      <c r="T84" s="1" t="s">
        <v>45</v>
      </c>
      <c r="U84" s="1">
        <v>4.82074544E8</v>
      </c>
      <c r="W84" s="1" t="s">
        <v>46</v>
      </c>
      <c r="X84" s="1" t="s">
        <v>45</v>
      </c>
      <c r="Y84" s="1">
        <v>4.82074544E8</v>
      </c>
      <c r="AB84" s="1">
        <v>787684.0</v>
      </c>
      <c r="AC84" s="2">
        <v>41183.0</v>
      </c>
      <c r="AD84" s="1">
        <v>1600.0</v>
      </c>
      <c r="AE84" s="1" t="s">
        <v>391</v>
      </c>
      <c r="AF84" s="1">
        <v>2.0131585E7</v>
      </c>
      <c r="AG84" s="1" t="s">
        <v>392</v>
      </c>
      <c r="AH84" s="1">
        <v>10.0</v>
      </c>
      <c r="AI84" s="1">
        <v>2012.0</v>
      </c>
      <c r="AJ84" s="1">
        <v>2013.0</v>
      </c>
      <c r="AK84" s="1" t="s">
        <v>393</v>
      </c>
    </row>
    <row r="85">
      <c r="A85" s="1" t="s">
        <v>394</v>
      </c>
      <c r="B85" s="1" t="s">
        <v>394</v>
      </c>
      <c r="C85" s="1" t="s">
        <v>129</v>
      </c>
      <c r="E85" s="1">
        <v>2824235.0</v>
      </c>
      <c r="F85" s="2">
        <v>41249.0</v>
      </c>
      <c r="G85" s="1" t="s">
        <v>395</v>
      </c>
      <c r="I85" s="1" t="s">
        <v>395</v>
      </c>
      <c r="L85" s="1" t="s">
        <v>40</v>
      </c>
      <c r="M85" s="1">
        <v>7500.0</v>
      </c>
      <c r="N85" s="1" t="s">
        <v>40</v>
      </c>
      <c r="O85" s="1">
        <v>6.9840817E7</v>
      </c>
      <c r="P85" s="1" t="s">
        <v>131</v>
      </c>
      <c r="R85" s="1" t="s">
        <v>132</v>
      </c>
      <c r="S85" s="1" t="s">
        <v>44</v>
      </c>
      <c r="T85" s="1" t="s">
        <v>45</v>
      </c>
      <c r="U85" s="1">
        <v>4.8214261E8</v>
      </c>
      <c r="W85" s="1" t="s">
        <v>46</v>
      </c>
      <c r="X85" s="1" t="s">
        <v>45</v>
      </c>
      <c r="Y85" s="1">
        <v>4.8214261E8</v>
      </c>
      <c r="Z85" s="1">
        <v>6.9840817E7</v>
      </c>
      <c r="AA85" s="1" t="s">
        <v>131</v>
      </c>
      <c r="AB85" s="1">
        <v>625100.0</v>
      </c>
      <c r="AC85" s="2">
        <v>41249.0</v>
      </c>
      <c r="AD85" s="1">
        <v>7500.0</v>
      </c>
      <c r="AE85" s="1" t="s">
        <v>40</v>
      </c>
      <c r="AF85" s="1" t="s">
        <v>396</v>
      </c>
      <c r="AG85" s="1" t="s">
        <v>397</v>
      </c>
      <c r="AH85" s="1">
        <v>12.0</v>
      </c>
      <c r="AI85" s="1">
        <v>2012.0</v>
      </c>
      <c r="AJ85" s="1">
        <v>2013.0</v>
      </c>
      <c r="AK85" s="1" t="s">
        <v>398</v>
      </c>
    </row>
    <row r="86">
      <c r="A86" s="1" t="s">
        <v>394</v>
      </c>
      <c r="B86" s="1" t="s">
        <v>394</v>
      </c>
      <c r="C86" s="1" t="s">
        <v>129</v>
      </c>
      <c r="E86" s="1">
        <v>2824235.0</v>
      </c>
      <c r="F86" s="2">
        <v>41249.0</v>
      </c>
      <c r="G86" s="1" t="s">
        <v>395</v>
      </c>
      <c r="I86" s="1" t="s">
        <v>395</v>
      </c>
      <c r="L86" s="1" t="s">
        <v>40</v>
      </c>
      <c r="M86" s="1">
        <v>7500.0</v>
      </c>
      <c r="N86" s="1" t="s">
        <v>40</v>
      </c>
      <c r="O86" s="1">
        <v>6.9840817E7</v>
      </c>
      <c r="P86" s="1" t="s">
        <v>131</v>
      </c>
      <c r="R86" s="1" t="s">
        <v>132</v>
      </c>
      <c r="S86" s="1" t="s">
        <v>44</v>
      </c>
      <c r="T86" s="1" t="s">
        <v>45</v>
      </c>
      <c r="U86" s="1">
        <v>4.8214261E8</v>
      </c>
      <c r="W86" s="1" t="s">
        <v>46</v>
      </c>
      <c r="X86" s="1" t="s">
        <v>45</v>
      </c>
      <c r="Y86" s="1">
        <v>4.8214261E8</v>
      </c>
      <c r="Z86" s="1">
        <v>6.9840817E7</v>
      </c>
      <c r="AA86" s="1" t="s">
        <v>131</v>
      </c>
      <c r="AB86" s="1">
        <v>574513.0</v>
      </c>
      <c r="AC86" s="2">
        <v>41249.0</v>
      </c>
      <c r="AD86" s="1">
        <v>7500.0</v>
      </c>
      <c r="AE86" s="1" t="s">
        <v>40</v>
      </c>
      <c r="AF86" s="1" t="s">
        <v>399</v>
      </c>
      <c r="AG86" s="1" t="s">
        <v>400</v>
      </c>
      <c r="AH86" s="1">
        <v>12.0</v>
      </c>
      <c r="AI86" s="1">
        <v>2012.0</v>
      </c>
      <c r="AJ86" s="1">
        <v>2013.0</v>
      </c>
      <c r="AK86" s="1" t="s">
        <v>398</v>
      </c>
    </row>
    <row r="87">
      <c r="A87" s="1" t="s">
        <v>394</v>
      </c>
      <c r="B87" s="1" t="s">
        <v>394</v>
      </c>
      <c r="C87" s="1" t="s">
        <v>129</v>
      </c>
      <c r="E87" s="1">
        <v>2824235.0</v>
      </c>
      <c r="F87" s="2">
        <v>41249.0</v>
      </c>
      <c r="G87" s="1" t="s">
        <v>395</v>
      </c>
      <c r="I87" s="1" t="s">
        <v>395</v>
      </c>
      <c r="L87" s="1" t="s">
        <v>40</v>
      </c>
      <c r="M87" s="1">
        <v>7500.0</v>
      </c>
      <c r="N87" s="1" t="s">
        <v>40</v>
      </c>
      <c r="O87" s="1">
        <v>6.9840817E7</v>
      </c>
      <c r="P87" s="1" t="s">
        <v>131</v>
      </c>
      <c r="R87" s="1" t="s">
        <v>132</v>
      </c>
      <c r="S87" s="1" t="s">
        <v>44</v>
      </c>
      <c r="T87" s="1" t="s">
        <v>45</v>
      </c>
      <c r="U87" s="1">
        <v>4.8214261E8</v>
      </c>
      <c r="W87" s="1" t="s">
        <v>46</v>
      </c>
      <c r="X87" s="1" t="s">
        <v>45</v>
      </c>
      <c r="Y87" s="1">
        <v>4.8214261E8</v>
      </c>
      <c r="Z87" s="1">
        <v>6.9840817E7</v>
      </c>
      <c r="AA87" s="1" t="s">
        <v>131</v>
      </c>
      <c r="AB87" s="1">
        <v>106142.0</v>
      </c>
      <c r="AC87" s="2">
        <v>41249.0</v>
      </c>
      <c r="AD87" s="1">
        <v>7500.0</v>
      </c>
      <c r="AE87" s="1" t="s">
        <v>40</v>
      </c>
      <c r="AF87" s="1" t="s">
        <v>401</v>
      </c>
      <c r="AG87" s="1" t="s">
        <v>402</v>
      </c>
      <c r="AH87" s="1">
        <v>12.0</v>
      </c>
      <c r="AI87" s="1">
        <v>2012.0</v>
      </c>
      <c r="AJ87" s="1">
        <v>2013.0</v>
      </c>
      <c r="AK87" s="1" t="s">
        <v>398</v>
      </c>
    </row>
    <row r="88">
      <c r="A88" s="1" t="s">
        <v>403</v>
      </c>
      <c r="B88" s="1" t="s">
        <v>403</v>
      </c>
      <c r="C88" s="1" t="s">
        <v>70</v>
      </c>
      <c r="E88" s="1">
        <v>605277.0</v>
      </c>
      <c r="F88" s="2">
        <v>41365.0</v>
      </c>
      <c r="G88" s="1" t="s">
        <v>404</v>
      </c>
      <c r="I88" s="1" t="s">
        <v>404</v>
      </c>
      <c r="L88" s="1" t="s">
        <v>72</v>
      </c>
      <c r="M88" s="1">
        <v>1500.0</v>
      </c>
      <c r="N88" s="1" t="s">
        <v>72</v>
      </c>
      <c r="O88" s="1">
        <v>7.3134884E7</v>
      </c>
      <c r="P88" s="1" t="s">
        <v>259</v>
      </c>
      <c r="R88" s="1" t="s">
        <v>286</v>
      </c>
      <c r="S88" s="1" t="s">
        <v>44</v>
      </c>
      <c r="T88" s="1" t="s">
        <v>45</v>
      </c>
      <c r="U88" s="1">
        <v>4.82262841E8</v>
      </c>
      <c r="W88" s="1" t="s">
        <v>46</v>
      </c>
      <c r="X88" s="1" t="s">
        <v>45</v>
      </c>
      <c r="Y88" s="1">
        <v>4.82325555E8</v>
      </c>
      <c r="Z88" s="1">
        <v>7.3134884E7</v>
      </c>
      <c r="AA88" s="1" t="s">
        <v>261</v>
      </c>
      <c r="AB88" s="1">
        <v>112074.0</v>
      </c>
      <c r="AC88" s="2">
        <v>41365.0</v>
      </c>
      <c r="AD88" s="1">
        <v>1500.0</v>
      </c>
      <c r="AE88" s="1" t="s">
        <v>72</v>
      </c>
      <c r="AF88" s="1" t="s">
        <v>405</v>
      </c>
      <c r="AG88" s="1" t="s">
        <v>406</v>
      </c>
      <c r="AH88" s="1">
        <v>4.0</v>
      </c>
      <c r="AI88" s="1">
        <v>2013.0</v>
      </c>
      <c r="AJ88" s="1">
        <v>2013.0</v>
      </c>
      <c r="AK88" s="1" t="s">
        <v>407</v>
      </c>
    </row>
    <row r="89">
      <c r="A89" s="1" t="s">
        <v>408</v>
      </c>
      <c r="B89" s="1" t="s">
        <v>408</v>
      </c>
      <c r="C89" s="1" t="s">
        <v>224</v>
      </c>
      <c r="E89" s="1">
        <v>647375.0</v>
      </c>
      <c r="F89" s="2">
        <v>41368.0</v>
      </c>
      <c r="G89" s="1" t="s">
        <v>409</v>
      </c>
      <c r="I89" s="1" t="s">
        <v>409</v>
      </c>
      <c r="L89" s="1" t="s">
        <v>151</v>
      </c>
      <c r="M89" s="1">
        <v>6900.0</v>
      </c>
      <c r="N89" s="1" t="s">
        <v>151</v>
      </c>
      <c r="O89" s="1">
        <v>1.1855476E8</v>
      </c>
      <c r="P89" s="1" t="s">
        <v>73</v>
      </c>
      <c r="Q89" s="1" t="s">
        <v>226</v>
      </c>
      <c r="R89" s="1" t="s">
        <v>227</v>
      </c>
      <c r="S89" s="1" t="s">
        <v>44</v>
      </c>
      <c r="T89" s="1" t="s">
        <v>45</v>
      </c>
      <c r="U89" s="1">
        <v>4.82262886E8</v>
      </c>
      <c r="W89" s="1" t="s">
        <v>46</v>
      </c>
      <c r="X89" s="1" t="s">
        <v>45</v>
      </c>
      <c r="Y89" s="1">
        <v>4.82262886E8</v>
      </c>
      <c r="Z89" s="1">
        <v>6530661.0</v>
      </c>
      <c r="AA89" s="1" t="s">
        <v>76</v>
      </c>
      <c r="AB89" s="1">
        <v>647375.0</v>
      </c>
      <c r="AC89" s="2">
        <v>41368.0</v>
      </c>
      <c r="AD89" s="1">
        <v>6900.0</v>
      </c>
      <c r="AE89" s="1" t="s">
        <v>151</v>
      </c>
      <c r="AF89" s="1">
        <v>1.0</v>
      </c>
      <c r="AG89" s="1" t="s">
        <v>410</v>
      </c>
      <c r="AH89" s="1">
        <v>5.0</v>
      </c>
      <c r="AI89" s="1">
        <v>2013.0</v>
      </c>
      <c r="AJ89" s="1">
        <v>2013.0</v>
      </c>
      <c r="AK89" s="1" t="s">
        <v>229</v>
      </c>
    </row>
    <row r="90">
      <c r="A90" s="1" t="s">
        <v>411</v>
      </c>
      <c r="B90" s="1" t="s">
        <v>411</v>
      </c>
      <c r="C90" s="1" t="s">
        <v>38</v>
      </c>
      <c r="E90" s="1">
        <v>1700306.0</v>
      </c>
      <c r="F90" s="2">
        <v>41407.0</v>
      </c>
      <c r="G90" s="1" t="s">
        <v>412</v>
      </c>
      <c r="I90" s="1" t="s">
        <v>412</v>
      </c>
      <c r="L90" s="1" t="s">
        <v>40</v>
      </c>
      <c r="M90" s="1">
        <v>7500.0</v>
      </c>
      <c r="N90" s="1" t="s">
        <v>40</v>
      </c>
      <c r="O90" s="1">
        <v>7.3134603E7</v>
      </c>
      <c r="P90" s="1" t="s">
        <v>41</v>
      </c>
      <c r="Q90" s="1" t="s">
        <v>252</v>
      </c>
      <c r="R90" s="1" t="s">
        <v>253</v>
      </c>
      <c r="S90" s="1" t="s">
        <v>44</v>
      </c>
      <c r="T90" s="1" t="s">
        <v>45</v>
      </c>
      <c r="U90" s="1">
        <v>4.8202345E8</v>
      </c>
      <c r="W90" s="1" t="s">
        <v>46</v>
      </c>
      <c r="X90" s="1" t="s">
        <v>45</v>
      </c>
      <c r="Y90" s="1">
        <v>4.82022608E8</v>
      </c>
      <c r="Z90" s="1">
        <v>7.3134603E7</v>
      </c>
      <c r="AA90" s="1" t="s">
        <v>41</v>
      </c>
      <c r="AB90" s="1">
        <v>113318.0</v>
      </c>
      <c r="AC90" s="2">
        <v>41407.0</v>
      </c>
      <c r="AD90" s="1">
        <v>7500.0</v>
      </c>
      <c r="AE90" s="1" t="s">
        <v>40</v>
      </c>
      <c r="AF90" s="1" t="s">
        <v>413</v>
      </c>
      <c r="AG90" s="1" t="s">
        <v>414</v>
      </c>
      <c r="AH90" s="1">
        <v>2.0</v>
      </c>
      <c r="AI90" s="1">
        <v>2013.0</v>
      </c>
      <c r="AJ90" s="1">
        <v>2013.0</v>
      </c>
      <c r="AK90" s="1" t="s">
        <v>415</v>
      </c>
    </row>
    <row r="91">
      <c r="A91" s="1" t="s">
        <v>378</v>
      </c>
      <c r="B91" s="1" t="s">
        <v>378</v>
      </c>
      <c r="C91" s="1" t="s">
        <v>129</v>
      </c>
      <c r="E91" s="1">
        <v>6.6218445E8</v>
      </c>
      <c r="F91" s="2">
        <v>41365.0</v>
      </c>
      <c r="G91" s="1" t="s">
        <v>379</v>
      </c>
      <c r="I91" s="1" t="s">
        <v>379</v>
      </c>
      <c r="L91" s="1" t="s">
        <v>40</v>
      </c>
      <c r="M91" s="1">
        <v>7500.0</v>
      </c>
      <c r="N91" s="1" t="s">
        <v>40</v>
      </c>
      <c r="O91" s="1">
        <v>7.89629859E8</v>
      </c>
      <c r="P91" s="1" t="s">
        <v>416</v>
      </c>
      <c r="R91" s="1" t="s">
        <v>417</v>
      </c>
      <c r="S91" s="1" t="s">
        <v>44</v>
      </c>
      <c r="T91" s="1" t="s">
        <v>45</v>
      </c>
      <c r="U91" s="1">
        <v>4.82343241E8</v>
      </c>
      <c r="W91" s="1" t="s">
        <v>46</v>
      </c>
      <c r="X91" s="1" t="s">
        <v>45</v>
      </c>
      <c r="Y91" s="1">
        <v>4.80673241E8</v>
      </c>
      <c r="AB91" s="1">
        <v>350870.0</v>
      </c>
      <c r="AC91" s="2">
        <v>41365.0</v>
      </c>
      <c r="AD91" s="1">
        <v>7500.0</v>
      </c>
      <c r="AE91" s="1" t="s">
        <v>40</v>
      </c>
      <c r="AF91" s="1" t="s">
        <v>418</v>
      </c>
      <c r="AG91" s="1" t="s">
        <v>384</v>
      </c>
      <c r="AH91" s="1">
        <v>1.0</v>
      </c>
      <c r="AI91" s="1">
        <v>2013.0</v>
      </c>
      <c r="AJ91" s="1">
        <v>2013.0</v>
      </c>
      <c r="AK91" s="1" t="s">
        <v>385</v>
      </c>
    </row>
    <row r="92">
      <c r="A92" s="1" t="s">
        <v>378</v>
      </c>
      <c r="B92" s="1" t="s">
        <v>378</v>
      </c>
      <c r="C92" s="1" t="s">
        <v>129</v>
      </c>
      <c r="E92" s="1">
        <v>6.6218445E8</v>
      </c>
      <c r="F92" s="2">
        <v>41276.0</v>
      </c>
      <c r="G92" s="1" t="s">
        <v>379</v>
      </c>
      <c r="I92" s="1" t="s">
        <v>379</v>
      </c>
      <c r="L92" s="1" t="s">
        <v>40</v>
      </c>
      <c r="M92" s="1">
        <v>7500.0</v>
      </c>
      <c r="N92" s="1" t="s">
        <v>40</v>
      </c>
      <c r="O92" s="1">
        <v>7.8074923E8</v>
      </c>
      <c r="P92" s="1" t="s">
        <v>419</v>
      </c>
      <c r="R92" s="1" t="s">
        <v>420</v>
      </c>
      <c r="S92" s="1" t="s">
        <v>44</v>
      </c>
      <c r="T92" s="1" t="s">
        <v>45</v>
      </c>
      <c r="U92" s="1">
        <v>4.82082365E8</v>
      </c>
      <c r="W92" s="1" t="s">
        <v>421</v>
      </c>
      <c r="X92" s="1" t="s">
        <v>45</v>
      </c>
      <c r="Y92" s="1">
        <v>4.82012002E8</v>
      </c>
      <c r="AB92" s="1">
        <v>41186.4</v>
      </c>
      <c r="AC92" s="2">
        <v>41276.0</v>
      </c>
      <c r="AD92" s="1">
        <v>7500.0</v>
      </c>
      <c r="AE92" s="1" t="s">
        <v>40</v>
      </c>
      <c r="AF92" s="1" t="s">
        <v>422</v>
      </c>
      <c r="AG92" s="1" t="s">
        <v>423</v>
      </c>
      <c r="AH92" s="1">
        <v>2.0</v>
      </c>
      <c r="AI92" s="1">
        <v>2013.0</v>
      </c>
      <c r="AJ92" s="1">
        <v>2013.0</v>
      </c>
      <c r="AK92" s="1" t="s">
        <v>385</v>
      </c>
    </row>
    <row r="93">
      <c r="A93" s="1" t="s">
        <v>378</v>
      </c>
      <c r="B93" s="1" t="s">
        <v>378</v>
      </c>
      <c r="C93" s="1" t="s">
        <v>129</v>
      </c>
      <c r="E93" s="1">
        <v>6.6218445E8</v>
      </c>
      <c r="F93" s="2">
        <v>41276.0</v>
      </c>
      <c r="G93" s="1" t="s">
        <v>379</v>
      </c>
      <c r="I93" s="1" t="s">
        <v>379</v>
      </c>
      <c r="L93" s="1" t="s">
        <v>40</v>
      </c>
      <c r="M93" s="1">
        <v>7500.0</v>
      </c>
      <c r="N93" s="1" t="s">
        <v>40</v>
      </c>
      <c r="O93" s="1">
        <v>2.0830303E7</v>
      </c>
      <c r="P93" s="1" t="s">
        <v>424</v>
      </c>
      <c r="Q93" s="1" t="s">
        <v>425</v>
      </c>
      <c r="R93" s="1" t="s">
        <v>426</v>
      </c>
      <c r="S93" s="1" t="s">
        <v>44</v>
      </c>
      <c r="T93" s="1" t="s">
        <v>45</v>
      </c>
      <c r="U93" s="1">
        <v>4.82012002E8</v>
      </c>
      <c r="W93" s="1" t="s">
        <v>46</v>
      </c>
      <c r="X93" s="1" t="s">
        <v>45</v>
      </c>
      <c r="Y93" s="1">
        <v>4.82012002E8</v>
      </c>
      <c r="Z93" s="1">
        <v>2.0830303E7</v>
      </c>
      <c r="AA93" s="1" t="s">
        <v>424</v>
      </c>
      <c r="AB93" s="1">
        <v>86216.0</v>
      </c>
      <c r="AC93" s="2">
        <v>41276.0</v>
      </c>
      <c r="AD93" s="1">
        <v>7500.0</v>
      </c>
      <c r="AE93" s="1" t="s">
        <v>40</v>
      </c>
      <c r="AF93" s="1" t="s">
        <v>427</v>
      </c>
      <c r="AG93" s="1" t="s">
        <v>428</v>
      </c>
      <c r="AH93" s="1">
        <v>2.0</v>
      </c>
      <c r="AI93" s="1">
        <v>2013.0</v>
      </c>
      <c r="AJ93" s="1">
        <v>2013.0</v>
      </c>
      <c r="AK93" s="1" t="s">
        <v>385</v>
      </c>
    </row>
    <row r="94">
      <c r="A94" s="1" t="s">
        <v>394</v>
      </c>
      <c r="B94" s="1" t="s">
        <v>394</v>
      </c>
      <c r="C94" s="1" t="s">
        <v>129</v>
      </c>
      <c r="E94" s="1">
        <v>2824235.0</v>
      </c>
      <c r="F94" s="2">
        <v>41249.0</v>
      </c>
      <c r="G94" s="1" t="s">
        <v>395</v>
      </c>
      <c r="I94" s="1" t="s">
        <v>395</v>
      </c>
      <c r="L94" s="1" t="s">
        <v>40</v>
      </c>
      <c r="M94" s="1">
        <v>7500.0</v>
      </c>
      <c r="N94" s="1" t="s">
        <v>40</v>
      </c>
      <c r="O94" s="1">
        <v>6.9840817E7</v>
      </c>
      <c r="P94" s="1" t="s">
        <v>131</v>
      </c>
      <c r="R94" s="1" t="s">
        <v>132</v>
      </c>
      <c r="S94" s="1" t="s">
        <v>44</v>
      </c>
      <c r="T94" s="1" t="s">
        <v>45</v>
      </c>
      <c r="U94" s="1">
        <v>4.8214261E8</v>
      </c>
      <c r="W94" s="1" t="s">
        <v>46</v>
      </c>
      <c r="X94" s="1" t="s">
        <v>45</v>
      </c>
      <c r="Y94" s="1">
        <v>4.8214261E8</v>
      </c>
      <c r="Z94" s="1">
        <v>6.9840817E7</v>
      </c>
      <c r="AA94" s="1" t="s">
        <v>131</v>
      </c>
      <c r="AB94" s="1">
        <v>103783.0</v>
      </c>
      <c r="AC94" s="2">
        <v>41249.0</v>
      </c>
      <c r="AD94" s="1">
        <v>7500.0</v>
      </c>
      <c r="AE94" s="1" t="s">
        <v>40</v>
      </c>
      <c r="AF94" s="1" t="s">
        <v>429</v>
      </c>
      <c r="AG94" s="1" t="s">
        <v>402</v>
      </c>
      <c r="AH94" s="1">
        <v>12.0</v>
      </c>
      <c r="AI94" s="1">
        <v>2012.0</v>
      </c>
      <c r="AJ94" s="1">
        <v>2013.0</v>
      </c>
      <c r="AK94" s="1" t="s">
        <v>398</v>
      </c>
    </row>
    <row r="95">
      <c r="A95" s="1" t="s">
        <v>430</v>
      </c>
      <c r="B95" s="1" t="s">
        <v>430</v>
      </c>
      <c r="C95" s="1" t="s">
        <v>431</v>
      </c>
      <c r="E95" s="1">
        <v>698218.0</v>
      </c>
      <c r="F95" s="2">
        <v>41365.0</v>
      </c>
      <c r="G95" s="1" t="s">
        <v>432</v>
      </c>
      <c r="I95" s="1" t="s">
        <v>432</v>
      </c>
      <c r="L95" s="1" t="s">
        <v>431</v>
      </c>
      <c r="M95" s="1">
        <v>9700.0</v>
      </c>
      <c r="N95" s="1" t="s">
        <v>431</v>
      </c>
      <c r="O95" s="1">
        <v>7.3134603E7</v>
      </c>
      <c r="P95" s="1" t="s">
        <v>41</v>
      </c>
      <c r="Q95" s="1" t="s">
        <v>252</v>
      </c>
      <c r="R95" s="1" t="s">
        <v>253</v>
      </c>
      <c r="S95" s="1" t="s">
        <v>44</v>
      </c>
      <c r="T95" s="1" t="s">
        <v>45</v>
      </c>
      <c r="U95" s="1">
        <v>4.8202345E8</v>
      </c>
      <c r="W95" s="1" t="s">
        <v>46</v>
      </c>
      <c r="X95" s="1" t="s">
        <v>45</v>
      </c>
      <c r="Y95" s="1">
        <v>4.82022689E8</v>
      </c>
      <c r="Z95" s="1">
        <v>7.3134603E7</v>
      </c>
      <c r="AA95" s="1" t="s">
        <v>41</v>
      </c>
      <c r="AB95" s="1">
        <v>80543.0</v>
      </c>
      <c r="AC95" s="2">
        <v>41365.0</v>
      </c>
      <c r="AD95" s="1">
        <v>9700.0</v>
      </c>
      <c r="AE95" s="1" t="s">
        <v>431</v>
      </c>
      <c r="AF95" s="1" t="s">
        <v>433</v>
      </c>
      <c r="AG95" s="1" t="s">
        <v>434</v>
      </c>
      <c r="AH95" s="1">
        <v>5.0</v>
      </c>
      <c r="AI95" s="1">
        <v>2013.0</v>
      </c>
      <c r="AJ95" s="1">
        <v>2013.0</v>
      </c>
      <c r="AK95" s="1" t="s">
        <v>435</v>
      </c>
    </row>
    <row r="96">
      <c r="A96" s="1" t="s">
        <v>173</v>
      </c>
      <c r="B96" s="1" t="s">
        <v>173</v>
      </c>
      <c r="C96" s="1" t="s">
        <v>159</v>
      </c>
      <c r="E96" s="1">
        <v>1310940.0</v>
      </c>
      <c r="F96" s="2">
        <v>41386.0</v>
      </c>
      <c r="G96" s="1" t="s">
        <v>174</v>
      </c>
      <c r="I96" s="1" t="s">
        <v>174</v>
      </c>
      <c r="L96" s="1" t="s">
        <v>40</v>
      </c>
      <c r="M96" s="1">
        <v>7500.0</v>
      </c>
      <c r="N96" s="1" t="s">
        <v>40</v>
      </c>
      <c r="O96" s="1">
        <v>1.1523031E8</v>
      </c>
      <c r="P96" s="1" t="s">
        <v>436</v>
      </c>
      <c r="Q96" s="1" t="s">
        <v>437</v>
      </c>
      <c r="R96" s="1" t="s">
        <v>438</v>
      </c>
      <c r="S96" s="1" t="s">
        <v>44</v>
      </c>
      <c r="T96" s="1" t="s">
        <v>45</v>
      </c>
      <c r="U96" s="1">
        <v>4.8226315E8</v>
      </c>
      <c r="W96" s="1" t="s">
        <v>46</v>
      </c>
      <c r="X96" s="1" t="s">
        <v>45</v>
      </c>
      <c r="Y96" s="1">
        <v>4.8226315E8</v>
      </c>
      <c r="AB96" s="1">
        <v>240087.0</v>
      </c>
      <c r="AC96" s="2">
        <v>41386.0</v>
      </c>
      <c r="AD96" s="1">
        <v>7500.0</v>
      </c>
      <c r="AE96" s="1" t="s">
        <v>40</v>
      </c>
      <c r="AF96" s="1" t="s">
        <v>439</v>
      </c>
      <c r="AG96" s="1" t="s">
        <v>440</v>
      </c>
      <c r="AH96" s="1">
        <v>5.0</v>
      </c>
      <c r="AI96" s="1">
        <v>2013.0</v>
      </c>
      <c r="AJ96" s="1">
        <v>2013.0</v>
      </c>
      <c r="AK96" s="1" t="s">
        <v>179</v>
      </c>
    </row>
    <row r="97">
      <c r="A97" s="1" t="s">
        <v>441</v>
      </c>
      <c r="B97" s="1" t="s">
        <v>441</v>
      </c>
      <c r="C97" s="1" t="s">
        <v>224</v>
      </c>
      <c r="E97" s="1">
        <v>331226.0</v>
      </c>
      <c r="F97" s="2">
        <v>41368.0</v>
      </c>
      <c r="G97" s="1" t="s">
        <v>442</v>
      </c>
      <c r="I97" s="1" t="s">
        <v>442</v>
      </c>
      <c r="L97" s="1" t="s">
        <v>151</v>
      </c>
      <c r="M97" s="1">
        <v>6900.0</v>
      </c>
      <c r="N97" s="1" t="s">
        <v>151</v>
      </c>
      <c r="O97" s="1">
        <v>1.1855476E8</v>
      </c>
      <c r="P97" s="1" t="s">
        <v>73</v>
      </c>
      <c r="Q97" s="1" t="s">
        <v>226</v>
      </c>
      <c r="R97" s="1" t="s">
        <v>227</v>
      </c>
      <c r="S97" s="1" t="s">
        <v>44</v>
      </c>
      <c r="T97" s="1" t="s">
        <v>45</v>
      </c>
      <c r="U97" s="1">
        <v>4.82262886E8</v>
      </c>
      <c r="W97" s="1" t="s">
        <v>46</v>
      </c>
      <c r="X97" s="1" t="s">
        <v>45</v>
      </c>
      <c r="Y97" s="1">
        <v>4.82262886E8</v>
      </c>
      <c r="Z97" s="1">
        <v>6530661.0</v>
      </c>
      <c r="AA97" s="1" t="s">
        <v>76</v>
      </c>
      <c r="AB97" s="1">
        <v>331226.48</v>
      </c>
      <c r="AC97" s="2">
        <v>41368.0</v>
      </c>
      <c r="AD97" s="1">
        <v>6900.0</v>
      </c>
      <c r="AE97" s="1" t="s">
        <v>151</v>
      </c>
      <c r="AF97" s="1">
        <v>1.0</v>
      </c>
      <c r="AG97" s="1" t="s">
        <v>443</v>
      </c>
      <c r="AH97" s="1">
        <v>5.0</v>
      </c>
      <c r="AI97" s="1">
        <v>2013.0</v>
      </c>
      <c r="AJ97" s="1">
        <v>2013.0</v>
      </c>
      <c r="AK97" s="1" t="s">
        <v>229</v>
      </c>
    </row>
    <row r="98">
      <c r="A98" s="1" t="s">
        <v>444</v>
      </c>
      <c r="B98" s="1" t="s">
        <v>444</v>
      </c>
      <c r="C98" s="1" t="s">
        <v>224</v>
      </c>
      <c r="E98" s="1">
        <v>2205857.0</v>
      </c>
      <c r="F98" s="2">
        <v>41368.0</v>
      </c>
      <c r="G98" s="1" t="s">
        <v>442</v>
      </c>
      <c r="I98" s="1" t="s">
        <v>442</v>
      </c>
      <c r="L98" s="1" t="s">
        <v>151</v>
      </c>
      <c r="M98" s="1">
        <v>6900.0</v>
      </c>
      <c r="N98" s="1" t="s">
        <v>151</v>
      </c>
      <c r="O98" s="1">
        <v>1.1855476E8</v>
      </c>
      <c r="P98" s="1" t="s">
        <v>73</v>
      </c>
      <c r="Q98" s="1" t="s">
        <v>226</v>
      </c>
      <c r="R98" s="1" t="s">
        <v>227</v>
      </c>
      <c r="S98" s="1" t="s">
        <v>44</v>
      </c>
      <c r="T98" s="1" t="s">
        <v>45</v>
      </c>
      <c r="U98" s="1">
        <v>4.82262886E8</v>
      </c>
      <c r="W98" s="1" t="s">
        <v>46</v>
      </c>
      <c r="X98" s="1" t="s">
        <v>45</v>
      </c>
      <c r="Y98" s="1">
        <v>4.82262886E8</v>
      </c>
      <c r="Z98" s="1">
        <v>6530661.0</v>
      </c>
      <c r="AA98" s="1" t="s">
        <v>76</v>
      </c>
      <c r="AB98" s="1">
        <v>2205857.5</v>
      </c>
      <c r="AC98" s="2">
        <v>41368.0</v>
      </c>
      <c r="AD98" s="1">
        <v>6900.0</v>
      </c>
      <c r="AE98" s="1" t="s">
        <v>151</v>
      </c>
      <c r="AF98" s="1">
        <v>1.0</v>
      </c>
      <c r="AG98" s="1" t="s">
        <v>443</v>
      </c>
      <c r="AH98" s="1">
        <v>5.0</v>
      </c>
      <c r="AI98" s="1">
        <v>2013.0</v>
      </c>
      <c r="AJ98" s="1">
        <v>2013.0</v>
      </c>
      <c r="AK98" s="1" t="s">
        <v>229</v>
      </c>
    </row>
    <row r="99">
      <c r="A99" s="1" t="s">
        <v>445</v>
      </c>
      <c r="B99" s="1" t="s">
        <v>445</v>
      </c>
      <c r="C99" s="1" t="s">
        <v>70</v>
      </c>
      <c r="E99" s="1">
        <v>549859.0</v>
      </c>
      <c r="F99" s="2">
        <v>41375.0</v>
      </c>
      <c r="G99" s="1" t="s">
        <v>446</v>
      </c>
      <c r="I99" s="1" t="s">
        <v>446</v>
      </c>
      <c r="L99" s="1" t="s">
        <v>72</v>
      </c>
      <c r="M99" s="1">
        <v>1500.0</v>
      </c>
      <c r="N99" s="1" t="s">
        <v>72</v>
      </c>
      <c r="O99" s="1">
        <v>1962224.0</v>
      </c>
      <c r="P99" s="1" t="s">
        <v>52</v>
      </c>
      <c r="R99" s="1" t="s">
        <v>53</v>
      </c>
      <c r="S99" s="1" t="s">
        <v>44</v>
      </c>
      <c r="T99" s="1" t="s">
        <v>45</v>
      </c>
      <c r="U99" s="1">
        <v>4.82023692E8</v>
      </c>
      <c r="W99" s="1" t="s">
        <v>44</v>
      </c>
      <c r="X99" s="1" t="s">
        <v>45</v>
      </c>
      <c r="Y99" s="1">
        <v>4.82023692E8</v>
      </c>
      <c r="Z99" s="1">
        <v>1962224.0</v>
      </c>
      <c r="AA99" s="1" t="s">
        <v>52</v>
      </c>
      <c r="AB99" s="1">
        <v>62918.0</v>
      </c>
      <c r="AC99" s="2">
        <v>41375.0</v>
      </c>
      <c r="AD99" s="1">
        <v>1500.0</v>
      </c>
      <c r="AE99" s="1" t="s">
        <v>72</v>
      </c>
      <c r="AF99" s="1">
        <v>3.002596793E9</v>
      </c>
      <c r="AG99" s="1" t="s">
        <v>447</v>
      </c>
      <c r="AH99" s="1">
        <v>4.0</v>
      </c>
      <c r="AI99" s="1">
        <v>2013.0</v>
      </c>
      <c r="AJ99" s="1">
        <v>2013.0</v>
      </c>
      <c r="AK99" s="1" t="s">
        <v>448</v>
      </c>
    </row>
    <row r="100">
      <c r="A100" s="1" t="s">
        <v>378</v>
      </c>
      <c r="B100" s="1" t="s">
        <v>378</v>
      </c>
      <c r="C100" s="1" t="s">
        <v>129</v>
      </c>
      <c r="E100" s="1">
        <v>6.6218445E8</v>
      </c>
      <c r="F100" s="2">
        <v>41276.0</v>
      </c>
      <c r="G100" s="1" t="s">
        <v>379</v>
      </c>
      <c r="I100" s="1" t="s">
        <v>379</v>
      </c>
      <c r="L100" s="1" t="s">
        <v>40</v>
      </c>
      <c r="M100" s="1">
        <v>7500.0</v>
      </c>
      <c r="N100" s="1" t="s">
        <v>40</v>
      </c>
      <c r="O100" s="1">
        <v>7.8074923E8</v>
      </c>
      <c r="P100" s="1" t="s">
        <v>419</v>
      </c>
      <c r="R100" s="1" t="s">
        <v>420</v>
      </c>
      <c r="S100" s="1" t="s">
        <v>44</v>
      </c>
      <c r="T100" s="1" t="s">
        <v>45</v>
      </c>
      <c r="U100" s="1">
        <v>4.82082365E8</v>
      </c>
      <c r="W100" s="1" t="s">
        <v>46</v>
      </c>
      <c r="X100" s="1" t="s">
        <v>45</v>
      </c>
      <c r="Y100" s="1">
        <v>4.82082365E8</v>
      </c>
      <c r="AB100" s="1">
        <v>103431.66</v>
      </c>
      <c r="AC100" s="2">
        <v>41276.0</v>
      </c>
      <c r="AD100" s="1">
        <v>7500.0</v>
      </c>
      <c r="AE100" s="1" t="s">
        <v>40</v>
      </c>
      <c r="AF100" s="1" t="s">
        <v>449</v>
      </c>
      <c r="AG100" s="1" t="s">
        <v>450</v>
      </c>
      <c r="AH100" s="1">
        <v>2.0</v>
      </c>
      <c r="AI100" s="1">
        <v>2013.0</v>
      </c>
      <c r="AJ100" s="1">
        <v>2013.0</v>
      </c>
      <c r="AK100" s="1" t="s">
        <v>385</v>
      </c>
    </row>
    <row r="101">
      <c r="A101" s="1" t="s">
        <v>451</v>
      </c>
      <c r="B101" s="1" t="s">
        <v>451</v>
      </c>
      <c r="C101" s="1" t="s">
        <v>129</v>
      </c>
      <c r="E101" s="1">
        <v>600000.0</v>
      </c>
      <c r="F101" s="2">
        <v>41353.0</v>
      </c>
      <c r="G101" s="1" t="s">
        <v>452</v>
      </c>
      <c r="I101" s="1" t="s">
        <v>452</v>
      </c>
      <c r="L101" s="1" t="s">
        <v>40</v>
      </c>
      <c r="M101" s="1">
        <v>7500.0</v>
      </c>
      <c r="N101" s="1" t="s">
        <v>40</v>
      </c>
      <c r="O101" s="1">
        <v>6.9840817E7</v>
      </c>
      <c r="P101" s="1" t="s">
        <v>131</v>
      </c>
      <c r="R101" s="1" t="s">
        <v>132</v>
      </c>
      <c r="S101" s="1" t="s">
        <v>44</v>
      </c>
      <c r="T101" s="1" t="s">
        <v>45</v>
      </c>
      <c r="U101" s="1">
        <v>4.8214261E8</v>
      </c>
      <c r="W101" s="1" t="s">
        <v>46</v>
      </c>
      <c r="X101" s="1" t="s">
        <v>45</v>
      </c>
      <c r="Y101" s="1">
        <v>4.8214261E8</v>
      </c>
      <c r="Z101" s="1">
        <v>6.9840817E7</v>
      </c>
      <c r="AA101" s="1" t="s">
        <v>131</v>
      </c>
      <c r="AB101" s="1">
        <v>116000.0</v>
      </c>
      <c r="AC101" s="2">
        <v>41353.0</v>
      </c>
      <c r="AD101" s="1">
        <v>7500.0</v>
      </c>
      <c r="AE101" s="1" t="s">
        <v>40</v>
      </c>
      <c r="AF101" s="1" t="s">
        <v>453</v>
      </c>
      <c r="AG101" s="1" t="s">
        <v>454</v>
      </c>
      <c r="AH101" s="1">
        <v>3.0</v>
      </c>
      <c r="AI101" s="1">
        <v>2013.0</v>
      </c>
      <c r="AJ101" s="1">
        <v>2013.0</v>
      </c>
      <c r="AK101" s="1" t="s">
        <v>455</v>
      </c>
    </row>
    <row r="102">
      <c r="A102" s="1" t="s">
        <v>378</v>
      </c>
      <c r="B102" s="1" t="s">
        <v>378</v>
      </c>
      <c r="C102" s="1" t="s">
        <v>129</v>
      </c>
      <c r="E102" s="1">
        <v>6.6218445E8</v>
      </c>
      <c r="F102" s="2">
        <v>41276.0</v>
      </c>
      <c r="G102" s="1" t="s">
        <v>379</v>
      </c>
      <c r="I102" s="1" t="s">
        <v>379</v>
      </c>
      <c r="L102" s="1" t="s">
        <v>40</v>
      </c>
      <c r="M102" s="1">
        <v>7500.0</v>
      </c>
      <c r="N102" s="1" t="s">
        <v>40</v>
      </c>
      <c r="O102" s="1">
        <v>2.0830303E7</v>
      </c>
      <c r="P102" s="1" t="s">
        <v>424</v>
      </c>
      <c r="Q102" s="1" t="s">
        <v>425</v>
      </c>
      <c r="R102" s="1" t="s">
        <v>426</v>
      </c>
      <c r="S102" s="1" t="s">
        <v>44</v>
      </c>
      <c r="T102" s="1" t="s">
        <v>45</v>
      </c>
      <c r="U102" s="1">
        <v>4.82012002E8</v>
      </c>
      <c r="W102" s="1" t="s">
        <v>46</v>
      </c>
      <c r="X102" s="1" t="s">
        <v>45</v>
      </c>
      <c r="Y102" s="1">
        <v>4.82012002E8</v>
      </c>
      <c r="Z102" s="1">
        <v>2.0830303E7</v>
      </c>
      <c r="AA102" s="1" t="s">
        <v>424</v>
      </c>
      <c r="AB102" s="1">
        <v>337101.74</v>
      </c>
      <c r="AC102" s="2">
        <v>41276.0</v>
      </c>
      <c r="AD102" s="1">
        <v>7500.0</v>
      </c>
      <c r="AE102" s="1" t="s">
        <v>40</v>
      </c>
      <c r="AF102" s="1" t="s">
        <v>456</v>
      </c>
      <c r="AG102" s="1" t="s">
        <v>450</v>
      </c>
      <c r="AH102" s="1">
        <v>2.0</v>
      </c>
      <c r="AI102" s="1">
        <v>2013.0</v>
      </c>
      <c r="AJ102" s="1">
        <v>2013.0</v>
      </c>
      <c r="AK102" s="1" t="s">
        <v>385</v>
      </c>
    </row>
    <row r="103">
      <c r="A103" s="1" t="s">
        <v>457</v>
      </c>
      <c r="B103" s="1" t="s">
        <v>457</v>
      </c>
      <c r="C103" s="1" t="s">
        <v>194</v>
      </c>
      <c r="E103" s="1">
        <v>3.2156174E7</v>
      </c>
      <c r="F103" s="2">
        <v>41409.0</v>
      </c>
      <c r="G103" s="1" t="s">
        <v>458</v>
      </c>
      <c r="I103" s="1" t="s">
        <v>458</v>
      </c>
      <c r="L103" s="1" t="s">
        <v>194</v>
      </c>
      <c r="M103" s="1">
        <v>9100.0</v>
      </c>
      <c r="N103" s="1" t="s">
        <v>194</v>
      </c>
      <c r="O103" s="1">
        <v>7.93697942E8</v>
      </c>
      <c r="P103" s="1" t="s">
        <v>459</v>
      </c>
      <c r="R103" s="1" t="s">
        <v>460</v>
      </c>
      <c r="S103" s="1" t="s">
        <v>44</v>
      </c>
      <c r="T103" s="1" t="s">
        <v>45</v>
      </c>
      <c r="U103" s="1">
        <v>4.82141601E8</v>
      </c>
      <c r="W103" s="1" t="s">
        <v>44</v>
      </c>
      <c r="X103" s="1" t="s">
        <v>45</v>
      </c>
      <c r="Y103" s="1">
        <v>4.82141601E8</v>
      </c>
      <c r="Z103" s="1">
        <v>7.6340843E7</v>
      </c>
      <c r="AA103" s="1" t="s">
        <v>461</v>
      </c>
      <c r="AB103" s="1">
        <v>27427.0</v>
      </c>
      <c r="AC103" s="2">
        <v>41409.0</v>
      </c>
      <c r="AD103" s="1">
        <v>9100.0</v>
      </c>
      <c r="AE103" s="1" t="s">
        <v>194</v>
      </c>
      <c r="AF103" s="1" t="s">
        <v>462</v>
      </c>
      <c r="AG103" s="1" t="s">
        <v>463</v>
      </c>
      <c r="AH103" s="1">
        <v>9.0</v>
      </c>
      <c r="AI103" s="1">
        <v>2013.0</v>
      </c>
      <c r="AJ103" s="1">
        <v>2013.0</v>
      </c>
      <c r="AK103" s="1" t="s">
        <v>277</v>
      </c>
    </row>
    <row r="104">
      <c r="A104" s="1" t="s">
        <v>457</v>
      </c>
      <c r="B104" s="1" t="s">
        <v>457</v>
      </c>
      <c r="C104" s="1" t="s">
        <v>194</v>
      </c>
      <c r="E104" s="1">
        <v>3.2156174E7</v>
      </c>
      <c r="F104" s="2">
        <v>41409.0</v>
      </c>
      <c r="G104" s="1" t="s">
        <v>458</v>
      </c>
      <c r="I104" s="1" t="s">
        <v>458</v>
      </c>
      <c r="L104" s="1" t="s">
        <v>194</v>
      </c>
      <c r="M104" s="1">
        <v>9100.0</v>
      </c>
      <c r="N104" s="1" t="s">
        <v>194</v>
      </c>
      <c r="O104" s="1">
        <v>7.93697942E8</v>
      </c>
      <c r="P104" s="1" t="s">
        <v>459</v>
      </c>
      <c r="Q104" s="1" t="s">
        <v>464</v>
      </c>
      <c r="R104" s="1" t="s">
        <v>460</v>
      </c>
      <c r="S104" s="1" t="s">
        <v>44</v>
      </c>
      <c r="T104" s="1" t="s">
        <v>45</v>
      </c>
      <c r="U104" s="1">
        <v>4.82141601E8</v>
      </c>
      <c r="W104" s="1" t="s">
        <v>44</v>
      </c>
      <c r="X104" s="1" t="s">
        <v>45</v>
      </c>
      <c r="Y104" s="1">
        <v>4.82141601E8</v>
      </c>
      <c r="Z104" s="1">
        <v>7.6340843E7</v>
      </c>
      <c r="AA104" s="1" t="s">
        <v>461</v>
      </c>
      <c r="AB104" s="1">
        <v>27427.0</v>
      </c>
      <c r="AC104" s="2">
        <v>41409.0</v>
      </c>
      <c r="AD104" s="1">
        <v>9100.0</v>
      </c>
      <c r="AE104" s="1" t="s">
        <v>194</v>
      </c>
      <c r="AF104" s="1" t="s">
        <v>462</v>
      </c>
      <c r="AG104" s="1" t="s">
        <v>463</v>
      </c>
      <c r="AH104" s="1">
        <v>9.0</v>
      </c>
      <c r="AI104" s="1">
        <v>2013.0</v>
      </c>
      <c r="AJ104" s="1">
        <v>2013.0</v>
      </c>
      <c r="AK104" s="1" t="s">
        <v>277</v>
      </c>
    </row>
    <row r="105">
      <c r="A105" s="1" t="s">
        <v>457</v>
      </c>
      <c r="B105" s="1" t="s">
        <v>457</v>
      </c>
      <c r="C105" s="1" t="s">
        <v>194</v>
      </c>
      <c r="E105" s="1">
        <v>3.2156174E7</v>
      </c>
      <c r="F105" s="2">
        <v>41388.0</v>
      </c>
      <c r="G105" s="1" t="s">
        <v>458</v>
      </c>
      <c r="I105" s="1" t="s">
        <v>458</v>
      </c>
      <c r="L105" s="1" t="s">
        <v>194</v>
      </c>
      <c r="M105" s="1">
        <v>9100.0</v>
      </c>
      <c r="N105" s="1" t="s">
        <v>194</v>
      </c>
      <c r="O105" s="1">
        <v>9.65349769E8</v>
      </c>
      <c r="P105" s="1" t="s">
        <v>465</v>
      </c>
      <c r="Q105" s="1" t="s">
        <v>466</v>
      </c>
      <c r="R105" s="1" t="s">
        <v>467</v>
      </c>
      <c r="S105" s="1" t="s">
        <v>44</v>
      </c>
      <c r="T105" s="1" t="s">
        <v>45</v>
      </c>
      <c r="U105" s="1">
        <v>4.8202322E8</v>
      </c>
      <c r="W105" s="1" t="s">
        <v>44</v>
      </c>
      <c r="X105" s="1" t="s">
        <v>45</v>
      </c>
      <c r="Y105" s="1">
        <v>4.8202322E8</v>
      </c>
      <c r="Z105" s="1">
        <v>1.6338926E8</v>
      </c>
      <c r="AA105" s="1" t="s">
        <v>465</v>
      </c>
      <c r="AB105" s="1">
        <v>141218.0</v>
      </c>
      <c r="AC105" s="2">
        <v>41388.0</v>
      </c>
      <c r="AD105" s="1">
        <v>9100.0</v>
      </c>
      <c r="AE105" s="1" t="s">
        <v>194</v>
      </c>
      <c r="AF105" s="1" t="s">
        <v>468</v>
      </c>
      <c r="AG105" s="1" t="s">
        <v>463</v>
      </c>
      <c r="AH105" s="1">
        <v>9.0</v>
      </c>
      <c r="AI105" s="1">
        <v>2013.0</v>
      </c>
      <c r="AJ105" s="1">
        <v>2013.0</v>
      </c>
      <c r="AK105" s="1" t="s">
        <v>277</v>
      </c>
    </row>
    <row r="106">
      <c r="A106" s="1" t="s">
        <v>457</v>
      </c>
      <c r="B106" s="1" t="s">
        <v>457</v>
      </c>
      <c r="C106" s="1" t="s">
        <v>194</v>
      </c>
      <c r="E106" s="1">
        <v>3.2156174E7</v>
      </c>
      <c r="F106" s="2">
        <v>41366.0</v>
      </c>
      <c r="G106" s="1" t="s">
        <v>458</v>
      </c>
      <c r="I106" s="1" t="s">
        <v>458</v>
      </c>
      <c r="L106" s="1" t="s">
        <v>194</v>
      </c>
      <c r="M106" s="1">
        <v>9100.0</v>
      </c>
      <c r="N106" s="1" t="s">
        <v>194</v>
      </c>
      <c r="O106" s="1">
        <v>7.8359653E7</v>
      </c>
      <c r="P106" s="1" t="s">
        <v>469</v>
      </c>
      <c r="R106" s="1" t="s">
        <v>470</v>
      </c>
      <c r="S106" s="1" t="s">
        <v>44</v>
      </c>
      <c r="T106" s="1" t="s">
        <v>45</v>
      </c>
      <c r="U106" s="1">
        <v>4.82122462E8</v>
      </c>
      <c r="W106" s="1" t="s">
        <v>46</v>
      </c>
      <c r="X106" s="1" t="s">
        <v>45</v>
      </c>
      <c r="Y106" s="1">
        <v>4.82122462E8</v>
      </c>
      <c r="Z106" s="1">
        <v>1.00036375E8</v>
      </c>
      <c r="AA106" s="1" t="s">
        <v>471</v>
      </c>
      <c r="AB106" s="1">
        <v>116277.0</v>
      </c>
      <c r="AC106" s="2">
        <v>41366.0</v>
      </c>
      <c r="AD106" s="1">
        <v>9100.0</v>
      </c>
      <c r="AE106" s="1" t="s">
        <v>194</v>
      </c>
      <c r="AF106" s="1" t="s">
        <v>472</v>
      </c>
      <c r="AG106" s="1" t="s">
        <v>463</v>
      </c>
      <c r="AH106" s="1">
        <v>9.0</v>
      </c>
      <c r="AI106" s="1">
        <v>2013.0</v>
      </c>
      <c r="AJ106" s="1">
        <v>2013.0</v>
      </c>
      <c r="AK106" s="1" t="s">
        <v>277</v>
      </c>
    </row>
    <row r="107">
      <c r="A107" s="1" t="s">
        <v>457</v>
      </c>
      <c r="B107" s="1" t="s">
        <v>457</v>
      </c>
      <c r="C107" s="1" t="s">
        <v>194</v>
      </c>
      <c r="E107" s="1">
        <v>3.2156174E7</v>
      </c>
      <c r="F107" s="2">
        <v>41358.0</v>
      </c>
      <c r="G107" s="1" t="s">
        <v>458</v>
      </c>
      <c r="I107" s="1" t="s">
        <v>458</v>
      </c>
      <c r="L107" s="1" t="s">
        <v>194</v>
      </c>
      <c r="M107" s="1">
        <v>9100.0</v>
      </c>
      <c r="N107" s="1" t="s">
        <v>194</v>
      </c>
      <c r="O107" s="1">
        <v>7.8634042E7</v>
      </c>
      <c r="P107" s="1" t="s">
        <v>473</v>
      </c>
      <c r="Q107" s="1" t="s">
        <v>474</v>
      </c>
      <c r="R107" s="1" t="s">
        <v>475</v>
      </c>
      <c r="S107" s="1" t="s">
        <v>44</v>
      </c>
      <c r="T107" s="1" t="s">
        <v>45</v>
      </c>
      <c r="U107" s="1">
        <v>4.82133744E8</v>
      </c>
      <c r="W107" s="1" t="s">
        <v>46</v>
      </c>
      <c r="X107" s="1" t="s">
        <v>45</v>
      </c>
      <c r="Y107" s="1">
        <v>4.82133744E8</v>
      </c>
      <c r="Z107" s="1">
        <v>7.4319591E7</v>
      </c>
      <c r="AA107" s="1" t="s">
        <v>476</v>
      </c>
      <c r="AB107" s="1">
        <v>115867.0</v>
      </c>
      <c r="AC107" s="2">
        <v>41358.0</v>
      </c>
      <c r="AD107" s="1">
        <v>9100.0</v>
      </c>
      <c r="AE107" s="1" t="s">
        <v>194</v>
      </c>
      <c r="AF107" s="1" t="s">
        <v>477</v>
      </c>
      <c r="AG107" s="1" t="s">
        <v>463</v>
      </c>
      <c r="AH107" s="1">
        <v>9.0</v>
      </c>
      <c r="AI107" s="1">
        <v>2013.0</v>
      </c>
      <c r="AJ107" s="1">
        <v>2013.0</v>
      </c>
      <c r="AK107" s="1" t="s">
        <v>277</v>
      </c>
    </row>
    <row r="108">
      <c r="A108" s="1" t="s">
        <v>457</v>
      </c>
      <c r="B108" s="1" t="s">
        <v>457</v>
      </c>
      <c r="C108" s="1" t="s">
        <v>194</v>
      </c>
      <c r="E108" s="1">
        <v>3.2156174E7</v>
      </c>
      <c r="F108" s="2">
        <v>41373.0</v>
      </c>
      <c r="G108" s="1" t="s">
        <v>458</v>
      </c>
      <c r="I108" s="1" t="s">
        <v>458</v>
      </c>
      <c r="L108" s="1" t="s">
        <v>194</v>
      </c>
      <c r="M108" s="1">
        <v>9100.0</v>
      </c>
      <c r="N108" s="1" t="s">
        <v>194</v>
      </c>
      <c r="O108" s="1">
        <v>9.62378779E8</v>
      </c>
      <c r="P108" s="1" t="s">
        <v>478</v>
      </c>
      <c r="R108" s="1" t="s">
        <v>479</v>
      </c>
      <c r="S108" s="1" t="s">
        <v>44</v>
      </c>
      <c r="T108" s="1" t="s">
        <v>45</v>
      </c>
      <c r="U108" s="1">
        <v>4.82342225E8</v>
      </c>
      <c r="W108" s="1" t="s">
        <v>44</v>
      </c>
      <c r="X108" s="1" t="s">
        <v>45</v>
      </c>
      <c r="Y108" s="1">
        <v>4.82342225E8</v>
      </c>
      <c r="Z108" s="1">
        <v>6.0187978E7</v>
      </c>
      <c r="AA108" s="1" t="s">
        <v>480</v>
      </c>
      <c r="AB108" s="1">
        <v>115460.0</v>
      </c>
      <c r="AC108" s="2">
        <v>41373.0</v>
      </c>
      <c r="AD108" s="1">
        <v>9100.0</v>
      </c>
      <c r="AE108" s="1" t="s">
        <v>194</v>
      </c>
      <c r="AF108" s="1" t="s">
        <v>481</v>
      </c>
      <c r="AG108" s="1" t="s">
        <v>463</v>
      </c>
      <c r="AH108" s="1">
        <v>9.0</v>
      </c>
      <c r="AI108" s="1">
        <v>2013.0</v>
      </c>
      <c r="AJ108" s="1">
        <v>2013.0</v>
      </c>
      <c r="AK108" s="1" t="s">
        <v>277</v>
      </c>
    </row>
    <row r="109">
      <c r="A109" s="1" t="s">
        <v>457</v>
      </c>
      <c r="B109" s="1" t="s">
        <v>457</v>
      </c>
      <c r="C109" s="1" t="s">
        <v>194</v>
      </c>
      <c r="E109" s="1">
        <v>3.2156174E7</v>
      </c>
      <c r="F109" s="2">
        <v>41390.0</v>
      </c>
      <c r="G109" s="1" t="s">
        <v>458</v>
      </c>
      <c r="I109" s="1" t="s">
        <v>458</v>
      </c>
      <c r="L109" s="1" t="s">
        <v>194</v>
      </c>
      <c r="M109" s="1">
        <v>9100.0</v>
      </c>
      <c r="N109" s="1" t="s">
        <v>194</v>
      </c>
      <c r="O109" s="1">
        <v>7.3832607E7</v>
      </c>
      <c r="P109" s="1" t="s">
        <v>482</v>
      </c>
      <c r="R109" s="1" t="s">
        <v>483</v>
      </c>
      <c r="S109" s="1" t="s">
        <v>44</v>
      </c>
      <c r="T109" s="1" t="s">
        <v>45</v>
      </c>
      <c r="U109" s="1">
        <v>4.82074288E8</v>
      </c>
      <c r="W109" s="1" t="s">
        <v>44</v>
      </c>
      <c r="X109" s="1" t="s">
        <v>45</v>
      </c>
      <c r="Y109" s="1">
        <v>4.82074288E8</v>
      </c>
      <c r="Z109" s="1">
        <v>3.9347836E7</v>
      </c>
      <c r="AA109" s="1" t="s">
        <v>484</v>
      </c>
      <c r="AB109" s="1">
        <v>83210.0</v>
      </c>
      <c r="AC109" s="2">
        <v>41390.0</v>
      </c>
      <c r="AD109" s="1">
        <v>9100.0</v>
      </c>
      <c r="AE109" s="1" t="s">
        <v>194</v>
      </c>
      <c r="AF109" s="1" t="s">
        <v>485</v>
      </c>
      <c r="AG109" s="1" t="s">
        <v>463</v>
      </c>
      <c r="AH109" s="1">
        <v>9.0</v>
      </c>
      <c r="AI109" s="1">
        <v>2013.0</v>
      </c>
      <c r="AJ109" s="1">
        <v>2013.0</v>
      </c>
      <c r="AK109" s="1" t="s">
        <v>277</v>
      </c>
    </row>
    <row r="110">
      <c r="A110" s="1" t="s">
        <v>457</v>
      </c>
      <c r="B110" s="1" t="s">
        <v>457</v>
      </c>
      <c r="C110" s="1" t="s">
        <v>194</v>
      </c>
      <c r="E110" s="1">
        <v>3.2156174E7</v>
      </c>
      <c r="F110" s="2">
        <v>41358.0</v>
      </c>
      <c r="G110" s="1" t="s">
        <v>458</v>
      </c>
      <c r="I110" s="1" t="s">
        <v>458</v>
      </c>
      <c r="L110" s="1" t="s">
        <v>194</v>
      </c>
      <c r="M110" s="1">
        <v>9100.0</v>
      </c>
      <c r="N110" s="1" t="s">
        <v>194</v>
      </c>
      <c r="O110" s="1">
        <v>7.8359005E7</v>
      </c>
      <c r="P110" s="1" t="s">
        <v>486</v>
      </c>
      <c r="R110" s="1" t="s">
        <v>487</v>
      </c>
      <c r="S110" s="1" t="s">
        <v>44</v>
      </c>
      <c r="T110" s="1" t="s">
        <v>45</v>
      </c>
      <c r="U110" s="1">
        <v>4.82011006E8</v>
      </c>
      <c r="W110" s="1" t="s">
        <v>46</v>
      </c>
      <c r="X110" s="1" t="s">
        <v>45</v>
      </c>
      <c r="Y110" s="1">
        <v>4.82011006E8</v>
      </c>
      <c r="Z110" s="1">
        <v>7496979.0</v>
      </c>
      <c r="AA110" s="1" t="s">
        <v>488</v>
      </c>
      <c r="AB110" s="1">
        <v>68345.0</v>
      </c>
      <c r="AC110" s="2">
        <v>41358.0</v>
      </c>
      <c r="AD110" s="1">
        <v>9100.0</v>
      </c>
      <c r="AE110" s="1" t="s">
        <v>194</v>
      </c>
      <c r="AF110" s="1" t="s">
        <v>489</v>
      </c>
      <c r="AG110" s="1" t="s">
        <v>463</v>
      </c>
      <c r="AH110" s="1">
        <v>9.0</v>
      </c>
      <c r="AI110" s="1">
        <v>2013.0</v>
      </c>
      <c r="AJ110" s="1">
        <v>2013.0</v>
      </c>
      <c r="AK110" s="1" t="s">
        <v>277</v>
      </c>
    </row>
    <row r="111">
      <c r="A111" s="1" t="s">
        <v>457</v>
      </c>
      <c r="B111" s="1" t="s">
        <v>457</v>
      </c>
      <c r="C111" s="1" t="s">
        <v>194</v>
      </c>
      <c r="E111" s="1">
        <v>3.2156174E7</v>
      </c>
      <c r="F111" s="2">
        <v>41326.0</v>
      </c>
      <c r="G111" s="1" t="s">
        <v>458</v>
      </c>
      <c r="I111" s="1" t="s">
        <v>458</v>
      </c>
      <c r="L111" s="1" t="s">
        <v>194</v>
      </c>
      <c r="M111" s="1">
        <v>9100.0</v>
      </c>
      <c r="N111" s="1" t="s">
        <v>194</v>
      </c>
      <c r="O111" s="1">
        <v>9.63121426E8</v>
      </c>
      <c r="P111" s="1" t="s">
        <v>490</v>
      </c>
      <c r="R111" s="1" t="s">
        <v>491</v>
      </c>
      <c r="S111" s="1" t="s">
        <v>44</v>
      </c>
      <c r="T111" s="1" t="s">
        <v>45</v>
      </c>
      <c r="U111" s="1">
        <v>4.82233051E8</v>
      </c>
      <c r="W111" s="1" t="s">
        <v>46</v>
      </c>
      <c r="X111" s="1" t="s">
        <v>45</v>
      </c>
      <c r="Y111" s="1">
        <v>4.82233051E8</v>
      </c>
      <c r="AB111" s="1">
        <v>68374.0</v>
      </c>
      <c r="AC111" s="2">
        <v>41326.0</v>
      </c>
      <c r="AD111" s="1">
        <v>9100.0</v>
      </c>
      <c r="AE111" s="1" t="s">
        <v>194</v>
      </c>
      <c r="AF111" s="1" t="s">
        <v>492</v>
      </c>
      <c r="AG111" s="1" t="s">
        <v>463</v>
      </c>
      <c r="AH111" s="1">
        <v>9.0</v>
      </c>
      <c r="AI111" s="1">
        <v>2013.0</v>
      </c>
      <c r="AJ111" s="1">
        <v>2013.0</v>
      </c>
      <c r="AK111" s="1" t="s">
        <v>277</v>
      </c>
    </row>
    <row r="112">
      <c r="A112" s="1" t="s">
        <v>457</v>
      </c>
      <c r="B112" s="1" t="s">
        <v>457</v>
      </c>
      <c r="C112" s="1" t="s">
        <v>194</v>
      </c>
      <c r="E112" s="1">
        <v>3.2156174E7</v>
      </c>
      <c r="F112" s="2">
        <v>41256.0</v>
      </c>
      <c r="G112" s="1" t="s">
        <v>458</v>
      </c>
      <c r="I112" s="1" t="s">
        <v>458</v>
      </c>
      <c r="L112" s="1" t="s">
        <v>194</v>
      </c>
      <c r="M112" s="1">
        <v>9100.0</v>
      </c>
      <c r="N112" s="1" t="s">
        <v>194</v>
      </c>
      <c r="O112" s="1">
        <v>9.65778702E8</v>
      </c>
      <c r="P112" s="1" t="s">
        <v>493</v>
      </c>
      <c r="R112" s="1" t="s">
        <v>494</v>
      </c>
      <c r="S112" s="1" t="s">
        <v>44</v>
      </c>
      <c r="T112" s="1" t="s">
        <v>45</v>
      </c>
      <c r="U112" s="1">
        <v>4.82082475E8</v>
      </c>
      <c r="W112" s="1" t="s">
        <v>44</v>
      </c>
      <c r="X112" s="1" t="s">
        <v>45</v>
      </c>
      <c r="Y112" s="1">
        <v>4.82082475E8</v>
      </c>
      <c r="AB112" s="1">
        <v>56104.0</v>
      </c>
      <c r="AC112" s="2">
        <v>41256.0</v>
      </c>
      <c r="AD112" s="1">
        <v>9100.0</v>
      </c>
      <c r="AE112" s="1" t="s">
        <v>194</v>
      </c>
      <c r="AF112" s="1" t="s">
        <v>495</v>
      </c>
      <c r="AG112" s="1" t="s">
        <v>463</v>
      </c>
      <c r="AH112" s="1">
        <v>9.0</v>
      </c>
      <c r="AI112" s="1">
        <v>2013.0</v>
      </c>
      <c r="AJ112" s="1">
        <v>2013.0</v>
      </c>
      <c r="AK112" s="1" t="s">
        <v>277</v>
      </c>
    </row>
    <row r="113">
      <c r="A113" s="1" t="s">
        <v>457</v>
      </c>
      <c r="B113" s="1" t="s">
        <v>457</v>
      </c>
      <c r="C113" s="1" t="s">
        <v>194</v>
      </c>
      <c r="E113" s="1">
        <v>3.2156174E7</v>
      </c>
      <c r="F113" s="2">
        <v>41367.0</v>
      </c>
      <c r="G113" s="1" t="s">
        <v>458</v>
      </c>
      <c r="I113" s="1" t="s">
        <v>458</v>
      </c>
      <c r="L113" s="1" t="s">
        <v>194</v>
      </c>
      <c r="M113" s="1">
        <v>9100.0</v>
      </c>
      <c r="N113" s="1" t="s">
        <v>194</v>
      </c>
      <c r="O113" s="1">
        <v>7.97531279E8</v>
      </c>
      <c r="P113" s="1" t="s">
        <v>496</v>
      </c>
      <c r="R113" s="1" t="s">
        <v>497</v>
      </c>
      <c r="S113" s="1" t="s">
        <v>44</v>
      </c>
      <c r="T113" s="1" t="s">
        <v>45</v>
      </c>
      <c r="U113" s="1">
        <v>4.82123323E8</v>
      </c>
      <c r="W113" s="1" t="s">
        <v>498</v>
      </c>
      <c r="X113" s="1" t="s">
        <v>45</v>
      </c>
      <c r="Y113" s="1">
        <v>4.82123323E8</v>
      </c>
      <c r="Z113" s="1">
        <v>8.0492697E7</v>
      </c>
      <c r="AA113" s="1" t="s">
        <v>499</v>
      </c>
      <c r="AB113" s="1">
        <v>51111.0</v>
      </c>
      <c r="AC113" s="2">
        <v>41367.0</v>
      </c>
      <c r="AD113" s="1">
        <v>9100.0</v>
      </c>
      <c r="AE113" s="1" t="s">
        <v>194</v>
      </c>
      <c r="AF113" s="1" t="s">
        <v>500</v>
      </c>
      <c r="AG113" s="1" t="s">
        <v>463</v>
      </c>
      <c r="AH113" s="1">
        <v>9.0</v>
      </c>
      <c r="AI113" s="1">
        <v>2013.0</v>
      </c>
      <c r="AJ113" s="1">
        <v>2013.0</v>
      </c>
      <c r="AK113" s="1" t="s">
        <v>277</v>
      </c>
    </row>
    <row r="114">
      <c r="A114" s="1" t="s">
        <v>457</v>
      </c>
      <c r="B114" s="1" t="s">
        <v>457</v>
      </c>
      <c r="C114" s="1" t="s">
        <v>194</v>
      </c>
      <c r="E114" s="1">
        <v>3.2156174E7</v>
      </c>
      <c r="F114" s="2">
        <v>41388.0</v>
      </c>
      <c r="G114" s="1" t="s">
        <v>458</v>
      </c>
      <c r="I114" s="1" t="s">
        <v>458</v>
      </c>
      <c r="L114" s="1" t="s">
        <v>194</v>
      </c>
      <c r="M114" s="1">
        <v>9100.0</v>
      </c>
      <c r="N114" s="1" t="s">
        <v>194</v>
      </c>
      <c r="O114" s="1">
        <v>9.48021373E8</v>
      </c>
      <c r="P114" s="1" t="s">
        <v>501</v>
      </c>
      <c r="R114" s="1" t="s">
        <v>502</v>
      </c>
      <c r="S114" s="1" t="s">
        <v>44</v>
      </c>
      <c r="T114" s="1" t="s">
        <v>45</v>
      </c>
      <c r="U114" s="1">
        <v>4.82072901E8</v>
      </c>
      <c r="W114" s="1" t="s">
        <v>44</v>
      </c>
      <c r="X114" s="1" t="s">
        <v>45</v>
      </c>
      <c r="Y114" s="1">
        <v>4.82072901E8</v>
      </c>
      <c r="Z114" s="1">
        <v>5.2825536E7</v>
      </c>
      <c r="AA114" s="1" t="s">
        <v>503</v>
      </c>
      <c r="AB114" s="1">
        <v>49595.0</v>
      </c>
      <c r="AC114" s="2">
        <v>41388.0</v>
      </c>
      <c r="AD114" s="1">
        <v>9100.0</v>
      </c>
      <c r="AE114" s="1" t="s">
        <v>194</v>
      </c>
      <c r="AF114" s="1" t="s">
        <v>504</v>
      </c>
      <c r="AG114" s="1" t="s">
        <v>463</v>
      </c>
      <c r="AH114" s="1">
        <v>9.0</v>
      </c>
      <c r="AI114" s="1">
        <v>2013.0</v>
      </c>
      <c r="AJ114" s="1">
        <v>2013.0</v>
      </c>
      <c r="AK114" s="1" t="s">
        <v>277</v>
      </c>
    </row>
    <row r="115">
      <c r="A115" s="1" t="s">
        <v>457</v>
      </c>
      <c r="B115" s="1" t="s">
        <v>457</v>
      </c>
      <c r="C115" s="1" t="s">
        <v>194</v>
      </c>
      <c r="E115" s="1">
        <v>3.2156174E7</v>
      </c>
      <c r="F115" s="2">
        <v>41351.0</v>
      </c>
      <c r="G115" s="1" t="s">
        <v>458</v>
      </c>
      <c r="I115" s="1" t="s">
        <v>458</v>
      </c>
      <c r="L115" s="1" t="s">
        <v>194</v>
      </c>
      <c r="M115" s="1">
        <v>9100.0</v>
      </c>
      <c r="N115" s="1" t="s">
        <v>194</v>
      </c>
      <c r="O115" s="1">
        <v>1.98438892E8</v>
      </c>
      <c r="P115" s="1" t="s">
        <v>505</v>
      </c>
      <c r="R115" s="1" t="s">
        <v>506</v>
      </c>
      <c r="S115" s="1" t="s">
        <v>44</v>
      </c>
      <c r="T115" s="1" t="s">
        <v>45</v>
      </c>
      <c r="U115" s="1">
        <v>4.82123572E8</v>
      </c>
      <c r="W115" s="1" t="s">
        <v>498</v>
      </c>
      <c r="X115" s="1" t="s">
        <v>45</v>
      </c>
      <c r="Y115" s="1">
        <v>4.82123572E8</v>
      </c>
      <c r="Z115" s="1">
        <v>1.98438892E8</v>
      </c>
      <c r="AA115" s="1" t="s">
        <v>505</v>
      </c>
      <c r="AB115" s="1">
        <v>46344.0</v>
      </c>
      <c r="AC115" s="2">
        <v>41351.0</v>
      </c>
      <c r="AD115" s="1">
        <v>9100.0</v>
      </c>
      <c r="AE115" s="1" t="s">
        <v>194</v>
      </c>
      <c r="AF115" s="1" t="s">
        <v>507</v>
      </c>
      <c r="AG115" s="1" t="s">
        <v>463</v>
      </c>
      <c r="AH115" s="1">
        <v>9.0</v>
      </c>
      <c r="AI115" s="1">
        <v>2013.0</v>
      </c>
      <c r="AJ115" s="1">
        <v>2013.0</v>
      </c>
      <c r="AK115" s="1" t="s">
        <v>277</v>
      </c>
    </row>
    <row r="116">
      <c r="A116" s="1" t="s">
        <v>457</v>
      </c>
      <c r="B116" s="1" t="s">
        <v>457</v>
      </c>
      <c r="C116" s="1" t="s">
        <v>194</v>
      </c>
      <c r="E116" s="1">
        <v>3.2156174E7</v>
      </c>
      <c r="F116" s="2">
        <v>41326.0</v>
      </c>
      <c r="G116" s="1" t="s">
        <v>458</v>
      </c>
      <c r="I116" s="1" t="s">
        <v>458</v>
      </c>
      <c r="L116" s="1" t="s">
        <v>194</v>
      </c>
      <c r="M116" s="1">
        <v>9100.0</v>
      </c>
      <c r="N116" s="1" t="s">
        <v>194</v>
      </c>
      <c r="O116" s="1">
        <v>1.80070547E8</v>
      </c>
      <c r="P116" s="1" t="s">
        <v>508</v>
      </c>
      <c r="R116" s="1" t="s">
        <v>509</v>
      </c>
      <c r="S116" s="1" t="s">
        <v>44</v>
      </c>
      <c r="T116" s="1" t="s">
        <v>45</v>
      </c>
      <c r="U116" s="1">
        <v>4.82133487E8</v>
      </c>
      <c r="W116" s="1" t="s">
        <v>44</v>
      </c>
      <c r="X116" s="1" t="s">
        <v>45</v>
      </c>
      <c r="Y116" s="1">
        <v>4.82133448E8</v>
      </c>
      <c r="Z116" s="1">
        <v>4.9338049E7</v>
      </c>
      <c r="AA116" s="1" t="s">
        <v>510</v>
      </c>
      <c r="AB116" s="1">
        <v>43286.0</v>
      </c>
      <c r="AC116" s="2">
        <v>41326.0</v>
      </c>
      <c r="AD116" s="1">
        <v>9100.0</v>
      </c>
      <c r="AE116" s="1" t="s">
        <v>194</v>
      </c>
      <c r="AF116" s="1" t="s">
        <v>511</v>
      </c>
      <c r="AG116" s="1" t="s">
        <v>463</v>
      </c>
      <c r="AH116" s="1">
        <v>9.0</v>
      </c>
      <c r="AI116" s="1">
        <v>2013.0</v>
      </c>
      <c r="AJ116" s="1">
        <v>2013.0</v>
      </c>
      <c r="AK116" s="1" t="s">
        <v>277</v>
      </c>
    </row>
    <row r="117">
      <c r="A117" s="1" t="s">
        <v>457</v>
      </c>
      <c r="B117" s="1" t="s">
        <v>457</v>
      </c>
      <c r="C117" s="1" t="s">
        <v>194</v>
      </c>
      <c r="E117" s="1">
        <v>3.2156174E7</v>
      </c>
      <c r="F117" s="2">
        <v>41373.0</v>
      </c>
      <c r="G117" s="1" t="s">
        <v>458</v>
      </c>
      <c r="I117" s="1" t="s">
        <v>458</v>
      </c>
      <c r="L117" s="1" t="s">
        <v>194</v>
      </c>
      <c r="M117" s="1">
        <v>9100.0</v>
      </c>
      <c r="N117" s="1" t="s">
        <v>194</v>
      </c>
      <c r="O117" s="1">
        <v>1.17726252E8</v>
      </c>
      <c r="P117" s="1" t="s">
        <v>512</v>
      </c>
      <c r="R117" s="1" t="s">
        <v>513</v>
      </c>
      <c r="S117" s="1" t="s">
        <v>44</v>
      </c>
      <c r="T117" s="1" t="s">
        <v>45</v>
      </c>
      <c r="U117" s="1">
        <v>4.82193259E8</v>
      </c>
      <c r="W117" s="1" t="s">
        <v>44</v>
      </c>
      <c r="X117" s="1" t="s">
        <v>45</v>
      </c>
      <c r="Y117" s="1">
        <v>4.82193259E8</v>
      </c>
      <c r="AB117" s="1">
        <v>36877.0</v>
      </c>
      <c r="AC117" s="2">
        <v>41373.0</v>
      </c>
      <c r="AD117" s="1">
        <v>9100.0</v>
      </c>
      <c r="AE117" s="1" t="s">
        <v>194</v>
      </c>
      <c r="AF117" s="1" t="s">
        <v>514</v>
      </c>
      <c r="AG117" s="1" t="s">
        <v>463</v>
      </c>
      <c r="AH117" s="1">
        <v>9.0</v>
      </c>
      <c r="AI117" s="1">
        <v>2013.0</v>
      </c>
      <c r="AJ117" s="1">
        <v>2013.0</v>
      </c>
      <c r="AK117" s="1" t="s">
        <v>277</v>
      </c>
    </row>
    <row r="118">
      <c r="A118" s="1" t="s">
        <v>457</v>
      </c>
      <c r="B118" s="1" t="s">
        <v>457</v>
      </c>
      <c r="C118" s="1" t="s">
        <v>194</v>
      </c>
      <c r="E118" s="1">
        <v>3.2156174E7</v>
      </c>
      <c r="F118" s="2">
        <v>41302.0</v>
      </c>
      <c r="G118" s="1" t="s">
        <v>458</v>
      </c>
      <c r="I118" s="1" t="s">
        <v>458</v>
      </c>
      <c r="L118" s="1" t="s">
        <v>194</v>
      </c>
      <c r="M118" s="1">
        <v>9100.0</v>
      </c>
      <c r="N118" s="1" t="s">
        <v>194</v>
      </c>
      <c r="O118" s="1">
        <v>8.31014068E8</v>
      </c>
      <c r="P118" s="1" t="s">
        <v>515</v>
      </c>
      <c r="R118" s="1" t="s">
        <v>516</v>
      </c>
      <c r="S118" s="1" t="s">
        <v>44</v>
      </c>
      <c r="T118" s="1" t="s">
        <v>45</v>
      </c>
      <c r="U118" s="1">
        <v>4.82283685E8</v>
      </c>
      <c r="W118" s="1" t="s">
        <v>46</v>
      </c>
      <c r="X118" s="1" t="s">
        <v>45</v>
      </c>
      <c r="Y118" s="1">
        <v>4.82283685E8</v>
      </c>
      <c r="Z118" s="1">
        <v>9.60742484E8</v>
      </c>
      <c r="AB118" s="1">
        <v>34442.0</v>
      </c>
      <c r="AC118" s="2">
        <v>41302.0</v>
      </c>
      <c r="AD118" s="1">
        <v>9100.0</v>
      </c>
      <c r="AE118" s="1" t="s">
        <v>194</v>
      </c>
      <c r="AF118" s="1" t="s">
        <v>517</v>
      </c>
      <c r="AG118" s="1" t="s">
        <v>463</v>
      </c>
      <c r="AH118" s="1">
        <v>9.0</v>
      </c>
      <c r="AI118" s="1">
        <v>2013.0</v>
      </c>
      <c r="AJ118" s="1">
        <v>2013.0</v>
      </c>
      <c r="AK118" s="1" t="s">
        <v>277</v>
      </c>
    </row>
    <row r="119">
      <c r="A119" s="1" t="s">
        <v>457</v>
      </c>
      <c r="B119" s="1" t="s">
        <v>457</v>
      </c>
      <c r="C119" s="1" t="s">
        <v>194</v>
      </c>
      <c r="E119" s="1">
        <v>3.2156174E7</v>
      </c>
      <c r="F119" s="2">
        <v>41351.0</v>
      </c>
      <c r="G119" s="1" t="s">
        <v>458</v>
      </c>
      <c r="I119" s="1" t="s">
        <v>458</v>
      </c>
      <c r="L119" s="1" t="s">
        <v>194</v>
      </c>
      <c r="M119" s="1">
        <v>9100.0</v>
      </c>
      <c r="N119" s="1" t="s">
        <v>194</v>
      </c>
      <c r="O119" s="1">
        <v>8.0463354E7</v>
      </c>
      <c r="P119" s="1" t="s">
        <v>518</v>
      </c>
      <c r="R119" s="1" t="s">
        <v>519</v>
      </c>
      <c r="S119" s="1" t="s">
        <v>44</v>
      </c>
      <c r="T119" s="1" t="s">
        <v>45</v>
      </c>
      <c r="U119" s="1">
        <v>4.82102105E8</v>
      </c>
      <c r="W119" s="1" t="s">
        <v>44</v>
      </c>
      <c r="X119" s="1" t="s">
        <v>45</v>
      </c>
      <c r="Y119" s="1">
        <v>4.82102105E8</v>
      </c>
      <c r="AB119" s="1">
        <v>33561.0</v>
      </c>
      <c r="AC119" s="2">
        <v>41351.0</v>
      </c>
      <c r="AD119" s="1">
        <v>9100.0</v>
      </c>
      <c r="AE119" s="1" t="s">
        <v>194</v>
      </c>
      <c r="AF119" s="1" t="s">
        <v>520</v>
      </c>
      <c r="AG119" s="1" t="s">
        <v>463</v>
      </c>
      <c r="AH119" s="1">
        <v>9.0</v>
      </c>
      <c r="AI119" s="1">
        <v>2013.0</v>
      </c>
      <c r="AJ119" s="1">
        <v>2013.0</v>
      </c>
      <c r="AK119" s="1" t="s">
        <v>277</v>
      </c>
    </row>
    <row r="120">
      <c r="A120" s="1" t="s">
        <v>457</v>
      </c>
      <c r="B120" s="1" t="s">
        <v>457</v>
      </c>
      <c r="C120" s="1" t="s">
        <v>194</v>
      </c>
      <c r="E120" s="1">
        <v>3.2156174E7</v>
      </c>
      <c r="F120" s="2">
        <v>41367.0</v>
      </c>
      <c r="G120" s="1" t="s">
        <v>458</v>
      </c>
      <c r="I120" s="1" t="s">
        <v>458</v>
      </c>
      <c r="L120" s="1" t="s">
        <v>194</v>
      </c>
      <c r="M120" s="1">
        <v>9100.0</v>
      </c>
      <c r="N120" s="1" t="s">
        <v>194</v>
      </c>
      <c r="O120" s="1">
        <v>9.0912429E7</v>
      </c>
      <c r="P120" s="1" t="s">
        <v>521</v>
      </c>
      <c r="R120" s="1" t="s">
        <v>522</v>
      </c>
      <c r="S120" s="1" t="s">
        <v>44</v>
      </c>
      <c r="T120" s="1" t="s">
        <v>45</v>
      </c>
      <c r="U120" s="1">
        <v>4.82233314E8</v>
      </c>
      <c r="W120" s="1" t="s">
        <v>44</v>
      </c>
      <c r="X120" s="1" t="s">
        <v>45</v>
      </c>
      <c r="Y120" s="1">
        <v>4.82233314E8</v>
      </c>
      <c r="AB120" s="1">
        <v>30085.0</v>
      </c>
      <c r="AC120" s="2">
        <v>41367.0</v>
      </c>
      <c r="AD120" s="1">
        <v>9100.0</v>
      </c>
      <c r="AE120" s="1" t="s">
        <v>194</v>
      </c>
      <c r="AF120" s="1" t="s">
        <v>523</v>
      </c>
      <c r="AG120" s="1" t="s">
        <v>463</v>
      </c>
      <c r="AH120" s="1">
        <v>9.0</v>
      </c>
      <c r="AI120" s="1">
        <v>2013.0</v>
      </c>
      <c r="AJ120" s="1">
        <v>2013.0</v>
      </c>
      <c r="AK120" s="1" t="s">
        <v>277</v>
      </c>
    </row>
    <row r="121">
      <c r="A121" s="1" t="s">
        <v>457</v>
      </c>
      <c r="B121" s="1" t="s">
        <v>457</v>
      </c>
      <c r="C121" s="1" t="s">
        <v>194</v>
      </c>
      <c r="E121" s="1">
        <v>3.2156174E7</v>
      </c>
      <c r="F121" s="2">
        <v>41414.0</v>
      </c>
      <c r="G121" s="1" t="s">
        <v>458</v>
      </c>
      <c r="I121" s="1" t="s">
        <v>458</v>
      </c>
      <c r="L121" s="1" t="s">
        <v>194</v>
      </c>
      <c r="M121" s="1">
        <v>9100.0</v>
      </c>
      <c r="N121" s="1" t="s">
        <v>194</v>
      </c>
      <c r="O121" s="1">
        <v>7.6340843E7</v>
      </c>
      <c r="P121" s="1" t="s">
        <v>461</v>
      </c>
      <c r="Q121" s="1" t="s">
        <v>459</v>
      </c>
      <c r="R121" s="1" t="s">
        <v>524</v>
      </c>
      <c r="S121" s="1" t="s">
        <v>44</v>
      </c>
      <c r="T121" s="1" t="s">
        <v>45</v>
      </c>
      <c r="U121" s="1">
        <v>4.82023046E8</v>
      </c>
      <c r="W121" s="1" t="s">
        <v>44</v>
      </c>
      <c r="X121" s="1" t="s">
        <v>45</v>
      </c>
      <c r="Y121" s="1">
        <v>4.82023096E8</v>
      </c>
      <c r="Z121" s="1">
        <v>7.6340843E7</v>
      </c>
      <c r="AA121" s="1" t="s">
        <v>461</v>
      </c>
      <c r="AB121" s="1">
        <v>3.2603816E7</v>
      </c>
      <c r="AC121" s="2">
        <v>41414.0</v>
      </c>
      <c r="AD121" s="1">
        <v>9100.0</v>
      </c>
      <c r="AE121" s="1" t="s">
        <v>194</v>
      </c>
      <c r="AF121" s="1" t="s">
        <v>525</v>
      </c>
      <c r="AG121" s="1" t="s">
        <v>463</v>
      </c>
      <c r="AH121" s="1">
        <v>9.0</v>
      </c>
      <c r="AI121" s="1">
        <v>2013.0</v>
      </c>
      <c r="AJ121" s="1">
        <v>2013.0</v>
      </c>
      <c r="AK121" s="1" t="s">
        <v>277</v>
      </c>
    </row>
    <row r="122">
      <c r="A122" s="1" t="s">
        <v>457</v>
      </c>
      <c r="B122" s="1" t="s">
        <v>457</v>
      </c>
      <c r="C122" s="1" t="s">
        <v>194</v>
      </c>
      <c r="E122" s="1">
        <v>3.2156174E7</v>
      </c>
      <c r="F122" s="2">
        <v>41395.0</v>
      </c>
      <c r="G122" s="1" t="s">
        <v>458</v>
      </c>
      <c r="I122" s="1" t="s">
        <v>458</v>
      </c>
      <c r="L122" s="1" t="s">
        <v>194</v>
      </c>
      <c r="M122" s="1">
        <v>9100.0</v>
      </c>
      <c r="N122" s="1" t="s">
        <v>194</v>
      </c>
      <c r="O122" s="1">
        <v>7.8583963E7</v>
      </c>
      <c r="P122" s="1" t="s">
        <v>526</v>
      </c>
      <c r="Q122" s="1" t="s">
        <v>527</v>
      </c>
      <c r="R122" s="1" t="s">
        <v>528</v>
      </c>
      <c r="S122" s="1" t="s">
        <v>44</v>
      </c>
      <c r="T122" s="1" t="s">
        <v>45</v>
      </c>
      <c r="U122" s="1">
        <v>4.82091434E8</v>
      </c>
      <c r="W122" s="1" t="s">
        <v>46</v>
      </c>
      <c r="X122" s="1" t="s">
        <v>45</v>
      </c>
      <c r="Y122" s="1">
        <v>4.82091434E8</v>
      </c>
      <c r="Z122" s="1">
        <v>7.6373687E7</v>
      </c>
      <c r="AA122" s="1" t="s">
        <v>529</v>
      </c>
      <c r="AB122" s="1">
        <v>28561.0</v>
      </c>
      <c r="AC122" s="2">
        <v>41395.0</v>
      </c>
      <c r="AD122" s="1">
        <v>9100.0</v>
      </c>
      <c r="AE122" s="1" t="s">
        <v>194</v>
      </c>
      <c r="AF122" s="1" t="s">
        <v>530</v>
      </c>
      <c r="AG122" s="1" t="s">
        <v>463</v>
      </c>
      <c r="AH122" s="1">
        <v>9.0</v>
      </c>
      <c r="AI122" s="1">
        <v>2013.0</v>
      </c>
      <c r="AJ122" s="1">
        <v>2013.0</v>
      </c>
      <c r="AK122" s="1" t="s">
        <v>277</v>
      </c>
    </row>
    <row r="123">
      <c r="A123" s="1" t="s">
        <v>457</v>
      </c>
      <c r="B123" s="1" t="s">
        <v>457</v>
      </c>
      <c r="C123" s="1" t="s">
        <v>194</v>
      </c>
      <c r="E123" s="1">
        <v>3.2156174E7</v>
      </c>
      <c r="F123" s="2">
        <v>41393.0</v>
      </c>
      <c r="G123" s="1" t="s">
        <v>458</v>
      </c>
      <c r="I123" s="1" t="s">
        <v>458</v>
      </c>
      <c r="L123" s="1" t="s">
        <v>194</v>
      </c>
      <c r="M123" s="1">
        <v>9100.0</v>
      </c>
      <c r="N123" s="1" t="s">
        <v>194</v>
      </c>
      <c r="O123" s="1">
        <v>8.29630537E8</v>
      </c>
      <c r="P123" s="1" t="s">
        <v>531</v>
      </c>
      <c r="Q123" s="1" t="s">
        <v>532</v>
      </c>
      <c r="R123" s="1" t="s">
        <v>533</v>
      </c>
      <c r="S123" s="1" t="s">
        <v>44</v>
      </c>
      <c r="T123" s="1" t="s">
        <v>45</v>
      </c>
      <c r="U123" s="1">
        <v>4.8219181E8</v>
      </c>
      <c r="W123" s="1" t="s">
        <v>44</v>
      </c>
      <c r="X123" s="1" t="s">
        <v>45</v>
      </c>
      <c r="Y123" s="1">
        <v>4.8219181E8</v>
      </c>
      <c r="AB123" s="1">
        <v>80765.0</v>
      </c>
      <c r="AC123" s="2">
        <v>41393.0</v>
      </c>
      <c r="AD123" s="1">
        <v>9100.0</v>
      </c>
      <c r="AE123" s="1" t="s">
        <v>194</v>
      </c>
      <c r="AF123" s="1" t="s">
        <v>534</v>
      </c>
      <c r="AG123" s="1" t="s">
        <v>463</v>
      </c>
      <c r="AH123" s="1">
        <v>9.0</v>
      </c>
      <c r="AI123" s="1">
        <v>2013.0</v>
      </c>
      <c r="AJ123" s="1">
        <v>2013.0</v>
      </c>
      <c r="AK123" s="1" t="s">
        <v>277</v>
      </c>
    </row>
    <row r="124">
      <c r="A124" s="1" t="s">
        <v>457</v>
      </c>
      <c r="B124" s="1" t="s">
        <v>457</v>
      </c>
      <c r="C124" s="1" t="s">
        <v>194</v>
      </c>
      <c r="E124" s="1">
        <v>3.2156174E7</v>
      </c>
      <c r="F124" s="2">
        <v>41313.0</v>
      </c>
      <c r="G124" s="1" t="s">
        <v>458</v>
      </c>
      <c r="I124" s="1" t="s">
        <v>458</v>
      </c>
      <c r="L124" s="1" t="s">
        <v>194</v>
      </c>
      <c r="M124" s="1">
        <v>9100.0</v>
      </c>
      <c r="N124" s="1" t="s">
        <v>194</v>
      </c>
      <c r="O124" s="1">
        <v>3.7602699E7</v>
      </c>
      <c r="P124" s="1" t="s">
        <v>535</v>
      </c>
      <c r="R124" s="1" t="s">
        <v>536</v>
      </c>
      <c r="S124" s="1" t="s">
        <v>44</v>
      </c>
      <c r="T124" s="1" t="s">
        <v>45</v>
      </c>
      <c r="U124" s="1">
        <v>4.82052545E8</v>
      </c>
      <c r="W124" s="1" t="s">
        <v>46</v>
      </c>
      <c r="X124" s="1" t="s">
        <v>45</v>
      </c>
      <c r="Y124" s="1">
        <v>4.82052545E8</v>
      </c>
      <c r="AB124" s="1">
        <v>116233.0</v>
      </c>
      <c r="AC124" s="2">
        <v>41313.0</v>
      </c>
      <c r="AD124" s="1">
        <v>9100.0</v>
      </c>
      <c r="AE124" s="1" t="s">
        <v>194</v>
      </c>
      <c r="AF124" s="1" t="s">
        <v>537</v>
      </c>
      <c r="AG124" s="1" t="s">
        <v>463</v>
      </c>
      <c r="AH124" s="1">
        <v>9.0</v>
      </c>
      <c r="AI124" s="1">
        <v>2013.0</v>
      </c>
      <c r="AJ124" s="1">
        <v>2013.0</v>
      </c>
      <c r="AK124" s="1" t="s">
        <v>277</v>
      </c>
    </row>
    <row r="125">
      <c r="A125" s="1" t="s">
        <v>457</v>
      </c>
      <c r="B125" s="1" t="s">
        <v>457</v>
      </c>
      <c r="C125" s="1" t="s">
        <v>194</v>
      </c>
      <c r="E125" s="1">
        <v>3.2156174E7</v>
      </c>
      <c r="F125" s="2">
        <v>41351.0</v>
      </c>
      <c r="G125" s="1" t="s">
        <v>458</v>
      </c>
      <c r="I125" s="1" t="s">
        <v>458</v>
      </c>
      <c r="L125" s="1" t="s">
        <v>194</v>
      </c>
      <c r="M125" s="1">
        <v>9100.0</v>
      </c>
      <c r="N125" s="1" t="s">
        <v>194</v>
      </c>
      <c r="O125" s="1">
        <v>5.2874042E7</v>
      </c>
      <c r="P125" s="1" t="s">
        <v>538</v>
      </c>
      <c r="R125" s="1" t="s">
        <v>539</v>
      </c>
      <c r="S125" s="1" t="s">
        <v>44</v>
      </c>
      <c r="T125" s="1" t="s">
        <v>45</v>
      </c>
      <c r="U125" s="1">
        <v>4.82091524E8</v>
      </c>
      <c r="W125" s="1" t="s">
        <v>44</v>
      </c>
      <c r="X125" s="1" t="s">
        <v>45</v>
      </c>
      <c r="Y125" s="1">
        <v>4.82091524E8</v>
      </c>
      <c r="AB125" s="1">
        <v>116024.0</v>
      </c>
      <c r="AC125" s="2">
        <v>41351.0</v>
      </c>
      <c r="AD125" s="1">
        <v>9100.0</v>
      </c>
      <c r="AE125" s="1" t="s">
        <v>194</v>
      </c>
      <c r="AF125" s="1" t="s">
        <v>540</v>
      </c>
      <c r="AG125" s="1" t="s">
        <v>463</v>
      </c>
      <c r="AH125" s="1">
        <v>9.0</v>
      </c>
      <c r="AI125" s="1">
        <v>2013.0</v>
      </c>
      <c r="AJ125" s="1">
        <v>2013.0</v>
      </c>
      <c r="AK125" s="1" t="s">
        <v>277</v>
      </c>
    </row>
    <row r="126">
      <c r="A126" s="1" t="s">
        <v>457</v>
      </c>
      <c r="B126" s="1" t="s">
        <v>457</v>
      </c>
      <c r="C126" s="1" t="s">
        <v>194</v>
      </c>
      <c r="E126" s="1">
        <v>3.2156174E7</v>
      </c>
      <c r="F126" s="2">
        <v>41326.0</v>
      </c>
      <c r="G126" s="1" t="s">
        <v>458</v>
      </c>
      <c r="I126" s="1" t="s">
        <v>458</v>
      </c>
      <c r="L126" s="1" t="s">
        <v>194</v>
      </c>
      <c r="M126" s="1">
        <v>9100.0</v>
      </c>
      <c r="N126" s="1" t="s">
        <v>194</v>
      </c>
      <c r="O126" s="1">
        <v>6.6707493E7</v>
      </c>
      <c r="P126" s="1" t="s">
        <v>541</v>
      </c>
      <c r="R126" s="1" t="s">
        <v>542</v>
      </c>
      <c r="S126" s="1" t="s">
        <v>44</v>
      </c>
      <c r="T126" s="1" t="s">
        <v>45</v>
      </c>
      <c r="U126" s="1">
        <v>4.8210252E8</v>
      </c>
      <c r="W126" s="1" t="s">
        <v>44</v>
      </c>
      <c r="X126" s="1" t="s">
        <v>45</v>
      </c>
      <c r="Y126" s="1">
        <v>4.8210252E8</v>
      </c>
      <c r="Z126" s="1">
        <v>2.0840815E7</v>
      </c>
      <c r="AA126" s="1" t="s">
        <v>543</v>
      </c>
      <c r="AB126" s="1">
        <v>94421.0</v>
      </c>
      <c r="AC126" s="2">
        <v>41326.0</v>
      </c>
      <c r="AD126" s="1">
        <v>9100.0</v>
      </c>
      <c r="AE126" s="1" t="s">
        <v>194</v>
      </c>
      <c r="AF126" s="1" t="s">
        <v>544</v>
      </c>
      <c r="AG126" s="1" t="s">
        <v>463</v>
      </c>
      <c r="AH126" s="1">
        <v>9.0</v>
      </c>
      <c r="AI126" s="1">
        <v>2013.0</v>
      </c>
      <c r="AJ126" s="1">
        <v>2013.0</v>
      </c>
      <c r="AK126" s="1" t="s">
        <v>277</v>
      </c>
    </row>
    <row r="127">
      <c r="A127" s="1" t="s">
        <v>457</v>
      </c>
      <c r="B127" s="1" t="s">
        <v>457</v>
      </c>
      <c r="C127" s="1" t="s">
        <v>194</v>
      </c>
      <c r="E127" s="1">
        <v>3.2156174E7</v>
      </c>
      <c r="F127" s="2">
        <v>41351.0</v>
      </c>
      <c r="G127" s="1" t="s">
        <v>458</v>
      </c>
      <c r="I127" s="1" t="s">
        <v>458</v>
      </c>
      <c r="L127" s="1" t="s">
        <v>194</v>
      </c>
      <c r="M127" s="1">
        <v>9100.0</v>
      </c>
      <c r="N127" s="1" t="s">
        <v>194</v>
      </c>
      <c r="O127" s="1">
        <v>8.30649195E8</v>
      </c>
      <c r="P127" s="1" t="s">
        <v>545</v>
      </c>
      <c r="Q127" s="1" t="s">
        <v>546</v>
      </c>
      <c r="R127" s="1" t="s">
        <v>547</v>
      </c>
      <c r="S127" s="1" t="s">
        <v>44</v>
      </c>
      <c r="T127" s="1" t="s">
        <v>45</v>
      </c>
      <c r="U127" s="1">
        <v>4.82071E8</v>
      </c>
      <c r="W127" s="1" t="s">
        <v>44</v>
      </c>
      <c r="X127" s="1" t="s">
        <v>45</v>
      </c>
      <c r="Y127" s="1">
        <v>4.82071E8</v>
      </c>
      <c r="Z127" s="1">
        <v>7.4213323E7</v>
      </c>
      <c r="AA127" s="1" t="s">
        <v>548</v>
      </c>
      <c r="AB127" s="1">
        <v>91803.0</v>
      </c>
      <c r="AC127" s="2">
        <v>41351.0</v>
      </c>
      <c r="AD127" s="1">
        <v>9100.0</v>
      </c>
      <c r="AE127" s="1" t="s">
        <v>194</v>
      </c>
      <c r="AF127" s="1" t="s">
        <v>549</v>
      </c>
      <c r="AG127" s="1" t="s">
        <v>463</v>
      </c>
      <c r="AH127" s="1">
        <v>9.0</v>
      </c>
      <c r="AI127" s="1">
        <v>2013.0</v>
      </c>
      <c r="AJ127" s="1">
        <v>2013.0</v>
      </c>
      <c r="AK127" s="1" t="s">
        <v>277</v>
      </c>
    </row>
    <row r="128">
      <c r="A128" s="1" t="s">
        <v>457</v>
      </c>
      <c r="B128" s="1" t="s">
        <v>457</v>
      </c>
      <c r="C128" s="1" t="s">
        <v>194</v>
      </c>
      <c r="E128" s="1">
        <v>3.2156174E7</v>
      </c>
      <c r="F128" s="2">
        <v>41311.0</v>
      </c>
      <c r="G128" s="1" t="s">
        <v>458</v>
      </c>
      <c r="I128" s="1" t="s">
        <v>458</v>
      </c>
      <c r="L128" s="1" t="s">
        <v>194</v>
      </c>
      <c r="M128" s="1">
        <v>9100.0</v>
      </c>
      <c r="N128" s="1" t="s">
        <v>194</v>
      </c>
      <c r="O128" s="1">
        <v>8.76992343E8</v>
      </c>
      <c r="P128" s="1" t="s">
        <v>550</v>
      </c>
      <c r="R128" s="1" t="s">
        <v>551</v>
      </c>
      <c r="S128" s="1" t="s">
        <v>44</v>
      </c>
      <c r="T128" s="1" t="s">
        <v>45</v>
      </c>
      <c r="U128" s="1">
        <v>4.82102451E8</v>
      </c>
      <c r="W128" s="1" t="s">
        <v>44</v>
      </c>
      <c r="X128" s="1" t="s">
        <v>45</v>
      </c>
      <c r="Y128" s="1">
        <v>4.82102451E8</v>
      </c>
      <c r="Z128" s="1">
        <v>8.69062901E8</v>
      </c>
      <c r="AA128" s="1" t="s">
        <v>552</v>
      </c>
      <c r="AB128" s="1">
        <v>73528.0</v>
      </c>
      <c r="AC128" s="2">
        <v>41311.0</v>
      </c>
      <c r="AD128" s="1">
        <v>9100.0</v>
      </c>
      <c r="AE128" s="1" t="s">
        <v>194</v>
      </c>
      <c r="AF128" s="1" t="s">
        <v>553</v>
      </c>
      <c r="AG128" s="1" t="s">
        <v>463</v>
      </c>
      <c r="AH128" s="1">
        <v>9.0</v>
      </c>
      <c r="AI128" s="1">
        <v>2013.0</v>
      </c>
      <c r="AJ128" s="1">
        <v>2013.0</v>
      </c>
      <c r="AK128" s="1" t="s">
        <v>277</v>
      </c>
    </row>
    <row r="129">
      <c r="A129" s="1" t="s">
        <v>457</v>
      </c>
      <c r="B129" s="1" t="s">
        <v>457</v>
      </c>
      <c r="C129" s="1" t="s">
        <v>194</v>
      </c>
      <c r="E129" s="1">
        <v>3.2156174E7</v>
      </c>
      <c r="F129" s="2">
        <v>41297.0</v>
      </c>
      <c r="G129" s="1" t="s">
        <v>458</v>
      </c>
      <c r="I129" s="1" t="s">
        <v>458</v>
      </c>
      <c r="L129" s="1" t="s">
        <v>194</v>
      </c>
      <c r="M129" s="1">
        <v>9100.0</v>
      </c>
      <c r="N129" s="1" t="s">
        <v>194</v>
      </c>
      <c r="O129" s="1">
        <v>8.3082572E8</v>
      </c>
      <c r="P129" s="1" t="s">
        <v>465</v>
      </c>
      <c r="Q129" s="1" t="s">
        <v>554</v>
      </c>
      <c r="R129" s="1" t="s">
        <v>555</v>
      </c>
      <c r="S129" s="1" t="s">
        <v>44</v>
      </c>
      <c r="T129" s="1" t="s">
        <v>45</v>
      </c>
      <c r="U129" s="1">
        <v>4.82024061E8</v>
      </c>
      <c r="W129" s="1" t="s">
        <v>44</v>
      </c>
      <c r="X129" s="1" t="s">
        <v>45</v>
      </c>
      <c r="Y129" s="1">
        <v>4.82023457E8</v>
      </c>
      <c r="Z129" s="1">
        <v>1.6338926E8</v>
      </c>
      <c r="AA129" s="1" t="s">
        <v>465</v>
      </c>
      <c r="AB129" s="1">
        <v>67299.0</v>
      </c>
      <c r="AC129" s="2">
        <v>41297.0</v>
      </c>
      <c r="AD129" s="1">
        <v>9100.0</v>
      </c>
      <c r="AE129" s="1" t="s">
        <v>194</v>
      </c>
      <c r="AF129" s="1" t="s">
        <v>556</v>
      </c>
      <c r="AG129" s="1" t="s">
        <v>463</v>
      </c>
      <c r="AH129" s="1">
        <v>9.0</v>
      </c>
      <c r="AI129" s="1">
        <v>2013.0</v>
      </c>
      <c r="AJ129" s="1">
        <v>2013.0</v>
      </c>
      <c r="AK129" s="1" t="s">
        <v>277</v>
      </c>
    </row>
    <row r="130">
      <c r="A130" s="1" t="s">
        <v>457</v>
      </c>
      <c r="B130" s="1" t="s">
        <v>457</v>
      </c>
      <c r="C130" s="1" t="s">
        <v>194</v>
      </c>
      <c r="E130" s="1">
        <v>3.2156174E7</v>
      </c>
      <c r="F130" s="2">
        <v>41298.0</v>
      </c>
      <c r="G130" s="1" t="s">
        <v>458</v>
      </c>
      <c r="I130" s="1" t="s">
        <v>458</v>
      </c>
      <c r="L130" s="1" t="s">
        <v>194</v>
      </c>
      <c r="M130" s="1">
        <v>9100.0</v>
      </c>
      <c r="N130" s="1" t="s">
        <v>194</v>
      </c>
      <c r="O130" s="1">
        <v>4.2136734E7</v>
      </c>
      <c r="P130" s="1" t="s">
        <v>557</v>
      </c>
      <c r="R130" s="1" t="s">
        <v>558</v>
      </c>
      <c r="S130" s="1" t="s">
        <v>44</v>
      </c>
      <c r="T130" s="1" t="s">
        <v>45</v>
      </c>
      <c r="U130" s="1">
        <v>4.82082204E8</v>
      </c>
      <c r="W130" s="1" t="s">
        <v>44</v>
      </c>
      <c r="X130" s="1" t="s">
        <v>45</v>
      </c>
      <c r="Y130" s="1">
        <v>4.82082204E8</v>
      </c>
      <c r="AB130" s="1">
        <v>62470.0</v>
      </c>
      <c r="AC130" s="2">
        <v>41298.0</v>
      </c>
      <c r="AD130" s="1">
        <v>9100.0</v>
      </c>
      <c r="AE130" s="1" t="s">
        <v>194</v>
      </c>
      <c r="AF130" s="1" t="s">
        <v>559</v>
      </c>
      <c r="AG130" s="1" t="s">
        <v>463</v>
      </c>
      <c r="AH130" s="1">
        <v>9.0</v>
      </c>
      <c r="AI130" s="1">
        <v>2013.0</v>
      </c>
      <c r="AJ130" s="1">
        <v>2013.0</v>
      </c>
      <c r="AK130" s="1" t="s">
        <v>277</v>
      </c>
    </row>
    <row r="131">
      <c r="A131" s="1" t="s">
        <v>457</v>
      </c>
      <c r="B131" s="1" t="s">
        <v>457</v>
      </c>
      <c r="C131" s="1" t="s">
        <v>194</v>
      </c>
      <c r="E131" s="1">
        <v>3.2156174E7</v>
      </c>
      <c r="F131" s="2">
        <v>41351.0</v>
      </c>
      <c r="G131" s="1" t="s">
        <v>458</v>
      </c>
      <c r="I131" s="1" t="s">
        <v>458</v>
      </c>
      <c r="L131" s="1" t="s">
        <v>194</v>
      </c>
      <c r="M131" s="1">
        <v>9100.0</v>
      </c>
      <c r="N131" s="1" t="s">
        <v>194</v>
      </c>
      <c r="O131" s="1">
        <v>3537326.0</v>
      </c>
      <c r="P131" s="1" t="s">
        <v>560</v>
      </c>
      <c r="R131" s="1" t="s">
        <v>561</v>
      </c>
      <c r="S131" s="1" t="s">
        <v>44</v>
      </c>
      <c r="T131" s="1" t="s">
        <v>45</v>
      </c>
      <c r="U131" s="1">
        <v>4.8212177E8</v>
      </c>
      <c r="W131" s="1" t="s">
        <v>498</v>
      </c>
      <c r="X131" s="1" t="s">
        <v>45</v>
      </c>
      <c r="Y131" s="1">
        <v>4.82121754E8</v>
      </c>
      <c r="Z131" s="1">
        <v>3537326.0</v>
      </c>
      <c r="AA131" s="1" t="s">
        <v>560</v>
      </c>
      <c r="AB131" s="1">
        <v>66640.0</v>
      </c>
      <c r="AC131" s="2">
        <v>41351.0</v>
      </c>
      <c r="AD131" s="1">
        <v>9100.0</v>
      </c>
      <c r="AE131" s="1" t="s">
        <v>194</v>
      </c>
      <c r="AF131" s="1" t="s">
        <v>562</v>
      </c>
      <c r="AG131" s="1" t="s">
        <v>463</v>
      </c>
      <c r="AH131" s="1">
        <v>9.0</v>
      </c>
      <c r="AI131" s="1">
        <v>2013.0</v>
      </c>
      <c r="AJ131" s="1">
        <v>2013.0</v>
      </c>
      <c r="AK131" s="1" t="s">
        <v>277</v>
      </c>
    </row>
    <row r="132">
      <c r="A132" s="1" t="s">
        <v>457</v>
      </c>
      <c r="B132" s="1" t="s">
        <v>457</v>
      </c>
      <c r="C132" s="1" t="s">
        <v>194</v>
      </c>
      <c r="E132" s="1">
        <v>3.2156174E7</v>
      </c>
      <c r="F132" s="2">
        <v>41304.0</v>
      </c>
      <c r="G132" s="1" t="s">
        <v>458</v>
      </c>
      <c r="I132" s="1" t="s">
        <v>458</v>
      </c>
      <c r="L132" s="1" t="s">
        <v>194</v>
      </c>
      <c r="M132" s="1">
        <v>9100.0</v>
      </c>
      <c r="N132" s="1" t="s">
        <v>194</v>
      </c>
      <c r="O132" s="1">
        <v>1.23577707E8</v>
      </c>
      <c r="P132" s="1" t="s">
        <v>563</v>
      </c>
      <c r="Q132" s="1" t="s">
        <v>564</v>
      </c>
      <c r="R132" s="1" t="s">
        <v>565</v>
      </c>
      <c r="S132" s="1" t="s">
        <v>44</v>
      </c>
      <c r="T132" s="1" t="s">
        <v>45</v>
      </c>
      <c r="U132" s="1">
        <v>4.8228333E8</v>
      </c>
      <c r="W132" s="1" t="s">
        <v>44</v>
      </c>
      <c r="X132" s="1" t="s">
        <v>45</v>
      </c>
      <c r="Y132" s="1">
        <v>4.82283396E8</v>
      </c>
      <c r="Z132" s="1">
        <v>9.60742484E8</v>
      </c>
      <c r="AB132" s="1">
        <v>46333.0</v>
      </c>
      <c r="AC132" s="2">
        <v>41304.0</v>
      </c>
      <c r="AD132" s="1">
        <v>9100.0</v>
      </c>
      <c r="AE132" s="1" t="s">
        <v>194</v>
      </c>
      <c r="AF132" s="1" t="s">
        <v>566</v>
      </c>
      <c r="AG132" s="1" t="s">
        <v>463</v>
      </c>
      <c r="AH132" s="1">
        <v>9.0</v>
      </c>
      <c r="AI132" s="1">
        <v>2013.0</v>
      </c>
      <c r="AJ132" s="1">
        <v>2013.0</v>
      </c>
      <c r="AK132" s="1" t="s">
        <v>277</v>
      </c>
    </row>
    <row r="133">
      <c r="A133" s="1" t="s">
        <v>457</v>
      </c>
      <c r="B133" s="1" t="s">
        <v>457</v>
      </c>
      <c r="C133" s="1" t="s">
        <v>194</v>
      </c>
      <c r="E133" s="1">
        <v>3.2156174E7</v>
      </c>
      <c r="F133" s="2">
        <v>41367.0</v>
      </c>
      <c r="G133" s="1" t="s">
        <v>458</v>
      </c>
      <c r="I133" s="1" t="s">
        <v>458</v>
      </c>
      <c r="L133" s="1" t="s">
        <v>194</v>
      </c>
      <c r="M133" s="1">
        <v>9100.0</v>
      </c>
      <c r="N133" s="1" t="s">
        <v>194</v>
      </c>
      <c r="O133" s="1">
        <v>7.97527715E8</v>
      </c>
      <c r="P133" s="1" t="s">
        <v>567</v>
      </c>
      <c r="R133" s="1" t="s">
        <v>568</v>
      </c>
      <c r="S133" s="1" t="s">
        <v>44</v>
      </c>
      <c r="T133" s="1" t="s">
        <v>45</v>
      </c>
      <c r="U133" s="1">
        <v>4.82123134E8</v>
      </c>
      <c r="W133" s="1" t="s">
        <v>498</v>
      </c>
      <c r="X133" s="1" t="s">
        <v>45</v>
      </c>
      <c r="Y133" s="1">
        <v>4.82123134E8</v>
      </c>
      <c r="Z133" s="1">
        <v>9.60742484E8</v>
      </c>
      <c r="AB133" s="1">
        <v>44369.0</v>
      </c>
      <c r="AC133" s="2">
        <v>41367.0</v>
      </c>
      <c r="AD133" s="1">
        <v>9100.0</v>
      </c>
      <c r="AE133" s="1" t="s">
        <v>194</v>
      </c>
      <c r="AF133" s="1" t="s">
        <v>569</v>
      </c>
      <c r="AG133" s="1" t="s">
        <v>463</v>
      </c>
      <c r="AH133" s="1">
        <v>9.0</v>
      </c>
      <c r="AI133" s="1">
        <v>2013.0</v>
      </c>
      <c r="AJ133" s="1">
        <v>2013.0</v>
      </c>
      <c r="AK133" s="1" t="s">
        <v>277</v>
      </c>
    </row>
    <row r="134">
      <c r="A134" s="1" t="s">
        <v>457</v>
      </c>
      <c r="B134" s="1" t="s">
        <v>457</v>
      </c>
      <c r="C134" s="1" t="s">
        <v>194</v>
      </c>
      <c r="E134" s="1">
        <v>3.2156174E7</v>
      </c>
      <c r="F134" s="2">
        <v>41358.0</v>
      </c>
      <c r="G134" s="1" t="s">
        <v>458</v>
      </c>
      <c r="I134" s="1" t="s">
        <v>458</v>
      </c>
      <c r="L134" s="1" t="s">
        <v>194</v>
      </c>
      <c r="M134" s="1">
        <v>9100.0</v>
      </c>
      <c r="N134" s="1" t="s">
        <v>194</v>
      </c>
      <c r="O134" s="1">
        <v>1.0030049E8</v>
      </c>
      <c r="P134" s="1" t="s">
        <v>459</v>
      </c>
      <c r="Q134" s="1" t="s">
        <v>570</v>
      </c>
      <c r="R134" s="1" t="s">
        <v>571</v>
      </c>
      <c r="S134" s="1" t="s">
        <v>44</v>
      </c>
      <c r="T134" s="1" t="s">
        <v>45</v>
      </c>
      <c r="U134" s="1">
        <v>4.82382941E8</v>
      </c>
      <c r="W134" s="1" t="s">
        <v>44</v>
      </c>
      <c r="X134" s="1" t="s">
        <v>45</v>
      </c>
      <c r="Y134" s="1">
        <v>4.82382941E8</v>
      </c>
      <c r="Z134" s="1">
        <v>7.6340843E7</v>
      </c>
      <c r="AA134" s="1" t="s">
        <v>461</v>
      </c>
      <c r="AB134" s="1">
        <v>36181.0</v>
      </c>
      <c r="AC134" s="2">
        <v>41358.0</v>
      </c>
      <c r="AD134" s="1">
        <v>9100.0</v>
      </c>
      <c r="AE134" s="1" t="s">
        <v>194</v>
      </c>
      <c r="AF134" s="1" t="s">
        <v>572</v>
      </c>
      <c r="AG134" s="1" t="s">
        <v>463</v>
      </c>
      <c r="AH134" s="1">
        <v>9.0</v>
      </c>
      <c r="AI134" s="1">
        <v>2013.0</v>
      </c>
      <c r="AJ134" s="1">
        <v>2013.0</v>
      </c>
      <c r="AK134" s="1" t="s">
        <v>277</v>
      </c>
    </row>
    <row r="135">
      <c r="A135" s="1" t="s">
        <v>457</v>
      </c>
      <c r="B135" s="1" t="s">
        <v>457</v>
      </c>
      <c r="C135" s="1" t="s">
        <v>194</v>
      </c>
      <c r="E135" s="1">
        <v>3.2156174E7</v>
      </c>
      <c r="F135" s="2">
        <v>41256.0</v>
      </c>
      <c r="G135" s="1" t="s">
        <v>458</v>
      </c>
      <c r="I135" s="1" t="s">
        <v>458</v>
      </c>
      <c r="L135" s="1" t="s">
        <v>194</v>
      </c>
      <c r="M135" s="1">
        <v>9100.0</v>
      </c>
      <c r="N135" s="1" t="s">
        <v>194</v>
      </c>
      <c r="O135" s="1">
        <v>9.65783199E8</v>
      </c>
      <c r="P135" s="1" t="s">
        <v>573</v>
      </c>
      <c r="R135" s="1" t="s">
        <v>574</v>
      </c>
      <c r="S135" s="1" t="s">
        <v>44</v>
      </c>
      <c r="T135" s="1" t="s">
        <v>45</v>
      </c>
      <c r="U135" s="1">
        <v>4.82092169E8</v>
      </c>
      <c r="W135" s="1" t="s">
        <v>44</v>
      </c>
      <c r="X135" s="1" t="s">
        <v>45</v>
      </c>
      <c r="Y135" s="1">
        <v>4.82092169E8</v>
      </c>
      <c r="AB135" s="1">
        <v>35435.0</v>
      </c>
      <c r="AC135" s="2">
        <v>41256.0</v>
      </c>
      <c r="AD135" s="1">
        <v>9100.0</v>
      </c>
      <c r="AE135" s="1" t="s">
        <v>194</v>
      </c>
      <c r="AF135" s="1" t="s">
        <v>575</v>
      </c>
      <c r="AG135" s="1" t="s">
        <v>463</v>
      </c>
      <c r="AH135" s="1">
        <v>9.0</v>
      </c>
      <c r="AI135" s="1">
        <v>2013.0</v>
      </c>
      <c r="AJ135" s="1">
        <v>2013.0</v>
      </c>
      <c r="AK135" s="1" t="s">
        <v>277</v>
      </c>
    </row>
    <row r="136">
      <c r="A136" s="1" t="s">
        <v>457</v>
      </c>
      <c r="B136" s="1" t="s">
        <v>457</v>
      </c>
      <c r="C136" s="1" t="s">
        <v>194</v>
      </c>
      <c r="E136" s="1">
        <v>3.2156174E7</v>
      </c>
      <c r="F136" s="2">
        <v>41277.0</v>
      </c>
      <c r="G136" s="1" t="s">
        <v>458</v>
      </c>
      <c r="I136" s="1" t="s">
        <v>458</v>
      </c>
      <c r="L136" s="1" t="s">
        <v>194</v>
      </c>
      <c r="M136" s="1">
        <v>9100.0</v>
      </c>
      <c r="N136" s="1" t="s">
        <v>194</v>
      </c>
      <c r="O136" s="1">
        <v>3790107.0</v>
      </c>
      <c r="P136" s="1" t="s">
        <v>576</v>
      </c>
      <c r="R136" s="1" t="s">
        <v>577</v>
      </c>
      <c r="S136" s="1" t="s">
        <v>44</v>
      </c>
      <c r="T136" s="1" t="s">
        <v>45</v>
      </c>
      <c r="U136" s="1">
        <v>4.82343284E8</v>
      </c>
      <c r="W136" s="1" t="s">
        <v>44</v>
      </c>
      <c r="X136" s="1" t="s">
        <v>45</v>
      </c>
      <c r="Y136" s="1">
        <v>4.82343284E8</v>
      </c>
      <c r="AB136" s="1">
        <v>35050.0</v>
      </c>
      <c r="AC136" s="2">
        <v>41277.0</v>
      </c>
      <c r="AD136" s="1">
        <v>9100.0</v>
      </c>
      <c r="AE136" s="1" t="s">
        <v>194</v>
      </c>
      <c r="AF136" s="1" t="s">
        <v>578</v>
      </c>
      <c r="AG136" s="1" t="s">
        <v>463</v>
      </c>
      <c r="AH136" s="1">
        <v>9.0</v>
      </c>
      <c r="AI136" s="1">
        <v>2013.0</v>
      </c>
      <c r="AJ136" s="1">
        <v>2013.0</v>
      </c>
      <c r="AK136" s="1" t="s">
        <v>277</v>
      </c>
    </row>
    <row r="137">
      <c r="A137" s="1" t="s">
        <v>457</v>
      </c>
      <c r="B137" s="1" t="s">
        <v>457</v>
      </c>
      <c r="C137" s="1" t="s">
        <v>194</v>
      </c>
      <c r="E137" s="1">
        <v>3.2156174E7</v>
      </c>
      <c r="F137" s="2">
        <v>41327.0</v>
      </c>
      <c r="G137" s="1" t="s">
        <v>458</v>
      </c>
      <c r="I137" s="1" t="s">
        <v>458</v>
      </c>
      <c r="L137" s="1" t="s">
        <v>194</v>
      </c>
      <c r="M137" s="1">
        <v>9100.0</v>
      </c>
      <c r="N137" s="1" t="s">
        <v>194</v>
      </c>
      <c r="O137" s="1">
        <v>9.6910162E8</v>
      </c>
      <c r="P137" s="1" t="s">
        <v>579</v>
      </c>
      <c r="R137" s="1" t="s">
        <v>580</v>
      </c>
      <c r="S137" s="1" t="s">
        <v>44</v>
      </c>
      <c r="T137" s="1" t="s">
        <v>45</v>
      </c>
      <c r="U137" s="1">
        <v>4.82283905E8</v>
      </c>
      <c r="W137" s="1" t="s">
        <v>287</v>
      </c>
      <c r="X137" s="1" t="s">
        <v>45</v>
      </c>
      <c r="Y137" s="1">
        <v>4.82283905E8</v>
      </c>
      <c r="AB137" s="1">
        <v>31609.0</v>
      </c>
      <c r="AC137" s="2">
        <v>41327.0</v>
      </c>
      <c r="AD137" s="1">
        <v>9100.0</v>
      </c>
      <c r="AE137" s="1" t="s">
        <v>194</v>
      </c>
      <c r="AF137" s="1" t="s">
        <v>581</v>
      </c>
      <c r="AG137" s="1" t="s">
        <v>463</v>
      </c>
      <c r="AH137" s="1">
        <v>9.0</v>
      </c>
      <c r="AI137" s="1">
        <v>2013.0</v>
      </c>
      <c r="AJ137" s="1">
        <v>2013.0</v>
      </c>
      <c r="AK137" s="1" t="s">
        <v>277</v>
      </c>
    </row>
    <row r="138">
      <c r="A138" s="1" t="s">
        <v>457</v>
      </c>
      <c r="B138" s="1" t="s">
        <v>457</v>
      </c>
      <c r="C138" s="1" t="s">
        <v>194</v>
      </c>
      <c r="E138" s="1">
        <v>3.2156174E7</v>
      </c>
      <c r="F138" s="2">
        <v>41360.0</v>
      </c>
      <c r="G138" s="1" t="s">
        <v>458</v>
      </c>
      <c r="I138" s="1" t="s">
        <v>458</v>
      </c>
      <c r="L138" s="1" t="s">
        <v>194</v>
      </c>
      <c r="M138" s="1">
        <v>9100.0</v>
      </c>
      <c r="N138" s="1" t="s">
        <v>194</v>
      </c>
      <c r="O138" s="1">
        <v>7.97531295E8</v>
      </c>
      <c r="P138" s="1" t="s">
        <v>582</v>
      </c>
      <c r="R138" s="1" t="s">
        <v>583</v>
      </c>
      <c r="S138" s="1" t="s">
        <v>44</v>
      </c>
      <c r="T138" s="1" t="s">
        <v>45</v>
      </c>
      <c r="U138" s="1">
        <v>4.82123452E8</v>
      </c>
      <c r="W138" s="1" t="s">
        <v>498</v>
      </c>
      <c r="X138" s="1" t="s">
        <v>45</v>
      </c>
      <c r="Y138" s="1">
        <v>4.82123452E8</v>
      </c>
      <c r="AB138" s="1">
        <v>32281.0</v>
      </c>
      <c r="AC138" s="2">
        <v>41360.0</v>
      </c>
      <c r="AD138" s="1">
        <v>9100.0</v>
      </c>
      <c r="AE138" s="1" t="s">
        <v>194</v>
      </c>
      <c r="AF138" s="1" t="s">
        <v>584</v>
      </c>
      <c r="AG138" s="1" t="s">
        <v>463</v>
      </c>
      <c r="AH138" s="1">
        <v>9.0</v>
      </c>
      <c r="AI138" s="1">
        <v>2013.0</v>
      </c>
      <c r="AJ138" s="1">
        <v>2013.0</v>
      </c>
      <c r="AK138" s="1" t="s">
        <v>277</v>
      </c>
    </row>
    <row r="139">
      <c r="A139" s="1" t="s">
        <v>457</v>
      </c>
      <c r="B139" s="1" t="s">
        <v>457</v>
      </c>
      <c r="C139" s="1" t="s">
        <v>194</v>
      </c>
      <c r="E139" s="1">
        <v>3.2156174E7</v>
      </c>
      <c r="F139" s="2">
        <v>41306.0</v>
      </c>
      <c r="G139" s="1" t="s">
        <v>458</v>
      </c>
      <c r="I139" s="1" t="s">
        <v>458</v>
      </c>
      <c r="L139" s="1" t="s">
        <v>194</v>
      </c>
      <c r="M139" s="1">
        <v>9100.0</v>
      </c>
      <c r="N139" s="1" t="s">
        <v>194</v>
      </c>
      <c r="O139" s="1">
        <v>1.38064923E8</v>
      </c>
      <c r="P139" s="1" t="s">
        <v>585</v>
      </c>
      <c r="R139" s="1" t="s">
        <v>586</v>
      </c>
      <c r="S139" s="1" t="s">
        <v>44</v>
      </c>
      <c r="T139" s="1" t="s">
        <v>45</v>
      </c>
      <c r="U139" s="1">
        <v>4.82152861E8</v>
      </c>
      <c r="W139" s="1" t="s">
        <v>44</v>
      </c>
      <c r="X139" s="1" t="s">
        <v>45</v>
      </c>
      <c r="Y139" s="1">
        <v>4.82152861E8</v>
      </c>
      <c r="Z139" s="1">
        <v>9.60742484E8</v>
      </c>
      <c r="AB139" s="1">
        <v>31964.0</v>
      </c>
      <c r="AC139" s="2">
        <v>41306.0</v>
      </c>
      <c r="AD139" s="1">
        <v>9100.0</v>
      </c>
      <c r="AE139" s="1" t="s">
        <v>194</v>
      </c>
      <c r="AF139" s="1" t="s">
        <v>587</v>
      </c>
      <c r="AG139" s="1" t="s">
        <v>463</v>
      </c>
      <c r="AH139" s="1">
        <v>9.0</v>
      </c>
      <c r="AI139" s="1">
        <v>2013.0</v>
      </c>
      <c r="AJ139" s="1">
        <v>2013.0</v>
      </c>
      <c r="AK139" s="1" t="s">
        <v>277</v>
      </c>
    </row>
    <row r="140">
      <c r="A140" s="1" t="s">
        <v>457</v>
      </c>
      <c r="B140" s="1" t="s">
        <v>457</v>
      </c>
      <c r="C140" s="1" t="s">
        <v>194</v>
      </c>
      <c r="E140" s="1">
        <v>3.2156174E7</v>
      </c>
      <c r="F140" s="2">
        <v>41304.0</v>
      </c>
      <c r="G140" s="1" t="s">
        <v>458</v>
      </c>
      <c r="I140" s="1" t="s">
        <v>458</v>
      </c>
      <c r="L140" s="1" t="s">
        <v>194</v>
      </c>
      <c r="M140" s="1">
        <v>9100.0</v>
      </c>
      <c r="N140" s="1" t="s">
        <v>194</v>
      </c>
      <c r="O140" s="1">
        <v>1.68568132E8</v>
      </c>
      <c r="P140" s="1" t="s">
        <v>588</v>
      </c>
      <c r="R140" s="1" t="s">
        <v>589</v>
      </c>
      <c r="S140" s="1" t="s">
        <v>44</v>
      </c>
      <c r="T140" s="1" t="s">
        <v>45</v>
      </c>
      <c r="U140" s="1">
        <v>4.82143323E8</v>
      </c>
      <c r="W140" s="1" t="s">
        <v>44</v>
      </c>
      <c r="X140" s="1" t="s">
        <v>45</v>
      </c>
      <c r="Y140" s="1">
        <v>4.82143323E8</v>
      </c>
      <c r="Z140" s="1">
        <v>9.60742484E8</v>
      </c>
      <c r="AB140" s="1">
        <v>29886.0</v>
      </c>
      <c r="AC140" s="2">
        <v>41304.0</v>
      </c>
      <c r="AD140" s="1">
        <v>9100.0</v>
      </c>
      <c r="AE140" s="1" t="s">
        <v>194</v>
      </c>
      <c r="AF140" s="1" t="s">
        <v>590</v>
      </c>
      <c r="AG140" s="1" t="s">
        <v>463</v>
      </c>
      <c r="AH140" s="1">
        <v>9.0</v>
      </c>
      <c r="AI140" s="1">
        <v>2013.0</v>
      </c>
      <c r="AJ140" s="1">
        <v>2013.0</v>
      </c>
      <c r="AK140" s="1" t="s">
        <v>277</v>
      </c>
    </row>
    <row r="141">
      <c r="A141" s="1" t="s">
        <v>457</v>
      </c>
      <c r="B141" s="1" t="s">
        <v>457</v>
      </c>
      <c r="C141" s="1" t="s">
        <v>194</v>
      </c>
      <c r="E141" s="1">
        <v>3.2156174E7</v>
      </c>
      <c r="F141" s="2">
        <v>41325.0</v>
      </c>
      <c r="G141" s="1" t="s">
        <v>458</v>
      </c>
      <c r="I141" s="1" t="s">
        <v>458</v>
      </c>
      <c r="L141" s="1" t="s">
        <v>194</v>
      </c>
      <c r="M141" s="1">
        <v>9100.0</v>
      </c>
      <c r="N141" s="1" t="s">
        <v>194</v>
      </c>
      <c r="O141" s="1">
        <v>1.52807538E8</v>
      </c>
      <c r="P141" s="1" t="s">
        <v>591</v>
      </c>
      <c r="R141" s="1" t="s">
        <v>592</v>
      </c>
      <c r="S141" s="1" t="s">
        <v>44</v>
      </c>
      <c r="T141" s="1" t="s">
        <v>45</v>
      </c>
      <c r="U141" s="1">
        <v>4.82191161E8</v>
      </c>
      <c r="W141" s="1" t="s">
        <v>44</v>
      </c>
      <c r="X141" s="1" t="s">
        <v>45</v>
      </c>
      <c r="Y141" s="1">
        <v>4.82191161E8</v>
      </c>
      <c r="AB141" s="1">
        <v>29349.0</v>
      </c>
      <c r="AC141" s="2">
        <v>41325.0</v>
      </c>
      <c r="AD141" s="1">
        <v>9100.0</v>
      </c>
      <c r="AE141" s="1" t="s">
        <v>194</v>
      </c>
      <c r="AF141" s="1" t="s">
        <v>593</v>
      </c>
      <c r="AG141" s="1" t="s">
        <v>463</v>
      </c>
      <c r="AH141" s="1">
        <v>9.0</v>
      </c>
      <c r="AI141" s="1">
        <v>2013.0</v>
      </c>
      <c r="AJ141" s="1">
        <v>2013.0</v>
      </c>
      <c r="AK141" s="1" t="s">
        <v>277</v>
      </c>
    </row>
    <row r="142">
      <c r="A142" s="1" t="s">
        <v>457</v>
      </c>
      <c r="B142" s="1" t="s">
        <v>457</v>
      </c>
      <c r="C142" s="1" t="s">
        <v>194</v>
      </c>
      <c r="E142" s="1">
        <v>3.2156174E7</v>
      </c>
      <c r="F142" s="2">
        <v>41306.0</v>
      </c>
      <c r="G142" s="1" t="s">
        <v>458</v>
      </c>
      <c r="I142" s="1" t="s">
        <v>458</v>
      </c>
      <c r="L142" s="1" t="s">
        <v>194</v>
      </c>
      <c r="M142" s="1">
        <v>9100.0</v>
      </c>
      <c r="N142" s="1" t="s">
        <v>194</v>
      </c>
      <c r="O142" s="1">
        <v>8.30792151E8</v>
      </c>
      <c r="P142" s="1" t="s">
        <v>594</v>
      </c>
      <c r="Q142" s="1" t="s">
        <v>595</v>
      </c>
      <c r="R142" s="1" t="s">
        <v>596</v>
      </c>
      <c r="S142" s="1" t="s">
        <v>44</v>
      </c>
      <c r="T142" s="1" t="s">
        <v>45</v>
      </c>
      <c r="U142" s="1">
        <v>4.82382356E8</v>
      </c>
      <c r="W142" s="1" t="s">
        <v>44</v>
      </c>
      <c r="X142" s="1" t="s">
        <v>45</v>
      </c>
      <c r="Y142" s="1">
        <v>4.82382356E8</v>
      </c>
      <c r="Z142" s="1">
        <v>9.60742484E8</v>
      </c>
      <c r="AB142" s="1">
        <v>46649.0</v>
      </c>
      <c r="AC142" s="2">
        <v>41306.0</v>
      </c>
      <c r="AD142" s="1">
        <v>9100.0</v>
      </c>
      <c r="AE142" s="1" t="s">
        <v>194</v>
      </c>
      <c r="AF142" s="1" t="s">
        <v>597</v>
      </c>
      <c r="AG142" s="1" t="s">
        <v>463</v>
      </c>
      <c r="AH142" s="1">
        <v>9.0</v>
      </c>
      <c r="AI142" s="1">
        <v>2013.0</v>
      </c>
      <c r="AJ142" s="1">
        <v>2013.0</v>
      </c>
      <c r="AK142" s="1" t="s">
        <v>277</v>
      </c>
    </row>
    <row r="143">
      <c r="A143" s="1" t="s">
        <v>457</v>
      </c>
      <c r="B143" s="1" t="s">
        <v>457</v>
      </c>
      <c r="C143" s="1" t="s">
        <v>194</v>
      </c>
      <c r="E143" s="1">
        <v>3.2156174E7</v>
      </c>
      <c r="F143" s="2">
        <v>41383.0</v>
      </c>
      <c r="G143" s="1" t="s">
        <v>458</v>
      </c>
      <c r="I143" s="1" t="s">
        <v>458</v>
      </c>
      <c r="L143" s="1" t="s">
        <v>194</v>
      </c>
      <c r="M143" s="1">
        <v>9100.0</v>
      </c>
      <c r="N143" s="1" t="s">
        <v>194</v>
      </c>
      <c r="O143" s="1">
        <v>1.6338926E8</v>
      </c>
      <c r="P143" s="1" t="s">
        <v>465</v>
      </c>
      <c r="Q143" s="1" t="s">
        <v>598</v>
      </c>
      <c r="R143" s="1" t="s">
        <v>599</v>
      </c>
      <c r="S143" s="1" t="s">
        <v>44</v>
      </c>
      <c r="T143" s="1" t="s">
        <v>45</v>
      </c>
      <c r="U143" s="1">
        <v>4.82023457E8</v>
      </c>
      <c r="W143" s="1" t="s">
        <v>44</v>
      </c>
      <c r="X143" s="1" t="s">
        <v>45</v>
      </c>
      <c r="Y143" s="1">
        <v>4.82023457E8</v>
      </c>
      <c r="Z143" s="1">
        <v>1.6338926E8</v>
      </c>
      <c r="AA143" s="1" t="s">
        <v>465</v>
      </c>
      <c r="AB143" s="1">
        <v>27360.0</v>
      </c>
      <c r="AC143" s="2">
        <v>41383.0</v>
      </c>
      <c r="AD143" s="1">
        <v>9100.0</v>
      </c>
      <c r="AE143" s="1" t="s">
        <v>194</v>
      </c>
      <c r="AF143" s="1" t="s">
        <v>600</v>
      </c>
      <c r="AG143" s="1" t="s">
        <v>463</v>
      </c>
      <c r="AH143" s="1">
        <v>9.0</v>
      </c>
      <c r="AI143" s="1">
        <v>2013.0</v>
      </c>
      <c r="AJ143" s="1">
        <v>2013.0</v>
      </c>
      <c r="AK143" s="1" t="s">
        <v>277</v>
      </c>
    </row>
    <row r="144">
      <c r="A144" s="1" t="s">
        <v>457</v>
      </c>
      <c r="B144" s="1" t="s">
        <v>457</v>
      </c>
      <c r="C144" s="1" t="s">
        <v>194</v>
      </c>
      <c r="E144" s="1">
        <v>3.2156174E7</v>
      </c>
      <c r="F144" s="2">
        <v>41290.0</v>
      </c>
      <c r="G144" s="1" t="s">
        <v>458</v>
      </c>
      <c r="I144" s="1" t="s">
        <v>458</v>
      </c>
      <c r="L144" s="1" t="s">
        <v>194</v>
      </c>
      <c r="M144" s="1">
        <v>9100.0</v>
      </c>
      <c r="N144" s="1" t="s">
        <v>194</v>
      </c>
      <c r="O144" s="1">
        <v>7.94990296E8</v>
      </c>
      <c r="P144" s="1" t="s">
        <v>601</v>
      </c>
      <c r="R144" s="1" t="s">
        <v>602</v>
      </c>
      <c r="S144" s="1" t="s">
        <v>44</v>
      </c>
      <c r="T144" s="1" t="s">
        <v>45</v>
      </c>
      <c r="U144" s="1">
        <v>4.82032827E8</v>
      </c>
      <c r="W144" s="1" t="s">
        <v>603</v>
      </c>
      <c r="X144" s="1" t="s">
        <v>45</v>
      </c>
      <c r="Y144" s="1">
        <v>4.82032827E8</v>
      </c>
      <c r="AB144" s="1">
        <v>28887.0</v>
      </c>
      <c r="AC144" s="2">
        <v>41290.0</v>
      </c>
      <c r="AD144" s="1">
        <v>9100.0</v>
      </c>
      <c r="AE144" s="1" t="s">
        <v>194</v>
      </c>
      <c r="AF144" s="1" t="s">
        <v>604</v>
      </c>
      <c r="AG144" s="1" t="s">
        <v>463</v>
      </c>
      <c r="AH144" s="1">
        <v>9.0</v>
      </c>
      <c r="AI144" s="1">
        <v>2013.0</v>
      </c>
      <c r="AJ144" s="1">
        <v>2013.0</v>
      </c>
      <c r="AK144" s="1" t="s">
        <v>277</v>
      </c>
    </row>
    <row r="145">
      <c r="A145" s="1" t="s">
        <v>457</v>
      </c>
      <c r="B145" s="1" t="s">
        <v>457</v>
      </c>
      <c r="C145" s="1" t="s">
        <v>194</v>
      </c>
      <c r="E145" s="1">
        <v>3.2156174E7</v>
      </c>
      <c r="F145" s="2">
        <v>41390.0</v>
      </c>
      <c r="G145" s="1" t="s">
        <v>458</v>
      </c>
      <c r="I145" s="1" t="s">
        <v>458</v>
      </c>
      <c r="L145" s="1" t="s">
        <v>194</v>
      </c>
      <c r="M145" s="1">
        <v>9100.0</v>
      </c>
      <c r="N145" s="1" t="s">
        <v>194</v>
      </c>
      <c r="O145" s="1">
        <v>7.0381949E7</v>
      </c>
      <c r="P145" s="1" t="s">
        <v>605</v>
      </c>
      <c r="R145" s="1" t="s">
        <v>606</v>
      </c>
      <c r="S145" s="1" t="s">
        <v>44</v>
      </c>
      <c r="T145" s="1" t="s">
        <v>45</v>
      </c>
      <c r="U145" s="1">
        <v>4.82123033E8</v>
      </c>
      <c r="W145" s="1" t="s">
        <v>607</v>
      </c>
      <c r="X145" s="1" t="s">
        <v>45</v>
      </c>
      <c r="Y145" s="1">
        <v>4.82123033E8</v>
      </c>
      <c r="AB145" s="1">
        <v>36671.0</v>
      </c>
      <c r="AC145" s="2">
        <v>41390.0</v>
      </c>
      <c r="AD145" s="1">
        <v>9100.0</v>
      </c>
      <c r="AE145" s="1" t="s">
        <v>194</v>
      </c>
      <c r="AF145" s="1" t="s">
        <v>608</v>
      </c>
      <c r="AG145" s="1" t="s">
        <v>463</v>
      </c>
      <c r="AH145" s="1">
        <v>9.0</v>
      </c>
      <c r="AI145" s="1">
        <v>2013.0</v>
      </c>
      <c r="AJ145" s="1">
        <v>2013.0</v>
      </c>
      <c r="AK145" s="1" t="s">
        <v>277</v>
      </c>
    </row>
    <row r="146">
      <c r="A146" s="1" t="s">
        <v>457</v>
      </c>
      <c r="B146" s="1" t="s">
        <v>457</v>
      </c>
      <c r="C146" s="1" t="s">
        <v>194</v>
      </c>
      <c r="E146" s="1">
        <v>3.2156174E7</v>
      </c>
      <c r="F146" s="2">
        <v>41367.0</v>
      </c>
      <c r="G146" s="1" t="s">
        <v>458</v>
      </c>
      <c r="I146" s="1" t="s">
        <v>458</v>
      </c>
      <c r="L146" s="1" t="s">
        <v>194</v>
      </c>
      <c r="M146" s="1">
        <v>9100.0</v>
      </c>
      <c r="N146" s="1" t="s">
        <v>194</v>
      </c>
      <c r="O146" s="1">
        <v>2.496865E7</v>
      </c>
      <c r="P146" s="1" t="s">
        <v>609</v>
      </c>
      <c r="R146" s="1" t="s">
        <v>610</v>
      </c>
      <c r="S146" s="1" t="s">
        <v>44</v>
      </c>
      <c r="T146" s="1" t="s">
        <v>45</v>
      </c>
      <c r="U146" s="1">
        <v>4.8235168E8</v>
      </c>
      <c r="W146" s="1" t="s">
        <v>46</v>
      </c>
      <c r="X146" s="1" t="s">
        <v>45</v>
      </c>
      <c r="Y146" s="1">
        <v>4.82352474E8</v>
      </c>
      <c r="AB146" s="1">
        <v>28524.0</v>
      </c>
      <c r="AC146" s="2">
        <v>41367.0</v>
      </c>
      <c r="AD146" s="1">
        <v>9100.0</v>
      </c>
      <c r="AE146" s="1" t="s">
        <v>194</v>
      </c>
      <c r="AF146" s="1" t="s">
        <v>611</v>
      </c>
      <c r="AG146" s="1" t="s">
        <v>463</v>
      </c>
      <c r="AH146" s="1">
        <v>9.0</v>
      </c>
      <c r="AI146" s="1">
        <v>2013.0</v>
      </c>
      <c r="AJ146" s="1">
        <v>2013.0</v>
      </c>
      <c r="AK146" s="1" t="s">
        <v>277</v>
      </c>
    </row>
    <row r="147">
      <c r="A147" s="1" t="s">
        <v>457</v>
      </c>
      <c r="B147" s="1" t="s">
        <v>457</v>
      </c>
      <c r="C147" s="1" t="s">
        <v>194</v>
      </c>
      <c r="E147" s="1">
        <v>3.2156174E7</v>
      </c>
      <c r="F147" s="2">
        <v>41395.0</v>
      </c>
      <c r="G147" s="1" t="s">
        <v>458</v>
      </c>
      <c r="I147" s="1" t="s">
        <v>458</v>
      </c>
      <c r="L147" s="1" t="s">
        <v>194</v>
      </c>
      <c r="M147" s="1">
        <v>9100.0</v>
      </c>
      <c r="N147" s="1" t="s">
        <v>194</v>
      </c>
      <c r="O147" s="1">
        <v>3.9866801E7</v>
      </c>
      <c r="P147" s="1" t="s">
        <v>612</v>
      </c>
      <c r="R147" s="1" t="s">
        <v>613</v>
      </c>
      <c r="S147" s="1" t="s">
        <v>44</v>
      </c>
      <c r="T147" s="1" t="s">
        <v>45</v>
      </c>
      <c r="U147" s="1">
        <v>4.82123753E8</v>
      </c>
      <c r="W147" s="1" t="s">
        <v>607</v>
      </c>
      <c r="X147" s="1" t="s">
        <v>45</v>
      </c>
      <c r="Y147" s="1">
        <v>4.82120012E8</v>
      </c>
      <c r="Z147" s="1">
        <v>3.9866801E7</v>
      </c>
      <c r="AA147" s="1" t="s">
        <v>612</v>
      </c>
      <c r="AB147" s="1">
        <v>383466.0</v>
      </c>
      <c r="AC147" s="2">
        <v>41395.0</v>
      </c>
      <c r="AD147" s="1">
        <v>9100.0</v>
      </c>
      <c r="AE147" s="1" t="s">
        <v>194</v>
      </c>
      <c r="AF147" s="1" t="s">
        <v>614</v>
      </c>
      <c r="AG147" s="1" t="s">
        <v>463</v>
      </c>
      <c r="AH147" s="1">
        <v>9.0</v>
      </c>
      <c r="AI147" s="1">
        <v>2013.0</v>
      </c>
      <c r="AJ147" s="1">
        <v>2013.0</v>
      </c>
      <c r="AK147" s="1" t="s">
        <v>277</v>
      </c>
    </row>
    <row r="148">
      <c r="A148" s="1" t="s">
        <v>457</v>
      </c>
      <c r="B148" s="1" t="s">
        <v>457</v>
      </c>
      <c r="C148" s="1" t="s">
        <v>194</v>
      </c>
      <c r="E148" s="1">
        <v>3.2156174E7</v>
      </c>
      <c r="F148" s="2">
        <v>41240.0</v>
      </c>
      <c r="G148" s="1" t="s">
        <v>458</v>
      </c>
      <c r="I148" s="1" t="s">
        <v>458</v>
      </c>
      <c r="L148" s="1" t="s">
        <v>194</v>
      </c>
      <c r="M148" s="1">
        <v>9100.0</v>
      </c>
      <c r="N148" s="1" t="s">
        <v>194</v>
      </c>
      <c r="O148" s="1">
        <v>7.8346351E7</v>
      </c>
      <c r="P148" s="1" t="s">
        <v>615</v>
      </c>
      <c r="R148" s="1" t="s">
        <v>616</v>
      </c>
      <c r="S148" s="1" t="s">
        <v>44</v>
      </c>
      <c r="T148" s="1" t="s">
        <v>45</v>
      </c>
      <c r="U148" s="1">
        <v>4.82026022E8</v>
      </c>
      <c r="W148" s="1" t="s">
        <v>46</v>
      </c>
      <c r="X148" s="1" t="s">
        <v>45</v>
      </c>
      <c r="Y148" s="1">
        <v>4.82023037E8</v>
      </c>
      <c r="Z148" s="1">
        <v>7.4258047E7</v>
      </c>
      <c r="AA148" s="1" t="s">
        <v>617</v>
      </c>
      <c r="AB148" s="1">
        <v>1016239.0</v>
      </c>
      <c r="AC148" s="2">
        <v>41240.0</v>
      </c>
      <c r="AD148" s="1">
        <v>9100.0</v>
      </c>
      <c r="AE148" s="1" t="s">
        <v>194</v>
      </c>
      <c r="AF148" s="1" t="s">
        <v>618</v>
      </c>
      <c r="AG148" s="1" t="s">
        <v>463</v>
      </c>
      <c r="AH148" s="1">
        <v>9.0</v>
      </c>
      <c r="AI148" s="1">
        <v>2013.0</v>
      </c>
      <c r="AJ148" s="1">
        <v>2013.0</v>
      </c>
      <c r="AK148" s="1" t="s">
        <v>277</v>
      </c>
    </row>
    <row r="149">
      <c r="A149" s="1" t="s">
        <v>457</v>
      </c>
      <c r="B149" s="1" t="s">
        <v>457</v>
      </c>
      <c r="C149" s="1" t="s">
        <v>194</v>
      </c>
      <c r="E149" s="1">
        <v>3.2156174E7</v>
      </c>
      <c r="F149" s="2">
        <v>41282.0</v>
      </c>
      <c r="G149" s="1" t="s">
        <v>458</v>
      </c>
      <c r="I149" s="1" t="s">
        <v>458</v>
      </c>
      <c r="L149" s="1" t="s">
        <v>194</v>
      </c>
      <c r="M149" s="1">
        <v>9100.0</v>
      </c>
      <c r="N149" s="1" t="s">
        <v>194</v>
      </c>
      <c r="O149" s="1">
        <v>9.62949843E8</v>
      </c>
      <c r="P149" s="1" t="s">
        <v>619</v>
      </c>
      <c r="R149" s="1" t="s">
        <v>620</v>
      </c>
      <c r="S149" s="1" t="s">
        <v>44</v>
      </c>
      <c r="T149" s="1" t="s">
        <v>45</v>
      </c>
      <c r="U149" s="1">
        <v>4.82042306E8</v>
      </c>
      <c r="W149" s="1" t="s">
        <v>44</v>
      </c>
      <c r="X149" s="1" t="s">
        <v>45</v>
      </c>
      <c r="Y149" s="1">
        <v>4.82042306E8</v>
      </c>
      <c r="AB149" s="1">
        <v>92000.0</v>
      </c>
      <c r="AC149" s="2">
        <v>41282.0</v>
      </c>
      <c r="AD149" s="1">
        <v>9100.0</v>
      </c>
      <c r="AE149" s="1" t="s">
        <v>194</v>
      </c>
      <c r="AF149" s="1" t="s">
        <v>621</v>
      </c>
      <c r="AG149" s="1" t="s">
        <v>463</v>
      </c>
      <c r="AH149" s="1">
        <v>9.0</v>
      </c>
      <c r="AI149" s="1">
        <v>2013.0</v>
      </c>
      <c r="AJ149" s="1">
        <v>2013.0</v>
      </c>
      <c r="AK149" s="1" t="s">
        <v>277</v>
      </c>
    </row>
    <row r="150">
      <c r="A150" s="1" t="s">
        <v>457</v>
      </c>
      <c r="B150" s="1" t="s">
        <v>457</v>
      </c>
      <c r="C150" s="1" t="s">
        <v>194</v>
      </c>
      <c r="E150" s="1">
        <v>3.2156174E7</v>
      </c>
      <c r="F150" s="2">
        <v>41367.0</v>
      </c>
      <c r="G150" s="1" t="s">
        <v>458</v>
      </c>
      <c r="I150" s="1" t="s">
        <v>458</v>
      </c>
      <c r="L150" s="1" t="s">
        <v>194</v>
      </c>
      <c r="M150" s="1">
        <v>9100.0</v>
      </c>
      <c r="N150" s="1" t="s">
        <v>194</v>
      </c>
      <c r="O150" s="1">
        <v>8.29503312E8</v>
      </c>
      <c r="P150" s="1" t="s">
        <v>622</v>
      </c>
      <c r="R150" s="1" t="s">
        <v>623</v>
      </c>
      <c r="S150" s="1" t="s">
        <v>44</v>
      </c>
      <c r="T150" s="1" t="s">
        <v>45</v>
      </c>
      <c r="U150" s="1">
        <v>4.82035715E8</v>
      </c>
      <c r="W150" s="1" t="s">
        <v>603</v>
      </c>
      <c r="X150" s="1" t="s">
        <v>45</v>
      </c>
      <c r="Y150" s="1">
        <v>4.82035715E8</v>
      </c>
      <c r="Z150" s="1">
        <v>6.9828267E7</v>
      </c>
      <c r="AA150" s="1" t="s">
        <v>624</v>
      </c>
      <c r="AB150" s="1">
        <v>91088.0</v>
      </c>
      <c r="AC150" s="2">
        <v>41367.0</v>
      </c>
      <c r="AD150" s="1">
        <v>9100.0</v>
      </c>
      <c r="AE150" s="1" t="s">
        <v>194</v>
      </c>
      <c r="AF150" s="1" t="s">
        <v>625</v>
      </c>
      <c r="AG150" s="1" t="s">
        <v>463</v>
      </c>
      <c r="AH150" s="1">
        <v>9.0</v>
      </c>
      <c r="AI150" s="1">
        <v>2013.0</v>
      </c>
      <c r="AJ150" s="1">
        <v>2013.0</v>
      </c>
      <c r="AK150" s="1" t="s">
        <v>277</v>
      </c>
    </row>
    <row r="151">
      <c r="A151" s="1" t="s">
        <v>457</v>
      </c>
      <c r="B151" s="1" t="s">
        <v>457</v>
      </c>
      <c r="C151" s="1" t="s">
        <v>194</v>
      </c>
      <c r="E151" s="1">
        <v>3.2156174E7</v>
      </c>
      <c r="F151" s="2">
        <v>41353.0</v>
      </c>
      <c r="G151" s="1" t="s">
        <v>458</v>
      </c>
      <c r="I151" s="1" t="s">
        <v>458</v>
      </c>
      <c r="L151" s="1" t="s">
        <v>194</v>
      </c>
      <c r="M151" s="1">
        <v>9100.0</v>
      </c>
      <c r="N151" s="1" t="s">
        <v>194</v>
      </c>
      <c r="O151" s="1">
        <v>1.47777952E8</v>
      </c>
      <c r="P151" s="1" t="s">
        <v>459</v>
      </c>
      <c r="Q151" s="1" t="s">
        <v>626</v>
      </c>
      <c r="R151" s="1" t="s">
        <v>627</v>
      </c>
      <c r="S151" s="1" t="s">
        <v>44</v>
      </c>
      <c r="T151" s="1" t="s">
        <v>45</v>
      </c>
      <c r="U151" s="1">
        <v>4.82072112E8</v>
      </c>
      <c r="W151" s="1" t="s">
        <v>44</v>
      </c>
      <c r="X151" s="1" t="s">
        <v>45</v>
      </c>
      <c r="Y151" s="1">
        <v>4.82072112E8</v>
      </c>
      <c r="Z151" s="1">
        <v>7.6340843E7</v>
      </c>
      <c r="AA151" s="1" t="s">
        <v>461</v>
      </c>
      <c r="AB151" s="1">
        <v>65357.0</v>
      </c>
      <c r="AC151" s="2">
        <v>41353.0</v>
      </c>
      <c r="AD151" s="1">
        <v>9100.0</v>
      </c>
      <c r="AE151" s="1" t="s">
        <v>194</v>
      </c>
      <c r="AF151" s="1" t="s">
        <v>628</v>
      </c>
      <c r="AG151" s="1" t="s">
        <v>463</v>
      </c>
      <c r="AH151" s="1">
        <v>9.0</v>
      </c>
      <c r="AI151" s="1">
        <v>2013.0</v>
      </c>
      <c r="AJ151" s="1">
        <v>2013.0</v>
      </c>
      <c r="AK151" s="1" t="s">
        <v>277</v>
      </c>
    </row>
    <row r="152">
      <c r="A152" s="1" t="s">
        <v>457</v>
      </c>
      <c r="B152" s="1" t="s">
        <v>457</v>
      </c>
      <c r="C152" s="1" t="s">
        <v>194</v>
      </c>
      <c r="E152" s="1">
        <v>3.2156174E7</v>
      </c>
      <c r="F152" s="2">
        <v>41284.0</v>
      </c>
      <c r="G152" s="1" t="s">
        <v>458</v>
      </c>
      <c r="I152" s="1" t="s">
        <v>458</v>
      </c>
      <c r="L152" s="1" t="s">
        <v>194</v>
      </c>
      <c r="M152" s="1">
        <v>9100.0</v>
      </c>
      <c r="N152" s="1" t="s">
        <v>194</v>
      </c>
      <c r="O152" s="1">
        <v>5.4074575E7</v>
      </c>
      <c r="P152" s="1" t="s">
        <v>629</v>
      </c>
      <c r="Q152" s="1" t="s">
        <v>630</v>
      </c>
      <c r="R152" s="1" t="s">
        <v>631</v>
      </c>
      <c r="S152" s="1" t="s">
        <v>44</v>
      </c>
      <c r="T152" s="1" t="s">
        <v>45</v>
      </c>
      <c r="U152" s="1">
        <v>4.82171631E8</v>
      </c>
      <c r="W152" s="1" t="s">
        <v>44</v>
      </c>
      <c r="X152" s="1" t="s">
        <v>45</v>
      </c>
      <c r="Y152" s="1">
        <v>4.82171631E8</v>
      </c>
      <c r="Z152" s="1">
        <v>3.8627196E7</v>
      </c>
      <c r="AA152" s="1" t="s">
        <v>632</v>
      </c>
      <c r="AB152" s="1">
        <v>54736.0</v>
      </c>
      <c r="AC152" s="2">
        <v>41284.0</v>
      </c>
      <c r="AD152" s="1">
        <v>9100.0</v>
      </c>
      <c r="AE152" s="1" t="s">
        <v>194</v>
      </c>
      <c r="AF152" s="1" t="s">
        <v>633</v>
      </c>
      <c r="AG152" s="1" t="s">
        <v>463</v>
      </c>
      <c r="AH152" s="1">
        <v>9.0</v>
      </c>
      <c r="AI152" s="1">
        <v>2013.0</v>
      </c>
      <c r="AJ152" s="1">
        <v>2013.0</v>
      </c>
      <c r="AK152" s="1" t="s">
        <v>277</v>
      </c>
    </row>
    <row r="153">
      <c r="A153" s="1" t="s">
        <v>457</v>
      </c>
      <c r="B153" s="1" t="s">
        <v>457</v>
      </c>
      <c r="C153" s="1" t="s">
        <v>194</v>
      </c>
      <c r="E153" s="1">
        <v>3.2156174E7</v>
      </c>
      <c r="F153" s="2">
        <v>41388.0</v>
      </c>
      <c r="G153" s="1" t="s">
        <v>458</v>
      </c>
      <c r="I153" s="1" t="s">
        <v>458</v>
      </c>
      <c r="L153" s="1" t="s">
        <v>194</v>
      </c>
      <c r="M153" s="1">
        <v>9100.0</v>
      </c>
      <c r="N153" s="1" t="s">
        <v>194</v>
      </c>
      <c r="O153" s="1">
        <v>9.62104118E8</v>
      </c>
      <c r="P153" s="1" t="s">
        <v>634</v>
      </c>
      <c r="R153" s="1" t="s">
        <v>635</v>
      </c>
      <c r="S153" s="1" t="s">
        <v>44</v>
      </c>
      <c r="T153" s="1" t="s">
        <v>45</v>
      </c>
      <c r="U153" s="1">
        <v>4.82351111E8</v>
      </c>
      <c r="W153" s="1" t="s">
        <v>46</v>
      </c>
      <c r="X153" s="1" t="s">
        <v>45</v>
      </c>
      <c r="Y153" s="1">
        <v>4.82351111E8</v>
      </c>
      <c r="AB153" s="1">
        <v>29333.0</v>
      </c>
      <c r="AC153" s="2">
        <v>41388.0</v>
      </c>
      <c r="AD153" s="1">
        <v>9100.0</v>
      </c>
      <c r="AE153" s="1" t="s">
        <v>194</v>
      </c>
      <c r="AF153" s="1" t="s">
        <v>636</v>
      </c>
      <c r="AG153" s="1" t="s">
        <v>463</v>
      </c>
      <c r="AH153" s="1">
        <v>9.0</v>
      </c>
      <c r="AI153" s="1">
        <v>2013.0</v>
      </c>
      <c r="AJ153" s="1">
        <v>2013.0</v>
      </c>
      <c r="AK153" s="1" t="s">
        <v>277</v>
      </c>
    </row>
    <row r="154">
      <c r="A154" s="1" t="s">
        <v>457</v>
      </c>
      <c r="B154" s="1" t="s">
        <v>457</v>
      </c>
      <c r="C154" s="1" t="s">
        <v>194</v>
      </c>
      <c r="E154" s="1">
        <v>3.2156174E7</v>
      </c>
      <c r="F154" s="2">
        <v>41327.0</v>
      </c>
      <c r="G154" s="1" t="s">
        <v>458</v>
      </c>
      <c r="I154" s="1" t="s">
        <v>458</v>
      </c>
      <c r="L154" s="1" t="s">
        <v>194</v>
      </c>
      <c r="M154" s="1">
        <v>9100.0</v>
      </c>
      <c r="N154" s="1" t="s">
        <v>194</v>
      </c>
      <c r="O154" s="1">
        <v>8.00515244E8</v>
      </c>
      <c r="P154" s="1" t="s">
        <v>637</v>
      </c>
      <c r="Q154" s="1" t="s">
        <v>638</v>
      </c>
      <c r="R154" s="1" t="s">
        <v>639</v>
      </c>
      <c r="S154" s="1" t="s">
        <v>44</v>
      </c>
      <c r="T154" s="1" t="s">
        <v>45</v>
      </c>
      <c r="U154" s="1">
        <v>4.82343358E8</v>
      </c>
      <c r="W154" s="1" t="s">
        <v>44</v>
      </c>
      <c r="X154" s="1" t="s">
        <v>45</v>
      </c>
      <c r="Y154" s="1">
        <v>4.82343358E8</v>
      </c>
      <c r="Z154" s="1">
        <v>5.4698428E7</v>
      </c>
      <c r="AB154" s="1">
        <v>28515.0</v>
      </c>
      <c r="AC154" s="2">
        <v>41327.0</v>
      </c>
      <c r="AD154" s="1">
        <v>9100.0</v>
      </c>
      <c r="AE154" s="1" t="s">
        <v>194</v>
      </c>
      <c r="AF154" s="1" t="s">
        <v>640</v>
      </c>
      <c r="AG154" s="1" t="s">
        <v>463</v>
      </c>
      <c r="AH154" s="1">
        <v>9.0</v>
      </c>
      <c r="AI154" s="1">
        <v>2013.0</v>
      </c>
      <c r="AJ154" s="1">
        <v>2013.0</v>
      </c>
      <c r="AK154" s="1" t="s">
        <v>277</v>
      </c>
    </row>
    <row r="155">
      <c r="A155" s="1" t="s">
        <v>457</v>
      </c>
      <c r="B155" s="1" t="s">
        <v>457</v>
      </c>
      <c r="C155" s="1" t="s">
        <v>194</v>
      </c>
      <c r="E155" s="1">
        <v>3.2156174E7</v>
      </c>
      <c r="F155" s="2">
        <v>41256.0</v>
      </c>
      <c r="G155" s="1" t="s">
        <v>458</v>
      </c>
      <c r="I155" s="1" t="s">
        <v>458</v>
      </c>
      <c r="L155" s="1" t="s">
        <v>194</v>
      </c>
      <c r="M155" s="1">
        <v>9100.0</v>
      </c>
      <c r="N155" s="1" t="s">
        <v>194</v>
      </c>
      <c r="O155" s="1">
        <v>9.6578333E8</v>
      </c>
      <c r="P155" s="1" t="s">
        <v>641</v>
      </c>
      <c r="R155" s="1" t="s">
        <v>642</v>
      </c>
      <c r="S155" s="1" t="s">
        <v>44</v>
      </c>
      <c r="T155" s="1" t="s">
        <v>45</v>
      </c>
      <c r="U155" s="1">
        <v>4.82141762E8</v>
      </c>
      <c r="W155" s="1" t="s">
        <v>44</v>
      </c>
      <c r="X155" s="1" t="s">
        <v>45</v>
      </c>
      <c r="Y155" s="1">
        <v>4.82141762E8</v>
      </c>
      <c r="AB155" s="1">
        <v>25337.0</v>
      </c>
      <c r="AC155" s="2">
        <v>41256.0</v>
      </c>
      <c r="AD155" s="1">
        <v>9100.0</v>
      </c>
      <c r="AE155" s="1" t="s">
        <v>194</v>
      </c>
      <c r="AF155" s="1" t="s">
        <v>643</v>
      </c>
      <c r="AG155" s="1" t="s">
        <v>463</v>
      </c>
      <c r="AH155" s="1">
        <v>9.0</v>
      </c>
      <c r="AI155" s="1">
        <v>2013.0</v>
      </c>
      <c r="AJ155" s="1">
        <v>2013.0</v>
      </c>
      <c r="AK155" s="1" t="s">
        <v>277</v>
      </c>
    </row>
    <row r="156">
      <c r="A156" s="1" t="s">
        <v>644</v>
      </c>
      <c r="B156" s="1" t="s">
        <v>644</v>
      </c>
      <c r="C156" s="1" t="s">
        <v>645</v>
      </c>
      <c r="E156" s="1">
        <v>782902.0</v>
      </c>
      <c r="F156" s="2">
        <v>41207.0</v>
      </c>
      <c r="G156" s="1" t="s">
        <v>646</v>
      </c>
      <c r="I156" s="1" t="s">
        <v>646</v>
      </c>
      <c r="L156" s="1" t="s">
        <v>647</v>
      </c>
      <c r="M156" s="1">
        <v>1200.0</v>
      </c>
      <c r="N156" s="1" t="s">
        <v>647</v>
      </c>
      <c r="O156" s="1">
        <v>7.3134884E7</v>
      </c>
      <c r="P156" s="1" t="s">
        <v>259</v>
      </c>
      <c r="R156" s="1" t="s">
        <v>286</v>
      </c>
      <c r="S156" s="1" t="s">
        <v>44</v>
      </c>
      <c r="T156" s="1" t="s">
        <v>45</v>
      </c>
      <c r="U156" s="1">
        <v>4.82262841E8</v>
      </c>
      <c r="W156" s="1" t="s">
        <v>648</v>
      </c>
      <c r="X156" s="1" t="s">
        <v>45</v>
      </c>
      <c r="Y156" s="1">
        <v>4.81865305E8</v>
      </c>
      <c r="Z156" s="1">
        <v>7.3134884E7</v>
      </c>
      <c r="AA156" s="1" t="s">
        <v>261</v>
      </c>
      <c r="AB156" s="1">
        <v>60611.0</v>
      </c>
      <c r="AC156" s="2">
        <v>41207.0</v>
      </c>
      <c r="AD156" s="1">
        <v>1200.0</v>
      </c>
      <c r="AE156" s="1" t="s">
        <v>647</v>
      </c>
      <c r="AF156" s="1" t="s">
        <v>649</v>
      </c>
      <c r="AG156" s="1" t="s">
        <v>650</v>
      </c>
      <c r="AH156" s="1">
        <v>8.0</v>
      </c>
      <c r="AI156" s="1">
        <v>2013.0</v>
      </c>
      <c r="AJ156" s="1">
        <v>2013.0</v>
      </c>
      <c r="AK156" s="1" t="s">
        <v>651</v>
      </c>
    </row>
    <row r="157">
      <c r="A157" s="1" t="s">
        <v>652</v>
      </c>
      <c r="B157" s="1" t="s">
        <v>652</v>
      </c>
      <c r="C157" s="1" t="s">
        <v>645</v>
      </c>
      <c r="E157" s="1">
        <v>1502883.0</v>
      </c>
      <c r="F157" s="2">
        <v>41445.0</v>
      </c>
      <c r="G157" s="1" t="s">
        <v>646</v>
      </c>
      <c r="I157" s="1" t="s">
        <v>646</v>
      </c>
      <c r="L157" s="1" t="s">
        <v>647</v>
      </c>
      <c r="M157" s="1">
        <v>1200.0</v>
      </c>
      <c r="N157" s="1" t="s">
        <v>647</v>
      </c>
      <c r="O157" s="1">
        <v>7.3134884E7</v>
      </c>
      <c r="P157" s="1" t="s">
        <v>259</v>
      </c>
      <c r="R157" s="1" t="s">
        <v>286</v>
      </c>
      <c r="S157" s="1" t="s">
        <v>44</v>
      </c>
      <c r="T157" s="1" t="s">
        <v>45</v>
      </c>
      <c r="U157" s="1">
        <v>4.82262841E8</v>
      </c>
      <c r="W157" s="1" t="s">
        <v>648</v>
      </c>
      <c r="X157" s="1" t="s">
        <v>45</v>
      </c>
      <c r="Y157" s="1">
        <v>4.81865305E8</v>
      </c>
      <c r="Z157" s="1">
        <v>7.3134884E7</v>
      </c>
      <c r="AA157" s="1" t="s">
        <v>261</v>
      </c>
      <c r="AB157" s="1">
        <v>96421.0</v>
      </c>
      <c r="AC157" s="2">
        <v>41445.0</v>
      </c>
      <c r="AD157" s="1">
        <v>1200.0</v>
      </c>
      <c r="AE157" s="1" t="s">
        <v>647</v>
      </c>
      <c r="AF157" s="1" t="s">
        <v>653</v>
      </c>
      <c r="AG157" s="1" t="s">
        <v>650</v>
      </c>
      <c r="AH157" s="1">
        <v>8.0</v>
      </c>
      <c r="AI157" s="1">
        <v>2013.0</v>
      </c>
      <c r="AJ157" s="1">
        <v>2013.0</v>
      </c>
      <c r="AK157" s="1" t="s">
        <v>651</v>
      </c>
    </row>
    <row r="158">
      <c r="A158" s="1" t="s">
        <v>654</v>
      </c>
      <c r="B158" s="1" t="s">
        <v>654</v>
      </c>
      <c r="C158" s="1" t="s">
        <v>38</v>
      </c>
      <c r="E158" s="1">
        <v>931200.0</v>
      </c>
      <c r="F158" s="2">
        <v>41492.0</v>
      </c>
      <c r="G158" s="1" t="s">
        <v>655</v>
      </c>
      <c r="I158" s="1" t="s">
        <v>655</v>
      </c>
      <c r="L158" s="1" t="s">
        <v>40</v>
      </c>
      <c r="M158" s="1">
        <v>7500.0</v>
      </c>
      <c r="N158" s="1" t="s">
        <v>40</v>
      </c>
      <c r="O158" s="1">
        <v>7.3134603E7</v>
      </c>
      <c r="P158" s="1" t="s">
        <v>41</v>
      </c>
      <c r="Q158" s="1" t="s">
        <v>252</v>
      </c>
      <c r="R158" s="1" t="s">
        <v>253</v>
      </c>
      <c r="S158" s="1" t="s">
        <v>44</v>
      </c>
      <c r="T158" s="1" t="s">
        <v>45</v>
      </c>
      <c r="U158" s="1">
        <v>4.8202345E8</v>
      </c>
      <c r="W158" s="1" t="s">
        <v>46</v>
      </c>
      <c r="X158" s="1" t="s">
        <v>45</v>
      </c>
      <c r="Y158" s="1">
        <v>4.82022689E8</v>
      </c>
      <c r="Z158" s="1">
        <v>7.3134603E7</v>
      </c>
      <c r="AA158" s="1" t="s">
        <v>41</v>
      </c>
      <c r="AB158" s="1">
        <v>25000.0</v>
      </c>
      <c r="AC158" s="2">
        <v>41492.0</v>
      </c>
      <c r="AD158" s="1">
        <v>7500.0</v>
      </c>
      <c r="AE158" s="1" t="s">
        <v>40</v>
      </c>
      <c r="AF158" s="1">
        <v>3.002735317E9</v>
      </c>
      <c r="AG158" s="1" t="s">
        <v>656</v>
      </c>
      <c r="AH158" s="1">
        <v>8.0</v>
      </c>
      <c r="AI158" s="1">
        <v>2013.0</v>
      </c>
      <c r="AJ158" s="1">
        <v>2013.0</v>
      </c>
      <c r="AK158" s="1" t="s">
        <v>415</v>
      </c>
    </row>
    <row r="159">
      <c r="A159" s="1" t="s">
        <v>657</v>
      </c>
      <c r="B159" s="1" t="s">
        <v>657</v>
      </c>
      <c r="C159" s="1" t="s">
        <v>645</v>
      </c>
      <c r="E159" s="1">
        <v>1655295.0</v>
      </c>
      <c r="F159" s="2">
        <v>41214.0</v>
      </c>
      <c r="G159" s="1" t="s">
        <v>646</v>
      </c>
      <c r="I159" s="1" t="s">
        <v>646</v>
      </c>
      <c r="L159" s="1" t="s">
        <v>647</v>
      </c>
      <c r="M159" s="1">
        <v>1200.0</v>
      </c>
      <c r="N159" s="1" t="s">
        <v>647</v>
      </c>
      <c r="O159" s="1">
        <v>7.3134884E7</v>
      </c>
      <c r="P159" s="1" t="s">
        <v>259</v>
      </c>
      <c r="R159" s="1" t="s">
        <v>286</v>
      </c>
      <c r="S159" s="1" t="s">
        <v>44</v>
      </c>
      <c r="T159" s="1" t="s">
        <v>45</v>
      </c>
      <c r="U159" s="1">
        <v>4.82262841E8</v>
      </c>
      <c r="W159" s="1" t="s">
        <v>648</v>
      </c>
      <c r="X159" s="1" t="s">
        <v>45</v>
      </c>
      <c r="Y159" s="1">
        <v>4.81865305E8</v>
      </c>
      <c r="Z159" s="1">
        <v>7.3134884E7</v>
      </c>
      <c r="AA159" s="1" t="s">
        <v>261</v>
      </c>
      <c r="AB159" s="1">
        <v>105672.0</v>
      </c>
      <c r="AC159" s="2">
        <v>41214.0</v>
      </c>
      <c r="AD159" s="1">
        <v>1200.0</v>
      </c>
      <c r="AE159" s="1" t="s">
        <v>647</v>
      </c>
      <c r="AF159" s="1" t="s">
        <v>658</v>
      </c>
      <c r="AG159" s="1" t="s">
        <v>650</v>
      </c>
      <c r="AH159" s="1">
        <v>8.0</v>
      </c>
      <c r="AI159" s="1">
        <v>2013.0</v>
      </c>
      <c r="AJ159" s="1">
        <v>2013.0</v>
      </c>
      <c r="AK159" s="1" t="s">
        <v>651</v>
      </c>
    </row>
    <row r="160">
      <c r="A160" s="1" t="s">
        <v>659</v>
      </c>
      <c r="B160" s="1" t="s">
        <v>659</v>
      </c>
      <c r="C160" s="1" t="s">
        <v>224</v>
      </c>
      <c r="E160" s="1">
        <v>4607600.0</v>
      </c>
      <c r="F160" s="2">
        <v>41458.0</v>
      </c>
      <c r="G160" s="1" t="s">
        <v>660</v>
      </c>
      <c r="I160" s="1" t="s">
        <v>660</v>
      </c>
      <c r="L160" s="1" t="s">
        <v>151</v>
      </c>
      <c r="M160" s="1">
        <v>6900.0</v>
      </c>
      <c r="N160" s="1" t="s">
        <v>151</v>
      </c>
      <c r="O160" s="1">
        <v>4.057865E7</v>
      </c>
      <c r="P160" s="1" t="s">
        <v>661</v>
      </c>
      <c r="R160" s="1" t="s">
        <v>662</v>
      </c>
      <c r="S160" s="1" t="s">
        <v>44</v>
      </c>
      <c r="T160" s="1" t="s">
        <v>45</v>
      </c>
      <c r="U160" s="1">
        <v>4.82263602E8</v>
      </c>
      <c r="W160" s="1" t="s">
        <v>44</v>
      </c>
      <c r="X160" s="1" t="s">
        <v>45</v>
      </c>
      <c r="Y160" s="1">
        <v>4.82263602E8</v>
      </c>
      <c r="AB160" s="1">
        <v>4607600.87</v>
      </c>
      <c r="AC160" s="2">
        <v>41458.0</v>
      </c>
      <c r="AD160" s="1">
        <v>6900.0</v>
      </c>
      <c r="AE160" s="1" t="s">
        <v>151</v>
      </c>
      <c r="AF160" s="1">
        <v>1.0</v>
      </c>
      <c r="AG160" s="1" t="s">
        <v>660</v>
      </c>
      <c r="AH160" s="1">
        <v>8.0</v>
      </c>
      <c r="AI160" s="1">
        <v>2013.0</v>
      </c>
      <c r="AJ160" s="1">
        <v>2013.0</v>
      </c>
      <c r="AK160" s="1" t="s">
        <v>229</v>
      </c>
    </row>
    <row r="161">
      <c r="A161" s="1" t="s">
        <v>663</v>
      </c>
      <c r="B161" s="1" t="s">
        <v>663</v>
      </c>
      <c r="C161" s="1" t="s">
        <v>224</v>
      </c>
      <c r="E161" s="1">
        <v>51358.0</v>
      </c>
      <c r="F161" s="2">
        <v>41466.0</v>
      </c>
      <c r="G161" s="1" t="s">
        <v>664</v>
      </c>
      <c r="I161" s="1" t="s">
        <v>664</v>
      </c>
      <c r="L161" s="1" t="s">
        <v>151</v>
      </c>
      <c r="M161" s="1">
        <v>6900.0</v>
      </c>
      <c r="N161" s="1" t="s">
        <v>151</v>
      </c>
      <c r="O161" s="1">
        <v>4.057865E7</v>
      </c>
      <c r="P161" s="1" t="s">
        <v>661</v>
      </c>
      <c r="R161" s="1" t="s">
        <v>662</v>
      </c>
      <c r="S161" s="1" t="s">
        <v>44</v>
      </c>
      <c r="T161" s="1" t="s">
        <v>45</v>
      </c>
      <c r="U161" s="1">
        <v>4.82263602E8</v>
      </c>
      <c r="W161" s="1" t="s">
        <v>44</v>
      </c>
      <c r="X161" s="1" t="s">
        <v>45</v>
      </c>
      <c r="Y161" s="1">
        <v>4.82263602E8</v>
      </c>
      <c r="AB161" s="1">
        <v>51358.02</v>
      </c>
      <c r="AC161" s="2">
        <v>41466.0</v>
      </c>
      <c r="AD161" s="1">
        <v>6900.0</v>
      </c>
      <c r="AE161" s="1" t="s">
        <v>151</v>
      </c>
      <c r="AF161" s="1">
        <v>1.0</v>
      </c>
      <c r="AG161" s="1" t="s">
        <v>664</v>
      </c>
      <c r="AH161" s="1">
        <v>8.0</v>
      </c>
      <c r="AI161" s="1">
        <v>2013.0</v>
      </c>
      <c r="AJ161" s="1">
        <v>2013.0</v>
      </c>
      <c r="AK161" s="1" t="s">
        <v>229</v>
      </c>
    </row>
    <row r="162">
      <c r="A162" s="1" t="s">
        <v>665</v>
      </c>
      <c r="B162" s="1" t="s">
        <v>665</v>
      </c>
      <c r="C162" s="1" t="s">
        <v>645</v>
      </c>
      <c r="E162" s="1">
        <v>5502645.0</v>
      </c>
      <c r="F162" s="2">
        <v>41263.0</v>
      </c>
      <c r="G162" s="1" t="s">
        <v>666</v>
      </c>
      <c r="I162" s="1" t="s">
        <v>666</v>
      </c>
      <c r="L162" s="1" t="s">
        <v>647</v>
      </c>
      <c r="M162" s="1">
        <v>1200.0</v>
      </c>
      <c r="N162" s="1" t="s">
        <v>647</v>
      </c>
      <c r="O162" s="1">
        <v>7.2761299E7</v>
      </c>
      <c r="P162" s="1" t="s">
        <v>667</v>
      </c>
      <c r="R162" s="1" t="s">
        <v>668</v>
      </c>
      <c r="S162" s="1" t="s">
        <v>44</v>
      </c>
      <c r="T162" s="1" t="s">
        <v>45</v>
      </c>
      <c r="U162" s="1">
        <v>4.82382849E8</v>
      </c>
      <c r="W162" s="1" t="s">
        <v>44</v>
      </c>
      <c r="X162" s="1" t="s">
        <v>45</v>
      </c>
      <c r="Y162" s="1">
        <v>4.82383518E8</v>
      </c>
      <c r="Z162" s="1">
        <v>7.2761299E7</v>
      </c>
      <c r="AA162" s="1" t="s">
        <v>667</v>
      </c>
      <c r="AB162" s="1">
        <v>2894712.43</v>
      </c>
      <c r="AC162" s="2">
        <v>41263.0</v>
      </c>
      <c r="AD162" s="1">
        <v>1200.0</v>
      </c>
      <c r="AE162" s="1" t="s">
        <v>647</v>
      </c>
      <c r="AF162" s="1" t="s">
        <v>669</v>
      </c>
      <c r="AG162" s="1" t="s">
        <v>670</v>
      </c>
      <c r="AH162" s="1">
        <v>8.0</v>
      </c>
      <c r="AI162" s="1">
        <v>2013.0</v>
      </c>
      <c r="AJ162" s="1">
        <v>2013.0</v>
      </c>
      <c r="AK162" s="1" t="s">
        <v>671</v>
      </c>
    </row>
    <row r="163">
      <c r="A163" s="1" t="s">
        <v>672</v>
      </c>
      <c r="B163" s="1" t="s">
        <v>672</v>
      </c>
      <c r="C163" s="1" t="s">
        <v>224</v>
      </c>
      <c r="E163" s="1">
        <v>406043.0</v>
      </c>
      <c r="F163" s="2">
        <v>41460.0</v>
      </c>
      <c r="G163" s="1" t="s">
        <v>673</v>
      </c>
      <c r="I163" s="1" t="s">
        <v>673</v>
      </c>
      <c r="L163" s="1" t="s">
        <v>151</v>
      </c>
      <c r="M163" s="1">
        <v>6900.0</v>
      </c>
      <c r="N163" s="1" t="s">
        <v>151</v>
      </c>
      <c r="O163" s="1">
        <v>4.057865E7</v>
      </c>
      <c r="P163" s="1" t="s">
        <v>661</v>
      </c>
      <c r="R163" s="1" t="s">
        <v>662</v>
      </c>
      <c r="S163" s="1" t="s">
        <v>44</v>
      </c>
      <c r="T163" s="1" t="s">
        <v>45</v>
      </c>
      <c r="U163" s="1">
        <v>4.82263602E8</v>
      </c>
      <c r="W163" s="1" t="s">
        <v>44</v>
      </c>
      <c r="X163" s="1" t="s">
        <v>45</v>
      </c>
      <c r="Y163" s="1">
        <v>4.82263602E8</v>
      </c>
      <c r="AB163" s="1">
        <v>406043.11</v>
      </c>
      <c r="AC163" s="2">
        <v>41460.0</v>
      </c>
      <c r="AD163" s="1">
        <v>6900.0</v>
      </c>
      <c r="AE163" s="1" t="s">
        <v>151</v>
      </c>
      <c r="AF163" s="1">
        <v>1.0</v>
      </c>
      <c r="AG163" s="1" t="s">
        <v>673</v>
      </c>
      <c r="AH163" s="1">
        <v>8.0</v>
      </c>
      <c r="AI163" s="1">
        <v>2013.0</v>
      </c>
      <c r="AJ163" s="1">
        <v>2013.0</v>
      </c>
      <c r="AK163" s="1" t="s">
        <v>229</v>
      </c>
    </row>
    <row r="164">
      <c r="A164" s="1" t="s">
        <v>674</v>
      </c>
      <c r="B164" s="1" t="s">
        <v>674</v>
      </c>
      <c r="C164" s="1" t="s">
        <v>224</v>
      </c>
      <c r="E164" s="1">
        <v>166365.0</v>
      </c>
      <c r="F164" s="2">
        <v>41460.0</v>
      </c>
      <c r="G164" s="1" t="s">
        <v>675</v>
      </c>
      <c r="I164" s="1" t="s">
        <v>675</v>
      </c>
      <c r="L164" s="1" t="s">
        <v>151</v>
      </c>
      <c r="M164" s="1">
        <v>6900.0</v>
      </c>
      <c r="N164" s="1" t="s">
        <v>151</v>
      </c>
      <c r="O164" s="1">
        <v>4.057865E7</v>
      </c>
      <c r="P164" s="1" t="s">
        <v>661</v>
      </c>
      <c r="R164" s="1" t="s">
        <v>662</v>
      </c>
      <c r="S164" s="1" t="s">
        <v>44</v>
      </c>
      <c r="T164" s="1" t="s">
        <v>45</v>
      </c>
      <c r="U164" s="1">
        <v>4.82263602E8</v>
      </c>
      <c r="W164" s="1" t="s">
        <v>44</v>
      </c>
      <c r="X164" s="1" t="s">
        <v>45</v>
      </c>
      <c r="Y164" s="1">
        <v>4.82263602E8</v>
      </c>
      <c r="AB164" s="1">
        <v>166365.85</v>
      </c>
      <c r="AC164" s="2">
        <v>41460.0</v>
      </c>
      <c r="AD164" s="1">
        <v>6900.0</v>
      </c>
      <c r="AE164" s="1" t="s">
        <v>151</v>
      </c>
      <c r="AF164" s="1">
        <v>1.0</v>
      </c>
      <c r="AG164" s="1" t="s">
        <v>675</v>
      </c>
      <c r="AH164" s="1">
        <v>8.0</v>
      </c>
      <c r="AI164" s="1">
        <v>2013.0</v>
      </c>
      <c r="AJ164" s="1">
        <v>2013.0</v>
      </c>
      <c r="AK164" s="1" t="s">
        <v>229</v>
      </c>
    </row>
    <row r="165">
      <c r="A165" s="1" t="s">
        <v>676</v>
      </c>
      <c r="B165" s="1" t="s">
        <v>676</v>
      </c>
      <c r="C165" s="1" t="s">
        <v>645</v>
      </c>
      <c r="E165" s="1">
        <v>3126270.0</v>
      </c>
      <c r="F165" s="2">
        <v>41193.0</v>
      </c>
      <c r="G165" s="1" t="s">
        <v>677</v>
      </c>
      <c r="I165" s="1" t="s">
        <v>677</v>
      </c>
      <c r="L165" s="1" t="s">
        <v>647</v>
      </c>
      <c r="M165" s="1">
        <v>1200.0</v>
      </c>
      <c r="N165" s="1" t="s">
        <v>647</v>
      </c>
      <c r="O165" s="1">
        <v>7.6340843E7</v>
      </c>
      <c r="P165" s="1" t="s">
        <v>461</v>
      </c>
      <c r="Q165" s="1" t="s">
        <v>459</v>
      </c>
      <c r="R165" s="1" t="s">
        <v>524</v>
      </c>
      <c r="S165" s="1" t="s">
        <v>44</v>
      </c>
      <c r="T165" s="1" t="s">
        <v>45</v>
      </c>
      <c r="U165" s="1">
        <v>4.82023046E8</v>
      </c>
      <c r="W165" s="1" t="s">
        <v>44</v>
      </c>
      <c r="X165" s="1" t="s">
        <v>45</v>
      </c>
      <c r="Y165" s="1">
        <v>4.82023096E8</v>
      </c>
      <c r="Z165" s="1">
        <v>7.6340843E7</v>
      </c>
      <c r="AA165" s="1" t="s">
        <v>461</v>
      </c>
      <c r="AB165" s="1">
        <v>465232.0</v>
      </c>
      <c r="AC165" s="2">
        <v>41193.0</v>
      </c>
      <c r="AD165" s="1">
        <v>1200.0</v>
      </c>
      <c r="AE165" s="1" t="s">
        <v>647</v>
      </c>
      <c r="AF165" s="1" t="s">
        <v>678</v>
      </c>
      <c r="AG165" s="1" t="s">
        <v>679</v>
      </c>
      <c r="AH165" s="1">
        <v>8.0</v>
      </c>
      <c r="AI165" s="1">
        <v>2013.0</v>
      </c>
      <c r="AJ165" s="1">
        <v>2013.0</v>
      </c>
      <c r="AK165" s="1" t="s">
        <v>680</v>
      </c>
    </row>
    <row r="166">
      <c r="A166" s="1" t="s">
        <v>681</v>
      </c>
      <c r="B166" s="1" t="s">
        <v>681</v>
      </c>
      <c r="C166" s="1" t="s">
        <v>100</v>
      </c>
      <c r="E166" s="1">
        <v>5.0578088E7</v>
      </c>
      <c r="F166" s="2">
        <v>41275.0</v>
      </c>
      <c r="G166" s="1" t="s">
        <v>122</v>
      </c>
      <c r="I166" s="1" t="s">
        <v>122</v>
      </c>
      <c r="L166" s="1" t="s">
        <v>102</v>
      </c>
      <c r="M166" s="1">
        <v>8600.0</v>
      </c>
      <c r="N166" s="1" t="s">
        <v>102</v>
      </c>
      <c r="O166" s="1">
        <v>9.64523815E8</v>
      </c>
      <c r="P166" s="1" t="s">
        <v>123</v>
      </c>
      <c r="Q166" s="1" t="s">
        <v>124</v>
      </c>
      <c r="R166" s="1" t="s">
        <v>125</v>
      </c>
      <c r="S166" s="1" t="s">
        <v>44</v>
      </c>
      <c r="T166" s="1" t="s">
        <v>45</v>
      </c>
      <c r="U166" s="1">
        <v>4.82231227E8</v>
      </c>
      <c r="W166" s="1" t="s">
        <v>44</v>
      </c>
      <c r="X166" s="1" t="s">
        <v>45</v>
      </c>
      <c r="Y166" s="1">
        <v>4.82231227E8</v>
      </c>
      <c r="AB166" s="1">
        <v>40000.0</v>
      </c>
      <c r="AC166" s="2">
        <v>41275.0</v>
      </c>
      <c r="AD166" s="1">
        <v>8600.0</v>
      </c>
      <c r="AE166" s="1" t="s">
        <v>102</v>
      </c>
      <c r="AF166" s="1" t="s">
        <v>682</v>
      </c>
      <c r="AG166" s="1" t="s">
        <v>683</v>
      </c>
      <c r="AH166" s="1">
        <v>6.0</v>
      </c>
      <c r="AI166" s="1">
        <v>2013.0</v>
      </c>
      <c r="AJ166" s="1">
        <v>2013.0</v>
      </c>
      <c r="AK166" s="1" t="s">
        <v>127</v>
      </c>
    </row>
    <row r="167">
      <c r="A167" s="1" t="s">
        <v>684</v>
      </c>
      <c r="B167" s="1" t="s">
        <v>684</v>
      </c>
      <c r="C167" s="1" t="s">
        <v>194</v>
      </c>
      <c r="E167" s="1">
        <v>1.0570367E7</v>
      </c>
      <c r="F167" s="2">
        <v>41395.0</v>
      </c>
      <c r="G167" s="1" t="s">
        <v>685</v>
      </c>
      <c r="I167" s="1" t="s">
        <v>685</v>
      </c>
      <c r="L167" s="1" t="s">
        <v>194</v>
      </c>
      <c r="M167" s="1">
        <v>9100.0</v>
      </c>
      <c r="N167" s="1" t="s">
        <v>194</v>
      </c>
      <c r="O167" s="1">
        <v>3.9866801E7</v>
      </c>
      <c r="P167" s="1" t="s">
        <v>612</v>
      </c>
      <c r="R167" s="1" t="s">
        <v>613</v>
      </c>
      <c r="S167" s="1" t="s">
        <v>44</v>
      </c>
      <c r="T167" s="1" t="s">
        <v>45</v>
      </c>
      <c r="U167" s="1">
        <v>4.82123753E8</v>
      </c>
      <c r="W167" s="1" t="s">
        <v>607</v>
      </c>
      <c r="X167" s="1" t="s">
        <v>45</v>
      </c>
      <c r="Y167" s="1">
        <v>4.82120012E8</v>
      </c>
      <c r="Z167" s="1">
        <v>3.9866801E7</v>
      </c>
      <c r="AA167" s="1" t="s">
        <v>612</v>
      </c>
      <c r="AB167" s="1">
        <v>244869.0</v>
      </c>
      <c r="AC167" s="2">
        <v>41395.0</v>
      </c>
      <c r="AD167" s="1">
        <v>9100.0</v>
      </c>
      <c r="AE167" s="1" t="s">
        <v>194</v>
      </c>
      <c r="AF167" s="1" t="s">
        <v>686</v>
      </c>
      <c r="AG167" s="1" t="s">
        <v>687</v>
      </c>
      <c r="AH167" s="1">
        <v>7.0</v>
      </c>
      <c r="AI167" s="1">
        <v>2013.0</v>
      </c>
      <c r="AJ167" s="1">
        <v>2013.0</v>
      </c>
      <c r="AK167" s="1" t="s">
        <v>688</v>
      </c>
    </row>
    <row r="168">
      <c r="A168" s="1" t="s">
        <v>684</v>
      </c>
      <c r="B168" s="1" t="s">
        <v>684</v>
      </c>
      <c r="C168" s="1" t="s">
        <v>194</v>
      </c>
      <c r="E168" s="1">
        <v>1.0570367E7</v>
      </c>
      <c r="F168" s="2">
        <v>41422.0</v>
      </c>
      <c r="G168" s="1" t="s">
        <v>685</v>
      </c>
      <c r="I168" s="1" t="s">
        <v>685</v>
      </c>
      <c r="L168" s="1" t="s">
        <v>194</v>
      </c>
      <c r="M168" s="1">
        <v>9100.0</v>
      </c>
      <c r="N168" s="1" t="s">
        <v>194</v>
      </c>
      <c r="O168" s="1">
        <v>7.6340843E7</v>
      </c>
      <c r="P168" s="1" t="s">
        <v>461</v>
      </c>
      <c r="Q168" s="1" t="s">
        <v>459</v>
      </c>
      <c r="R168" s="1" t="s">
        <v>524</v>
      </c>
      <c r="S168" s="1" t="s">
        <v>44</v>
      </c>
      <c r="T168" s="1" t="s">
        <v>45</v>
      </c>
      <c r="U168" s="1">
        <v>4.82023046E8</v>
      </c>
      <c r="W168" s="1" t="s">
        <v>44</v>
      </c>
      <c r="X168" s="1" t="s">
        <v>45</v>
      </c>
      <c r="Y168" s="1">
        <v>4.82023096E8</v>
      </c>
      <c r="Z168" s="1">
        <v>7.6340843E7</v>
      </c>
      <c r="AA168" s="1" t="s">
        <v>461</v>
      </c>
      <c r="AB168" s="1">
        <v>111153.0</v>
      </c>
      <c r="AC168" s="2">
        <v>41422.0</v>
      </c>
      <c r="AD168" s="1">
        <v>9100.0</v>
      </c>
      <c r="AE168" s="1" t="s">
        <v>194</v>
      </c>
      <c r="AF168" s="1" t="s">
        <v>689</v>
      </c>
      <c r="AG168" s="1" t="s">
        <v>687</v>
      </c>
      <c r="AH168" s="1">
        <v>7.0</v>
      </c>
      <c r="AI168" s="1">
        <v>2013.0</v>
      </c>
      <c r="AJ168" s="1">
        <v>2013.0</v>
      </c>
      <c r="AK168" s="1" t="s">
        <v>688</v>
      </c>
    </row>
    <row r="169">
      <c r="A169" s="1" t="s">
        <v>684</v>
      </c>
      <c r="B169" s="1" t="s">
        <v>684</v>
      </c>
      <c r="C169" s="1" t="s">
        <v>194</v>
      </c>
      <c r="E169" s="1">
        <v>1.0570367E7</v>
      </c>
      <c r="F169" s="2">
        <v>41367.0</v>
      </c>
      <c r="G169" s="1" t="s">
        <v>685</v>
      </c>
      <c r="I169" s="1" t="s">
        <v>685</v>
      </c>
      <c r="L169" s="1" t="s">
        <v>194</v>
      </c>
      <c r="M169" s="1">
        <v>9100.0</v>
      </c>
      <c r="N169" s="1" t="s">
        <v>194</v>
      </c>
      <c r="O169" s="1">
        <v>7.97531279E8</v>
      </c>
      <c r="P169" s="1" t="s">
        <v>496</v>
      </c>
      <c r="R169" s="1" t="s">
        <v>497</v>
      </c>
      <c r="S169" s="1" t="s">
        <v>44</v>
      </c>
      <c r="T169" s="1" t="s">
        <v>45</v>
      </c>
      <c r="U169" s="1">
        <v>4.82123323E8</v>
      </c>
      <c r="W169" s="1" t="s">
        <v>498</v>
      </c>
      <c r="X169" s="1" t="s">
        <v>45</v>
      </c>
      <c r="Y169" s="1">
        <v>4.82123323E8</v>
      </c>
      <c r="AB169" s="1">
        <v>53869.0</v>
      </c>
      <c r="AC169" s="2">
        <v>41367.0</v>
      </c>
      <c r="AD169" s="1">
        <v>9100.0</v>
      </c>
      <c r="AE169" s="1" t="s">
        <v>194</v>
      </c>
      <c r="AF169" s="1" t="s">
        <v>690</v>
      </c>
      <c r="AG169" s="1" t="s">
        <v>687</v>
      </c>
      <c r="AH169" s="1">
        <v>7.0</v>
      </c>
      <c r="AI169" s="1">
        <v>2013.0</v>
      </c>
      <c r="AJ169" s="1">
        <v>2013.0</v>
      </c>
      <c r="AK169" s="1" t="s">
        <v>688</v>
      </c>
    </row>
    <row r="170">
      <c r="A170" s="1" t="s">
        <v>684</v>
      </c>
      <c r="B170" s="1" t="s">
        <v>684</v>
      </c>
      <c r="C170" s="1" t="s">
        <v>194</v>
      </c>
      <c r="E170" s="1">
        <v>1.0570367E7</v>
      </c>
      <c r="F170" s="2">
        <v>41348.0</v>
      </c>
      <c r="G170" s="1" t="s">
        <v>685</v>
      </c>
      <c r="I170" s="1" t="s">
        <v>685</v>
      </c>
      <c r="L170" s="1" t="s">
        <v>194</v>
      </c>
      <c r="M170" s="1">
        <v>9100.0</v>
      </c>
      <c r="N170" s="1" t="s">
        <v>194</v>
      </c>
      <c r="O170" s="1">
        <v>7.93697355E8</v>
      </c>
      <c r="P170" s="1" t="s">
        <v>691</v>
      </c>
      <c r="R170" s="1" t="s">
        <v>692</v>
      </c>
      <c r="S170" s="1" t="s">
        <v>44</v>
      </c>
      <c r="T170" s="1" t="s">
        <v>45</v>
      </c>
      <c r="U170" s="1">
        <v>4.82111554E8</v>
      </c>
      <c r="W170" s="1" t="s">
        <v>44</v>
      </c>
      <c r="X170" s="1" t="s">
        <v>45</v>
      </c>
      <c r="Y170" s="1">
        <v>4.82111552E8</v>
      </c>
      <c r="AB170" s="1">
        <v>115723.0</v>
      </c>
      <c r="AC170" s="2">
        <v>41348.0</v>
      </c>
      <c r="AD170" s="1">
        <v>9100.0</v>
      </c>
      <c r="AE170" s="1" t="s">
        <v>194</v>
      </c>
      <c r="AF170" s="1" t="s">
        <v>693</v>
      </c>
      <c r="AG170" s="1" t="s">
        <v>687</v>
      </c>
      <c r="AH170" s="1">
        <v>7.0</v>
      </c>
      <c r="AI170" s="1">
        <v>2013.0</v>
      </c>
      <c r="AJ170" s="1">
        <v>2013.0</v>
      </c>
      <c r="AK170" s="1" t="s">
        <v>688</v>
      </c>
    </row>
    <row r="171">
      <c r="A171" s="1" t="s">
        <v>684</v>
      </c>
      <c r="B171" s="1" t="s">
        <v>684</v>
      </c>
      <c r="C171" s="1" t="s">
        <v>194</v>
      </c>
      <c r="E171" s="1">
        <v>1.0570367E7</v>
      </c>
      <c r="F171" s="2">
        <v>41422.0</v>
      </c>
      <c r="G171" s="1" t="s">
        <v>685</v>
      </c>
      <c r="I171" s="1" t="s">
        <v>685</v>
      </c>
      <c r="L171" s="1" t="s">
        <v>194</v>
      </c>
      <c r="M171" s="1">
        <v>9100.0</v>
      </c>
      <c r="N171" s="1" t="s">
        <v>194</v>
      </c>
      <c r="O171" s="1">
        <v>7.6340843E7</v>
      </c>
      <c r="P171" s="1" t="s">
        <v>461</v>
      </c>
      <c r="Q171" s="1" t="s">
        <v>459</v>
      </c>
      <c r="R171" s="1" t="s">
        <v>524</v>
      </c>
      <c r="S171" s="1" t="s">
        <v>44</v>
      </c>
      <c r="T171" s="1" t="s">
        <v>45</v>
      </c>
      <c r="U171" s="1">
        <v>4.82023046E8</v>
      </c>
      <c r="W171" s="1" t="s">
        <v>44</v>
      </c>
      <c r="X171" s="1" t="s">
        <v>45</v>
      </c>
      <c r="Y171" s="1">
        <v>4.82023096E8</v>
      </c>
      <c r="Z171" s="1">
        <v>7.6340843E7</v>
      </c>
      <c r="AA171" s="1" t="s">
        <v>461</v>
      </c>
      <c r="AB171" s="1">
        <v>2339537.0</v>
      </c>
      <c r="AC171" s="2">
        <v>41422.0</v>
      </c>
      <c r="AD171" s="1">
        <v>9100.0</v>
      </c>
      <c r="AE171" s="1" t="s">
        <v>194</v>
      </c>
      <c r="AF171" s="1" t="s">
        <v>694</v>
      </c>
      <c r="AG171" s="1" t="s">
        <v>687</v>
      </c>
      <c r="AH171" s="1">
        <v>7.0</v>
      </c>
      <c r="AI171" s="1">
        <v>2013.0</v>
      </c>
      <c r="AJ171" s="1">
        <v>2013.0</v>
      </c>
      <c r="AK171" s="1" t="s">
        <v>688</v>
      </c>
    </row>
    <row r="172">
      <c r="A172" s="1" t="s">
        <v>684</v>
      </c>
      <c r="B172" s="1" t="s">
        <v>684</v>
      </c>
      <c r="C172" s="1" t="s">
        <v>194</v>
      </c>
      <c r="E172" s="1">
        <v>1.0570367E7</v>
      </c>
      <c r="F172" s="2">
        <v>41395.0</v>
      </c>
      <c r="G172" s="1" t="s">
        <v>685</v>
      </c>
      <c r="I172" s="1" t="s">
        <v>685</v>
      </c>
      <c r="L172" s="1" t="s">
        <v>194</v>
      </c>
      <c r="M172" s="1">
        <v>9100.0</v>
      </c>
      <c r="N172" s="1" t="s">
        <v>194</v>
      </c>
      <c r="O172" s="1">
        <v>3.9866801E7</v>
      </c>
      <c r="P172" s="1" t="s">
        <v>612</v>
      </c>
      <c r="R172" s="1" t="s">
        <v>613</v>
      </c>
      <c r="S172" s="1" t="s">
        <v>44</v>
      </c>
      <c r="T172" s="1" t="s">
        <v>45</v>
      </c>
      <c r="U172" s="1">
        <v>4.82123753E8</v>
      </c>
      <c r="W172" s="1" t="s">
        <v>607</v>
      </c>
      <c r="X172" s="1" t="s">
        <v>45</v>
      </c>
      <c r="Y172" s="1">
        <v>4.82120012E8</v>
      </c>
      <c r="Z172" s="1">
        <v>3.9866801E7</v>
      </c>
      <c r="AA172" s="1" t="s">
        <v>612</v>
      </c>
      <c r="AB172" s="1">
        <v>105235.0</v>
      </c>
      <c r="AC172" s="2">
        <v>41395.0</v>
      </c>
      <c r="AD172" s="1">
        <v>9100.0</v>
      </c>
      <c r="AE172" s="1" t="s">
        <v>194</v>
      </c>
      <c r="AF172" s="1" t="s">
        <v>695</v>
      </c>
      <c r="AG172" s="1" t="s">
        <v>687</v>
      </c>
      <c r="AH172" s="1">
        <v>7.0</v>
      </c>
      <c r="AI172" s="1">
        <v>2013.0</v>
      </c>
      <c r="AJ172" s="1">
        <v>2013.0</v>
      </c>
      <c r="AK172" s="1" t="s">
        <v>688</v>
      </c>
    </row>
    <row r="173">
      <c r="A173" s="1" t="s">
        <v>684</v>
      </c>
      <c r="B173" s="1" t="s">
        <v>684</v>
      </c>
      <c r="C173" s="1" t="s">
        <v>194</v>
      </c>
      <c r="E173" s="1">
        <v>1.0570367E7</v>
      </c>
      <c r="F173" s="2">
        <v>41382.0</v>
      </c>
      <c r="G173" s="1" t="s">
        <v>685</v>
      </c>
      <c r="I173" s="1" t="s">
        <v>685</v>
      </c>
      <c r="L173" s="1" t="s">
        <v>194</v>
      </c>
      <c r="M173" s="1">
        <v>9100.0</v>
      </c>
      <c r="N173" s="1" t="s">
        <v>194</v>
      </c>
      <c r="O173" s="1">
        <v>7.97531295E8</v>
      </c>
      <c r="P173" s="1" t="s">
        <v>582</v>
      </c>
      <c r="R173" s="1" t="s">
        <v>583</v>
      </c>
      <c r="S173" s="1" t="s">
        <v>44</v>
      </c>
      <c r="T173" s="1" t="s">
        <v>45</v>
      </c>
      <c r="U173" s="1">
        <v>4.82123452E8</v>
      </c>
      <c r="W173" s="1" t="s">
        <v>498</v>
      </c>
      <c r="X173" s="1" t="s">
        <v>45</v>
      </c>
      <c r="Y173" s="1">
        <v>4.82123452E8</v>
      </c>
      <c r="AB173" s="1">
        <v>32229.0</v>
      </c>
      <c r="AC173" s="2">
        <v>41382.0</v>
      </c>
      <c r="AD173" s="1">
        <v>9100.0</v>
      </c>
      <c r="AE173" s="1" t="s">
        <v>194</v>
      </c>
      <c r="AF173" s="1" t="s">
        <v>696</v>
      </c>
      <c r="AG173" s="1" t="s">
        <v>687</v>
      </c>
      <c r="AH173" s="1">
        <v>7.0</v>
      </c>
      <c r="AI173" s="1">
        <v>2013.0</v>
      </c>
      <c r="AJ173" s="1">
        <v>2013.0</v>
      </c>
      <c r="AK173" s="1" t="s">
        <v>688</v>
      </c>
    </row>
    <row r="174">
      <c r="A174" s="1" t="s">
        <v>684</v>
      </c>
      <c r="B174" s="1" t="s">
        <v>684</v>
      </c>
      <c r="C174" s="1" t="s">
        <v>194</v>
      </c>
      <c r="E174" s="1">
        <v>1.0570367E7</v>
      </c>
      <c r="F174" s="2">
        <v>41428.0</v>
      </c>
      <c r="G174" s="1" t="s">
        <v>685</v>
      </c>
      <c r="I174" s="1" t="s">
        <v>685</v>
      </c>
      <c r="L174" s="1" t="s">
        <v>194</v>
      </c>
      <c r="M174" s="1">
        <v>9100.0</v>
      </c>
      <c r="N174" s="1" t="s">
        <v>194</v>
      </c>
      <c r="O174" s="1">
        <v>1.98438892E8</v>
      </c>
      <c r="P174" s="1" t="s">
        <v>505</v>
      </c>
      <c r="R174" s="1" t="s">
        <v>506</v>
      </c>
      <c r="S174" s="1" t="s">
        <v>44</v>
      </c>
      <c r="T174" s="1" t="s">
        <v>45</v>
      </c>
      <c r="U174" s="1">
        <v>4.82123572E8</v>
      </c>
      <c r="W174" s="1" t="s">
        <v>498</v>
      </c>
      <c r="X174" s="1" t="s">
        <v>45</v>
      </c>
      <c r="Y174" s="1">
        <v>4.82123572E8</v>
      </c>
      <c r="Z174" s="1">
        <v>1.98438892E8</v>
      </c>
      <c r="AA174" s="1" t="s">
        <v>505</v>
      </c>
      <c r="AB174" s="1">
        <v>28039.0</v>
      </c>
      <c r="AC174" s="2">
        <v>41428.0</v>
      </c>
      <c r="AD174" s="1">
        <v>9100.0</v>
      </c>
      <c r="AE174" s="1" t="s">
        <v>194</v>
      </c>
      <c r="AF174" s="1" t="s">
        <v>697</v>
      </c>
      <c r="AG174" s="1" t="s">
        <v>687</v>
      </c>
      <c r="AH174" s="1">
        <v>7.0</v>
      </c>
      <c r="AI174" s="1">
        <v>2013.0</v>
      </c>
      <c r="AJ174" s="1">
        <v>2013.0</v>
      </c>
      <c r="AK174" s="1" t="s">
        <v>688</v>
      </c>
    </row>
    <row r="175">
      <c r="A175" s="1" t="s">
        <v>684</v>
      </c>
      <c r="B175" s="1" t="s">
        <v>684</v>
      </c>
      <c r="C175" s="1" t="s">
        <v>194</v>
      </c>
      <c r="E175" s="1">
        <v>1.0570367E7</v>
      </c>
      <c r="F175" s="2">
        <v>41367.0</v>
      </c>
      <c r="G175" s="1" t="s">
        <v>685</v>
      </c>
      <c r="I175" s="1" t="s">
        <v>685</v>
      </c>
      <c r="L175" s="1" t="s">
        <v>194</v>
      </c>
      <c r="M175" s="1">
        <v>9100.0</v>
      </c>
      <c r="N175" s="1" t="s">
        <v>194</v>
      </c>
      <c r="O175" s="1">
        <v>7.97531279E8</v>
      </c>
      <c r="P175" s="1" t="s">
        <v>496</v>
      </c>
      <c r="R175" s="1" t="s">
        <v>497</v>
      </c>
      <c r="S175" s="1" t="s">
        <v>44</v>
      </c>
      <c r="T175" s="1" t="s">
        <v>45</v>
      </c>
      <c r="U175" s="1">
        <v>4.82123323E8</v>
      </c>
      <c r="W175" s="1" t="s">
        <v>498</v>
      </c>
      <c r="X175" s="1" t="s">
        <v>45</v>
      </c>
      <c r="Y175" s="1">
        <v>4.82123323E8</v>
      </c>
      <c r="AB175" s="1">
        <v>46058.0</v>
      </c>
      <c r="AC175" s="2">
        <v>41367.0</v>
      </c>
      <c r="AD175" s="1">
        <v>9100.0</v>
      </c>
      <c r="AE175" s="1" t="s">
        <v>194</v>
      </c>
      <c r="AF175" s="1" t="s">
        <v>698</v>
      </c>
      <c r="AG175" s="1" t="s">
        <v>687</v>
      </c>
      <c r="AH175" s="1">
        <v>7.0</v>
      </c>
      <c r="AI175" s="1">
        <v>2013.0</v>
      </c>
      <c r="AJ175" s="1">
        <v>2013.0</v>
      </c>
      <c r="AK175" s="1" t="s">
        <v>688</v>
      </c>
    </row>
    <row r="176">
      <c r="A176" s="1" t="s">
        <v>684</v>
      </c>
      <c r="B176" s="1" t="s">
        <v>684</v>
      </c>
      <c r="C176" s="1" t="s">
        <v>194</v>
      </c>
      <c r="E176" s="1">
        <v>1.0570367E7</v>
      </c>
      <c r="F176" s="2">
        <v>41351.0</v>
      </c>
      <c r="G176" s="1" t="s">
        <v>685</v>
      </c>
      <c r="I176" s="1" t="s">
        <v>685</v>
      </c>
      <c r="L176" s="1" t="s">
        <v>194</v>
      </c>
      <c r="M176" s="1">
        <v>9100.0</v>
      </c>
      <c r="N176" s="1" t="s">
        <v>194</v>
      </c>
      <c r="O176" s="1">
        <v>5.2874042E7</v>
      </c>
      <c r="P176" s="1" t="s">
        <v>538</v>
      </c>
      <c r="R176" s="1" t="s">
        <v>539</v>
      </c>
      <c r="S176" s="1" t="s">
        <v>44</v>
      </c>
      <c r="T176" s="1" t="s">
        <v>45</v>
      </c>
      <c r="U176" s="1">
        <v>4.82091524E8</v>
      </c>
      <c r="W176" s="1" t="s">
        <v>44</v>
      </c>
      <c r="X176" s="1" t="s">
        <v>45</v>
      </c>
      <c r="Y176" s="1">
        <v>4.82091524E8</v>
      </c>
      <c r="AB176" s="1">
        <v>260211.0</v>
      </c>
      <c r="AC176" s="2">
        <v>41351.0</v>
      </c>
      <c r="AD176" s="1">
        <v>9100.0</v>
      </c>
      <c r="AE176" s="1" t="s">
        <v>194</v>
      </c>
      <c r="AF176" s="1" t="s">
        <v>699</v>
      </c>
      <c r="AG176" s="1" t="s">
        <v>687</v>
      </c>
      <c r="AH176" s="1">
        <v>7.0</v>
      </c>
      <c r="AI176" s="1">
        <v>2013.0</v>
      </c>
      <c r="AJ176" s="1">
        <v>2013.0</v>
      </c>
      <c r="AK176" s="1" t="s">
        <v>688</v>
      </c>
    </row>
    <row r="177">
      <c r="A177" s="1" t="s">
        <v>684</v>
      </c>
      <c r="B177" s="1" t="s">
        <v>684</v>
      </c>
      <c r="C177" s="1" t="s">
        <v>194</v>
      </c>
      <c r="E177" s="1">
        <v>1.0570367E7</v>
      </c>
      <c r="F177" s="2">
        <v>41326.0</v>
      </c>
      <c r="G177" s="1" t="s">
        <v>685</v>
      </c>
      <c r="I177" s="1" t="s">
        <v>685</v>
      </c>
      <c r="L177" s="1" t="s">
        <v>194</v>
      </c>
      <c r="M177" s="1">
        <v>9100.0</v>
      </c>
      <c r="N177" s="1" t="s">
        <v>194</v>
      </c>
      <c r="O177" s="1">
        <v>6.6707493E7</v>
      </c>
      <c r="P177" s="1" t="s">
        <v>541</v>
      </c>
      <c r="R177" s="1" t="s">
        <v>542</v>
      </c>
      <c r="S177" s="1" t="s">
        <v>44</v>
      </c>
      <c r="T177" s="1" t="s">
        <v>45</v>
      </c>
      <c r="U177" s="1">
        <v>4.8210252E8</v>
      </c>
      <c r="W177" s="1" t="s">
        <v>44</v>
      </c>
      <c r="X177" s="1" t="s">
        <v>45</v>
      </c>
      <c r="Y177" s="1">
        <v>4.8210252E8</v>
      </c>
      <c r="AB177" s="1">
        <v>89720.0</v>
      </c>
      <c r="AC177" s="2">
        <v>41326.0</v>
      </c>
      <c r="AD177" s="1">
        <v>9100.0</v>
      </c>
      <c r="AE177" s="1" t="s">
        <v>194</v>
      </c>
      <c r="AF177" s="1" t="s">
        <v>700</v>
      </c>
      <c r="AG177" s="1" t="s">
        <v>687</v>
      </c>
      <c r="AH177" s="1">
        <v>7.0</v>
      </c>
      <c r="AI177" s="1">
        <v>2013.0</v>
      </c>
      <c r="AJ177" s="1">
        <v>2013.0</v>
      </c>
      <c r="AK177" s="1" t="s">
        <v>688</v>
      </c>
    </row>
    <row r="178">
      <c r="A178" s="1" t="s">
        <v>137</v>
      </c>
      <c r="B178" s="1" t="s">
        <v>137</v>
      </c>
      <c r="C178" s="1" t="s">
        <v>129</v>
      </c>
      <c r="E178" s="1">
        <v>2.7215412E7</v>
      </c>
      <c r="F178" s="2">
        <v>41453.0</v>
      </c>
      <c r="G178" s="1" t="s">
        <v>138</v>
      </c>
      <c r="I178" s="1" t="s">
        <v>138</v>
      </c>
      <c r="L178" s="1" t="s">
        <v>40</v>
      </c>
      <c r="M178" s="1">
        <v>7500.0</v>
      </c>
      <c r="N178" s="1" t="s">
        <v>40</v>
      </c>
      <c r="O178" s="1">
        <v>6.9840817E7</v>
      </c>
      <c r="P178" s="1" t="s">
        <v>131</v>
      </c>
      <c r="R178" s="1" t="s">
        <v>132</v>
      </c>
      <c r="S178" s="1" t="s">
        <v>44</v>
      </c>
      <c r="T178" s="1" t="s">
        <v>45</v>
      </c>
      <c r="U178" s="1">
        <v>4.8214261E8</v>
      </c>
      <c r="W178" s="1" t="s">
        <v>46</v>
      </c>
      <c r="X178" s="1" t="s">
        <v>45</v>
      </c>
      <c r="Y178" s="1">
        <v>4.8214261E8</v>
      </c>
      <c r="Z178" s="1">
        <v>6.9840817E7</v>
      </c>
      <c r="AA178" s="1" t="s">
        <v>131</v>
      </c>
      <c r="AB178" s="1">
        <v>263475.0</v>
      </c>
      <c r="AC178" s="2">
        <v>41453.0</v>
      </c>
      <c r="AD178" s="1">
        <v>7500.0</v>
      </c>
      <c r="AE178" s="1" t="s">
        <v>40</v>
      </c>
      <c r="AF178" s="1" t="s">
        <v>701</v>
      </c>
      <c r="AG178" s="1" t="s">
        <v>140</v>
      </c>
      <c r="AH178" s="1">
        <v>6.0</v>
      </c>
      <c r="AI178" s="1">
        <v>2013.0</v>
      </c>
      <c r="AJ178" s="1">
        <v>2013.0</v>
      </c>
      <c r="AK178" s="1" t="s">
        <v>141</v>
      </c>
    </row>
    <row r="179">
      <c r="A179" s="1" t="s">
        <v>702</v>
      </c>
      <c r="B179" s="1" t="s">
        <v>702</v>
      </c>
      <c r="C179" s="1" t="s">
        <v>129</v>
      </c>
      <c r="E179" s="1">
        <v>4336298.0</v>
      </c>
      <c r="F179" s="2">
        <v>41395.0</v>
      </c>
      <c r="G179" s="1" t="s">
        <v>703</v>
      </c>
      <c r="I179" s="1" t="s">
        <v>703</v>
      </c>
      <c r="L179" s="1" t="s">
        <v>40</v>
      </c>
      <c r="M179" s="1">
        <v>7500.0</v>
      </c>
      <c r="N179" s="1" t="s">
        <v>40</v>
      </c>
      <c r="O179" s="1">
        <v>8.5464519E7</v>
      </c>
      <c r="P179" s="1" t="s">
        <v>704</v>
      </c>
      <c r="Q179" s="1" t="s">
        <v>705</v>
      </c>
      <c r="R179" s="1" t="s">
        <v>706</v>
      </c>
      <c r="S179" s="1" t="s">
        <v>44</v>
      </c>
      <c r="T179" s="1" t="s">
        <v>45</v>
      </c>
      <c r="U179" s="1">
        <v>4.82012015E8</v>
      </c>
      <c r="W179" s="1" t="s">
        <v>44</v>
      </c>
      <c r="X179" s="1" t="s">
        <v>45</v>
      </c>
      <c r="Y179" s="1">
        <v>4.82192044E8</v>
      </c>
      <c r="AB179" s="1">
        <v>2231987.0</v>
      </c>
      <c r="AC179" s="2">
        <v>41395.0</v>
      </c>
      <c r="AD179" s="1">
        <v>7500.0</v>
      </c>
      <c r="AE179" s="1" t="s">
        <v>40</v>
      </c>
      <c r="AF179" s="1" t="s">
        <v>707</v>
      </c>
      <c r="AG179" s="1" t="s">
        <v>703</v>
      </c>
      <c r="AH179" s="1">
        <v>7.0</v>
      </c>
      <c r="AI179" s="1">
        <v>2013.0</v>
      </c>
      <c r="AJ179" s="1">
        <v>2013.0</v>
      </c>
      <c r="AK179" s="1" t="s">
        <v>708</v>
      </c>
    </row>
    <row r="180">
      <c r="A180" s="1" t="s">
        <v>709</v>
      </c>
      <c r="B180" s="1" t="s">
        <v>709</v>
      </c>
      <c r="C180" s="1" t="s">
        <v>645</v>
      </c>
      <c r="E180" s="1">
        <v>4.44297088E8</v>
      </c>
      <c r="F180" s="2">
        <v>41242.0</v>
      </c>
      <c r="G180" s="1" t="s">
        <v>710</v>
      </c>
      <c r="I180" s="1" t="s">
        <v>710</v>
      </c>
      <c r="L180" s="1" t="s">
        <v>647</v>
      </c>
      <c r="M180" s="1">
        <v>1200.0</v>
      </c>
      <c r="N180" s="1" t="s">
        <v>647</v>
      </c>
      <c r="O180" s="1">
        <v>1.6338926E8</v>
      </c>
      <c r="P180" s="1" t="s">
        <v>465</v>
      </c>
      <c r="Q180" s="1" t="s">
        <v>598</v>
      </c>
      <c r="R180" s="1" t="s">
        <v>599</v>
      </c>
      <c r="S180" s="1" t="s">
        <v>44</v>
      </c>
      <c r="T180" s="1" t="s">
        <v>45</v>
      </c>
      <c r="U180" s="1">
        <v>4.82023457E8</v>
      </c>
      <c r="W180" s="1" t="s">
        <v>44</v>
      </c>
      <c r="X180" s="1" t="s">
        <v>45</v>
      </c>
      <c r="Y180" s="1">
        <v>4.82023457E8</v>
      </c>
      <c r="Z180" s="1">
        <v>1.6338926E8</v>
      </c>
      <c r="AA180" s="1" t="s">
        <v>465</v>
      </c>
      <c r="AB180" s="1">
        <v>36063.82</v>
      </c>
      <c r="AC180" s="2">
        <v>41242.0</v>
      </c>
      <c r="AD180" s="1">
        <v>1200.0</v>
      </c>
      <c r="AE180" s="1" t="s">
        <v>647</v>
      </c>
      <c r="AF180" s="1" t="s">
        <v>711</v>
      </c>
      <c r="AG180" s="1" t="s">
        <v>712</v>
      </c>
      <c r="AH180" s="1">
        <v>8.0</v>
      </c>
      <c r="AI180" s="1">
        <v>2013.0</v>
      </c>
      <c r="AJ180" s="1">
        <v>2013.0</v>
      </c>
      <c r="AK180" s="1" t="s">
        <v>713</v>
      </c>
    </row>
    <row r="181">
      <c r="A181" s="1" t="s">
        <v>709</v>
      </c>
      <c r="B181" s="1" t="s">
        <v>709</v>
      </c>
      <c r="C181" s="1" t="s">
        <v>645</v>
      </c>
      <c r="E181" s="1">
        <v>4.44297088E8</v>
      </c>
      <c r="F181" s="2">
        <v>41249.0</v>
      </c>
      <c r="G181" s="1" t="s">
        <v>710</v>
      </c>
      <c r="I181" s="1" t="s">
        <v>710</v>
      </c>
      <c r="L181" s="1" t="s">
        <v>647</v>
      </c>
      <c r="M181" s="1">
        <v>1200.0</v>
      </c>
      <c r="N181" s="1" t="s">
        <v>647</v>
      </c>
      <c r="O181" s="1">
        <v>1.17726252E8</v>
      </c>
      <c r="P181" s="1" t="s">
        <v>512</v>
      </c>
      <c r="R181" s="1" t="s">
        <v>513</v>
      </c>
      <c r="S181" s="1" t="s">
        <v>44</v>
      </c>
      <c r="T181" s="1" t="s">
        <v>45</v>
      </c>
      <c r="U181" s="1">
        <v>4.82193259E8</v>
      </c>
      <c r="W181" s="1" t="s">
        <v>44</v>
      </c>
      <c r="X181" s="1" t="s">
        <v>45</v>
      </c>
      <c r="Y181" s="1">
        <v>4.82193259E8</v>
      </c>
      <c r="AB181" s="1">
        <v>669146.02</v>
      </c>
      <c r="AC181" s="2">
        <v>41249.0</v>
      </c>
      <c r="AD181" s="1">
        <v>1200.0</v>
      </c>
      <c r="AE181" s="1" t="s">
        <v>647</v>
      </c>
      <c r="AF181" s="1" t="s">
        <v>714</v>
      </c>
      <c r="AG181" s="1" t="s">
        <v>712</v>
      </c>
      <c r="AH181" s="1">
        <v>8.0</v>
      </c>
      <c r="AI181" s="1">
        <v>2013.0</v>
      </c>
      <c r="AJ181" s="1">
        <v>2013.0</v>
      </c>
      <c r="AK181" s="1" t="s">
        <v>713</v>
      </c>
    </row>
    <row r="182">
      <c r="A182" s="1" t="s">
        <v>709</v>
      </c>
      <c r="B182" s="1" t="s">
        <v>709</v>
      </c>
      <c r="C182" s="1" t="s">
        <v>645</v>
      </c>
      <c r="E182" s="1">
        <v>4.44297088E8</v>
      </c>
      <c r="F182" s="2">
        <v>41193.0</v>
      </c>
      <c r="G182" s="1" t="s">
        <v>710</v>
      </c>
      <c r="I182" s="1" t="s">
        <v>710</v>
      </c>
      <c r="L182" s="1" t="s">
        <v>647</v>
      </c>
      <c r="M182" s="1">
        <v>1200.0</v>
      </c>
      <c r="N182" s="1" t="s">
        <v>647</v>
      </c>
      <c r="O182" s="1">
        <v>1.96632496E8</v>
      </c>
      <c r="P182" s="1" t="s">
        <v>715</v>
      </c>
      <c r="R182" s="1" t="s">
        <v>716</v>
      </c>
      <c r="S182" s="1" t="s">
        <v>44</v>
      </c>
      <c r="T182" s="1" t="s">
        <v>45</v>
      </c>
      <c r="U182" s="1">
        <v>4.82162058E8</v>
      </c>
      <c r="W182" s="1" t="s">
        <v>44</v>
      </c>
      <c r="X182" s="1" t="s">
        <v>45</v>
      </c>
      <c r="Y182" s="1">
        <v>4.82162058E8</v>
      </c>
      <c r="AB182" s="1">
        <v>27969.5</v>
      </c>
      <c r="AC182" s="2">
        <v>41193.0</v>
      </c>
      <c r="AD182" s="1">
        <v>1200.0</v>
      </c>
      <c r="AE182" s="1" t="s">
        <v>647</v>
      </c>
      <c r="AF182" s="1" t="s">
        <v>717</v>
      </c>
      <c r="AG182" s="1" t="s">
        <v>712</v>
      </c>
      <c r="AH182" s="1">
        <v>8.0</v>
      </c>
      <c r="AI182" s="1">
        <v>2013.0</v>
      </c>
      <c r="AJ182" s="1">
        <v>2013.0</v>
      </c>
      <c r="AK182" s="1" t="s">
        <v>713</v>
      </c>
    </row>
    <row r="183">
      <c r="A183" s="1" t="s">
        <v>709</v>
      </c>
      <c r="B183" s="1" t="s">
        <v>709</v>
      </c>
      <c r="C183" s="1" t="s">
        <v>645</v>
      </c>
      <c r="E183" s="1">
        <v>4.44297088E8</v>
      </c>
      <c r="F183" s="2">
        <v>41221.0</v>
      </c>
      <c r="G183" s="1" t="s">
        <v>710</v>
      </c>
      <c r="I183" s="1" t="s">
        <v>710</v>
      </c>
      <c r="L183" s="1" t="s">
        <v>647</v>
      </c>
      <c r="M183" s="1">
        <v>1200.0</v>
      </c>
      <c r="N183" s="1" t="s">
        <v>647</v>
      </c>
      <c r="O183" s="1">
        <v>5.2874042E7</v>
      </c>
      <c r="P183" s="1" t="s">
        <v>538</v>
      </c>
      <c r="R183" s="1" t="s">
        <v>539</v>
      </c>
      <c r="S183" s="1" t="s">
        <v>44</v>
      </c>
      <c r="T183" s="1" t="s">
        <v>45</v>
      </c>
      <c r="U183" s="1">
        <v>4.82091524E8</v>
      </c>
      <c r="W183" s="1" t="s">
        <v>44</v>
      </c>
      <c r="X183" s="1" t="s">
        <v>45</v>
      </c>
      <c r="Y183" s="1">
        <v>4.82091524E8</v>
      </c>
      <c r="AB183" s="1">
        <v>717250.35</v>
      </c>
      <c r="AC183" s="2">
        <v>41221.0</v>
      </c>
      <c r="AD183" s="1">
        <v>1200.0</v>
      </c>
      <c r="AE183" s="1" t="s">
        <v>647</v>
      </c>
      <c r="AF183" s="1" t="s">
        <v>718</v>
      </c>
      <c r="AG183" s="1" t="s">
        <v>712</v>
      </c>
      <c r="AH183" s="1">
        <v>8.0</v>
      </c>
      <c r="AI183" s="1">
        <v>2013.0</v>
      </c>
      <c r="AJ183" s="1">
        <v>2013.0</v>
      </c>
      <c r="AK183" s="1" t="s">
        <v>713</v>
      </c>
    </row>
    <row r="184">
      <c r="A184" s="1" t="s">
        <v>709</v>
      </c>
      <c r="B184" s="1" t="s">
        <v>709</v>
      </c>
      <c r="C184" s="1" t="s">
        <v>645</v>
      </c>
      <c r="E184" s="1">
        <v>4.44297088E8</v>
      </c>
      <c r="F184" s="2">
        <v>41228.0</v>
      </c>
      <c r="G184" s="1" t="s">
        <v>710</v>
      </c>
      <c r="I184" s="1" t="s">
        <v>710</v>
      </c>
      <c r="L184" s="1" t="s">
        <v>647</v>
      </c>
      <c r="M184" s="1">
        <v>1200.0</v>
      </c>
      <c r="N184" s="1" t="s">
        <v>647</v>
      </c>
      <c r="O184" s="1">
        <v>1.01550176E8</v>
      </c>
      <c r="P184" s="1" t="s">
        <v>719</v>
      </c>
      <c r="R184" s="1" t="s">
        <v>720</v>
      </c>
      <c r="S184" s="1" t="s">
        <v>44</v>
      </c>
      <c r="T184" s="1" t="s">
        <v>45</v>
      </c>
      <c r="U184" s="1">
        <v>4.82132731E8</v>
      </c>
      <c r="W184" s="1" t="s">
        <v>44</v>
      </c>
      <c r="X184" s="1" t="s">
        <v>45</v>
      </c>
      <c r="Y184" s="1">
        <v>4.82132731E8</v>
      </c>
      <c r="Z184" s="1">
        <v>1.01550176E8</v>
      </c>
      <c r="AA184" s="1" t="s">
        <v>719</v>
      </c>
      <c r="AB184" s="1">
        <v>290764.19</v>
      </c>
      <c r="AC184" s="2">
        <v>41228.0</v>
      </c>
      <c r="AD184" s="1">
        <v>1200.0</v>
      </c>
      <c r="AE184" s="1" t="s">
        <v>647</v>
      </c>
      <c r="AF184" s="1" t="s">
        <v>721</v>
      </c>
      <c r="AG184" s="1" t="s">
        <v>712</v>
      </c>
      <c r="AH184" s="1">
        <v>8.0</v>
      </c>
      <c r="AI184" s="1">
        <v>2013.0</v>
      </c>
      <c r="AJ184" s="1">
        <v>2013.0</v>
      </c>
      <c r="AK184" s="1" t="s">
        <v>713</v>
      </c>
    </row>
    <row r="185">
      <c r="A185" s="1" t="s">
        <v>709</v>
      </c>
      <c r="B185" s="1" t="s">
        <v>709</v>
      </c>
      <c r="C185" s="1" t="s">
        <v>645</v>
      </c>
      <c r="E185" s="1">
        <v>4.44297088E8</v>
      </c>
      <c r="F185" s="2">
        <v>41249.0</v>
      </c>
      <c r="G185" s="1" t="s">
        <v>710</v>
      </c>
      <c r="I185" s="1" t="s">
        <v>710</v>
      </c>
      <c r="L185" s="1" t="s">
        <v>647</v>
      </c>
      <c r="M185" s="1">
        <v>1200.0</v>
      </c>
      <c r="N185" s="1" t="s">
        <v>647</v>
      </c>
      <c r="O185" s="1">
        <v>9.62104118E8</v>
      </c>
      <c r="P185" s="1" t="s">
        <v>634</v>
      </c>
      <c r="R185" s="1" t="s">
        <v>635</v>
      </c>
      <c r="S185" s="1" t="s">
        <v>44</v>
      </c>
      <c r="T185" s="1" t="s">
        <v>45</v>
      </c>
      <c r="U185" s="1">
        <v>4.82351111E8</v>
      </c>
      <c r="W185" s="1" t="s">
        <v>46</v>
      </c>
      <c r="X185" s="1" t="s">
        <v>45</v>
      </c>
      <c r="Y185" s="1">
        <v>4.82351111E8</v>
      </c>
      <c r="AB185" s="1">
        <v>93097.14</v>
      </c>
      <c r="AC185" s="2">
        <v>41249.0</v>
      </c>
      <c r="AD185" s="1">
        <v>1200.0</v>
      </c>
      <c r="AE185" s="1" t="s">
        <v>647</v>
      </c>
      <c r="AF185" s="1" t="s">
        <v>722</v>
      </c>
      <c r="AG185" s="1" t="s">
        <v>712</v>
      </c>
      <c r="AH185" s="1">
        <v>8.0</v>
      </c>
      <c r="AI185" s="1">
        <v>2013.0</v>
      </c>
      <c r="AJ185" s="1">
        <v>2013.0</v>
      </c>
      <c r="AK185" s="1" t="s">
        <v>713</v>
      </c>
    </row>
    <row r="186">
      <c r="A186" s="1" t="s">
        <v>709</v>
      </c>
      <c r="B186" s="1" t="s">
        <v>709</v>
      </c>
      <c r="C186" s="1" t="s">
        <v>645</v>
      </c>
      <c r="E186" s="1">
        <v>4.44297088E8</v>
      </c>
      <c r="F186" s="2">
        <v>41186.0</v>
      </c>
      <c r="G186" s="1" t="s">
        <v>710</v>
      </c>
      <c r="I186" s="1" t="s">
        <v>710</v>
      </c>
      <c r="L186" s="1" t="s">
        <v>647</v>
      </c>
      <c r="M186" s="1">
        <v>1200.0</v>
      </c>
      <c r="N186" s="1" t="s">
        <v>647</v>
      </c>
      <c r="O186" s="1">
        <v>2.7504143E7</v>
      </c>
      <c r="P186" s="1" t="s">
        <v>723</v>
      </c>
      <c r="R186" s="1" t="s">
        <v>724</v>
      </c>
      <c r="S186" s="1" t="s">
        <v>44</v>
      </c>
      <c r="T186" s="1" t="s">
        <v>45</v>
      </c>
      <c r="U186" s="1">
        <v>4.82211963E8</v>
      </c>
      <c r="W186" s="1" t="s">
        <v>44</v>
      </c>
      <c r="X186" s="1" t="s">
        <v>45</v>
      </c>
      <c r="Y186" s="1">
        <v>4.82211963E8</v>
      </c>
      <c r="AB186" s="1">
        <v>90606.73</v>
      </c>
      <c r="AC186" s="2">
        <v>41186.0</v>
      </c>
      <c r="AD186" s="1">
        <v>1200.0</v>
      </c>
      <c r="AE186" s="1" t="s">
        <v>647</v>
      </c>
      <c r="AF186" s="1" t="s">
        <v>725</v>
      </c>
      <c r="AG186" s="1" t="s">
        <v>712</v>
      </c>
      <c r="AH186" s="1">
        <v>8.0</v>
      </c>
      <c r="AI186" s="1">
        <v>2013.0</v>
      </c>
      <c r="AJ186" s="1">
        <v>2013.0</v>
      </c>
      <c r="AK186" s="1" t="s">
        <v>713</v>
      </c>
    </row>
    <row r="187">
      <c r="A187" s="1" t="s">
        <v>709</v>
      </c>
      <c r="B187" s="1" t="s">
        <v>709</v>
      </c>
      <c r="C187" s="1" t="s">
        <v>645</v>
      </c>
      <c r="E187" s="1">
        <v>4.44297088E8</v>
      </c>
      <c r="F187" s="2">
        <v>41186.0</v>
      </c>
      <c r="G187" s="1" t="s">
        <v>710</v>
      </c>
      <c r="I187" s="1" t="s">
        <v>710</v>
      </c>
      <c r="L187" s="1" t="s">
        <v>647</v>
      </c>
      <c r="M187" s="1">
        <v>1200.0</v>
      </c>
      <c r="N187" s="1" t="s">
        <v>647</v>
      </c>
      <c r="O187" s="1">
        <v>9.62949843E8</v>
      </c>
      <c r="P187" s="1" t="s">
        <v>619</v>
      </c>
      <c r="R187" s="1" t="s">
        <v>620</v>
      </c>
      <c r="S187" s="1" t="s">
        <v>44</v>
      </c>
      <c r="T187" s="1" t="s">
        <v>45</v>
      </c>
      <c r="U187" s="1">
        <v>4.82042306E8</v>
      </c>
      <c r="W187" s="1" t="s">
        <v>44</v>
      </c>
      <c r="X187" s="1" t="s">
        <v>45</v>
      </c>
      <c r="Y187" s="1">
        <v>4.82042306E8</v>
      </c>
      <c r="AB187" s="1">
        <v>289875.93</v>
      </c>
      <c r="AC187" s="2">
        <v>41186.0</v>
      </c>
      <c r="AD187" s="1">
        <v>1200.0</v>
      </c>
      <c r="AE187" s="1" t="s">
        <v>647</v>
      </c>
      <c r="AF187" s="1" t="s">
        <v>726</v>
      </c>
      <c r="AG187" s="1" t="s">
        <v>712</v>
      </c>
      <c r="AH187" s="1">
        <v>8.0</v>
      </c>
      <c r="AI187" s="1">
        <v>2013.0</v>
      </c>
      <c r="AJ187" s="1">
        <v>2013.0</v>
      </c>
      <c r="AK187" s="1" t="s">
        <v>713</v>
      </c>
    </row>
    <row r="188">
      <c r="A188" s="1" t="s">
        <v>709</v>
      </c>
      <c r="B188" s="1" t="s">
        <v>709</v>
      </c>
      <c r="C188" s="1" t="s">
        <v>645</v>
      </c>
      <c r="E188" s="1">
        <v>4.44297088E8</v>
      </c>
      <c r="F188" s="2">
        <v>41214.0</v>
      </c>
      <c r="G188" s="1" t="s">
        <v>710</v>
      </c>
      <c r="I188" s="1" t="s">
        <v>710</v>
      </c>
      <c r="L188" s="1" t="s">
        <v>647</v>
      </c>
      <c r="M188" s="1">
        <v>1200.0</v>
      </c>
      <c r="N188" s="1" t="s">
        <v>647</v>
      </c>
      <c r="O188" s="1">
        <v>5.57263386E8</v>
      </c>
      <c r="P188" s="1" t="s">
        <v>727</v>
      </c>
      <c r="R188" s="1" t="s">
        <v>728</v>
      </c>
      <c r="S188" s="1" t="s">
        <v>44</v>
      </c>
      <c r="T188" s="1" t="s">
        <v>45</v>
      </c>
      <c r="U188" s="1">
        <v>4.82231703E8</v>
      </c>
      <c r="W188" s="1" t="s">
        <v>44</v>
      </c>
      <c r="X188" s="1" t="s">
        <v>45</v>
      </c>
      <c r="Y188" s="1">
        <v>4.82231703E8</v>
      </c>
      <c r="AB188" s="1">
        <v>46946.85</v>
      </c>
      <c r="AC188" s="2">
        <v>41214.0</v>
      </c>
      <c r="AD188" s="1">
        <v>1200.0</v>
      </c>
      <c r="AE188" s="1" t="s">
        <v>647</v>
      </c>
      <c r="AF188" s="1" t="s">
        <v>729</v>
      </c>
      <c r="AG188" s="1" t="s">
        <v>712</v>
      </c>
      <c r="AH188" s="1">
        <v>8.0</v>
      </c>
      <c r="AI188" s="1">
        <v>2013.0</v>
      </c>
      <c r="AJ188" s="1">
        <v>2013.0</v>
      </c>
      <c r="AK188" s="1" t="s">
        <v>713</v>
      </c>
    </row>
    <row r="189">
      <c r="A189" s="1" t="s">
        <v>709</v>
      </c>
      <c r="B189" s="1" t="s">
        <v>709</v>
      </c>
      <c r="C189" s="1" t="s">
        <v>645</v>
      </c>
      <c r="E189" s="1">
        <v>4.44297088E8</v>
      </c>
      <c r="F189" s="2">
        <v>41193.0</v>
      </c>
      <c r="G189" s="1" t="s">
        <v>710</v>
      </c>
      <c r="I189" s="1" t="s">
        <v>710</v>
      </c>
      <c r="L189" s="1" t="s">
        <v>647</v>
      </c>
      <c r="M189" s="1">
        <v>1200.0</v>
      </c>
      <c r="N189" s="1" t="s">
        <v>647</v>
      </c>
      <c r="O189" s="1">
        <v>8.29630537E8</v>
      </c>
      <c r="P189" s="1" t="s">
        <v>531</v>
      </c>
      <c r="Q189" s="1" t="s">
        <v>532</v>
      </c>
      <c r="R189" s="1" t="s">
        <v>533</v>
      </c>
      <c r="S189" s="1" t="s">
        <v>44</v>
      </c>
      <c r="T189" s="1" t="s">
        <v>45</v>
      </c>
      <c r="U189" s="1">
        <v>4.8219181E8</v>
      </c>
      <c r="W189" s="1" t="s">
        <v>44</v>
      </c>
      <c r="X189" s="1" t="s">
        <v>45</v>
      </c>
      <c r="Y189" s="1">
        <v>4.8219181E8</v>
      </c>
      <c r="AB189" s="1">
        <v>243271.53</v>
      </c>
      <c r="AC189" s="2">
        <v>41193.0</v>
      </c>
      <c r="AD189" s="1">
        <v>1200.0</v>
      </c>
      <c r="AE189" s="1" t="s">
        <v>647</v>
      </c>
      <c r="AF189" s="1" t="s">
        <v>730</v>
      </c>
      <c r="AG189" s="1" t="s">
        <v>712</v>
      </c>
      <c r="AH189" s="1">
        <v>8.0</v>
      </c>
      <c r="AI189" s="1">
        <v>2013.0</v>
      </c>
      <c r="AJ189" s="1">
        <v>2013.0</v>
      </c>
      <c r="AK189" s="1" t="s">
        <v>713</v>
      </c>
    </row>
    <row r="190">
      <c r="A190" s="1" t="s">
        <v>709</v>
      </c>
      <c r="B190" s="1" t="s">
        <v>709</v>
      </c>
      <c r="C190" s="1" t="s">
        <v>645</v>
      </c>
      <c r="E190" s="1">
        <v>4.44297088E8</v>
      </c>
      <c r="F190" s="2">
        <v>41452.0</v>
      </c>
      <c r="G190" s="1" t="s">
        <v>710</v>
      </c>
      <c r="I190" s="1" t="s">
        <v>710</v>
      </c>
      <c r="L190" s="1" t="s">
        <v>647</v>
      </c>
      <c r="M190" s="1">
        <v>1200.0</v>
      </c>
      <c r="N190" s="1" t="s">
        <v>647</v>
      </c>
      <c r="O190" s="1">
        <v>8.01337023E8</v>
      </c>
      <c r="P190" s="1" t="s">
        <v>731</v>
      </c>
      <c r="Q190" s="1" t="s">
        <v>732</v>
      </c>
      <c r="R190" s="1" t="s">
        <v>733</v>
      </c>
      <c r="S190" s="1" t="s">
        <v>44</v>
      </c>
      <c r="T190" s="1" t="s">
        <v>45</v>
      </c>
      <c r="U190" s="1">
        <v>4.82342968E8</v>
      </c>
      <c r="W190" s="1" t="s">
        <v>44</v>
      </c>
      <c r="X190" s="1" t="s">
        <v>45</v>
      </c>
      <c r="Y190" s="1">
        <v>4.82342968E8</v>
      </c>
      <c r="Z190" s="1">
        <v>8.01337023E8</v>
      </c>
      <c r="AA190" s="1" t="s">
        <v>731</v>
      </c>
      <c r="AB190" s="1">
        <v>125982.37</v>
      </c>
      <c r="AC190" s="2">
        <v>41452.0</v>
      </c>
      <c r="AD190" s="1">
        <v>1200.0</v>
      </c>
      <c r="AE190" s="1" t="s">
        <v>647</v>
      </c>
      <c r="AF190" s="1" t="s">
        <v>734</v>
      </c>
      <c r="AG190" s="1" t="s">
        <v>712</v>
      </c>
      <c r="AH190" s="1">
        <v>8.0</v>
      </c>
      <c r="AI190" s="1">
        <v>2013.0</v>
      </c>
      <c r="AJ190" s="1">
        <v>2013.0</v>
      </c>
      <c r="AK190" s="1" t="s">
        <v>713</v>
      </c>
    </row>
    <row r="191">
      <c r="A191" s="1" t="s">
        <v>709</v>
      </c>
      <c r="B191" s="1" t="s">
        <v>709</v>
      </c>
      <c r="C191" s="1" t="s">
        <v>645</v>
      </c>
      <c r="E191" s="1">
        <v>4.44297088E8</v>
      </c>
      <c r="F191" s="2">
        <v>41193.0</v>
      </c>
      <c r="G191" s="1" t="s">
        <v>710</v>
      </c>
      <c r="I191" s="1" t="s">
        <v>710</v>
      </c>
      <c r="L191" s="1" t="s">
        <v>647</v>
      </c>
      <c r="M191" s="1">
        <v>1200.0</v>
      </c>
      <c r="N191" s="1" t="s">
        <v>647</v>
      </c>
      <c r="O191" s="1">
        <v>7.97527715E8</v>
      </c>
      <c r="P191" s="1" t="s">
        <v>567</v>
      </c>
      <c r="R191" s="1" t="s">
        <v>568</v>
      </c>
      <c r="S191" s="1" t="s">
        <v>44</v>
      </c>
      <c r="T191" s="1" t="s">
        <v>45</v>
      </c>
      <c r="U191" s="1">
        <v>4.82123134E8</v>
      </c>
      <c r="W191" s="1" t="s">
        <v>498</v>
      </c>
      <c r="X191" s="1" t="s">
        <v>45</v>
      </c>
      <c r="Y191" s="1">
        <v>4.82123134E8</v>
      </c>
      <c r="Z191" s="1">
        <v>9.60742484E8</v>
      </c>
      <c r="AB191" s="1">
        <v>181461.42</v>
      </c>
      <c r="AC191" s="2">
        <v>41193.0</v>
      </c>
      <c r="AD191" s="1">
        <v>1200.0</v>
      </c>
      <c r="AE191" s="1" t="s">
        <v>647</v>
      </c>
      <c r="AF191" s="1" t="s">
        <v>735</v>
      </c>
      <c r="AG191" s="1" t="s">
        <v>712</v>
      </c>
      <c r="AH191" s="1">
        <v>8.0</v>
      </c>
      <c r="AI191" s="1">
        <v>2013.0</v>
      </c>
      <c r="AJ191" s="1">
        <v>2013.0</v>
      </c>
      <c r="AK191" s="1" t="s">
        <v>713</v>
      </c>
    </row>
    <row r="192">
      <c r="A192" s="1" t="s">
        <v>709</v>
      </c>
      <c r="B192" s="1" t="s">
        <v>709</v>
      </c>
      <c r="C192" s="1" t="s">
        <v>645</v>
      </c>
      <c r="E192" s="1">
        <v>4.44297088E8</v>
      </c>
      <c r="F192" s="2">
        <v>41221.0</v>
      </c>
      <c r="G192" s="1" t="s">
        <v>710</v>
      </c>
      <c r="I192" s="1" t="s">
        <v>710</v>
      </c>
      <c r="L192" s="1" t="s">
        <v>647</v>
      </c>
      <c r="M192" s="1">
        <v>1200.0</v>
      </c>
      <c r="N192" s="1" t="s">
        <v>647</v>
      </c>
      <c r="O192" s="1">
        <v>1.47777952E8</v>
      </c>
      <c r="P192" s="1" t="s">
        <v>459</v>
      </c>
      <c r="Q192" s="1" t="s">
        <v>626</v>
      </c>
      <c r="R192" s="1" t="s">
        <v>627</v>
      </c>
      <c r="S192" s="1" t="s">
        <v>44</v>
      </c>
      <c r="T192" s="1" t="s">
        <v>45</v>
      </c>
      <c r="U192" s="1">
        <v>4.82072112E8</v>
      </c>
      <c r="W192" s="1" t="s">
        <v>44</v>
      </c>
      <c r="X192" s="1" t="s">
        <v>45</v>
      </c>
      <c r="Y192" s="1">
        <v>4.82072112E8</v>
      </c>
      <c r="Z192" s="1">
        <v>7.6340843E7</v>
      </c>
      <c r="AA192" s="1" t="s">
        <v>461</v>
      </c>
      <c r="AB192" s="1">
        <v>294641.29</v>
      </c>
      <c r="AC192" s="2">
        <v>41221.0</v>
      </c>
      <c r="AD192" s="1">
        <v>1200.0</v>
      </c>
      <c r="AE192" s="1" t="s">
        <v>647</v>
      </c>
      <c r="AF192" s="1" t="s">
        <v>736</v>
      </c>
      <c r="AG192" s="1" t="s">
        <v>712</v>
      </c>
      <c r="AH192" s="1">
        <v>8.0</v>
      </c>
      <c r="AI192" s="1">
        <v>2013.0</v>
      </c>
      <c r="AJ192" s="1">
        <v>2013.0</v>
      </c>
      <c r="AK192" s="1" t="s">
        <v>713</v>
      </c>
    </row>
    <row r="193">
      <c r="A193" s="1" t="s">
        <v>709</v>
      </c>
      <c r="B193" s="1" t="s">
        <v>709</v>
      </c>
      <c r="C193" s="1" t="s">
        <v>645</v>
      </c>
      <c r="E193" s="1">
        <v>4.44297088E8</v>
      </c>
      <c r="F193" s="2">
        <v>41193.0</v>
      </c>
      <c r="G193" s="1" t="s">
        <v>710</v>
      </c>
      <c r="I193" s="1" t="s">
        <v>710</v>
      </c>
      <c r="L193" s="1" t="s">
        <v>647</v>
      </c>
      <c r="M193" s="1">
        <v>1200.0</v>
      </c>
      <c r="N193" s="1" t="s">
        <v>647</v>
      </c>
      <c r="O193" s="1">
        <v>7.93697355E8</v>
      </c>
      <c r="P193" s="1" t="s">
        <v>691</v>
      </c>
      <c r="R193" s="1" t="s">
        <v>692</v>
      </c>
      <c r="S193" s="1" t="s">
        <v>44</v>
      </c>
      <c r="T193" s="1" t="s">
        <v>45</v>
      </c>
      <c r="U193" s="1">
        <v>4.82111554E8</v>
      </c>
      <c r="W193" s="1" t="s">
        <v>44</v>
      </c>
      <c r="X193" s="1" t="s">
        <v>45</v>
      </c>
      <c r="Y193" s="1">
        <v>4.82111552E8</v>
      </c>
      <c r="AB193" s="1">
        <v>168962.05</v>
      </c>
      <c r="AC193" s="2">
        <v>41193.0</v>
      </c>
      <c r="AD193" s="1">
        <v>1200.0</v>
      </c>
      <c r="AE193" s="1" t="s">
        <v>647</v>
      </c>
      <c r="AF193" s="1" t="s">
        <v>737</v>
      </c>
      <c r="AG193" s="1" t="s">
        <v>712</v>
      </c>
      <c r="AH193" s="1">
        <v>8.0</v>
      </c>
      <c r="AI193" s="1">
        <v>2013.0</v>
      </c>
      <c r="AJ193" s="1">
        <v>2013.0</v>
      </c>
      <c r="AK193" s="1" t="s">
        <v>713</v>
      </c>
    </row>
    <row r="194">
      <c r="A194" s="1" t="s">
        <v>709</v>
      </c>
      <c r="B194" s="1" t="s">
        <v>709</v>
      </c>
      <c r="C194" s="1" t="s">
        <v>645</v>
      </c>
      <c r="E194" s="1">
        <v>4.44297088E8</v>
      </c>
      <c r="F194" s="2">
        <v>41284.0</v>
      </c>
      <c r="G194" s="1" t="s">
        <v>710</v>
      </c>
      <c r="I194" s="1" t="s">
        <v>710</v>
      </c>
      <c r="L194" s="1" t="s">
        <v>647</v>
      </c>
      <c r="M194" s="1">
        <v>1200.0</v>
      </c>
      <c r="N194" s="1" t="s">
        <v>647</v>
      </c>
      <c r="O194" s="1">
        <v>7.6340843E7</v>
      </c>
      <c r="P194" s="1" t="s">
        <v>461</v>
      </c>
      <c r="Q194" s="1" t="s">
        <v>459</v>
      </c>
      <c r="R194" s="1" t="s">
        <v>524</v>
      </c>
      <c r="S194" s="1" t="s">
        <v>44</v>
      </c>
      <c r="T194" s="1" t="s">
        <v>45</v>
      </c>
      <c r="U194" s="1">
        <v>4.82023046E8</v>
      </c>
      <c r="W194" s="1" t="s">
        <v>44</v>
      </c>
      <c r="X194" s="1" t="s">
        <v>45</v>
      </c>
      <c r="Y194" s="1">
        <v>4.82023096E8</v>
      </c>
      <c r="Z194" s="1">
        <v>7.6340843E7</v>
      </c>
      <c r="AA194" s="1" t="s">
        <v>461</v>
      </c>
      <c r="AB194" s="1">
        <v>1208447.7</v>
      </c>
      <c r="AC194" s="2">
        <v>41284.0</v>
      </c>
      <c r="AD194" s="1">
        <v>1200.0</v>
      </c>
      <c r="AE194" s="1" t="s">
        <v>647</v>
      </c>
      <c r="AF194" s="1" t="s">
        <v>738</v>
      </c>
      <c r="AG194" s="1" t="s">
        <v>712</v>
      </c>
      <c r="AH194" s="1">
        <v>8.0</v>
      </c>
      <c r="AI194" s="1">
        <v>2013.0</v>
      </c>
      <c r="AJ194" s="1">
        <v>2013.0</v>
      </c>
      <c r="AK194" s="1" t="s">
        <v>713</v>
      </c>
    </row>
    <row r="195">
      <c r="A195" s="1" t="s">
        <v>709</v>
      </c>
      <c r="B195" s="1" t="s">
        <v>709</v>
      </c>
      <c r="C195" s="1" t="s">
        <v>645</v>
      </c>
      <c r="E195" s="1">
        <v>4.44297088E8</v>
      </c>
      <c r="F195" s="2">
        <v>41242.0</v>
      </c>
      <c r="G195" s="1" t="s">
        <v>710</v>
      </c>
      <c r="I195" s="1" t="s">
        <v>710</v>
      </c>
      <c r="L195" s="1" t="s">
        <v>647</v>
      </c>
      <c r="M195" s="1">
        <v>1200.0</v>
      </c>
      <c r="N195" s="1" t="s">
        <v>647</v>
      </c>
      <c r="O195" s="1">
        <v>7.93697942E8</v>
      </c>
      <c r="P195" s="1" t="s">
        <v>459</v>
      </c>
      <c r="R195" s="1" t="s">
        <v>460</v>
      </c>
      <c r="S195" s="1" t="s">
        <v>44</v>
      </c>
      <c r="T195" s="1" t="s">
        <v>45</v>
      </c>
      <c r="U195" s="1">
        <v>4.82141601E8</v>
      </c>
      <c r="W195" s="1" t="s">
        <v>44</v>
      </c>
      <c r="X195" s="1" t="s">
        <v>45</v>
      </c>
      <c r="Y195" s="1">
        <v>4.82141601E8</v>
      </c>
      <c r="Z195" s="1">
        <v>7.6340843E7</v>
      </c>
      <c r="AA195" s="1" t="s">
        <v>461</v>
      </c>
      <c r="AB195" s="1">
        <v>53793.05</v>
      </c>
      <c r="AC195" s="2">
        <v>41242.0</v>
      </c>
      <c r="AD195" s="1">
        <v>1200.0</v>
      </c>
      <c r="AE195" s="1" t="s">
        <v>647</v>
      </c>
      <c r="AF195" s="1" t="s">
        <v>739</v>
      </c>
      <c r="AG195" s="1" t="s">
        <v>712</v>
      </c>
      <c r="AH195" s="1">
        <v>8.0</v>
      </c>
      <c r="AI195" s="1">
        <v>2013.0</v>
      </c>
      <c r="AJ195" s="1">
        <v>2013.0</v>
      </c>
      <c r="AK195" s="1" t="s">
        <v>713</v>
      </c>
    </row>
    <row r="196">
      <c r="A196" s="1" t="s">
        <v>709</v>
      </c>
      <c r="B196" s="1" t="s">
        <v>709</v>
      </c>
      <c r="C196" s="1" t="s">
        <v>645</v>
      </c>
      <c r="E196" s="1">
        <v>4.44297088E8</v>
      </c>
      <c r="F196" s="2">
        <v>41193.0</v>
      </c>
      <c r="G196" s="1" t="s">
        <v>710</v>
      </c>
      <c r="I196" s="1" t="s">
        <v>710</v>
      </c>
      <c r="L196" s="1" t="s">
        <v>647</v>
      </c>
      <c r="M196" s="1">
        <v>1200.0</v>
      </c>
      <c r="N196" s="1" t="s">
        <v>647</v>
      </c>
      <c r="O196" s="1">
        <v>1.38064923E8</v>
      </c>
      <c r="P196" s="1" t="s">
        <v>585</v>
      </c>
      <c r="R196" s="1" t="s">
        <v>586</v>
      </c>
      <c r="S196" s="1" t="s">
        <v>44</v>
      </c>
      <c r="T196" s="1" t="s">
        <v>45</v>
      </c>
      <c r="U196" s="1">
        <v>4.82152861E8</v>
      </c>
      <c r="W196" s="1" t="s">
        <v>44</v>
      </c>
      <c r="X196" s="1" t="s">
        <v>45</v>
      </c>
      <c r="Y196" s="1">
        <v>4.82152861E8</v>
      </c>
      <c r="Z196" s="1">
        <v>9.60742484E8</v>
      </c>
      <c r="AB196" s="1">
        <v>224964.34</v>
      </c>
      <c r="AC196" s="2">
        <v>41193.0</v>
      </c>
      <c r="AD196" s="1">
        <v>1200.0</v>
      </c>
      <c r="AE196" s="1" t="s">
        <v>647</v>
      </c>
      <c r="AF196" s="1" t="s">
        <v>740</v>
      </c>
      <c r="AG196" s="1" t="s">
        <v>712</v>
      </c>
      <c r="AH196" s="1">
        <v>8.0</v>
      </c>
      <c r="AI196" s="1">
        <v>2013.0</v>
      </c>
      <c r="AJ196" s="1">
        <v>2013.0</v>
      </c>
      <c r="AK196" s="1" t="s">
        <v>713</v>
      </c>
    </row>
    <row r="197">
      <c r="A197" s="1" t="s">
        <v>709</v>
      </c>
      <c r="B197" s="1" t="s">
        <v>709</v>
      </c>
      <c r="C197" s="1" t="s">
        <v>645</v>
      </c>
      <c r="E197" s="1">
        <v>4.44297088E8</v>
      </c>
      <c r="F197" s="2">
        <v>41228.0</v>
      </c>
      <c r="G197" s="1" t="s">
        <v>710</v>
      </c>
      <c r="I197" s="1" t="s">
        <v>710</v>
      </c>
      <c r="L197" s="1" t="s">
        <v>647</v>
      </c>
      <c r="M197" s="1">
        <v>1200.0</v>
      </c>
      <c r="N197" s="1" t="s">
        <v>647</v>
      </c>
      <c r="O197" s="1">
        <v>8.00515244E8</v>
      </c>
      <c r="P197" s="1" t="s">
        <v>637</v>
      </c>
      <c r="Q197" s="1" t="s">
        <v>638</v>
      </c>
      <c r="R197" s="1" t="s">
        <v>639</v>
      </c>
      <c r="S197" s="1" t="s">
        <v>44</v>
      </c>
      <c r="T197" s="1" t="s">
        <v>45</v>
      </c>
      <c r="U197" s="1">
        <v>4.82343358E8</v>
      </c>
      <c r="W197" s="1" t="s">
        <v>44</v>
      </c>
      <c r="X197" s="1" t="s">
        <v>45</v>
      </c>
      <c r="Y197" s="1">
        <v>4.82343358E8</v>
      </c>
      <c r="Z197" s="1">
        <v>5.4698428E7</v>
      </c>
      <c r="AB197" s="1">
        <v>175496.78</v>
      </c>
      <c r="AC197" s="2">
        <v>41228.0</v>
      </c>
      <c r="AD197" s="1">
        <v>1200.0</v>
      </c>
      <c r="AE197" s="1" t="s">
        <v>647</v>
      </c>
      <c r="AF197" s="1" t="s">
        <v>741</v>
      </c>
      <c r="AG197" s="1" t="s">
        <v>712</v>
      </c>
      <c r="AH197" s="1">
        <v>8.0</v>
      </c>
      <c r="AI197" s="1">
        <v>2013.0</v>
      </c>
      <c r="AJ197" s="1">
        <v>2013.0</v>
      </c>
      <c r="AK197" s="1" t="s">
        <v>713</v>
      </c>
    </row>
    <row r="198">
      <c r="A198" s="1" t="s">
        <v>709</v>
      </c>
      <c r="B198" s="1" t="s">
        <v>709</v>
      </c>
      <c r="C198" s="1" t="s">
        <v>645</v>
      </c>
      <c r="E198" s="1">
        <v>4.44297088E8</v>
      </c>
      <c r="F198" s="2">
        <v>41186.0</v>
      </c>
      <c r="G198" s="1" t="s">
        <v>710</v>
      </c>
      <c r="I198" s="1" t="s">
        <v>710</v>
      </c>
      <c r="L198" s="1" t="s">
        <v>647</v>
      </c>
      <c r="M198" s="1">
        <v>1200.0</v>
      </c>
      <c r="N198" s="1" t="s">
        <v>647</v>
      </c>
      <c r="O198" s="1">
        <v>9.48021373E8</v>
      </c>
      <c r="P198" s="1" t="s">
        <v>501</v>
      </c>
      <c r="R198" s="1" t="s">
        <v>502</v>
      </c>
      <c r="S198" s="1" t="s">
        <v>44</v>
      </c>
      <c r="T198" s="1" t="s">
        <v>45</v>
      </c>
      <c r="U198" s="1">
        <v>4.82072901E8</v>
      </c>
      <c r="W198" s="1" t="s">
        <v>44</v>
      </c>
      <c r="X198" s="1" t="s">
        <v>45</v>
      </c>
      <c r="Y198" s="1">
        <v>4.82072901E8</v>
      </c>
      <c r="AB198" s="1">
        <v>282342.69</v>
      </c>
      <c r="AC198" s="2">
        <v>41186.0</v>
      </c>
      <c r="AD198" s="1">
        <v>1200.0</v>
      </c>
      <c r="AE198" s="1" t="s">
        <v>647</v>
      </c>
      <c r="AF198" s="1" t="s">
        <v>742</v>
      </c>
      <c r="AG198" s="1" t="s">
        <v>712</v>
      </c>
      <c r="AH198" s="1">
        <v>8.0</v>
      </c>
      <c r="AI198" s="1">
        <v>2013.0</v>
      </c>
      <c r="AJ198" s="1">
        <v>2013.0</v>
      </c>
      <c r="AK198" s="1" t="s">
        <v>713</v>
      </c>
    </row>
    <row r="199">
      <c r="A199" s="1" t="s">
        <v>709</v>
      </c>
      <c r="B199" s="1" t="s">
        <v>709</v>
      </c>
      <c r="C199" s="1" t="s">
        <v>645</v>
      </c>
      <c r="E199" s="1">
        <v>4.44297088E8</v>
      </c>
      <c r="F199" s="2">
        <v>41214.0</v>
      </c>
      <c r="G199" s="1" t="s">
        <v>710</v>
      </c>
      <c r="I199" s="1" t="s">
        <v>710</v>
      </c>
      <c r="L199" s="1" t="s">
        <v>647</v>
      </c>
      <c r="M199" s="1">
        <v>1200.0</v>
      </c>
      <c r="N199" s="1" t="s">
        <v>647</v>
      </c>
      <c r="O199" s="1">
        <v>9.63121426E8</v>
      </c>
      <c r="P199" s="1" t="s">
        <v>490</v>
      </c>
      <c r="R199" s="1" t="s">
        <v>491</v>
      </c>
      <c r="S199" s="1" t="s">
        <v>44</v>
      </c>
      <c r="T199" s="1" t="s">
        <v>45</v>
      </c>
      <c r="U199" s="1">
        <v>4.82233051E8</v>
      </c>
      <c r="W199" s="1" t="s">
        <v>46</v>
      </c>
      <c r="X199" s="1" t="s">
        <v>45</v>
      </c>
      <c r="Y199" s="1">
        <v>4.82233051E8</v>
      </c>
      <c r="AB199" s="1">
        <v>127210.96</v>
      </c>
      <c r="AC199" s="2">
        <v>41214.0</v>
      </c>
      <c r="AD199" s="1">
        <v>1200.0</v>
      </c>
      <c r="AE199" s="1" t="s">
        <v>647</v>
      </c>
      <c r="AF199" s="1" t="s">
        <v>743</v>
      </c>
      <c r="AG199" s="1" t="s">
        <v>712</v>
      </c>
      <c r="AH199" s="1">
        <v>8.0</v>
      </c>
      <c r="AI199" s="1">
        <v>2013.0</v>
      </c>
      <c r="AJ199" s="1">
        <v>2013.0</v>
      </c>
      <c r="AK199" s="1" t="s">
        <v>713</v>
      </c>
    </row>
    <row r="200">
      <c r="A200" s="1" t="s">
        <v>744</v>
      </c>
      <c r="B200" s="1" t="s">
        <v>744</v>
      </c>
      <c r="C200" s="1" t="s">
        <v>745</v>
      </c>
      <c r="E200" s="1">
        <v>1.0137025E7</v>
      </c>
      <c r="F200" s="2">
        <v>41404.0</v>
      </c>
      <c r="G200" s="1" t="s">
        <v>746</v>
      </c>
      <c r="I200" s="1" t="s">
        <v>746</v>
      </c>
      <c r="L200" s="1" t="s">
        <v>151</v>
      </c>
      <c r="M200" s="1">
        <v>6900.0</v>
      </c>
      <c r="N200" s="1" t="s">
        <v>151</v>
      </c>
      <c r="O200" s="1">
        <v>1.01552941E8</v>
      </c>
      <c r="P200" s="1" t="s">
        <v>747</v>
      </c>
      <c r="Q200" s="1" t="s">
        <v>748</v>
      </c>
      <c r="R200" s="1" t="s">
        <v>749</v>
      </c>
      <c r="S200" s="1" t="s">
        <v>44</v>
      </c>
      <c r="T200" s="1" t="s">
        <v>45</v>
      </c>
      <c r="U200" s="1">
        <v>4.82263515E8</v>
      </c>
      <c r="W200" s="1" t="s">
        <v>46</v>
      </c>
      <c r="X200" s="1" t="s">
        <v>45</v>
      </c>
      <c r="Y200" s="1">
        <v>4.82263515E8</v>
      </c>
      <c r="Z200" s="1">
        <v>1.01552941E8</v>
      </c>
      <c r="AA200" s="1" t="s">
        <v>747</v>
      </c>
      <c r="AB200" s="1">
        <v>180672.0</v>
      </c>
      <c r="AC200" s="2">
        <v>41404.0</v>
      </c>
      <c r="AD200" s="1">
        <v>6900.0</v>
      </c>
      <c r="AE200" s="1" t="s">
        <v>151</v>
      </c>
      <c r="AF200" s="1" t="s">
        <v>750</v>
      </c>
      <c r="AG200" s="1" t="s">
        <v>751</v>
      </c>
      <c r="AH200" s="1">
        <v>6.0</v>
      </c>
      <c r="AI200" s="1">
        <v>2013.0</v>
      </c>
      <c r="AJ200" s="1">
        <v>2013.0</v>
      </c>
      <c r="AK200" s="1" t="s">
        <v>752</v>
      </c>
    </row>
    <row r="201">
      <c r="A201" s="1" t="s">
        <v>753</v>
      </c>
      <c r="B201" s="1" t="s">
        <v>753</v>
      </c>
      <c r="C201" s="1" t="s">
        <v>645</v>
      </c>
      <c r="E201" s="1">
        <v>1852205.0</v>
      </c>
      <c r="F201" s="2">
        <v>41214.0</v>
      </c>
      <c r="G201" s="1" t="s">
        <v>754</v>
      </c>
      <c r="I201" s="1" t="s">
        <v>754</v>
      </c>
      <c r="L201" s="1" t="s">
        <v>647</v>
      </c>
      <c r="M201" s="1">
        <v>1200.0</v>
      </c>
      <c r="N201" s="1" t="s">
        <v>647</v>
      </c>
      <c r="O201" s="1">
        <v>2.0830303E7</v>
      </c>
      <c r="P201" s="1" t="s">
        <v>424</v>
      </c>
      <c r="Q201" s="1" t="s">
        <v>425</v>
      </c>
      <c r="R201" s="1" t="s">
        <v>426</v>
      </c>
      <c r="S201" s="1" t="s">
        <v>44</v>
      </c>
      <c r="T201" s="1" t="s">
        <v>45</v>
      </c>
      <c r="U201" s="1">
        <v>4.82012002E8</v>
      </c>
      <c r="W201" s="1" t="s">
        <v>44</v>
      </c>
      <c r="X201" s="1" t="s">
        <v>45</v>
      </c>
      <c r="Y201" s="1">
        <v>4.82012002E8</v>
      </c>
      <c r="Z201" s="1">
        <v>2.0830303E7</v>
      </c>
      <c r="AA201" s="1" t="s">
        <v>424</v>
      </c>
      <c r="AB201" s="1">
        <v>32129.99</v>
      </c>
      <c r="AC201" s="2">
        <v>41214.0</v>
      </c>
      <c r="AD201" s="1">
        <v>1200.0</v>
      </c>
      <c r="AE201" s="1" t="s">
        <v>647</v>
      </c>
      <c r="AF201" s="1" t="s">
        <v>755</v>
      </c>
      <c r="AG201" s="1" t="s">
        <v>756</v>
      </c>
      <c r="AH201" s="1">
        <v>8.0</v>
      </c>
      <c r="AI201" s="1">
        <v>2013.0</v>
      </c>
      <c r="AJ201" s="1">
        <v>2013.0</v>
      </c>
      <c r="AK201" s="1" t="s">
        <v>757</v>
      </c>
    </row>
    <row r="202">
      <c r="A202" s="1" t="s">
        <v>430</v>
      </c>
      <c r="B202" s="1" t="s">
        <v>430</v>
      </c>
      <c r="C202" s="1" t="s">
        <v>431</v>
      </c>
      <c r="E202" s="1">
        <v>1047454.0</v>
      </c>
      <c r="F202" s="2">
        <v>41513.0</v>
      </c>
      <c r="G202" s="1" t="s">
        <v>758</v>
      </c>
      <c r="I202" s="1" t="s">
        <v>758</v>
      </c>
      <c r="L202" s="1" t="s">
        <v>431</v>
      </c>
      <c r="M202" s="1">
        <v>9700.0</v>
      </c>
      <c r="N202" s="1" t="s">
        <v>431</v>
      </c>
      <c r="O202" s="1">
        <v>7.3134603E7</v>
      </c>
      <c r="P202" s="1" t="s">
        <v>41</v>
      </c>
      <c r="Q202" s="1" t="s">
        <v>252</v>
      </c>
      <c r="R202" s="1" t="s">
        <v>253</v>
      </c>
      <c r="S202" s="1" t="s">
        <v>44</v>
      </c>
      <c r="T202" s="1" t="s">
        <v>45</v>
      </c>
      <c r="U202" s="1">
        <v>4.8202345E8</v>
      </c>
      <c r="W202" s="1" t="s">
        <v>46</v>
      </c>
      <c r="X202" s="1" t="s">
        <v>45</v>
      </c>
      <c r="Y202" s="1">
        <v>4.82022689E8</v>
      </c>
      <c r="Z202" s="1">
        <v>7.3134603E7</v>
      </c>
      <c r="AA202" s="1" t="s">
        <v>41</v>
      </c>
      <c r="AB202" s="1">
        <v>80543.0</v>
      </c>
      <c r="AC202" s="2">
        <v>41513.0</v>
      </c>
      <c r="AD202" s="1">
        <v>9700.0</v>
      </c>
      <c r="AE202" s="1" t="s">
        <v>431</v>
      </c>
      <c r="AF202" s="1" t="s">
        <v>433</v>
      </c>
      <c r="AG202" s="1" t="s">
        <v>434</v>
      </c>
      <c r="AH202" s="1">
        <v>8.0</v>
      </c>
      <c r="AI202" s="1">
        <v>2013.0</v>
      </c>
      <c r="AJ202" s="1">
        <v>2013.0</v>
      </c>
      <c r="AK202" s="1" t="s">
        <v>435</v>
      </c>
    </row>
    <row r="203">
      <c r="A203" s="1" t="s">
        <v>676</v>
      </c>
      <c r="B203" s="1" t="s">
        <v>676</v>
      </c>
      <c r="C203" s="1" t="s">
        <v>645</v>
      </c>
      <c r="E203" s="1">
        <v>3126270.0</v>
      </c>
      <c r="F203" s="2">
        <v>41193.0</v>
      </c>
      <c r="G203" s="1" t="s">
        <v>677</v>
      </c>
      <c r="I203" s="1" t="s">
        <v>677</v>
      </c>
      <c r="L203" s="1" t="s">
        <v>647</v>
      </c>
      <c r="M203" s="1">
        <v>1200.0</v>
      </c>
      <c r="N203" s="1" t="s">
        <v>647</v>
      </c>
      <c r="O203" s="1">
        <v>3.9866801E7</v>
      </c>
      <c r="P203" s="1" t="s">
        <v>612</v>
      </c>
      <c r="R203" s="1" t="s">
        <v>613</v>
      </c>
      <c r="S203" s="1" t="s">
        <v>44</v>
      </c>
      <c r="T203" s="1" t="s">
        <v>45</v>
      </c>
      <c r="U203" s="1">
        <v>4.82123753E8</v>
      </c>
      <c r="W203" s="1" t="s">
        <v>607</v>
      </c>
      <c r="X203" s="1" t="s">
        <v>45</v>
      </c>
      <c r="Y203" s="1">
        <v>4.82120012E8</v>
      </c>
      <c r="Z203" s="1">
        <v>3.9866801E7</v>
      </c>
      <c r="AA203" s="1" t="s">
        <v>612</v>
      </c>
      <c r="AB203" s="1">
        <v>57004.0</v>
      </c>
      <c r="AC203" s="2">
        <v>41193.0</v>
      </c>
      <c r="AD203" s="1">
        <v>1200.0</v>
      </c>
      <c r="AE203" s="1" t="s">
        <v>647</v>
      </c>
      <c r="AF203" s="1" t="s">
        <v>759</v>
      </c>
      <c r="AG203" s="1" t="s">
        <v>679</v>
      </c>
      <c r="AH203" s="1">
        <v>8.0</v>
      </c>
      <c r="AI203" s="1">
        <v>2013.0</v>
      </c>
      <c r="AJ203" s="1">
        <v>2013.0</v>
      </c>
      <c r="AK203" s="1" t="s">
        <v>680</v>
      </c>
    </row>
    <row r="204">
      <c r="A204" s="1" t="s">
        <v>709</v>
      </c>
      <c r="B204" s="1" t="s">
        <v>709</v>
      </c>
      <c r="C204" s="1" t="s">
        <v>645</v>
      </c>
      <c r="E204" s="1">
        <v>4.44297088E8</v>
      </c>
      <c r="F204" s="2">
        <v>41193.0</v>
      </c>
      <c r="G204" s="1" t="s">
        <v>710</v>
      </c>
      <c r="I204" s="1" t="s">
        <v>710</v>
      </c>
      <c r="L204" s="1" t="s">
        <v>647</v>
      </c>
      <c r="M204" s="1">
        <v>1200.0</v>
      </c>
      <c r="N204" s="1" t="s">
        <v>647</v>
      </c>
      <c r="O204" s="1">
        <v>1.23577707E8</v>
      </c>
      <c r="P204" s="1" t="s">
        <v>563</v>
      </c>
      <c r="R204" s="1" t="s">
        <v>565</v>
      </c>
      <c r="S204" s="1" t="s">
        <v>44</v>
      </c>
      <c r="T204" s="1" t="s">
        <v>45</v>
      </c>
      <c r="U204" s="1">
        <v>4.8228333E8</v>
      </c>
      <c r="W204" s="1" t="s">
        <v>44</v>
      </c>
      <c r="X204" s="1" t="s">
        <v>45</v>
      </c>
      <c r="Y204" s="1">
        <v>4.82283396E8</v>
      </c>
      <c r="Z204" s="1">
        <v>9.60742484E8</v>
      </c>
      <c r="AB204" s="1">
        <v>91700.22</v>
      </c>
      <c r="AC204" s="2">
        <v>41193.0</v>
      </c>
      <c r="AD204" s="1">
        <v>1200.0</v>
      </c>
      <c r="AE204" s="1" t="s">
        <v>647</v>
      </c>
      <c r="AF204" s="1" t="s">
        <v>760</v>
      </c>
      <c r="AG204" s="1" t="s">
        <v>712</v>
      </c>
      <c r="AH204" s="1">
        <v>8.0</v>
      </c>
      <c r="AI204" s="1">
        <v>2013.0</v>
      </c>
      <c r="AJ204" s="1">
        <v>2013.0</v>
      </c>
      <c r="AK204" s="1" t="s">
        <v>713</v>
      </c>
    </row>
    <row r="205">
      <c r="A205" s="1" t="s">
        <v>709</v>
      </c>
      <c r="B205" s="1" t="s">
        <v>709</v>
      </c>
      <c r="C205" s="1" t="s">
        <v>645</v>
      </c>
      <c r="E205" s="1">
        <v>4.44297088E8</v>
      </c>
      <c r="F205" s="2">
        <v>41221.0</v>
      </c>
      <c r="G205" s="1" t="s">
        <v>710</v>
      </c>
      <c r="I205" s="1" t="s">
        <v>710</v>
      </c>
      <c r="L205" s="1" t="s">
        <v>647</v>
      </c>
      <c r="M205" s="1">
        <v>1200.0</v>
      </c>
      <c r="N205" s="1" t="s">
        <v>647</v>
      </c>
      <c r="O205" s="1">
        <v>3.9866801E7</v>
      </c>
      <c r="P205" s="1" t="s">
        <v>612</v>
      </c>
      <c r="R205" s="1" t="s">
        <v>613</v>
      </c>
      <c r="S205" s="1" t="s">
        <v>44</v>
      </c>
      <c r="T205" s="1" t="s">
        <v>45</v>
      </c>
      <c r="U205" s="1">
        <v>4.82123753E8</v>
      </c>
      <c r="W205" s="1" t="s">
        <v>607</v>
      </c>
      <c r="X205" s="1" t="s">
        <v>45</v>
      </c>
      <c r="Y205" s="1">
        <v>4.82120012E8</v>
      </c>
      <c r="Z205" s="1">
        <v>3.9866801E7</v>
      </c>
      <c r="AA205" s="1" t="s">
        <v>612</v>
      </c>
      <c r="AB205" s="1">
        <v>33149.04</v>
      </c>
      <c r="AC205" s="2">
        <v>41221.0</v>
      </c>
      <c r="AD205" s="1">
        <v>1200.0</v>
      </c>
      <c r="AE205" s="1" t="s">
        <v>647</v>
      </c>
      <c r="AF205" s="1" t="s">
        <v>761</v>
      </c>
      <c r="AG205" s="1" t="s">
        <v>712</v>
      </c>
      <c r="AH205" s="1">
        <v>8.0</v>
      </c>
      <c r="AI205" s="1">
        <v>2013.0</v>
      </c>
      <c r="AJ205" s="1">
        <v>2013.0</v>
      </c>
      <c r="AK205" s="1" t="s">
        <v>713</v>
      </c>
    </row>
    <row r="206">
      <c r="A206" s="1" t="s">
        <v>709</v>
      </c>
      <c r="B206" s="1" t="s">
        <v>709</v>
      </c>
      <c r="C206" s="1" t="s">
        <v>645</v>
      </c>
      <c r="E206" s="1">
        <v>4.44297088E8</v>
      </c>
      <c r="F206" s="2">
        <v>41186.0</v>
      </c>
      <c r="G206" s="1" t="s">
        <v>710</v>
      </c>
      <c r="I206" s="1" t="s">
        <v>710</v>
      </c>
      <c r="L206" s="1" t="s">
        <v>647</v>
      </c>
      <c r="M206" s="1">
        <v>1200.0</v>
      </c>
      <c r="N206" s="1" t="s">
        <v>647</v>
      </c>
      <c r="O206" s="1">
        <v>8.30649195E8</v>
      </c>
      <c r="P206" s="1" t="s">
        <v>545</v>
      </c>
      <c r="R206" s="1" t="s">
        <v>547</v>
      </c>
      <c r="S206" s="1" t="s">
        <v>44</v>
      </c>
      <c r="T206" s="1" t="s">
        <v>45</v>
      </c>
      <c r="U206" s="1">
        <v>4.82071E8</v>
      </c>
      <c r="W206" s="1" t="s">
        <v>44</v>
      </c>
      <c r="X206" s="1" t="s">
        <v>45</v>
      </c>
      <c r="Y206" s="1">
        <v>4.82071E8</v>
      </c>
      <c r="AB206" s="1">
        <v>395659.73</v>
      </c>
      <c r="AC206" s="2">
        <v>41186.0</v>
      </c>
      <c r="AD206" s="1">
        <v>1200.0</v>
      </c>
      <c r="AE206" s="1" t="s">
        <v>647</v>
      </c>
      <c r="AF206" s="1" t="s">
        <v>762</v>
      </c>
      <c r="AG206" s="1" t="s">
        <v>712</v>
      </c>
      <c r="AH206" s="1">
        <v>8.0</v>
      </c>
      <c r="AI206" s="1">
        <v>2013.0</v>
      </c>
      <c r="AJ206" s="1">
        <v>2013.0</v>
      </c>
      <c r="AK206" s="1" t="s">
        <v>713</v>
      </c>
    </row>
    <row r="207">
      <c r="A207" s="1" t="s">
        <v>709</v>
      </c>
      <c r="B207" s="1" t="s">
        <v>709</v>
      </c>
      <c r="C207" s="1" t="s">
        <v>645</v>
      </c>
      <c r="E207" s="1">
        <v>4.44297088E8</v>
      </c>
      <c r="F207" s="2">
        <v>41214.0</v>
      </c>
      <c r="G207" s="1" t="s">
        <v>710</v>
      </c>
      <c r="I207" s="1" t="s">
        <v>710</v>
      </c>
      <c r="L207" s="1" t="s">
        <v>647</v>
      </c>
      <c r="M207" s="1">
        <v>1200.0</v>
      </c>
      <c r="N207" s="1" t="s">
        <v>647</v>
      </c>
      <c r="O207" s="1">
        <v>9.63121426E8</v>
      </c>
      <c r="P207" s="1" t="s">
        <v>490</v>
      </c>
      <c r="R207" s="1" t="s">
        <v>491</v>
      </c>
      <c r="S207" s="1" t="s">
        <v>44</v>
      </c>
      <c r="T207" s="1" t="s">
        <v>45</v>
      </c>
      <c r="U207" s="1">
        <v>4.82233051E8</v>
      </c>
      <c r="W207" s="1" t="s">
        <v>46</v>
      </c>
      <c r="X207" s="1" t="s">
        <v>45</v>
      </c>
      <c r="Y207" s="1">
        <v>4.82233051E8</v>
      </c>
      <c r="AB207" s="1">
        <v>75700.97</v>
      </c>
      <c r="AC207" s="2">
        <v>41214.0</v>
      </c>
      <c r="AD207" s="1">
        <v>1200.0</v>
      </c>
      <c r="AE207" s="1" t="s">
        <v>647</v>
      </c>
      <c r="AF207" s="1" t="s">
        <v>763</v>
      </c>
      <c r="AG207" s="1" t="s">
        <v>712</v>
      </c>
      <c r="AH207" s="1">
        <v>8.0</v>
      </c>
      <c r="AI207" s="1">
        <v>2013.0</v>
      </c>
      <c r="AJ207" s="1">
        <v>2013.0</v>
      </c>
      <c r="AK207" s="1" t="s">
        <v>713</v>
      </c>
    </row>
    <row r="208">
      <c r="A208" s="1" t="s">
        <v>709</v>
      </c>
      <c r="B208" s="1" t="s">
        <v>709</v>
      </c>
      <c r="C208" s="1" t="s">
        <v>645</v>
      </c>
      <c r="E208" s="1">
        <v>4.44297088E8</v>
      </c>
      <c r="F208" s="2">
        <v>41249.0</v>
      </c>
      <c r="G208" s="1" t="s">
        <v>710</v>
      </c>
      <c r="I208" s="1" t="s">
        <v>710</v>
      </c>
      <c r="L208" s="1" t="s">
        <v>647</v>
      </c>
      <c r="M208" s="1">
        <v>1200.0</v>
      </c>
      <c r="N208" s="1" t="s">
        <v>647</v>
      </c>
      <c r="O208" s="1">
        <v>8.76992343E8</v>
      </c>
      <c r="P208" s="1" t="s">
        <v>550</v>
      </c>
      <c r="R208" s="1" t="s">
        <v>551</v>
      </c>
      <c r="S208" s="1" t="s">
        <v>44</v>
      </c>
      <c r="T208" s="1" t="s">
        <v>45</v>
      </c>
      <c r="U208" s="1">
        <v>4.82102451E8</v>
      </c>
      <c r="W208" s="1" t="s">
        <v>44</v>
      </c>
      <c r="X208" s="1" t="s">
        <v>45</v>
      </c>
      <c r="Y208" s="1">
        <v>4.82102451E8</v>
      </c>
      <c r="AB208" s="1">
        <v>221518.86</v>
      </c>
      <c r="AC208" s="2">
        <v>41249.0</v>
      </c>
      <c r="AD208" s="1">
        <v>1200.0</v>
      </c>
      <c r="AE208" s="1" t="s">
        <v>647</v>
      </c>
      <c r="AF208" s="1" t="s">
        <v>764</v>
      </c>
      <c r="AG208" s="1" t="s">
        <v>712</v>
      </c>
      <c r="AH208" s="1">
        <v>8.0</v>
      </c>
      <c r="AI208" s="1">
        <v>2013.0</v>
      </c>
      <c r="AJ208" s="1">
        <v>2013.0</v>
      </c>
      <c r="AK208" s="1" t="s">
        <v>713</v>
      </c>
    </row>
    <row r="209">
      <c r="A209" s="1" t="s">
        <v>709</v>
      </c>
      <c r="B209" s="1" t="s">
        <v>709</v>
      </c>
      <c r="C209" s="1" t="s">
        <v>645</v>
      </c>
      <c r="E209" s="1">
        <v>4.44297088E8</v>
      </c>
      <c r="F209" s="2">
        <v>41228.0</v>
      </c>
      <c r="G209" s="1" t="s">
        <v>710</v>
      </c>
      <c r="I209" s="1" t="s">
        <v>710</v>
      </c>
      <c r="L209" s="1" t="s">
        <v>647</v>
      </c>
      <c r="M209" s="1">
        <v>1200.0</v>
      </c>
      <c r="N209" s="1" t="s">
        <v>647</v>
      </c>
      <c r="O209" s="1">
        <v>8.29503312E8</v>
      </c>
      <c r="P209" s="1" t="s">
        <v>622</v>
      </c>
      <c r="R209" s="1" t="s">
        <v>623</v>
      </c>
      <c r="S209" s="1" t="s">
        <v>44</v>
      </c>
      <c r="T209" s="1" t="s">
        <v>45</v>
      </c>
      <c r="U209" s="1">
        <v>4.82035715E8</v>
      </c>
      <c r="W209" s="1" t="s">
        <v>603</v>
      </c>
      <c r="X209" s="1" t="s">
        <v>45</v>
      </c>
      <c r="Y209" s="1">
        <v>4.82035715E8</v>
      </c>
      <c r="AB209" s="1">
        <v>160195.18</v>
      </c>
      <c r="AC209" s="2">
        <v>41228.0</v>
      </c>
      <c r="AD209" s="1">
        <v>1200.0</v>
      </c>
      <c r="AE209" s="1" t="s">
        <v>647</v>
      </c>
      <c r="AF209" s="1" t="s">
        <v>765</v>
      </c>
      <c r="AG209" s="1" t="s">
        <v>712</v>
      </c>
      <c r="AH209" s="1">
        <v>8.0</v>
      </c>
      <c r="AI209" s="1">
        <v>2013.0</v>
      </c>
      <c r="AJ209" s="1">
        <v>2013.0</v>
      </c>
      <c r="AK209" s="1" t="s">
        <v>713</v>
      </c>
    </row>
    <row r="210">
      <c r="A210" s="1" t="s">
        <v>709</v>
      </c>
      <c r="B210" s="1" t="s">
        <v>709</v>
      </c>
      <c r="C210" s="1" t="s">
        <v>645</v>
      </c>
      <c r="E210" s="1">
        <v>4.44297088E8</v>
      </c>
      <c r="F210" s="2">
        <v>41193.0</v>
      </c>
      <c r="G210" s="1" t="s">
        <v>710</v>
      </c>
      <c r="I210" s="1" t="s">
        <v>710</v>
      </c>
      <c r="L210" s="1" t="s">
        <v>647</v>
      </c>
      <c r="M210" s="1">
        <v>1200.0</v>
      </c>
      <c r="N210" s="1" t="s">
        <v>647</v>
      </c>
      <c r="O210" s="1">
        <v>1.56386349E8</v>
      </c>
      <c r="P210" s="1" t="s">
        <v>766</v>
      </c>
      <c r="R210" s="1" t="s">
        <v>767</v>
      </c>
      <c r="S210" s="1" t="s">
        <v>44</v>
      </c>
      <c r="T210" s="1" t="s">
        <v>45</v>
      </c>
      <c r="U210" s="1">
        <v>4.82273027E8</v>
      </c>
      <c r="W210" s="1" t="s">
        <v>44</v>
      </c>
      <c r="X210" s="1" t="s">
        <v>45</v>
      </c>
      <c r="Y210" s="1">
        <v>4.82273027E8</v>
      </c>
      <c r="AB210" s="1">
        <v>60230.47</v>
      </c>
      <c r="AC210" s="2">
        <v>41193.0</v>
      </c>
      <c r="AD210" s="1">
        <v>1200.0</v>
      </c>
      <c r="AE210" s="1" t="s">
        <v>647</v>
      </c>
      <c r="AF210" s="1" t="s">
        <v>768</v>
      </c>
      <c r="AG210" s="1" t="s">
        <v>712</v>
      </c>
      <c r="AH210" s="1">
        <v>8.0</v>
      </c>
      <c r="AI210" s="1">
        <v>2013.0</v>
      </c>
      <c r="AJ210" s="1">
        <v>2013.0</v>
      </c>
      <c r="AK210" s="1" t="s">
        <v>713</v>
      </c>
    </row>
    <row r="211">
      <c r="A211" s="1" t="s">
        <v>709</v>
      </c>
      <c r="B211" s="1" t="s">
        <v>709</v>
      </c>
      <c r="C211" s="1" t="s">
        <v>645</v>
      </c>
      <c r="E211" s="1">
        <v>4.44297088E8</v>
      </c>
      <c r="F211" s="2">
        <v>41207.0</v>
      </c>
      <c r="G211" s="1" t="s">
        <v>710</v>
      </c>
      <c r="I211" s="1" t="s">
        <v>710</v>
      </c>
      <c r="L211" s="1" t="s">
        <v>647</v>
      </c>
      <c r="M211" s="1">
        <v>1200.0</v>
      </c>
      <c r="N211" s="1" t="s">
        <v>647</v>
      </c>
      <c r="O211" s="1">
        <v>8.32093392E8</v>
      </c>
      <c r="P211" s="1" t="s">
        <v>769</v>
      </c>
      <c r="R211" s="1" t="s">
        <v>770</v>
      </c>
      <c r="S211" s="1" t="s">
        <v>44</v>
      </c>
      <c r="T211" s="1" t="s">
        <v>45</v>
      </c>
      <c r="U211" s="1">
        <v>4.82354205E8</v>
      </c>
      <c r="W211" s="1" t="s">
        <v>44</v>
      </c>
      <c r="X211" s="1" t="s">
        <v>45</v>
      </c>
      <c r="Y211" s="1">
        <v>4.82354205E8</v>
      </c>
      <c r="AB211" s="1">
        <v>123767.26</v>
      </c>
      <c r="AC211" s="2">
        <v>41207.0</v>
      </c>
      <c r="AD211" s="1">
        <v>1200.0</v>
      </c>
      <c r="AE211" s="1" t="s">
        <v>647</v>
      </c>
      <c r="AF211" s="1" t="s">
        <v>771</v>
      </c>
      <c r="AG211" s="1" t="s">
        <v>712</v>
      </c>
      <c r="AH211" s="1">
        <v>8.0</v>
      </c>
      <c r="AI211" s="1">
        <v>2013.0</v>
      </c>
      <c r="AJ211" s="1">
        <v>2013.0</v>
      </c>
      <c r="AK211" s="1" t="s">
        <v>713</v>
      </c>
    </row>
    <row r="212">
      <c r="A212" s="1" t="s">
        <v>709</v>
      </c>
      <c r="B212" s="1" t="s">
        <v>709</v>
      </c>
      <c r="C212" s="1" t="s">
        <v>645</v>
      </c>
      <c r="E212" s="1">
        <v>4.44297088E8</v>
      </c>
      <c r="F212" s="2">
        <v>41193.0</v>
      </c>
      <c r="G212" s="1" t="s">
        <v>710</v>
      </c>
      <c r="I212" s="1" t="s">
        <v>710</v>
      </c>
      <c r="L212" s="1" t="s">
        <v>647</v>
      </c>
      <c r="M212" s="1">
        <v>1200.0</v>
      </c>
      <c r="N212" s="1" t="s">
        <v>647</v>
      </c>
      <c r="O212" s="1">
        <v>1.69760451E8</v>
      </c>
      <c r="P212" s="1" t="s">
        <v>772</v>
      </c>
      <c r="R212" s="1" t="s">
        <v>773</v>
      </c>
      <c r="S212" s="1" t="s">
        <v>44</v>
      </c>
      <c r="T212" s="1" t="s">
        <v>45</v>
      </c>
      <c r="U212" s="1">
        <v>4.82121788E8</v>
      </c>
      <c r="W212" s="1" t="s">
        <v>44</v>
      </c>
      <c r="X212" s="1" t="s">
        <v>45</v>
      </c>
      <c r="Y212" s="1">
        <v>4.82121788E8</v>
      </c>
      <c r="AB212" s="1">
        <v>38947.86</v>
      </c>
      <c r="AC212" s="2">
        <v>41193.0</v>
      </c>
      <c r="AD212" s="1">
        <v>1200.0</v>
      </c>
      <c r="AE212" s="1" t="s">
        <v>647</v>
      </c>
      <c r="AF212" s="1" t="s">
        <v>774</v>
      </c>
      <c r="AG212" s="1" t="s">
        <v>712</v>
      </c>
      <c r="AH212" s="1">
        <v>8.0</v>
      </c>
      <c r="AI212" s="1">
        <v>2013.0</v>
      </c>
      <c r="AJ212" s="1">
        <v>2013.0</v>
      </c>
      <c r="AK212" s="1" t="s">
        <v>713</v>
      </c>
    </row>
    <row r="213">
      <c r="A213" s="1" t="s">
        <v>709</v>
      </c>
      <c r="B213" s="1" t="s">
        <v>709</v>
      </c>
      <c r="C213" s="1" t="s">
        <v>645</v>
      </c>
      <c r="E213" s="1">
        <v>4.44297088E8</v>
      </c>
      <c r="F213" s="2">
        <v>41228.0</v>
      </c>
      <c r="G213" s="1" t="s">
        <v>710</v>
      </c>
      <c r="I213" s="1" t="s">
        <v>710</v>
      </c>
      <c r="L213" s="1" t="s">
        <v>647</v>
      </c>
      <c r="M213" s="1">
        <v>1200.0</v>
      </c>
      <c r="N213" s="1" t="s">
        <v>647</v>
      </c>
      <c r="O213" s="1">
        <v>7.94990296E8</v>
      </c>
      <c r="P213" s="1" t="s">
        <v>601</v>
      </c>
      <c r="R213" s="1" t="s">
        <v>602</v>
      </c>
      <c r="S213" s="1" t="s">
        <v>44</v>
      </c>
      <c r="T213" s="1" t="s">
        <v>45</v>
      </c>
      <c r="U213" s="1">
        <v>4.82032827E8</v>
      </c>
      <c r="W213" s="1" t="s">
        <v>603</v>
      </c>
      <c r="X213" s="1" t="s">
        <v>45</v>
      </c>
      <c r="Y213" s="1">
        <v>4.82032827E8</v>
      </c>
      <c r="AB213" s="1">
        <v>136235.32</v>
      </c>
      <c r="AC213" s="2">
        <v>41228.0</v>
      </c>
      <c r="AD213" s="1">
        <v>1200.0</v>
      </c>
      <c r="AE213" s="1" t="s">
        <v>647</v>
      </c>
      <c r="AF213" s="1" t="s">
        <v>775</v>
      </c>
      <c r="AG213" s="1" t="s">
        <v>712</v>
      </c>
      <c r="AH213" s="1">
        <v>8.0</v>
      </c>
      <c r="AI213" s="1">
        <v>2013.0</v>
      </c>
      <c r="AJ213" s="1">
        <v>2013.0</v>
      </c>
      <c r="AK213" s="1" t="s">
        <v>713</v>
      </c>
    </row>
    <row r="214">
      <c r="A214" s="1" t="s">
        <v>709</v>
      </c>
      <c r="B214" s="1" t="s">
        <v>709</v>
      </c>
      <c r="C214" s="1" t="s">
        <v>645</v>
      </c>
      <c r="E214" s="1">
        <v>4.44297088E8</v>
      </c>
      <c r="F214" s="2">
        <v>41186.0</v>
      </c>
      <c r="G214" s="1" t="s">
        <v>710</v>
      </c>
      <c r="I214" s="1" t="s">
        <v>710</v>
      </c>
      <c r="L214" s="1" t="s">
        <v>647</v>
      </c>
      <c r="M214" s="1">
        <v>1200.0</v>
      </c>
      <c r="N214" s="1" t="s">
        <v>647</v>
      </c>
      <c r="O214" s="1">
        <v>8.0463354E7</v>
      </c>
      <c r="P214" s="1" t="s">
        <v>518</v>
      </c>
      <c r="R214" s="1" t="s">
        <v>519</v>
      </c>
      <c r="S214" s="1" t="s">
        <v>44</v>
      </c>
      <c r="T214" s="1" t="s">
        <v>45</v>
      </c>
      <c r="U214" s="1">
        <v>4.82102105E8</v>
      </c>
      <c r="W214" s="1" t="s">
        <v>44</v>
      </c>
      <c r="X214" s="1" t="s">
        <v>45</v>
      </c>
      <c r="Y214" s="1">
        <v>4.82102105E8</v>
      </c>
      <c r="AB214" s="1">
        <v>64051.55</v>
      </c>
      <c r="AC214" s="2">
        <v>41186.0</v>
      </c>
      <c r="AD214" s="1">
        <v>1200.0</v>
      </c>
      <c r="AE214" s="1" t="s">
        <v>647</v>
      </c>
      <c r="AF214" s="1" t="s">
        <v>776</v>
      </c>
      <c r="AG214" s="1" t="s">
        <v>712</v>
      </c>
      <c r="AH214" s="1">
        <v>8.0</v>
      </c>
      <c r="AI214" s="1">
        <v>2013.0</v>
      </c>
      <c r="AJ214" s="1">
        <v>2013.0</v>
      </c>
      <c r="AK214" s="1" t="s">
        <v>713</v>
      </c>
    </row>
    <row r="215">
      <c r="A215" s="1" t="s">
        <v>709</v>
      </c>
      <c r="B215" s="1" t="s">
        <v>709</v>
      </c>
      <c r="C215" s="1" t="s">
        <v>645</v>
      </c>
      <c r="E215" s="1">
        <v>4.44297088E8</v>
      </c>
      <c r="F215" s="2">
        <v>41186.0</v>
      </c>
      <c r="G215" s="1" t="s">
        <v>710</v>
      </c>
      <c r="I215" s="1" t="s">
        <v>710</v>
      </c>
      <c r="L215" s="1" t="s">
        <v>647</v>
      </c>
      <c r="M215" s="1">
        <v>1200.0</v>
      </c>
      <c r="N215" s="1" t="s">
        <v>647</v>
      </c>
      <c r="O215" s="1">
        <v>3.9866801E7</v>
      </c>
      <c r="P215" s="1" t="s">
        <v>612</v>
      </c>
      <c r="R215" s="1" t="s">
        <v>613</v>
      </c>
      <c r="S215" s="1" t="s">
        <v>44</v>
      </c>
      <c r="T215" s="1" t="s">
        <v>45</v>
      </c>
      <c r="U215" s="1">
        <v>4.82123753E8</v>
      </c>
      <c r="W215" s="1" t="s">
        <v>607</v>
      </c>
      <c r="X215" s="1" t="s">
        <v>45</v>
      </c>
      <c r="Y215" s="1">
        <v>4.82120012E8</v>
      </c>
      <c r="Z215" s="1">
        <v>3.9866801E7</v>
      </c>
      <c r="AA215" s="1" t="s">
        <v>612</v>
      </c>
      <c r="AB215" s="1">
        <v>53602.8</v>
      </c>
      <c r="AC215" s="2">
        <v>41186.0</v>
      </c>
      <c r="AD215" s="1">
        <v>1200.0</v>
      </c>
      <c r="AE215" s="1" t="s">
        <v>647</v>
      </c>
      <c r="AF215" s="1" t="s">
        <v>777</v>
      </c>
      <c r="AG215" s="1" t="s">
        <v>712</v>
      </c>
      <c r="AH215" s="1">
        <v>8.0</v>
      </c>
      <c r="AI215" s="1">
        <v>2013.0</v>
      </c>
      <c r="AJ215" s="1">
        <v>2013.0</v>
      </c>
      <c r="AK215" s="1" t="s">
        <v>713</v>
      </c>
    </row>
    <row r="216">
      <c r="A216" s="1" t="s">
        <v>709</v>
      </c>
      <c r="B216" s="1" t="s">
        <v>709</v>
      </c>
      <c r="C216" s="1" t="s">
        <v>645</v>
      </c>
      <c r="E216" s="1">
        <v>4.44297088E8</v>
      </c>
      <c r="F216" s="2">
        <v>41221.0</v>
      </c>
      <c r="G216" s="1" t="s">
        <v>710</v>
      </c>
      <c r="I216" s="1" t="s">
        <v>710</v>
      </c>
      <c r="L216" s="1" t="s">
        <v>647</v>
      </c>
      <c r="M216" s="1">
        <v>1200.0</v>
      </c>
      <c r="N216" s="1" t="s">
        <v>647</v>
      </c>
      <c r="O216" s="1">
        <v>3.9866801E7</v>
      </c>
      <c r="P216" s="1" t="s">
        <v>612</v>
      </c>
      <c r="R216" s="1" t="s">
        <v>613</v>
      </c>
      <c r="S216" s="1" t="s">
        <v>44</v>
      </c>
      <c r="T216" s="1" t="s">
        <v>45</v>
      </c>
      <c r="U216" s="1">
        <v>4.82123753E8</v>
      </c>
      <c r="W216" s="1" t="s">
        <v>607</v>
      </c>
      <c r="X216" s="1" t="s">
        <v>45</v>
      </c>
      <c r="Y216" s="1">
        <v>4.82120012E8</v>
      </c>
      <c r="Z216" s="1">
        <v>3.9866801E7</v>
      </c>
      <c r="AA216" s="1" t="s">
        <v>612</v>
      </c>
      <c r="AB216" s="1">
        <v>1017233.55</v>
      </c>
      <c r="AC216" s="2">
        <v>41221.0</v>
      </c>
      <c r="AD216" s="1">
        <v>1200.0</v>
      </c>
      <c r="AE216" s="1" t="s">
        <v>647</v>
      </c>
      <c r="AF216" s="1" t="s">
        <v>778</v>
      </c>
      <c r="AG216" s="1" t="s">
        <v>712</v>
      </c>
      <c r="AH216" s="1">
        <v>8.0</v>
      </c>
      <c r="AI216" s="1">
        <v>2013.0</v>
      </c>
      <c r="AJ216" s="1">
        <v>2013.0</v>
      </c>
      <c r="AK216" s="1" t="s">
        <v>713</v>
      </c>
    </row>
    <row r="217">
      <c r="A217" s="1" t="s">
        <v>709</v>
      </c>
      <c r="B217" s="1" t="s">
        <v>709</v>
      </c>
      <c r="C217" s="1" t="s">
        <v>645</v>
      </c>
      <c r="E217" s="1">
        <v>4.44297088E8</v>
      </c>
      <c r="F217" s="2">
        <v>41193.0</v>
      </c>
      <c r="G217" s="1" t="s">
        <v>710</v>
      </c>
      <c r="I217" s="1" t="s">
        <v>710</v>
      </c>
      <c r="L217" s="1" t="s">
        <v>647</v>
      </c>
      <c r="M217" s="1">
        <v>1200.0</v>
      </c>
      <c r="N217" s="1" t="s">
        <v>647</v>
      </c>
      <c r="O217" s="1">
        <v>3.7602699E7</v>
      </c>
      <c r="P217" s="1" t="s">
        <v>535</v>
      </c>
      <c r="R217" s="1" t="s">
        <v>536</v>
      </c>
      <c r="S217" s="1" t="s">
        <v>44</v>
      </c>
      <c r="T217" s="1" t="s">
        <v>45</v>
      </c>
      <c r="U217" s="1">
        <v>4.82052545E8</v>
      </c>
      <c r="W217" s="1" t="s">
        <v>46</v>
      </c>
      <c r="X217" s="1" t="s">
        <v>45</v>
      </c>
      <c r="Y217" s="1">
        <v>4.82052545E8</v>
      </c>
      <c r="AB217" s="1">
        <v>80082.27</v>
      </c>
      <c r="AC217" s="2">
        <v>41193.0</v>
      </c>
      <c r="AD217" s="1">
        <v>1200.0</v>
      </c>
      <c r="AE217" s="1" t="s">
        <v>647</v>
      </c>
      <c r="AF217" s="1" t="s">
        <v>779</v>
      </c>
      <c r="AG217" s="1" t="s">
        <v>712</v>
      </c>
      <c r="AH217" s="1">
        <v>8.0</v>
      </c>
      <c r="AI217" s="1">
        <v>2013.0</v>
      </c>
      <c r="AJ217" s="1">
        <v>2013.0</v>
      </c>
      <c r="AK217" s="1" t="s">
        <v>713</v>
      </c>
    </row>
    <row r="218">
      <c r="A218" s="1" t="s">
        <v>709</v>
      </c>
      <c r="B218" s="1" t="s">
        <v>709</v>
      </c>
      <c r="C218" s="1" t="s">
        <v>645</v>
      </c>
      <c r="E218" s="1">
        <v>4.44297088E8</v>
      </c>
      <c r="F218" s="2">
        <v>41186.0</v>
      </c>
      <c r="G218" s="1" t="s">
        <v>710</v>
      </c>
      <c r="I218" s="1" t="s">
        <v>710</v>
      </c>
      <c r="L218" s="1" t="s">
        <v>647</v>
      </c>
      <c r="M218" s="1">
        <v>1200.0</v>
      </c>
      <c r="N218" s="1" t="s">
        <v>647</v>
      </c>
      <c r="O218" s="1">
        <v>9.62949843E8</v>
      </c>
      <c r="P218" s="1" t="s">
        <v>619</v>
      </c>
      <c r="R218" s="1" t="s">
        <v>620</v>
      </c>
      <c r="S218" s="1" t="s">
        <v>44</v>
      </c>
      <c r="T218" s="1" t="s">
        <v>45</v>
      </c>
      <c r="U218" s="1">
        <v>4.82042306E8</v>
      </c>
      <c r="W218" s="1" t="s">
        <v>44</v>
      </c>
      <c r="X218" s="1" t="s">
        <v>45</v>
      </c>
      <c r="Y218" s="1">
        <v>4.82042306E8</v>
      </c>
      <c r="AB218" s="1">
        <v>26918.66</v>
      </c>
      <c r="AC218" s="2">
        <v>41186.0</v>
      </c>
      <c r="AD218" s="1">
        <v>1200.0</v>
      </c>
      <c r="AE218" s="1" t="s">
        <v>647</v>
      </c>
      <c r="AF218" s="1" t="s">
        <v>780</v>
      </c>
      <c r="AG218" s="1" t="s">
        <v>712</v>
      </c>
      <c r="AH218" s="1">
        <v>8.0</v>
      </c>
      <c r="AI218" s="1">
        <v>2013.0</v>
      </c>
      <c r="AJ218" s="1">
        <v>2013.0</v>
      </c>
      <c r="AK218" s="1" t="s">
        <v>713</v>
      </c>
    </row>
    <row r="219">
      <c r="A219" s="1" t="s">
        <v>709</v>
      </c>
      <c r="B219" s="1" t="s">
        <v>709</v>
      </c>
      <c r="C219" s="1" t="s">
        <v>645</v>
      </c>
      <c r="E219" s="1">
        <v>4.44297088E8</v>
      </c>
      <c r="F219" s="2">
        <v>41200.0</v>
      </c>
      <c r="G219" s="1" t="s">
        <v>710</v>
      </c>
      <c r="I219" s="1" t="s">
        <v>710</v>
      </c>
      <c r="L219" s="1" t="s">
        <v>647</v>
      </c>
      <c r="M219" s="1">
        <v>1200.0</v>
      </c>
      <c r="N219" s="1" t="s">
        <v>647</v>
      </c>
      <c r="O219" s="1">
        <v>7.8634042E7</v>
      </c>
      <c r="P219" s="1" t="s">
        <v>473</v>
      </c>
      <c r="R219" s="1" t="s">
        <v>475</v>
      </c>
      <c r="S219" s="1" t="s">
        <v>44</v>
      </c>
      <c r="T219" s="1" t="s">
        <v>45</v>
      </c>
      <c r="U219" s="1">
        <v>4.82133744E8</v>
      </c>
      <c r="W219" s="1" t="s">
        <v>46</v>
      </c>
      <c r="X219" s="1" t="s">
        <v>45</v>
      </c>
      <c r="Y219" s="1">
        <v>4.82133744E8</v>
      </c>
      <c r="AB219" s="1">
        <v>114816.48</v>
      </c>
      <c r="AC219" s="2">
        <v>41200.0</v>
      </c>
      <c r="AD219" s="1">
        <v>1200.0</v>
      </c>
      <c r="AE219" s="1" t="s">
        <v>647</v>
      </c>
      <c r="AF219" s="1" t="s">
        <v>781</v>
      </c>
      <c r="AG219" s="1" t="s">
        <v>712</v>
      </c>
      <c r="AH219" s="1">
        <v>8.0</v>
      </c>
      <c r="AI219" s="1">
        <v>2013.0</v>
      </c>
      <c r="AJ219" s="1">
        <v>2013.0</v>
      </c>
      <c r="AK219" s="1" t="s">
        <v>713</v>
      </c>
    </row>
    <row r="220">
      <c r="A220" s="1" t="s">
        <v>709</v>
      </c>
      <c r="B220" s="1" t="s">
        <v>709</v>
      </c>
      <c r="C220" s="1" t="s">
        <v>645</v>
      </c>
      <c r="E220" s="1">
        <v>4.44297088E8</v>
      </c>
      <c r="F220" s="2">
        <v>41193.0</v>
      </c>
      <c r="G220" s="1" t="s">
        <v>710</v>
      </c>
      <c r="I220" s="1" t="s">
        <v>710</v>
      </c>
      <c r="L220" s="1" t="s">
        <v>647</v>
      </c>
      <c r="M220" s="1">
        <v>1200.0</v>
      </c>
      <c r="N220" s="1" t="s">
        <v>647</v>
      </c>
      <c r="O220" s="1">
        <v>8.31014068E8</v>
      </c>
      <c r="P220" s="1" t="s">
        <v>515</v>
      </c>
      <c r="R220" s="1" t="s">
        <v>516</v>
      </c>
      <c r="S220" s="1" t="s">
        <v>44</v>
      </c>
      <c r="T220" s="1" t="s">
        <v>45</v>
      </c>
      <c r="U220" s="1">
        <v>4.82283685E8</v>
      </c>
      <c r="W220" s="1" t="s">
        <v>46</v>
      </c>
      <c r="X220" s="1" t="s">
        <v>45</v>
      </c>
      <c r="Y220" s="1">
        <v>4.82283685E8</v>
      </c>
      <c r="Z220" s="1">
        <v>9.60742484E8</v>
      </c>
      <c r="AB220" s="1">
        <v>281096.09</v>
      </c>
      <c r="AC220" s="2">
        <v>41193.0</v>
      </c>
      <c r="AD220" s="1">
        <v>1200.0</v>
      </c>
      <c r="AE220" s="1" t="s">
        <v>647</v>
      </c>
      <c r="AF220" s="1" t="s">
        <v>782</v>
      </c>
      <c r="AG220" s="1" t="s">
        <v>712</v>
      </c>
      <c r="AH220" s="1">
        <v>8.0</v>
      </c>
      <c r="AI220" s="1">
        <v>2013.0</v>
      </c>
      <c r="AJ220" s="1">
        <v>2013.0</v>
      </c>
      <c r="AK220" s="1" t="s">
        <v>713</v>
      </c>
    </row>
    <row r="221">
      <c r="A221" s="1" t="s">
        <v>709</v>
      </c>
      <c r="B221" s="1" t="s">
        <v>709</v>
      </c>
      <c r="C221" s="1" t="s">
        <v>645</v>
      </c>
      <c r="E221" s="1">
        <v>4.44297088E8</v>
      </c>
      <c r="F221" s="2">
        <v>41186.0</v>
      </c>
      <c r="G221" s="1" t="s">
        <v>710</v>
      </c>
      <c r="I221" s="1" t="s">
        <v>710</v>
      </c>
      <c r="L221" s="1" t="s">
        <v>647</v>
      </c>
      <c r="M221" s="1">
        <v>1200.0</v>
      </c>
      <c r="N221" s="1" t="s">
        <v>647</v>
      </c>
      <c r="O221" s="1">
        <v>9.48021373E8</v>
      </c>
      <c r="P221" s="1" t="s">
        <v>501</v>
      </c>
      <c r="R221" s="1" t="s">
        <v>502</v>
      </c>
      <c r="S221" s="1" t="s">
        <v>44</v>
      </c>
      <c r="T221" s="1" t="s">
        <v>45</v>
      </c>
      <c r="U221" s="1">
        <v>4.82072901E8</v>
      </c>
      <c r="W221" s="1" t="s">
        <v>44</v>
      </c>
      <c r="X221" s="1" t="s">
        <v>45</v>
      </c>
      <c r="Y221" s="1">
        <v>4.82072901E8</v>
      </c>
      <c r="AB221" s="1">
        <v>149282.75</v>
      </c>
      <c r="AC221" s="2">
        <v>41186.0</v>
      </c>
      <c r="AD221" s="1">
        <v>1200.0</v>
      </c>
      <c r="AE221" s="1" t="s">
        <v>647</v>
      </c>
      <c r="AF221" s="1" t="s">
        <v>783</v>
      </c>
      <c r="AG221" s="1" t="s">
        <v>712</v>
      </c>
      <c r="AH221" s="1">
        <v>8.0</v>
      </c>
      <c r="AI221" s="1">
        <v>2013.0</v>
      </c>
      <c r="AJ221" s="1">
        <v>2013.0</v>
      </c>
      <c r="AK221" s="1" t="s">
        <v>713</v>
      </c>
    </row>
    <row r="222">
      <c r="A222" s="1" t="s">
        <v>709</v>
      </c>
      <c r="B222" s="1" t="s">
        <v>709</v>
      </c>
      <c r="C222" s="1" t="s">
        <v>645</v>
      </c>
      <c r="E222" s="1">
        <v>4.44297088E8</v>
      </c>
      <c r="F222" s="2">
        <v>41214.0</v>
      </c>
      <c r="G222" s="1" t="s">
        <v>710</v>
      </c>
      <c r="I222" s="1" t="s">
        <v>710</v>
      </c>
      <c r="L222" s="1" t="s">
        <v>647</v>
      </c>
      <c r="M222" s="1">
        <v>1200.0</v>
      </c>
      <c r="N222" s="1" t="s">
        <v>647</v>
      </c>
      <c r="O222" s="1">
        <v>2.0830303E7</v>
      </c>
      <c r="P222" s="1" t="s">
        <v>424</v>
      </c>
      <c r="Q222" s="1" t="s">
        <v>425</v>
      </c>
      <c r="R222" s="1" t="s">
        <v>426</v>
      </c>
      <c r="S222" s="1" t="s">
        <v>44</v>
      </c>
      <c r="T222" s="1" t="s">
        <v>45</v>
      </c>
      <c r="U222" s="1">
        <v>4.82012002E8</v>
      </c>
      <c r="W222" s="1" t="s">
        <v>44</v>
      </c>
      <c r="X222" s="1" t="s">
        <v>45</v>
      </c>
      <c r="Y222" s="1">
        <v>4.82022012E8</v>
      </c>
      <c r="Z222" s="1">
        <v>2.0830303E7</v>
      </c>
      <c r="AA222" s="1" t="s">
        <v>424</v>
      </c>
      <c r="AB222" s="1">
        <v>600770.25</v>
      </c>
      <c r="AC222" s="2">
        <v>41214.0</v>
      </c>
      <c r="AD222" s="1">
        <v>1200.0</v>
      </c>
      <c r="AE222" s="1" t="s">
        <v>647</v>
      </c>
      <c r="AF222" s="1" t="s">
        <v>784</v>
      </c>
      <c r="AG222" s="1" t="s">
        <v>712</v>
      </c>
      <c r="AH222" s="1">
        <v>8.0</v>
      </c>
      <c r="AI222" s="1">
        <v>2013.0</v>
      </c>
      <c r="AJ222" s="1">
        <v>2013.0</v>
      </c>
      <c r="AK222" s="1" t="s">
        <v>713</v>
      </c>
    </row>
    <row r="223">
      <c r="A223" s="1" t="s">
        <v>709</v>
      </c>
      <c r="B223" s="1" t="s">
        <v>709</v>
      </c>
      <c r="C223" s="1" t="s">
        <v>645</v>
      </c>
      <c r="E223" s="1">
        <v>4.44297088E8</v>
      </c>
      <c r="F223" s="2">
        <v>41193.0</v>
      </c>
      <c r="G223" s="1" t="s">
        <v>710</v>
      </c>
      <c r="I223" s="1" t="s">
        <v>710</v>
      </c>
      <c r="L223" s="1" t="s">
        <v>647</v>
      </c>
      <c r="M223" s="1">
        <v>1200.0</v>
      </c>
      <c r="N223" s="1" t="s">
        <v>647</v>
      </c>
      <c r="O223" s="1">
        <v>1.95837232E8</v>
      </c>
      <c r="P223" s="1" t="s">
        <v>785</v>
      </c>
      <c r="Q223" s="1" t="s">
        <v>786</v>
      </c>
      <c r="R223" s="1" t="s">
        <v>787</v>
      </c>
      <c r="S223" s="1" t="s">
        <v>44</v>
      </c>
      <c r="T223" s="1" t="s">
        <v>45</v>
      </c>
      <c r="U223" s="1">
        <v>4.82242358E8</v>
      </c>
      <c r="W223" s="1" t="s">
        <v>44</v>
      </c>
      <c r="X223" s="1" t="s">
        <v>45</v>
      </c>
      <c r="Y223" s="1">
        <v>4.82152667E8</v>
      </c>
      <c r="Z223" s="1">
        <v>1.95837232E8</v>
      </c>
      <c r="AA223" s="1" t="s">
        <v>785</v>
      </c>
      <c r="AB223" s="1">
        <v>27137.5</v>
      </c>
      <c r="AC223" s="2">
        <v>41193.0</v>
      </c>
      <c r="AD223" s="1">
        <v>1200.0</v>
      </c>
      <c r="AE223" s="1" t="s">
        <v>647</v>
      </c>
      <c r="AF223" s="1" t="s">
        <v>788</v>
      </c>
      <c r="AG223" s="1" t="s">
        <v>712</v>
      </c>
      <c r="AH223" s="1">
        <v>8.0</v>
      </c>
      <c r="AI223" s="1">
        <v>2013.0</v>
      </c>
      <c r="AJ223" s="1">
        <v>2013.0</v>
      </c>
      <c r="AK223" s="1" t="s">
        <v>713</v>
      </c>
    </row>
    <row r="224">
      <c r="A224" s="1" t="s">
        <v>709</v>
      </c>
      <c r="B224" s="1" t="s">
        <v>709</v>
      </c>
      <c r="C224" s="1" t="s">
        <v>645</v>
      </c>
      <c r="E224" s="1">
        <v>4.44297088E8</v>
      </c>
      <c r="F224" s="2">
        <v>41186.0</v>
      </c>
      <c r="G224" s="1" t="s">
        <v>710</v>
      </c>
      <c r="I224" s="1" t="s">
        <v>710</v>
      </c>
      <c r="L224" s="1" t="s">
        <v>647</v>
      </c>
      <c r="M224" s="1">
        <v>1200.0</v>
      </c>
      <c r="N224" s="1" t="s">
        <v>647</v>
      </c>
      <c r="O224" s="1">
        <v>1.11057282E8</v>
      </c>
      <c r="P224" s="1" t="s">
        <v>789</v>
      </c>
      <c r="R224" s="1" t="s">
        <v>790</v>
      </c>
      <c r="S224" s="1" t="s">
        <v>44</v>
      </c>
      <c r="T224" s="1" t="s">
        <v>45</v>
      </c>
      <c r="U224" s="1">
        <v>4.82113112E8</v>
      </c>
      <c r="W224" s="1" t="s">
        <v>44</v>
      </c>
      <c r="X224" s="1" t="s">
        <v>45</v>
      </c>
      <c r="Y224" s="1">
        <v>4.82113112E8</v>
      </c>
      <c r="AB224" s="1">
        <v>25207.24</v>
      </c>
      <c r="AC224" s="2">
        <v>41186.0</v>
      </c>
      <c r="AD224" s="1">
        <v>1200.0</v>
      </c>
      <c r="AE224" s="1" t="s">
        <v>647</v>
      </c>
      <c r="AF224" s="1" t="s">
        <v>791</v>
      </c>
      <c r="AG224" s="1" t="s">
        <v>712</v>
      </c>
      <c r="AH224" s="1">
        <v>8.0</v>
      </c>
      <c r="AI224" s="1">
        <v>2013.0</v>
      </c>
      <c r="AJ224" s="1">
        <v>2013.0</v>
      </c>
      <c r="AK224" s="1" t="s">
        <v>713</v>
      </c>
    </row>
    <row r="225">
      <c r="A225" s="1" t="s">
        <v>709</v>
      </c>
      <c r="B225" s="1" t="s">
        <v>709</v>
      </c>
      <c r="C225" s="1" t="s">
        <v>645</v>
      </c>
      <c r="E225" s="1">
        <v>4.44297088E8</v>
      </c>
      <c r="F225" s="2">
        <v>41193.0</v>
      </c>
      <c r="G225" s="1" t="s">
        <v>710</v>
      </c>
      <c r="I225" s="1" t="s">
        <v>710</v>
      </c>
      <c r="L225" s="1" t="s">
        <v>647</v>
      </c>
      <c r="M225" s="1">
        <v>1200.0</v>
      </c>
      <c r="N225" s="1" t="s">
        <v>647</v>
      </c>
      <c r="O225" s="1">
        <v>9.62378779E8</v>
      </c>
      <c r="P225" s="1" t="s">
        <v>478</v>
      </c>
      <c r="R225" s="1" t="s">
        <v>479</v>
      </c>
      <c r="S225" s="1" t="s">
        <v>44</v>
      </c>
      <c r="T225" s="1" t="s">
        <v>45</v>
      </c>
      <c r="U225" s="1">
        <v>4.82342225E8</v>
      </c>
      <c r="W225" s="1" t="s">
        <v>44</v>
      </c>
      <c r="X225" s="1" t="s">
        <v>45</v>
      </c>
      <c r="Y225" s="1">
        <v>4.82342225E8</v>
      </c>
      <c r="AB225" s="1">
        <v>211240.15</v>
      </c>
      <c r="AC225" s="2">
        <v>41193.0</v>
      </c>
      <c r="AD225" s="1">
        <v>1200.0</v>
      </c>
      <c r="AE225" s="1" t="s">
        <v>647</v>
      </c>
      <c r="AF225" s="1" t="s">
        <v>792</v>
      </c>
      <c r="AG225" s="1" t="s">
        <v>712</v>
      </c>
      <c r="AH225" s="1">
        <v>8.0</v>
      </c>
      <c r="AI225" s="1">
        <v>2013.0</v>
      </c>
      <c r="AJ225" s="1">
        <v>2013.0</v>
      </c>
      <c r="AK225" s="1" t="s">
        <v>713</v>
      </c>
    </row>
    <row r="226">
      <c r="A226" s="1" t="s">
        <v>709</v>
      </c>
      <c r="B226" s="1" t="s">
        <v>709</v>
      </c>
      <c r="C226" s="1" t="s">
        <v>645</v>
      </c>
      <c r="E226" s="1">
        <v>4.44297088E8</v>
      </c>
      <c r="F226" s="2">
        <v>41186.0</v>
      </c>
      <c r="G226" s="1" t="s">
        <v>710</v>
      </c>
      <c r="I226" s="1" t="s">
        <v>710</v>
      </c>
      <c r="L226" s="1" t="s">
        <v>647</v>
      </c>
      <c r="M226" s="1">
        <v>1200.0</v>
      </c>
      <c r="N226" s="1" t="s">
        <v>647</v>
      </c>
      <c r="O226" s="1">
        <v>9.60752871E8</v>
      </c>
      <c r="P226" s="1" t="s">
        <v>793</v>
      </c>
      <c r="R226" s="1" t="s">
        <v>794</v>
      </c>
      <c r="S226" s="1" t="s">
        <v>44</v>
      </c>
      <c r="T226" s="1" t="s">
        <v>45</v>
      </c>
      <c r="U226" s="1">
        <v>4.82272749E8</v>
      </c>
      <c r="W226" s="1" t="s">
        <v>44</v>
      </c>
      <c r="X226" s="1" t="s">
        <v>45</v>
      </c>
      <c r="Y226" s="1">
        <v>4.82272749E8</v>
      </c>
      <c r="AB226" s="1">
        <v>27976.69</v>
      </c>
      <c r="AC226" s="2">
        <v>41186.0</v>
      </c>
      <c r="AD226" s="1">
        <v>1200.0</v>
      </c>
      <c r="AE226" s="1" t="s">
        <v>647</v>
      </c>
      <c r="AF226" s="1" t="s">
        <v>795</v>
      </c>
      <c r="AG226" s="1" t="s">
        <v>712</v>
      </c>
      <c r="AH226" s="1">
        <v>8.0</v>
      </c>
      <c r="AI226" s="1">
        <v>2013.0</v>
      </c>
      <c r="AJ226" s="1">
        <v>2013.0</v>
      </c>
      <c r="AK226" s="1" t="s">
        <v>713</v>
      </c>
    </row>
    <row r="227">
      <c r="A227" s="1" t="s">
        <v>709</v>
      </c>
      <c r="B227" s="1" t="s">
        <v>709</v>
      </c>
      <c r="C227" s="1" t="s">
        <v>645</v>
      </c>
      <c r="E227" s="1">
        <v>4.44297088E8</v>
      </c>
      <c r="F227" s="2">
        <v>41228.0</v>
      </c>
      <c r="G227" s="1" t="s">
        <v>710</v>
      </c>
      <c r="I227" s="1" t="s">
        <v>710</v>
      </c>
      <c r="L227" s="1" t="s">
        <v>647</v>
      </c>
      <c r="M227" s="1">
        <v>1200.0</v>
      </c>
      <c r="N227" s="1" t="s">
        <v>647</v>
      </c>
      <c r="O227" s="1">
        <v>3537326.0</v>
      </c>
      <c r="P227" s="1" t="s">
        <v>560</v>
      </c>
      <c r="R227" s="1" t="s">
        <v>561</v>
      </c>
      <c r="S227" s="1" t="s">
        <v>44</v>
      </c>
      <c r="T227" s="1" t="s">
        <v>45</v>
      </c>
      <c r="U227" s="1">
        <v>4.8212177E8</v>
      </c>
      <c r="W227" s="1" t="s">
        <v>498</v>
      </c>
      <c r="X227" s="1" t="s">
        <v>45</v>
      </c>
      <c r="Y227" s="1">
        <v>4.82121754E8</v>
      </c>
      <c r="Z227" s="1">
        <v>3537326.0</v>
      </c>
      <c r="AA227" s="1" t="s">
        <v>560</v>
      </c>
      <c r="AB227" s="1">
        <v>101382.48</v>
      </c>
      <c r="AC227" s="2">
        <v>41228.0</v>
      </c>
      <c r="AD227" s="1">
        <v>1200.0</v>
      </c>
      <c r="AE227" s="1" t="s">
        <v>647</v>
      </c>
      <c r="AF227" s="1" t="s">
        <v>796</v>
      </c>
      <c r="AG227" s="1" t="s">
        <v>712</v>
      </c>
      <c r="AH227" s="1">
        <v>8.0</v>
      </c>
      <c r="AI227" s="1">
        <v>2013.0</v>
      </c>
      <c r="AJ227" s="1">
        <v>2013.0</v>
      </c>
      <c r="AK227" s="1" t="s">
        <v>713</v>
      </c>
    </row>
    <row r="228">
      <c r="A228" s="1" t="s">
        <v>709</v>
      </c>
      <c r="B228" s="1" t="s">
        <v>709</v>
      </c>
      <c r="C228" s="1" t="s">
        <v>645</v>
      </c>
      <c r="E228" s="1">
        <v>4.44297088E8</v>
      </c>
      <c r="F228" s="2">
        <v>41242.0</v>
      </c>
      <c r="G228" s="1" t="s">
        <v>710</v>
      </c>
      <c r="I228" s="1" t="s">
        <v>710</v>
      </c>
      <c r="L228" s="1" t="s">
        <v>647</v>
      </c>
      <c r="M228" s="1">
        <v>1200.0</v>
      </c>
      <c r="N228" s="1" t="s">
        <v>647</v>
      </c>
      <c r="O228" s="1">
        <v>1.96740885E8</v>
      </c>
      <c r="P228" s="1" t="s">
        <v>797</v>
      </c>
      <c r="R228" s="1" t="s">
        <v>798</v>
      </c>
      <c r="S228" s="1" t="s">
        <v>44</v>
      </c>
      <c r="T228" s="1" t="s">
        <v>45</v>
      </c>
      <c r="U228" s="1">
        <v>4.82343348E8</v>
      </c>
      <c r="W228" s="1" t="s">
        <v>44</v>
      </c>
      <c r="X228" s="1" t="s">
        <v>45</v>
      </c>
      <c r="Y228" s="1">
        <v>4.82343348E8</v>
      </c>
      <c r="AB228" s="1">
        <v>35238.07</v>
      </c>
      <c r="AC228" s="2">
        <v>41242.0</v>
      </c>
      <c r="AD228" s="1">
        <v>1200.0</v>
      </c>
      <c r="AE228" s="1" t="s">
        <v>647</v>
      </c>
      <c r="AF228" s="1" t="s">
        <v>799</v>
      </c>
      <c r="AG228" s="1" t="s">
        <v>712</v>
      </c>
      <c r="AH228" s="1">
        <v>8.0</v>
      </c>
      <c r="AI228" s="1">
        <v>2013.0</v>
      </c>
      <c r="AJ228" s="1">
        <v>2013.0</v>
      </c>
      <c r="AK228" s="1" t="s">
        <v>713</v>
      </c>
    </row>
    <row r="229">
      <c r="A229" s="1" t="s">
        <v>709</v>
      </c>
      <c r="B229" s="1" t="s">
        <v>709</v>
      </c>
      <c r="C229" s="1" t="s">
        <v>645</v>
      </c>
      <c r="E229" s="1">
        <v>4.44297088E8</v>
      </c>
      <c r="F229" s="2">
        <v>41228.0</v>
      </c>
      <c r="G229" s="1" t="s">
        <v>710</v>
      </c>
      <c r="I229" s="1" t="s">
        <v>710</v>
      </c>
      <c r="L229" s="1" t="s">
        <v>647</v>
      </c>
      <c r="M229" s="1">
        <v>1200.0</v>
      </c>
      <c r="N229" s="1" t="s">
        <v>647</v>
      </c>
      <c r="O229" s="1">
        <v>7.97531295E8</v>
      </c>
      <c r="P229" s="1" t="s">
        <v>582</v>
      </c>
      <c r="R229" s="1" t="s">
        <v>583</v>
      </c>
      <c r="S229" s="1" t="s">
        <v>44</v>
      </c>
      <c r="T229" s="1" t="s">
        <v>45</v>
      </c>
      <c r="U229" s="1">
        <v>4.82123452E8</v>
      </c>
      <c r="W229" s="1" t="s">
        <v>498</v>
      </c>
      <c r="X229" s="1" t="s">
        <v>45</v>
      </c>
      <c r="Y229" s="1">
        <v>4.82123452E8</v>
      </c>
      <c r="AB229" s="1">
        <v>128550.69</v>
      </c>
      <c r="AC229" s="2">
        <v>41228.0</v>
      </c>
      <c r="AD229" s="1">
        <v>1200.0</v>
      </c>
      <c r="AE229" s="1" t="s">
        <v>647</v>
      </c>
      <c r="AF229" s="1" t="s">
        <v>800</v>
      </c>
      <c r="AG229" s="1" t="s">
        <v>712</v>
      </c>
      <c r="AH229" s="1">
        <v>8.0</v>
      </c>
      <c r="AI229" s="1">
        <v>2013.0</v>
      </c>
      <c r="AJ229" s="1">
        <v>2013.0</v>
      </c>
      <c r="AK229" s="1" t="s">
        <v>713</v>
      </c>
    </row>
    <row r="230">
      <c r="A230" s="1" t="s">
        <v>709</v>
      </c>
      <c r="B230" s="1" t="s">
        <v>709</v>
      </c>
      <c r="C230" s="1" t="s">
        <v>645</v>
      </c>
      <c r="E230" s="1">
        <v>4.44297088E8</v>
      </c>
      <c r="F230" s="2">
        <v>41193.0</v>
      </c>
      <c r="G230" s="1" t="s">
        <v>710</v>
      </c>
      <c r="I230" s="1" t="s">
        <v>710</v>
      </c>
      <c r="L230" s="1" t="s">
        <v>647</v>
      </c>
      <c r="M230" s="1">
        <v>1200.0</v>
      </c>
      <c r="N230" s="1" t="s">
        <v>647</v>
      </c>
      <c r="O230" s="1">
        <v>1.98438892E8</v>
      </c>
      <c r="P230" s="1" t="s">
        <v>505</v>
      </c>
      <c r="R230" s="1" t="s">
        <v>506</v>
      </c>
      <c r="S230" s="1" t="s">
        <v>44</v>
      </c>
      <c r="T230" s="1" t="s">
        <v>45</v>
      </c>
      <c r="U230" s="1">
        <v>4.82123572E8</v>
      </c>
      <c r="W230" s="1" t="s">
        <v>498</v>
      </c>
      <c r="X230" s="1" t="s">
        <v>45</v>
      </c>
      <c r="Y230" s="1">
        <v>4.82123572E8</v>
      </c>
      <c r="Z230" s="1">
        <v>1.98438892E8</v>
      </c>
      <c r="AA230" s="1" t="s">
        <v>505</v>
      </c>
      <c r="AB230" s="1">
        <v>278250.03</v>
      </c>
      <c r="AC230" s="2">
        <v>41193.0</v>
      </c>
      <c r="AD230" s="1">
        <v>1200.0</v>
      </c>
      <c r="AE230" s="1" t="s">
        <v>647</v>
      </c>
      <c r="AF230" s="1" t="s">
        <v>801</v>
      </c>
      <c r="AG230" s="1" t="s">
        <v>712</v>
      </c>
      <c r="AH230" s="1">
        <v>8.0</v>
      </c>
      <c r="AI230" s="1">
        <v>2013.0</v>
      </c>
      <c r="AJ230" s="1">
        <v>2013.0</v>
      </c>
      <c r="AK230" s="1" t="s">
        <v>713</v>
      </c>
    </row>
    <row r="231">
      <c r="A231" s="1" t="s">
        <v>709</v>
      </c>
      <c r="B231" s="1" t="s">
        <v>709</v>
      </c>
      <c r="C231" s="1" t="s">
        <v>645</v>
      </c>
      <c r="E231" s="1">
        <v>4.44297088E8</v>
      </c>
      <c r="F231" s="2">
        <v>41249.0</v>
      </c>
      <c r="G231" s="1" t="s">
        <v>710</v>
      </c>
      <c r="I231" s="1" t="s">
        <v>710</v>
      </c>
      <c r="L231" s="1" t="s">
        <v>647</v>
      </c>
      <c r="M231" s="1">
        <v>1200.0</v>
      </c>
      <c r="N231" s="1" t="s">
        <v>647</v>
      </c>
      <c r="O231" s="1">
        <v>4.2136734E7</v>
      </c>
      <c r="P231" s="1" t="s">
        <v>557</v>
      </c>
      <c r="R231" s="1" t="s">
        <v>558</v>
      </c>
      <c r="S231" s="1" t="s">
        <v>44</v>
      </c>
      <c r="T231" s="1" t="s">
        <v>45</v>
      </c>
      <c r="U231" s="1">
        <v>4.82082204E8</v>
      </c>
      <c r="W231" s="1" t="s">
        <v>44</v>
      </c>
      <c r="X231" s="1" t="s">
        <v>45</v>
      </c>
      <c r="Y231" s="1">
        <v>4.82082204E8</v>
      </c>
      <c r="AB231" s="1">
        <v>158603.84</v>
      </c>
      <c r="AC231" s="2">
        <v>41249.0</v>
      </c>
      <c r="AD231" s="1">
        <v>1200.0</v>
      </c>
      <c r="AE231" s="1" t="s">
        <v>647</v>
      </c>
      <c r="AF231" s="1" t="s">
        <v>802</v>
      </c>
      <c r="AG231" s="1" t="s">
        <v>712</v>
      </c>
      <c r="AH231" s="1">
        <v>8.0</v>
      </c>
      <c r="AI231" s="1">
        <v>2013.0</v>
      </c>
      <c r="AJ231" s="1">
        <v>2013.0</v>
      </c>
      <c r="AK231" s="1" t="s">
        <v>713</v>
      </c>
    </row>
    <row r="232">
      <c r="A232" s="1" t="s">
        <v>709</v>
      </c>
      <c r="B232" s="1" t="s">
        <v>709</v>
      </c>
      <c r="C232" s="1" t="s">
        <v>645</v>
      </c>
      <c r="E232" s="1">
        <v>4.44297088E8</v>
      </c>
      <c r="F232" s="2">
        <v>41193.0</v>
      </c>
      <c r="G232" s="1" t="s">
        <v>710</v>
      </c>
      <c r="I232" s="1" t="s">
        <v>710</v>
      </c>
      <c r="L232" s="1" t="s">
        <v>647</v>
      </c>
      <c r="M232" s="1">
        <v>1200.0</v>
      </c>
      <c r="N232" s="1" t="s">
        <v>647</v>
      </c>
      <c r="O232" s="1">
        <v>8.30792151E8</v>
      </c>
      <c r="P232" s="1" t="s">
        <v>594</v>
      </c>
      <c r="R232" s="1" t="s">
        <v>596</v>
      </c>
      <c r="S232" s="1" t="s">
        <v>44</v>
      </c>
      <c r="T232" s="1" t="s">
        <v>45</v>
      </c>
      <c r="U232" s="1">
        <v>4.82382356E8</v>
      </c>
      <c r="W232" s="1" t="s">
        <v>44</v>
      </c>
      <c r="X232" s="1" t="s">
        <v>45</v>
      </c>
      <c r="Y232" s="1">
        <v>4.82382356E8</v>
      </c>
      <c r="Z232" s="1">
        <v>9.60742484E8</v>
      </c>
      <c r="AB232" s="1">
        <v>43961.31</v>
      </c>
      <c r="AC232" s="2">
        <v>41193.0</v>
      </c>
      <c r="AD232" s="1">
        <v>1200.0</v>
      </c>
      <c r="AE232" s="1" t="s">
        <v>647</v>
      </c>
      <c r="AF232" s="1" t="s">
        <v>803</v>
      </c>
      <c r="AG232" s="1" t="s">
        <v>712</v>
      </c>
      <c r="AH232" s="1">
        <v>8.0</v>
      </c>
      <c r="AI232" s="1">
        <v>2013.0</v>
      </c>
      <c r="AJ232" s="1">
        <v>2013.0</v>
      </c>
      <c r="AK232" s="1" t="s">
        <v>713</v>
      </c>
    </row>
    <row r="233">
      <c r="A233" s="1" t="s">
        <v>709</v>
      </c>
      <c r="B233" s="1" t="s">
        <v>709</v>
      </c>
      <c r="C233" s="1" t="s">
        <v>645</v>
      </c>
      <c r="E233" s="1">
        <v>4.44297088E8</v>
      </c>
      <c r="F233" s="2">
        <v>41193.0</v>
      </c>
      <c r="G233" s="1" t="s">
        <v>710</v>
      </c>
      <c r="I233" s="1" t="s">
        <v>710</v>
      </c>
      <c r="L233" s="1" t="s">
        <v>647</v>
      </c>
      <c r="M233" s="1">
        <v>1200.0</v>
      </c>
      <c r="N233" s="1" t="s">
        <v>647</v>
      </c>
      <c r="O233" s="1">
        <v>1.95837232E8</v>
      </c>
      <c r="P233" s="1" t="s">
        <v>785</v>
      </c>
      <c r="Q233" s="1" t="s">
        <v>786</v>
      </c>
      <c r="R233" s="1" t="s">
        <v>787</v>
      </c>
      <c r="S233" s="1" t="s">
        <v>44</v>
      </c>
      <c r="T233" s="1" t="s">
        <v>45</v>
      </c>
      <c r="U233" s="1">
        <v>4.82242358E8</v>
      </c>
      <c r="W233" s="1" t="s">
        <v>44</v>
      </c>
      <c r="X233" s="1" t="s">
        <v>45</v>
      </c>
      <c r="Y233" s="1">
        <v>4.82152667E8</v>
      </c>
      <c r="Z233" s="1">
        <v>1.95837232E8</v>
      </c>
      <c r="AA233" s="1" t="s">
        <v>785</v>
      </c>
      <c r="AB233" s="1">
        <v>38434.23</v>
      </c>
      <c r="AC233" s="2">
        <v>41193.0</v>
      </c>
      <c r="AD233" s="1">
        <v>1200.0</v>
      </c>
      <c r="AE233" s="1" t="s">
        <v>647</v>
      </c>
      <c r="AF233" s="1" t="s">
        <v>804</v>
      </c>
      <c r="AG233" s="1" t="s">
        <v>712</v>
      </c>
      <c r="AH233" s="1">
        <v>8.0</v>
      </c>
      <c r="AI233" s="1">
        <v>2013.0</v>
      </c>
      <c r="AJ233" s="1">
        <v>2013.0</v>
      </c>
      <c r="AK233" s="1" t="s">
        <v>713</v>
      </c>
    </row>
    <row r="234">
      <c r="A234" s="1" t="s">
        <v>709</v>
      </c>
      <c r="B234" s="1" t="s">
        <v>709</v>
      </c>
      <c r="C234" s="1" t="s">
        <v>645</v>
      </c>
      <c r="E234" s="1">
        <v>4.44297088E8</v>
      </c>
      <c r="F234" s="2">
        <v>41234.0</v>
      </c>
      <c r="G234" s="1" t="s">
        <v>710</v>
      </c>
      <c r="I234" s="1" t="s">
        <v>710</v>
      </c>
      <c r="L234" s="1" t="s">
        <v>647</v>
      </c>
      <c r="M234" s="1">
        <v>1200.0</v>
      </c>
      <c r="N234" s="1" t="s">
        <v>647</v>
      </c>
      <c r="O234" s="1">
        <v>3790107.0</v>
      </c>
      <c r="P234" s="1" t="s">
        <v>576</v>
      </c>
      <c r="R234" s="1" t="s">
        <v>577</v>
      </c>
      <c r="S234" s="1" t="s">
        <v>44</v>
      </c>
      <c r="T234" s="1" t="s">
        <v>45</v>
      </c>
      <c r="U234" s="1">
        <v>4.82343284E8</v>
      </c>
      <c r="W234" s="1" t="s">
        <v>44</v>
      </c>
      <c r="X234" s="1" t="s">
        <v>45</v>
      </c>
      <c r="Y234" s="1">
        <v>4.82343284E8</v>
      </c>
      <c r="AB234" s="1">
        <v>358499.3</v>
      </c>
      <c r="AC234" s="2">
        <v>41234.0</v>
      </c>
      <c r="AD234" s="1">
        <v>1200.0</v>
      </c>
      <c r="AE234" s="1" t="s">
        <v>647</v>
      </c>
      <c r="AF234" s="1" t="s">
        <v>805</v>
      </c>
      <c r="AG234" s="1" t="s">
        <v>712</v>
      </c>
      <c r="AH234" s="1">
        <v>8.0</v>
      </c>
      <c r="AI234" s="1">
        <v>2013.0</v>
      </c>
      <c r="AJ234" s="1">
        <v>2013.0</v>
      </c>
      <c r="AK234" s="1" t="s">
        <v>713</v>
      </c>
    </row>
    <row r="235">
      <c r="A235" s="1" t="s">
        <v>709</v>
      </c>
      <c r="B235" s="1" t="s">
        <v>709</v>
      </c>
      <c r="C235" s="1" t="s">
        <v>645</v>
      </c>
      <c r="E235" s="1">
        <v>4.44297088E8</v>
      </c>
      <c r="F235" s="2">
        <v>41186.0</v>
      </c>
      <c r="G235" s="1" t="s">
        <v>710</v>
      </c>
      <c r="I235" s="1" t="s">
        <v>710</v>
      </c>
      <c r="L235" s="1" t="s">
        <v>647</v>
      </c>
      <c r="M235" s="1">
        <v>1200.0</v>
      </c>
      <c r="N235" s="1" t="s">
        <v>647</v>
      </c>
      <c r="O235" s="1">
        <v>8.0463354E7</v>
      </c>
      <c r="P235" s="1" t="s">
        <v>518</v>
      </c>
      <c r="R235" s="1" t="s">
        <v>519</v>
      </c>
      <c r="S235" s="1" t="s">
        <v>44</v>
      </c>
      <c r="T235" s="1" t="s">
        <v>45</v>
      </c>
      <c r="U235" s="1">
        <v>4.82102105E8</v>
      </c>
      <c r="W235" s="1" t="s">
        <v>44</v>
      </c>
      <c r="X235" s="1" t="s">
        <v>45</v>
      </c>
      <c r="Y235" s="1">
        <v>4.82102105E8</v>
      </c>
      <c r="AB235" s="1">
        <v>202080.15</v>
      </c>
      <c r="AC235" s="2">
        <v>41186.0</v>
      </c>
      <c r="AD235" s="1">
        <v>1200.0</v>
      </c>
      <c r="AE235" s="1" t="s">
        <v>647</v>
      </c>
      <c r="AF235" s="1" t="s">
        <v>806</v>
      </c>
      <c r="AG235" s="1" t="s">
        <v>712</v>
      </c>
      <c r="AH235" s="1">
        <v>8.0</v>
      </c>
      <c r="AI235" s="1">
        <v>2013.0</v>
      </c>
      <c r="AJ235" s="1">
        <v>2013.0</v>
      </c>
      <c r="AK235" s="1" t="s">
        <v>713</v>
      </c>
    </row>
    <row r="236">
      <c r="A236" s="1" t="s">
        <v>709</v>
      </c>
      <c r="B236" s="1" t="s">
        <v>709</v>
      </c>
      <c r="C236" s="1" t="s">
        <v>645</v>
      </c>
      <c r="E236" s="1">
        <v>4.44297088E8</v>
      </c>
      <c r="F236" s="2">
        <v>41186.0</v>
      </c>
      <c r="G236" s="1" t="s">
        <v>710</v>
      </c>
      <c r="I236" s="1" t="s">
        <v>710</v>
      </c>
      <c r="L236" s="1" t="s">
        <v>647</v>
      </c>
      <c r="M236" s="1">
        <v>1200.0</v>
      </c>
      <c r="N236" s="1" t="s">
        <v>647</v>
      </c>
      <c r="O236" s="1">
        <v>8.08238237E8</v>
      </c>
      <c r="P236" s="1" t="s">
        <v>807</v>
      </c>
      <c r="R236" s="1" t="s">
        <v>808</v>
      </c>
      <c r="S236" s="1" t="s">
        <v>44</v>
      </c>
      <c r="T236" s="1" t="s">
        <v>45</v>
      </c>
      <c r="U236" s="1">
        <v>4.82242744E8</v>
      </c>
      <c r="W236" s="1" t="s">
        <v>44</v>
      </c>
      <c r="X236" s="1" t="s">
        <v>45</v>
      </c>
      <c r="Y236" s="1">
        <v>4.82242744E8</v>
      </c>
      <c r="AB236" s="1">
        <v>53906.9</v>
      </c>
      <c r="AC236" s="2">
        <v>41186.0</v>
      </c>
      <c r="AD236" s="1">
        <v>1200.0</v>
      </c>
      <c r="AE236" s="1" t="s">
        <v>647</v>
      </c>
      <c r="AF236" s="1" t="s">
        <v>809</v>
      </c>
      <c r="AG236" s="1" t="s">
        <v>712</v>
      </c>
      <c r="AH236" s="1">
        <v>8.0</v>
      </c>
      <c r="AI236" s="1">
        <v>2013.0</v>
      </c>
      <c r="AJ236" s="1">
        <v>2013.0</v>
      </c>
      <c r="AK236" s="1" t="s">
        <v>713</v>
      </c>
    </row>
    <row r="237">
      <c r="A237" s="1" t="s">
        <v>709</v>
      </c>
      <c r="B237" s="1" t="s">
        <v>709</v>
      </c>
      <c r="C237" s="1" t="s">
        <v>645</v>
      </c>
      <c r="E237" s="1">
        <v>4.44297088E8</v>
      </c>
      <c r="F237" s="2">
        <v>41193.0</v>
      </c>
      <c r="G237" s="1" t="s">
        <v>710</v>
      </c>
      <c r="I237" s="1" t="s">
        <v>710</v>
      </c>
      <c r="L237" s="1" t="s">
        <v>647</v>
      </c>
      <c r="M237" s="1">
        <v>1200.0</v>
      </c>
      <c r="N237" s="1" t="s">
        <v>647</v>
      </c>
      <c r="O237" s="1">
        <v>8.38496842E8</v>
      </c>
      <c r="P237" s="1" t="s">
        <v>810</v>
      </c>
      <c r="R237" s="1" t="s">
        <v>811</v>
      </c>
      <c r="S237" s="1" t="s">
        <v>44</v>
      </c>
      <c r="T237" s="1" t="s">
        <v>45</v>
      </c>
      <c r="U237" s="1">
        <v>4.82231359E8</v>
      </c>
      <c r="W237" s="1" t="s">
        <v>44</v>
      </c>
      <c r="X237" s="1" t="s">
        <v>45</v>
      </c>
      <c r="Y237" s="1">
        <v>4.82231359E8</v>
      </c>
      <c r="Z237" s="1">
        <v>8.38496842E8</v>
      </c>
      <c r="AA237" s="1" t="s">
        <v>810</v>
      </c>
      <c r="AB237" s="1">
        <v>263120.8</v>
      </c>
      <c r="AC237" s="2">
        <v>41193.0</v>
      </c>
      <c r="AD237" s="1">
        <v>1200.0</v>
      </c>
      <c r="AE237" s="1" t="s">
        <v>647</v>
      </c>
      <c r="AF237" s="1" t="s">
        <v>812</v>
      </c>
      <c r="AG237" s="1" t="s">
        <v>712</v>
      </c>
      <c r="AH237" s="1">
        <v>8.0</v>
      </c>
      <c r="AI237" s="1">
        <v>2013.0</v>
      </c>
      <c r="AJ237" s="1">
        <v>2013.0</v>
      </c>
      <c r="AK237" s="1" t="s">
        <v>713</v>
      </c>
    </row>
    <row r="238">
      <c r="A238" s="1" t="s">
        <v>709</v>
      </c>
      <c r="B238" s="1" t="s">
        <v>709</v>
      </c>
      <c r="C238" s="1" t="s">
        <v>645</v>
      </c>
      <c r="E238" s="1">
        <v>4.44297088E8</v>
      </c>
      <c r="F238" s="2">
        <v>41228.0</v>
      </c>
      <c r="G238" s="1" t="s">
        <v>710</v>
      </c>
      <c r="I238" s="1" t="s">
        <v>710</v>
      </c>
      <c r="L238" s="1" t="s">
        <v>647</v>
      </c>
      <c r="M238" s="1">
        <v>1200.0</v>
      </c>
      <c r="N238" s="1" t="s">
        <v>647</v>
      </c>
      <c r="O238" s="1">
        <v>7.97531295E8</v>
      </c>
      <c r="P238" s="1" t="s">
        <v>582</v>
      </c>
      <c r="R238" s="1" t="s">
        <v>583</v>
      </c>
      <c r="S238" s="1" t="s">
        <v>44</v>
      </c>
      <c r="T238" s="1" t="s">
        <v>45</v>
      </c>
      <c r="U238" s="1">
        <v>4.82123452E8</v>
      </c>
      <c r="W238" s="1" t="s">
        <v>498</v>
      </c>
      <c r="X238" s="1" t="s">
        <v>45</v>
      </c>
      <c r="Y238" s="1">
        <v>4.82123452E8</v>
      </c>
      <c r="AB238" s="1">
        <v>58327.2</v>
      </c>
      <c r="AC238" s="2">
        <v>41228.0</v>
      </c>
      <c r="AD238" s="1">
        <v>1200.0</v>
      </c>
      <c r="AE238" s="1" t="s">
        <v>647</v>
      </c>
      <c r="AF238" s="1" t="s">
        <v>813</v>
      </c>
      <c r="AG238" s="1" t="s">
        <v>712</v>
      </c>
      <c r="AH238" s="1">
        <v>8.0</v>
      </c>
      <c r="AI238" s="1">
        <v>2013.0</v>
      </c>
      <c r="AJ238" s="1">
        <v>2013.0</v>
      </c>
      <c r="AK238" s="1" t="s">
        <v>713</v>
      </c>
    </row>
    <row r="239">
      <c r="A239" s="1" t="s">
        <v>709</v>
      </c>
      <c r="B239" s="1" t="s">
        <v>709</v>
      </c>
      <c r="C239" s="1" t="s">
        <v>645</v>
      </c>
      <c r="E239" s="1">
        <v>4.44297088E8</v>
      </c>
      <c r="F239" s="2">
        <v>41242.0</v>
      </c>
      <c r="G239" s="1" t="s">
        <v>710</v>
      </c>
      <c r="I239" s="1" t="s">
        <v>710</v>
      </c>
      <c r="L239" s="1" t="s">
        <v>647</v>
      </c>
      <c r="M239" s="1">
        <v>1200.0</v>
      </c>
      <c r="N239" s="1" t="s">
        <v>647</v>
      </c>
      <c r="O239" s="1">
        <v>8.01337023E8</v>
      </c>
      <c r="P239" s="1" t="s">
        <v>731</v>
      </c>
      <c r="Q239" s="1" t="s">
        <v>732</v>
      </c>
      <c r="R239" s="1" t="s">
        <v>733</v>
      </c>
      <c r="S239" s="1" t="s">
        <v>44</v>
      </c>
      <c r="T239" s="1" t="s">
        <v>45</v>
      </c>
      <c r="U239" s="1">
        <v>4.82342968E8</v>
      </c>
      <c r="W239" s="1" t="s">
        <v>44</v>
      </c>
      <c r="X239" s="1" t="s">
        <v>45</v>
      </c>
      <c r="Y239" s="1">
        <v>4.82342968E8</v>
      </c>
      <c r="Z239" s="1">
        <v>8.01337023E8</v>
      </c>
      <c r="AA239" s="1" t="s">
        <v>731</v>
      </c>
      <c r="AB239" s="1">
        <v>80555.76</v>
      </c>
      <c r="AC239" s="2">
        <v>41242.0</v>
      </c>
      <c r="AD239" s="1">
        <v>1200.0</v>
      </c>
      <c r="AE239" s="1" t="s">
        <v>647</v>
      </c>
      <c r="AF239" s="1" t="s">
        <v>814</v>
      </c>
      <c r="AG239" s="1" t="s">
        <v>712</v>
      </c>
      <c r="AH239" s="1">
        <v>8.0</v>
      </c>
      <c r="AI239" s="1">
        <v>2013.0</v>
      </c>
      <c r="AJ239" s="1">
        <v>2013.0</v>
      </c>
      <c r="AK239" s="1" t="s">
        <v>713</v>
      </c>
    </row>
    <row r="240">
      <c r="A240" s="1" t="s">
        <v>709</v>
      </c>
      <c r="B240" s="1" t="s">
        <v>709</v>
      </c>
      <c r="C240" s="1" t="s">
        <v>645</v>
      </c>
      <c r="E240" s="1">
        <v>4.44297088E8</v>
      </c>
      <c r="F240" s="2">
        <v>41221.0</v>
      </c>
      <c r="G240" s="1" t="s">
        <v>710</v>
      </c>
      <c r="I240" s="1" t="s">
        <v>710</v>
      </c>
      <c r="L240" s="1" t="s">
        <v>647</v>
      </c>
      <c r="M240" s="1">
        <v>1200.0</v>
      </c>
      <c r="N240" s="1" t="s">
        <v>647</v>
      </c>
      <c r="O240" s="1">
        <v>5.2874042E7</v>
      </c>
      <c r="P240" s="1" t="s">
        <v>538</v>
      </c>
      <c r="R240" s="1" t="s">
        <v>539</v>
      </c>
      <c r="S240" s="1" t="s">
        <v>44</v>
      </c>
      <c r="T240" s="1" t="s">
        <v>45</v>
      </c>
      <c r="U240" s="1">
        <v>4.82091524E8</v>
      </c>
      <c r="W240" s="1" t="s">
        <v>44</v>
      </c>
      <c r="X240" s="1" t="s">
        <v>45</v>
      </c>
      <c r="Y240" s="1">
        <v>4.82091524E8</v>
      </c>
      <c r="AB240" s="1">
        <v>97338.36</v>
      </c>
      <c r="AC240" s="2">
        <v>41221.0</v>
      </c>
      <c r="AD240" s="1">
        <v>1200.0</v>
      </c>
      <c r="AE240" s="1" t="s">
        <v>647</v>
      </c>
      <c r="AF240" s="1" t="s">
        <v>815</v>
      </c>
      <c r="AG240" s="1" t="s">
        <v>712</v>
      </c>
      <c r="AH240" s="1">
        <v>8.0</v>
      </c>
      <c r="AI240" s="1">
        <v>2013.0</v>
      </c>
      <c r="AJ240" s="1">
        <v>2013.0</v>
      </c>
      <c r="AK240" s="1" t="s">
        <v>713</v>
      </c>
    </row>
    <row r="241">
      <c r="A241" s="1" t="s">
        <v>709</v>
      </c>
      <c r="B241" s="1" t="s">
        <v>709</v>
      </c>
      <c r="C241" s="1" t="s">
        <v>645</v>
      </c>
      <c r="E241" s="1">
        <v>4.44297088E8</v>
      </c>
      <c r="F241" s="2">
        <v>41249.0</v>
      </c>
      <c r="G241" s="1" t="s">
        <v>710</v>
      </c>
      <c r="I241" s="1" t="s">
        <v>710</v>
      </c>
      <c r="L241" s="1" t="s">
        <v>647</v>
      </c>
      <c r="M241" s="1">
        <v>1200.0</v>
      </c>
      <c r="N241" s="1" t="s">
        <v>647</v>
      </c>
      <c r="O241" s="1">
        <v>3.0098093E7</v>
      </c>
      <c r="P241" s="1" t="s">
        <v>816</v>
      </c>
      <c r="R241" s="1" t="s">
        <v>817</v>
      </c>
      <c r="S241" s="1" t="s">
        <v>44</v>
      </c>
      <c r="T241" s="1" t="s">
        <v>45</v>
      </c>
      <c r="U241" s="1">
        <v>4.82243226E8</v>
      </c>
      <c r="W241" s="1" t="s">
        <v>44</v>
      </c>
      <c r="X241" s="1" t="s">
        <v>45</v>
      </c>
      <c r="Y241" s="1">
        <v>4.82243226E8</v>
      </c>
      <c r="AB241" s="1">
        <v>48111.09</v>
      </c>
      <c r="AC241" s="2">
        <v>41249.0</v>
      </c>
      <c r="AD241" s="1">
        <v>1200.0</v>
      </c>
      <c r="AE241" s="1" t="s">
        <v>647</v>
      </c>
      <c r="AF241" s="1" t="s">
        <v>818</v>
      </c>
      <c r="AG241" s="1" t="s">
        <v>712</v>
      </c>
      <c r="AH241" s="1">
        <v>8.0</v>
      </c>
      <c r="AI241" s="1">
        <v>2013.0</v>
      </c>
      <c r="AJ241" s="1">
        <v>2013.0</v>
      </c>
      <c r="AK241" s="1" t="s">
        <v>713</v>
      </c>
    </row>
    <row r="242">
      <c r="A242" s="1" t="s">
        <v>709</v>
      </c>
      <c r="B242" s="1" t="s">
        <v>709</v>
      </c>
      <c r="C242" s="1" t="s">
        <v>645</v>
      </c>
      <c r="E242" s="1">
        <v>4.44297088E8</v>
      </c>
      <c r="F242" s="2">
        <v>41193.0</v>
      </c>
      <c r="G242" s="1" t="s">
        <v>710</v>
      </c>
      <c r="I242" s="1" t="s">
        <v>710</v>
      </c>
      <c r="L242" s="1" t="s">
        <v>647</v>
      </c>
      <c r="M242" s="1">
        <v>1200.0</v>
      </c>
      <c r="N242" s="1" t="s">
        <v>647</v>
      </c>
      <c r="O242" s="1">
        <v>1.3032514E8</v>
      </c>
      <c r="P242" s="1" t="s">
        <v>819</v>
      </c>
      <c r="R242" s="1" t="s">
        <v>820</v>
      </c>
      <c r="S242" s="1" t="s">
        <v>44</v>
      </c>
      <c r="T242" s="1" t="s">
        <v>45</v>
      </c>
      <c r="U242" s="1">
        <v>4.82072418E8</v>
      </c>
      <c r="W242" s="1" t="s">
        <v>44</v>
      </c>
      <c r="X242" s="1" t="s">
        <v>45</v>
      </c>
      <c r="Y242" s="1">
        <v>4.82072418E8</v>
      </c>
      <c r="Z242" s="1">
        <v>1.3032514E8</v>
      </c>
      <c r="AA242" s="1" t="s">
        <v>819</v>
      </c>
      <c r="AB242" s="1">
        <v>81271.26</v>
      </c>
      <c r="AC242" s="2">
        <v>41193.0</v>
      </c>
      <c r="AD242" s="1">
        <v>1200.0</v>
      </c>
      <c r="AE242" s="1" t="s">
        <v>647</v>
      </c>
      <c r="AF242" s="1" t="s">
        <v>821</v>
      </c>
      <c r="AG242" s="1" t="s">
        <v>712</v>
      </c>
      <c r="AH242" s="1">
        <v>8.0</v>
      </c>
      <c r="AI242" s="1">
        <v>2013.0</v>
      </c>
      <c r="AJ242" s="1">
        <v>2013.0</v>
      </c>
      <c r="AK242" s="1" t="s">
        <v>713</v>
      </c>
    </row>
    <row r="243">
      <c r="A243" s="1" t="s">
        <v>709</v>
      </c>
      <c r="B243" s="1" t="s">
        <v>709</v>
      </c>
      <c r="C243" s="1" t="s">
        <v>645</v>
      </c>
      <c r="E243" s="1">
        <v>4.44297088E8</v>
      </c>
      <c r="F243" s="2">
        <v>41193.0</v>
      </c>
      <c r="G243" s="1" t="s">
        <v>710</v>
      </c>
      <c r="I243" s="1" t="s">
        <v>710</v>
      </c>
      <c r="L243" s="1" t="s">
        <v>647</v>
      </c>
      <c r="M243" s="1">
        <v>1200.0</v>
      </c>
      <c r="N243" s="1" t="s">
        <v>647</v>
      </c>
      <c r="O243" s="1">
        <v>1.47552186E8</v>
      </c>
      <c r="P243" s="1" t="s">
        <v>822</v>
      </c>
      <c r="R243" s="1" t="s">
        <v>823</v>
      </c>
      <c r="S243" s="1" t="s">
        <v>44</v>
      </c>
      <c r="T243" s="1" t="s">
        <v>45</v>
      </c>
      <c r="U243" s="1">
        <v>4.82191857E8</v>
      </c>
      <c r="W243" s="1" t="s">
        <v>44</v>
      </c>
      <c r="X243" s="1" t="s">
        <v>45</v>
      </c>
      <c r="Y243" s="1">
        <v>4.82191857E8</v>
      </c>
      <c r="AB243" s="1">
        <v>91646.56</v>
      </c>
      <c r="AC243" s="2">
        <v>41193.0</v>
      </c>
      <c r="AD243" s="1">
        <v>1200.0</v>
      </c>
      <c r="AE243" s="1" t="s">
        <v>647</v>
      </c>
      <c r="AF243" s="1" t="s">
        <v>824</v>
      </c>
      <c r="AG243" s="1" t="s">
        <v>712</v>
      </c>
      <c r="AH243" s="1">
        <v>8.0</v>
      </c>
      <c r="AI243" s="1">
        <v>2013.0</v>
      </c>
      <c r="AJ243" s="1">
        <v>2013.0</v>
      </c>
      <c r="AK243" s="1" t="s">
        <v>713</v>
      </c>
    </row>
    <row r="244">
      <c r="A244" s="1" t="s">
        <v>709</v>
      </c>
      <c r="B244" s="1" t="s">
        <v>709</v>
      </c>
      <c r="C244" s="1" t="s">
        <v>645</v>
      </c>
      <c r="E244" s="1">
        <v>4.44297088E8</v>
      </c>
      <c r="F244" s="2">
        <v>41234.0</v>
      </c>
      <c r="G244" s="1" t="s">
        <v>710</v>
      </c>
      <c r="I244" s="1" t="s">
        <v>710</v>
      </c>
      <c r="L244" s="1" t="s">
        <v>647</v>
      </c>
      <c r="M244" s="1">
        <v>1200.0</v>
      </c>
      <c r="N244" s="1" t="s">
        <v>647</v>
      </c>
      <c r="O244" s="1">
        <v>9.0912429E7</v>
      </c>
      <c r="P244" s="1" t="s">
        <v>521</v>
      </c>
      <c r="R244" s="1" t="s">
        <v>522</v>
      </c>
      <c r="S244" s="1" t="s">
        <v>44</v>
      </c>
      <c r="T244" s="1" t="s">
        <v>45</v>
      </c>
      <c r="U244" s="1">
        <v>4.82233314E8</v>
      </c>
      <c r="W244" s="1" t="s">
        <v>44</v>
      </c>
      <c r="X244" s="1" t="s">
        <v>45</v>
      </c>
      <c r="Y244" s="1">
        <v>4.82233314E8</v>
      </c>
      <c r="AB244" s="1">
        <v>241331.87</v>
      </c>
      <c r="AC244" s="2">
        <v>41234.0</v>
      </c>
      <c r="AD244" s="1">
        <v>1200.0</v>
      </c>
      <c r="AE244" s="1" t="s">
        <v>647</v>
      </c>
      <c r="AF244" s="1" t="s">
        <v>825</v>
      </c>
      <c r="AG244" s="1" t="s">
        <v>712</v>
      </c>
      <c r="AH244" s="1">
        <v>8.0</v>
      </c>
      <c r="AI244" s="1">
        <v>2013.0</v>
      </c>
      <c r="AJ244" s="1">
        <v>2013.0</v>
      </c>
      <c r="AK244" s="1" t="s">
        <v>713</v>
      </c>
    </row>
    <row r="245">
      <c r="A245" s="1" t="s">
        <v>709</v>
      </c>
      <c r="B245" s="1" t="s">
        <v>709</v>
      </c>
      <c r="C245" s="1" t="s">
        <v>645</v>
      </c>
      <c r="E245" s="1">
        <v>4.44297088E8</v>
      </c>
      <c r="F245" s="2">
        <v>41193.0</v>
      </c>
      <c r="G245" s="1" t="s">
        <v>710</v>
      </c>
      <c r="I245" s="1" t="s">
        <v>710</v>
      </c>
      <c r="L245" s="1" t="s">
        <v>647</v>
      </c>
      <c r="M245" s="1">
        <v>1200.0</v>
      </c>
      <c r="N245" s="1" t="s">
        <v>647</v>
      </c>
      <c r="O245" s="1">
        <v>7.3832607E7</v>
      </c>
      <c r="P245" s="1" t="s">
        <v>482</v>
      </c>
      <c r="R245" s="1" t="s">
        <v>483</v>
      </c>
      <c r="S245" s="1" t="s">
        <v>44</v>
      </c>
      <c r="T245" s="1" t="s">
        <v>45</v>
      </c>
      <c r="U245" s="1">
        <v>4.82074288E8</v>
      </c>
      <c r="W245" s="1" t="s">
        <v>44</v>
      </c>
      <c r="X245" s="1" t="s">
        <v>45</v>
      </c>
      <c r="Y245" s="1">
        <v>4.82074288E8</v>
      </c>
      <c r="AB245" s="1">
        <v>386539.84</v>
      </c>
      <c r="AC245" s="2">
        <v>41193.0</v>
      </c>
      <c r="AD245" s="1">
        <v>1200.0</v>
      </c>
      <c r="AE245" s="1" t="s">
        <v>647</v>
      </c>
      <c r="AF245" s="1" t="s">
        <v>826</v>
      </c>
      <c r="AG245" s="1" t="s">
        <v>712</v>
      </c>
      <c r="AH245" s="1">
        <v>8.0</v>
      </c>
      <c r="AI245" s="1">
        <v>2013.0</v>
      </c>
      <c r="AJ245" s="1">
        <v>2013.0</v>
      </c>
      <c r="AK245" s="1" t="s">
        <v>713</v>
      </c>
    </row>
    <row r="246">
      <c r="A246" s="1" t="s">
        <v>709</v>
      </c>
      <c r="B246" s="1" t="s">
        <v>709</v>
      </c>
      <c r="C246" s="1" t="s">
        <v>645</v>
      </c>
      <c r="E246" s="1">
        <v>4.44297088E8</v>
      </c>
      <c r="F246" s="2">
        <v>41186.0</v>
      </c>
      <c r="G246" s="1" t="s">
        <v>710</v>
      </c>
      <c r="I246" s="1" t="s">
        <v>710</v>
      </c>
      <c r="L246" s="1" t="s">
        <v>647</v>
      </c>
      <c r="M246" s="1">
        <v>1200.0</v>
      </c>
      <c r="N246" s="1" t="s">
        <v>647</v>
      </c>
      <c r="O246" s="1">
        <v>8.30649195E8</v>
      </c>
      <c r="P246" s="1" t="s">
        <v>545</v>
      </c>
      <c r="R246" s="1" t="s">
        <v>547</v>
      </c>
      <c r="S246" s="1" t="s">
        <v>44</v>
      </c>
      <c r="T246" s="1" t="s">
        <v>45</v>
      </c>
      <c r="U246" s="1">
        <v>4.82071E8</v>
      </c>
      <c r="W246" s="1" t="s">
        <v>44</v>
      </c>
      <c r="X246" s="1" t="s">
        <v>45</v>
      </c>
      <c r="Y246" s="1">
        <v>4.82071E8</v>
      </c>
      <c r="AB246" s="1">
        <v>144101.19</v>
      </c>
      <c r="AC246" s="2">
        <v>41186.0</v>
      </c>
      <c r="AD246" s="1">
        <v>1200.0</v>
      </c>
      <c r="AE246" s="1" t="s">
        <v>647</v>
      </c>
      <c r="AF246" s="1" t="s">
        <v>827</v>
      </c>
      <c r="AG246" s="1" t="s">
        <v>712</v>
      </c>
      <c r="AH246" s="1">
        <v>8.0</v>
      </c>
      <c r="AI246" s="1">
        <v>2013.0</v>
      </c>
      <c r="AJ246" s="1">
        <v>2013.0</v>
      </c>
      <c r="AK246" s="1" t="s">
        <v>713</v>
      </c>
    </row>
    <row r="247">
      <c r="A247" s="1" t="s">
        <v>709</v>
      </c>
      <c r="B247" s="1" t="s">
        <v>709</v>
      </c>
      <c r="C247" s="1" t="s">
        <v>645</v>
      </c>
      <c r="E247" s="1">
        <v>4.44297088E8</v>
      </c>
      <c r="F247" s="2">
        <v>41291.0</v>
      </c>
      <c r="G247" s="1" t="s">
        <v>710</v>
      </c>
      <c r="I247" s="1" t="s">
        <v>710</v>
      </c>
      <c r="L247" s="1" t="s">
        <v>647</v>
      </c>
      <c r="M247" s="1">
        <v>1200.0</v>
      </c>
      <c r="N247" s="1" t="s">
        <v>647</v>
      </c>
      <c r="O247" s="1">
        <v>1.6338926E8</v>
      </c>
      <c r="P247" s="1" t="s">
        <v>465</v>
      </c>
      <c r="Q247" s="1" t="s">
        <v>598</v>
      </c>
      <c r="R247" s="1" t="s">
        <v>599</v>
      </c>
      <c r="S247" s="1" t="s">
        <v>44</v>
      </c>
      <c r="T247" s="1" t="s">
        <v>45</v>
      </c>
      <c r="U247" s="1">
        <v>4.82023457E8</v>
      </c>
      <c r="W247" s="1" t="s">
        <v>44</v>
      </c>
      <c r="X247" s="1" t="s">
        <v>45</v>
      </c>
      <c r="Y247" s="1">
        <v>4.82023457E8</v>
      </c>
      <c r="Z247" s="1">
        <v>1.6338926E8</v>
      </c>
      <c r="AA247" s="1" t="s">
        <v>465</v>
      </c>
      <c r="AB247" s="1">
        <v>439510.85</v>
      </c>
      <c r="AC247" s="2">
        <v>41291.0</v>
      </c>
      <c r="AD247" s="1">
        <v>1200.0</v>
      </c>
      <c r="AE247" s="1" t="s">
        <v>647</v>
      </c>
      <c r="AF247" s="1" t="s">
        <v>828</v>
      </c>
      <c r="AG247" s="1" t="s">
        <v>712</v>
      </c>
      <c r="AH247" s="1">
        <v>8.0</v>
      </c>
      <c r="AI247" s="1">
        <v>2013.0</v>
      </c>
      <c r="AJ247" s="1">
        <v>2013.0</v>
      </c>
      <c r="AK247" s="1" t="s">
        <v>713</v>
      </c>
    </row>
    <row r="248">
      <c r="A248" s="1" t="s">
        <v>709</v>
      </c>
      <c r="B248" s="1" t="s">
        <v>709</v>
      </c>
      <c r="C248" s="1" t="s">
        <v>645</v>
      </c>
      <c r="E248" s="1">
        <v>4.44297088E8</v>
      </c>
      <c r="F248" s="2">
        <v>41193.0</v>
      </c>
      <c r="G248" s="1" t="s">
        <v>710</v>
      </c>
      <c r="I248" s="1" t="s">
        <v>710</v>
      </c>
      <c r="L248" s="1" t="s">
        <v>647</v>
      </c>
      <c r="M248" s="1">
        <v>1200.0</v>
      </c>
      <c r="N248" s="1" t="s">
        <v>647</v>
      </c>
      <c r="O248" s="1">
        <v>8.25304442E8</v>
      </c>
      <c r="P248" s="1" t="s">
        <v>829</v>
      </c>
      <c r="R248" s="1" t="s">
        <v>830</v>
      </c>
      <c r="S248" s="1" t="s">
        <v>44</v>
      </c>
      <c r="T248" s="1" t="s">
        <v>45</v>
      </c>
      <c r="U248" s="1">
        <v>4.82351762E8</v>
      </c>
      <c r="W248" s="1" t="s">
        <v>44</v>
      </c>
      <c r="X248" s="1" t="s">
        <v>45</v>
      </c>
      <c r="Y248" s="1">
        <v>4.82351762E8</v>
      </c>
      <c r="AB248" s="1">
        <v>69436.85</v>
      </c>
      <c r="AC248" s="2">
        <v>41193.0</v>
      </c>
      <c r="AD248" s="1">
        <v>1200.0</v>
      </c>
      <c r="AE248" s="1" t="s">
        <v>647</v>
      </c>
      <c r="AF248" s="1" t="s">
        <v>831</v>
      </c>
      <c r="AG248" s="1" t="s">
        <v>712</v>
      </c>
      <c r="AH248" s="1">
        <v>8.0</v>
      </c>
      <c r="AI248" s="1">
        <v>2013.0</v>
      </c>
      <c r="AJ248" s="1">
        <v>2013.0</v>
      </c>
      <c r="AK248" s="1" t="s">
        <v>713</v>
      </c>
    </row>
    <row r="249">
      <c r="A249" s="1" t="s">
        <v>753</v>
      </c>
      <c r="B249" s="1" t="s">
        <v>753</v>
      </c>
      <c r="C249" s="1" t="s">
        <v>645</v>
      </c>
      <c r="E249" s="1">
        <v>1852205.0</v>
      </c>
      <c r="F249" s="2">
        <v>41242.0</v>
      </c>
      <c r="G249" s="1" t="s">
        <v>754</v>
      </c>
      <c r="I249" s="1" t="s">
        <v>754</v>
      </c>
      <c r="L249" s="1" t="s">
        <v>647</v>
      </c>
      <c r="M249" s="1">
        <v>1200.0</v>
      </c>
      <c r="N249" s="1" t="s">
        <v>647</v>
      </c>
      <c r="O249" s="1">
        <v>7.6340843E7</v>
      </c>
      <c r="P249" s="1" t="s">
        <v>461</v>
      </c>
      <c r="Q249" s="1" t="s">
        <v>459</v>
      </c>
      <c r="R249" s="1" t="s">
        <v>524</v>
      </c>
      <c r="S249" s="1" t="s">
        <v>44</v>
      </c>
      <c r="T249" s="1" t="s">
        <v>45</v>
      </c>
      <c r="U249" s="1">
        <v>4.82023046E8</v>
      </c>
      <c r="W249" s="1" t="s">
        <v>44</v>
      </c>
      <c r="X249" s="1" t="s">
        <v>45</v>
      </c>
      <c r="Y249" s="1">
        <v>4.82023096E8</v>
      </c>
      <c r="Z249" s="1">
        <v>7.6340843E7</v>
      </c>
      <c r="AA249" s="1" t="s">
        <v>461</v>
      </c>
      <c r="AB249" s="1">
        <v>87116.92</v>
      </c>
      <c r="AC249" s="2">
        <v>41242.0</v>
      </c>
      <c r="AD249" s="1">
        <v>1200.0</v>
      </c>
      <c r="AE249" s="1" t="s">
        <v>647</v>
      </c>
      <c r="AF249" s="1" t="s">
        <v>832</v>
      </c>
      <c r="AG249" s="1" t="s">
        <v>756</v>
      </c>
      <c r="AH249" s="1">
        <v>8.0</v>
      </c>
      <c r="AI249" s="1">
        <v>2013.0</v>
      </c>
      <c r="AJ249" s="1">
        <v>2013.0</v>
      </c>
      <c r="AK249" s="1" t="s">
        <v>757</v>
      </c>
    </row>
    <row r="250">
      <c r="A250" s="1" t="s">
        <v>709</v>
      </c>
      <c r="B250" s="1" t="s">
        <v>709</v>
      </c>
      <c r="C250" s="1" t="s">
        <v>645</v>
      </c>
      <c r="E250" s="1">
        <v>4.44297088E8</v>
      </c>
      <c r="F250" s="2">
        <v>41200.0</v>
      </c>
      <c r="G250" s="1" t="s">
        <v>710</v>
      </c>
      <c r="I250" s="1" t="s">
        <v>710</v>
      </c>
      <c r="L250" s="1" t="s">
        <v>647</v>
      </c>
      <c r="M250" s="1">
        <v>1200.0</v>
      </c>
      <c r="N250" s="1" t="s">
        <v>647</v>
      </c>
      <c r="O250" s="1">
        <v>8.01335944E8</v>
      </c>
      <c r="P250" s="1" t="s">
        <v>833</v>
      </c>
      <c r="R250" s="1" t="s">
        <v>834</v>
      </c>
      <c r="S250" s="1" t="s">
        <v>44</v>
      </c>
      <c r="T250" s="1" t="s">
        <v>45</v>
      </c>
      <c r="U250" s="1">
        <v>4.82262831E8</v>
      </c>
      <c r="W250" s="1" t="s">
        <v>44</v>
      </c>
      <c r="X250" s="1" t="s">
        <v>45</v>
      </c>
      <c r="Y250" s="1">
        <v>4.82262841E8</v>
      </c>
      <c r="AB250" s="1">
        <v>29859.33</v>
      </c>
      <c r="AC250" s="2">
        <v>41200.0</v>
      </c>
      <c r="AD250" s="1">
        <v>1200.0</v>
      </c>
      <c r="AE250" s="1" t="s">
        <v>647</v>
      </c>
      <c r="AF250" s="1" t="s">
        <v>835</v>
      </c>
      <c r="AG250" s="1" t="s">
        <v>712</v>
      </c>
      <c r="AH250" s="1">
        <v>8.0</v>
      </c>
      <c r="AI250" s="1">
        <v>2013.0</v>
      </c>
      <c r="AJ250" s="1">
        <v>2013.0</v>
      </c>
      <c r="AK250" s="1" t="s">
        <v>713</v>
      </c>
    </row>
    <row r="251">
      <c r="A251" s="1" t="s">
        <v>709</v>
      </c>
      <c r="B251" s="1" t="s">
        <v>709</v>
      </c>
      <c r="C251" s="1" t="s">
        <v>645</v>
      </c>
      <c r="E251" s="1">
        <v>4.44297088E8</v>
      </c>
      <c r="F251" s="2">
        <v>41193.0</v>
      </c>
      <c r="G251" s="1" t="s">
        <v>710</v>
      </c>
      <c r="I251" s="1" t="s">
        <v>710</v>
      </c>
      <c r="L251" s="1" t="s">
        <v>647</v>
      </c>
      <c r="M251" s="1">
        <v>1200.0</v>
      </c>
      <c r="N251" s="1" t="s">
        <v>647</v>
      </c>
      <c r="O251" s="1">
        <v>1.35155112E8</v>
      </c>
      <c r="P251" s="1" t="s">
        <v>836</v>
      </c>
      <c r="R251" s="1" t="s">
        <v>837</v>
      </c>
      <c r="S251" s="1" t="s">
        <v>44</v>
      </c>
      <c r="T251" s="1" t="s">
        <v>45</v>
      </c>
      <c r="U251" s="1">
        <v>4.82052542E8</v>
      </c>
      <c r="W251" s="1" t="s">
        <v>44</v>
      </c>
      <c r="X251" s="1" t="s">
        <v>45</v>
      </c>
      <c r="Y251" s="1">
        <v>4.82052542E8</v>
      </c>
      <c r="AB251" s="1">
        <v>35001.78</v>
      </c>
      <c r="AC251" s="2">
        <v>41193.0</v>
      </c>
      <c r="AD251" s="1">
        <v>1200.0</v>
      </c>
      <c r="AE251" s="1" t="s">
        <v>647</v>
      </c>
      <c r="AF251" s="1" t="s">
        <v>838</v>
      </c>
      <c r="AG251" s="1" t="s">
        <v>712</v>
      </c>
      <c r="AH251" s="1">
        <v>8.0</v>
      </c>
      <c r="AI251" s="1">
        <v>2013.0</v>
      </c>
      <c r="AJ251" s="1">
        <v>2013.0</v>
      </c>
      <c r="AK251" s="1" t="s">
        <v>713</v>
      </c>
    </row>
    <row r="252">
      <c r="A252" s="1" t="s">
        <v>709</v>
      </c>
      <c r="B252" s="1" t="s">
        <v>709</v>
      </c>
      <c r="C252" s="1" t="s">
        <v>645</v>
      </c>
      <c r="E252" s="1">
        <v>4.44297088E8</v>
      </c>
      <c r="F252" s="2">
        <v>41186.0</v>
      </c>
      <c r="G252" s="1" t="s">
        <v>710</v>
      </c>
      <c r="I252" s="1" t="s">
        <v>710</v>
      </c>
      <c r="L252" s="1" t="s">
        <v>647</v>
      </c>
      <c r="M252" s="1">
        <v>1200.0</v>
      </c>
      <c r="N252" s="1" t="s">
        <v>647</v>
      </c>
      <c r="O252" s="1">
        <v>6.02722873E8</v>
      </c>
      <c r="P252" s="1" t="s">
        <v>839</v>
      </c>
      <c r="R252" s="1" t="s">
        <v>840</v>
      </c>
      <c r="S252" s="1" t="s">
        <v>44</v>
      </c>
      <c r="T252" s="1" t="s">
        <v>45</v>
      </c>
      <c r="U252" s="1">
        <v>4.82381157E8</v>
      </c>
      <c r="W252" s="1" t="s">
        <v>44</v>
      </c>
      <c r="X252" s="1" t="s">
        <v>45</v>
      </c>
      <c r="Y252" s="1">
        <v>4.82381157E8</v>
      </c>
      <c r="AB252" s="1">
        <v>64394.12</v>
      </c>
      <c r="AC252" s="2">
        <v>41186.0</v>
      </c>
      <c r="AD252" s="1">
        <v>1200.0</v>
      </c>
      <c r="AE252" s="1" t="s">
        <v>647</v>
      </c>
      <c r="AF252" s="1" t="s">
        <v>841</v>
      </c>
      <c r="AG252" s="1" t="s">
        <v>712</v>
      </c>
      <c r="AH252" s="1">
        <v>8.0</v>
      </c>
      <c r="AI252" s="1">
        <v>2013.0</v>
      </c>
      <c r="AJ252" s="1">
        <v>2013.0</v>
      </c>
      <c r="AK252" s="1" t="s">
        <v>713</v>
      </c>
    </row>
    <row r="253">
      <c r="A253" s="1" t="s">
        <v>709</v>
      </c>
      <c r="B253" s="1" t="s">
        <v>709</v>
      </c>
      <c r="C253" s="1" t="s">
        <v>645</v>
      </c>
      <c r="E253" s="1">
        <v>4.44297088E8</v>
      </c>
      <c r="F253" s="2">
        <v>41234.0</v>
      </c>
      <c r="G253" s="1" t="s">
        <v>710</v>
      </c>
      <c r="I253" s="1" t="s">
        <v>710</v>
      </c>
      <c r="L253" s="1" t="s">
        <v>647</v>
      </c>
      <c r="M253" s="1">
        <v>1200.0</v>
      </c>
      <c r="N253" s="1" t="s">
        <v>647</v>
      </c>
      <c r="O253" s="1">
        <v>3790107.0</v>
      </c>
      <c r="P253" s="1" t="s">
        <v>576</v>
      </c>
      <c r="R253" s="1" t="s">
        <v>577</v>
      </c>
      <c r="S253" s="1" t="s">
        <v>44</v>
      </c>
      <c r="T253" s="1" t="s">
        <v>45</v>
      </c>
      <c r="U253" s="1">
        <v>4.82343284E8</v>
      </c>
      <c r="W253" s="1" t="s">
        <v>44</v>
      </c>
      <c r="X253" s="1" t="s">
        <v>45</v>
      </c>
      <c r="Y253" s="1">
        <v>4.82343284E8</v>
      </c>
      <c r="AB253" s="1">
        <v>55044.42</v>
      </c>
      <c r="AC253" s="2">
        <v>41234.0</v>
      </c>
      <c r="AD253" s="1">
        <v>1200.0</v>
      </c>
      <c r="AE253" s="1" t="s">
        <v>647</v>
      </c>
      <c r="AF253" s="1" t="s">
        <v>842</v>
      </c>
      <c r="AG253" s="1" t="s">
        <v>712</v>
      </c>
      <c r="AH253" s="1">
        <v>8.0</v>
      </c>
      <c r="AI253" s="1">
        <v>2013.0</v>
      </c>
      <c r="AJ253" s="1">
        <v>2013.0</v>
      </c>
      <c r="AK253" s="1" t="s">
        <v>713</v>
      </c>
    </row>
    <row r="254">
      <c r="A254" s="1" t="s">
        <v>709</v>
      </c>
      <c r="B254" s="1" t="s">
        <v>709</v>
      </c>
      <c r="C254" s="1" t="s">
        <v>645</v>
      </c>
      <c r="E254" s="1">
        <v>4.44297088E8</v>
      </c>
      <c r="F254" s="2">
        <v>41186.0</v>
      </c>
      <c r="G254" s="1" t="s">
        <v>710</v>
      </c>
      <c r="I254" s="1" t="s">
        <v>710</v>
      </c>
      <c r="L254" s="1" t="s">
        <v>647</v>
      </c>
      <c r="M254" s="1">
        <v>1200.0</v>
      </c>
      <c r="N254" s="1" t="s">
        <v>647</v>
      </c>
      <c r="O254" s="1">
        <v>1.6389763E8</v>
      </c>
      <c r="P254" s="1" t="s">
        <v>843</v>
      </c>
      <c r="Q254" s="1" t="s">
        <v>844</v>
      </c>
      <c r="R254" s="1" t="s">
        <v>845</v>
      </c>
      <c r="S254" s="1" t="s">
        <v>44</v>
      </c>
      <c r="T254" s="1" t="s">
        <v>45</v>
      </c>
      <c r="U254" s="1">
        <v>4.82383647E8</v>
      </c>
      <c r="W254" s="1" t="s">
        <v>46</v>
      </c>
      <c r="X254" s="1" t="s">
        <v>45</v>
      </c>
      <c r="Y254" s="1">
        <v>4.82383647E8</v>
      </c>
      <c r="Z254" s="1">
        <v>1.6389763E8</v>
      </c>
      <c r="AA254" s="1" t="s">
        <v>843</v>
      </c>
      <c r="AB254" s="1">
        <v>165026.26</v>
      </c>
      <c r="AC254" s="2">
        <v>41186.0</v>
      </c>
      <c r="AD254" s="1">
        <v>1200.0</v>
      </c>
      <c r="AE254" s="1" t="s">
        <v>647</v>
      </c>
      <c r="AF254" s="1" t="s">
        <v>846</v>
      </c>
      <c r="AG254" s="1" t="s">
        <v>712</v>
      </c>
      <c r="AH254" s="1">
        <v>8.0</v>
      </c>
      <c r="AI254" s="1">
        <v>2013.0</v>
      </c>
      <c r="AJ254" s="1">
        <v>2013.0</v>
      </c>
      <c r="AK254" s="1" t="s">
        <v>713</v>
      </c>
    </row>
    <row r="255">
      <c r="A255" s="1" t="s">
        <v>709</v>
      </c>
      <c r="B255" s="1" t="s">
        <v>709</v>
      </c>
      <c r="C255" s="1" t="s">
        <v>645</v>
      </c>
      <c r="E255" s="1">
        <v>4.44297088E8</v>
      </c>
      <c r="F255" s="2">
        <v>41186.0</v>
      </c>
      <c r="G255" s="1" t="s">
        <v>710</v>
      </c>
      <c r="I255" s="1" t="s">
        <v>710</v>
      </c>
      <c r="L255" s="1" t="s">
        <v>647</v>
      </c>
      <c r="M255" s="1">
        <v>1200.0</v>
      </c>
      <c r="N255" s="1" t="s">
        <v>647</v>
      </c>
      <c r="O255" s="1">
        <v>7.3948895E7</v>
      </c>
      <c r="P255" s="1" t="s">
        <v>847</v>
      </c>
      <c r="R255" s="1" t="s">
        <v>848</v>
      </c>
      <c r="S255" s="1" t="s">
        <v>44</v>
      </c>
      <c r="T255" s="1" t="s">
        <v>45</v>
      </c>
      <c r="U255" s="1">
        <v>4.82242003E8</v>
      </c>
      <c r="W255" s="1" t="s">
        <v>44</v>
      </c>
      <c r="X255" s="1" t="s">
        <v>45</v>
      </c>
      <c r="Y255" s="1">
        <v>4.82242003E8</v>
      </c>
      <c r="AB255" s="1">
        <v>28828.63</v>
      </c>
      <c r="AC255" s="2">
        <v>41186.0</v>
      </c>
      <c r="AD255" s="1">
        <v>1200.0</v>
      </c>
      <c r="AE255" s="1" t="s">
        <v>647</v>
      </c>
      <c r="AF255" s="1" t="s">
        <v>849</v>
      </c>
      <c r="AG255" s="1" t="s">
        <v>712</v>
      </c>
      <c r="AH255" s="1">
        <v>8.0</v>
      </c>
      <c r="AI255" s="1">
        <v>2013.0</v>
      </c>
      <c r="AJ255" s="1">
        <v>2013.0</v>
      </c>
      <c r="AK255" s="1" t="s">
        <v>713</v>
      </c>
    </row>
    <row r="256">
      <c r="A256" s="1" t="s">
        <v>709</v>
      </c>
      <c r="B256" s="1" t="s">
        <v>709</v>
      </c>
      <c r="C256" s="1" t="s">
        <v>645</v>
      </c>
      <c r="E256" s="1">
        <v>4.44297088E8</v>
      </c>
      <c r="F256" s="2">
        <v>41193.0</v>
      </c>
      <c r="G256" s="1" t="s">
        <v>710</v>
      </c>
      <c r="I256" s="1" t="s">
        <v>710</v>
      </c>
      <c r="L256" s="1" t="s">
        <v>647</v>
      </c>
      <c r="M256" s="1">
        <v>1200.0</v>
      </c>
      <c r="N256" s="1" t="s">
        <v>647</v>
      </c>
      <c r="O256" s="1">
        <v>1.98438892E8</v>
      </c>
      <c r="P256" s="1" t="s">
        <v>505</v>
      </c>
      <c r="R256" s="1" t="s">
        <v>506</v>
      </c>
      <c r="S256" s="1" t="s">
        <v>44</v>
      </c>
      <c r="T256" s="1" t="s">
        <v>45</v>
      </c>
      <c r="U256" s="1">
        <v>4.82123572E8</v>
      </c>
      <c r="W256" s="1" t="s">
        <v>498</v>
      </c>
      <c r="X256" s="1" t="s">
        <v>45</v>
      </c>
      <c r="Y256" s="1">
        <v>4.82123572E8</v>
      </c>
      <c r="Z256" s="1">
        <v>1.98438892E8</v>
      </c>
      <c r="AA256" s="1" t="s">
        <v>505</v>
      </c>
      <c r="AB256" s="1">
        <v>145209.85</v>
      </c>
      <c r="AC256" s="2">
        <v>41193.0</v>
      </c>
      <c r="AD256" s="1">
        <v>1200.0</v>
      </c>
      <c r="AE256" s="1" t="s">
        <v>647</v>
      </c>
      <c r="AF256" s="1" t="s">
        <v>850</v>
      </c>
      <c r="AG256" s="1" t="s">
        <v>712</v>
      </c>
      <c r="AH256" s="1">
        <v>8.0</v>
      </c>
      <c r="AI256" s="1">
        <v>2013.0</v>
      </c>
      <c r="AJ256" s="1">
        <v>2013.0</v>
      </c>
      <c r="AK256" s="1" t="s">
        <v>713</v>
      </c>
    </row>
    <row r="257">
      <c r="A257" s="1" t="s">
        <v>709</v>
      </c>
      <c r="B257" s="1" t="s">
        <v>709</v>
      </c>
      <c r="C257" s="1" t="s">
        <v>645</v>
      </c>
      <c r="E257" s="1">
        <v>4.44297088E8</v>
      </c>
      <c r="F257" s="2">
        <v>41193.0</v>
      </c>
      <c r="G257" s="1" t="s">
        <v>710</v>
      </c>
      <c r="I257" s="1" t="s">
        <v>710</v>
      </c>
      <c r="L257" s="1" t="s">
        <v>647</v>
      </c>
      <c r="M257" s="1">
        <v>1200.0</v>
      </c>
      <c r="N257" s="1" t="s">
        <v>647</v>
      </c>
      <c r="O257" s="1">
        <v>8.29630537E8</v>
      </c>
      <c r="P257" s="1" t="s">
        <v>531</v>
      </c>
      <c r="Q257" s="1" t="s">
        <v>532</v>
      </c>
      <c r="R257" s="1" t="s">
        <v>533</v>
      </c>
      <c r="S257" s="1" t="s">
        <v>44</v>
      </c>
      <c r="T257" s="1" t="s">
        <v>45</v>
      </c>
      <c r="U257" s="1">
        <v>4.8219181E8</v>
      </c>
      <c r="W257" s="1" t="s">
        <v>44</v>
      </c>
      <c r="X257" s="1" t="s">
        <v>45</v>
      </c>
      <c r="Y257" s="1">
        <v>4.8219181E8</v>
      </c>
      <c r="AB257" s="1">
        <v>321324.37</v>
      </c>
      <c r="AC257" s="2">
        <v>41193.0</v>
      </c>
      <c r="AD257" s="1">
        <v>1200.0</v>
      </c>
      <c r="AE257" s="1" t="s">
        <v>647</v>
      </c>
      <c r="AF257" s="1" t="s">
        <v>851</v>
      </c>
      <c r="AG257" s="1" t="s">
        <v>712</v>
      </c>
      <c r="AH257" s="1">
        <v>8.0</v>
      </c>
      <c r="AI257" s="1">
        <v>2013.0</v>
      </c>
      <c r="AJ257" s="1">
        <v>2013.0</v>
      </c>
      <c r="AK257" s="1" t="s">
        <v>713</v>
      </c>
    </row>
    <row r="258">
      <c r="A258" s="1" t="s">
        <v>709</v>
      </c>
      <c r="B258" s="1" t="s">
        <v>709</v>
      </c>
      <c r="C258" s="1" t="s">
        <v>645</v>
      </c>
      <c r="E258" s="1">
        <v>4.44297088E8</v>
      </c>
      <c r="F258" s="2">
        <v>41193.0</v>
      </c>
      <c r="G258" s="1" t="s">
        <v>710</v>
      </c>
      <c r="I258" s="1" t="s">
        <v>710</v>
      </c>
      <c r="L258" s="1" t="s">
        <v>647</v>
      </c>
      <c r="M258" s="1">
        <v>1200.0</v>
      </c>
      <c r="N258" s="1" t="s">
        <v>647</v>
      </c>
      <c r="O258" s="1">
        <v>3.7602699E7</v>
      </c>
      <c r="P258" s="1" t="s">
        <v>535</v>
      </c>
      <c r="R258" s="1" t="s">
        <v>536</v>
      </c>
      <c r="S258" s="1" t="s">
        <v>44</v>
      </c>
      <c r="T258" s="1" t="s">
        <v>45</v>
      </c>
      <c r="U258" s="1">
        <v>4.82052545E8</v>
      </c>
      <c r="W258" s="1" t="s">
        <v>46</v>
      </c>
      <c r="X258" s="1" t="s">
        <v>45</v>
      </c>
      <c r="Y258" s="1">
        <v>4.82052545E8</v>
      </c>
      <c r="AB258" s="1">
        <v>168876.0</v>
      </c>
      <c r="AC258" s="2">
        <v>41193.0</v>
      </c>
      <c r="AD258" s="1">
        <v>1200.0</v>
      </c>
      <c r="AE258" s="1" t="s">
        <v>647</v>
      </c>
      <c r="AF258" s="1" t="s">
        <v>852</v>
      </c>
      <c r="AG258" s="1" t="s">
        <v>712</v>
      </c>
      <c r="AH258" s="1">
        <v>8.0</v>
      </c>
      <c r="AI258" s="1">
        <v>2013.0</v>
      </c>
      <c r="AJ258" s="1">
        <v>2013.0</v>
      </c>
      <c r="AK258" s="1" t="s">
        <v>713</v>
      </c>
    </row>
    <row r="259">
      <c r="A259" s="1" t="s">
        <v>709</v>
      </c>
      <c r="B259" s="1" t="s">
        <v>709</v>
      </c>
      <c r="C259" s="1" t="s">
        <v>645</v>
      </c>
      <c r="E259" s="1">
        <v>4.44297088E8</v>
      </c>
      <c r="F259" s="2">
        <v>41214.0</v>
      </c>
      <c r="G259" s="1" t="s">
        <v>710</v>
      </c>
      <c r="I259" s="1" t="s">
        <v>710</v>
      </c>
      <c r="L259" s="1" t="s">
        <v>647</v>
      </c>
      <c r="M259" s="1">
        <v>1200.0</v>
      </c>
      <c r="N259" s="1" t="s">
        <v>647</v>
      </c>
      <c r="O259" s="1">
        <v>1.52807538E8</v>
      </c>
      <c r="P259" s="1" t="s">
        <v>591</v>
      </c>
      <c r="R259" s="1" t="s">
        <v>592</v>
      </c>
      <c r="S259" s="1" t="s">
        <v>44</v>
      </c>
      <c r="T259" s="1" t="s">
        <v>45</v>
      </c>
      <c r="U259" s="1">
        <v>4.82191161E8</v>
      </c>
      <c r="W259" s="1" t="s">
        <v>44</v>
      </c>
      <c r="X259" s="1" t="s">
        <v>45</v>
      </c>
      <c r="Y259" s="1">
        <v>4.82191161E8</v>
      </c>
      <c r="AB259" s="1">
        <v>81768.0</v>
      </c>
      <c r="AC259" s="2">
        <v>41214.0</v>
      </c>
      <c r="AD259" s="1">
        <v>1200.0</v>
      </c>
      <c r="AE259" s="1" t="s">
        <v>647</v>
      </c>
      <c r="AF259" s="1" t="s">
        <v>853</v>
      </c>
      <c r="AG259" s="1" t="s">
        <v>712</v>
      </c>
      <c r="AH259" s="1">
        <v>8.0</v>
      </c>
      <c r="AI259" s="1">
        <v>2013.0</v>
      </c>
      <c r="AJ259" s="1">
        <v>2013.0</v>
      </c>
      <c r="AK259" s="1" t="s">
        <v>713</v>
      </c>
    </row>
    <row r="260">
      <c r="A260" s="1" t="s">
        <v>709</v>
      </c>
      <c r="B260" s="1" t="s">
        <v>709</v>
      </c>
      <c r="C260" s="1" t="s">
        <v>645</v>
      </c>
      <c r="E260" s="1">
        <v>4.44297088E8</v>
      </c>
      <c r="F260" s="2">
        <v>41193.0</v>
      </c>
      <c r="G260" s="1" t="s">
        <v>710</v>
      </c>
      <c r="I260" s="1" t="s">
        <v>710</v>
      </c>
      <c r="L260" s="1" t="s">
        <v>647</v>
      </c>
      <c r="M260" s="1">
        <v>1200.0</v>
      </c>
      <c r="N260" s="1" t="s">
        <v>647</v>
      </c>
      <c r="O260" s="1">
        <v>7.3832607E7</v>
      </c>
      <c r="P260" s="1" t="s">
        <v>482</v>
      </c>
      <c r="R260" s="1" t="s">
        <v>483</v>
      </c>
      <c r="S260" s="1" t="s">
        <v>44</v>
      </c>
      <c r="T260" s="1" t="s">
        <v>45</v>
      </c>
      <c r="U260" s="1">
        <v>4.82074288E8</v>
      </c>
      <c r="W260" s="1" t="s">
        <v>44</v>
      </c>
      <c r="X260" s="1" t="s">
        <v>45</v>
      </c>
      <c r="Y260" s="1">
        <v>4.82074288E8</v>
      </c>
      <c r="AB260" s="1">
        <v>192082.04</v>
      </c>
      <c r="AC260" s="2">
        <v>41193.0</v>
      </c>
      <c r="AD260" s="1">
        <v>1200.0</v>
      </c>
      <c r="AE260" s="1" t="s">
        <v>647</v>
      </c>
      <c r="AF260" s="1" t="s">
        <v>854</v>
      </c>
      <c r="AG260" s="1" t="s">
        <v>712</v>
      </c>
      <c r="AH260" s="1">
        <v>8.0</v>
      </c>
      <c r="AI260" s="1">
        <v>2013.0</v>
      </c>
      <c r="AJ260" s="1">
        <v>2013.0</v>
      </c>
      <c r="AK260" s="1" t="s">
        <v>713</v>
      </c>
    </row>
    <row r="261">
      <c r="A261" s="1" t="s">
        <v>709</v>
      </c>
      <c r="B261" s="1" t="s">
        <v>709</v>
      </c>
      <c r="C261" s="1" t="s">
        <v>645</v>
      </c>
      <c r="E261" s="1">
        <v>4.44297088E8</v>
      </c>
      <c r="F261" s="2">
        <v>41249.0</v>
      </c>
      <c r="G261" s="1" t="s">
        <v>710</v>
      </c>
      <c r="I261" s="1" t="s">
        <v>710</v>
      </c>
      <c r="L261" s="1" t="s">
        <v>647</v>
      </c>
      <c r="M261" s="1">
        <v>1200.0</v>
      </c>
      <c r="N261" s="1" t="s">
        <v>647</v>
      </c>
      <c r="O261" s="1">
        <v>1.17726252E8</v>
      </c>
      <c r="P261" s="1" t="s">
        <v>512</v>
      </c>
      <c r="R261" s="1" t="s">
        <v>513</v>
      </c>
      <c r="S261" s="1" t="s">
        <v>44</v>
      </c>
      <c r="T261" s="1" t="s">
        <v>45</v>
      </c>
      <c r="U261" s="1">
        <v>4.82193259E8</v>
      </c>
      <c r="W261" s="1" t="s">
        <v>44</v>
      </c>
      <c r="X261" s="1" t="s">
        <v>45</v>
      </c>
      <c r="Y261" s="1">
        <v>4.82193259E8</v>
      </c>
      <c r="AB261" s="1">
        <v>208760.24</v>
      </c>
      <c r="AC261" s="2">
        <v>41249.0</v>
      </c>
      <c r="AD261" s="1">
        <v>1200.0</v>
      </c>
      <c r="AE261" s="1" t="s">
        <v>647</v>
      </c>
      <c r="AF261" s="1" t="s">
        <v>855</v>
      </c>
      <c r="AG261" s="1" t="s">
        <v>712</v>
      </c>
      <c r="AH261" s="1">
        <v>8.0</v>
      </c>
      <c r="AI261" s="1">
        <v>2013.0</v>
      </c>
      <c r="AJ261" s="1">
        <v>2013.0</v>
      </c>
      <c r="AK261" s="1" t="s">
        <v>713</v>
      </c>
    </row>
    <row r="262">
      <c r="A262" s="1" t="s">
        <v>709</v>
      </c>
      <c r="B262" s="1" t="s">
        <v>709</v>
      </c>
      <c r="C262" s="1" t="s">
        <v>645</v>
      </c>
      <c r="E262" s="1">
        <v>4.44297088E8</v>
      </c>
      <c r="F262" s="2">
        <v>41207.0</v>
      </c>
      <c r="G262" s="1" t="s">
        <v>710</v>
      </c>
      <c r="I262" s="1" t="s">
        <v>710</v>
      </c>
      <c r="L262" s="1" t="s">
        <v>647</v>
      </c>
      <c r="M262" s="1">
        <v>1200.0</v>
      </c>
      <c r="N262" s="1" t="s">
        <v>647</v>
      </c>
      <c r="O262" s="1">
        <v>7.2761299E7</v>
      </c>
      <c r="P262" s="1" t="s">
        <v>667</v>
      </c>
      <c r="R262" s="1" t="s">
        <v>668</v>
      </c>
      <c r="S262" s="1" t="s">
        <v>44</v>
      </c>
      <c r="T262" s="1" t="s">
        <v>45</v>
      </c>
      <c r="U262" s="1">
        <v>4.82382849E8</v>
      </c>
      <c r="W262" s="1" t="s">
        <v>44</v>
      </c>
      <c r="X262" s="1" t="s">
        <v>45</v>
      </c>
      <c r="Y262" s="1">
        <v>4.82383518E8</v>
      </c>
      <c r="Z262" s="1">
        <v>7.2761299E7</v>
      </c>
      <c r="AA262" s="1" t="s">
        <v>667</v>
      </c>
      <c r="AB262" s="1">
        <v>45099.36</v>
      </c>
      <c r="AC262" s="2">
        <v>41207.0</v>
      </c>
      <c r="AD262" s="1">
        <v>1200.0</v>
      </c>
      <c r="AE262" s="1" t="s">
        <v>647</v>
      </c>
      <c r="AF262" s="1" t="s">
        <v>856</v>
      </c>
      <c r="AG262" s="1" t="s">
        <v>712</v>
      </c>
      <c r="AH262" s="1">
        <v>8.0</v>
      </c>
      <c r="AI262" s="1">
        <v>2013.0</v>
      </c>
      <c r="AJ262" s="1">
        <v>2013.0</v>
      </c>
      <c r="AK262" s="1" t="s">
        <v>713</v>
      </c>
    </row>
    <row r="263">
      <c r="A263" s="1" t="s">
        <v>709</v>
      </c>
      <c r="B263" s="1" t="s">
        <v>709</v>
      </c>
      <c r="C263" s="1" t="s">
        <v>645</v>
      </c>
      <c r="E263" s="1">
        <v>4.44297088E8</v>
      </c>
      <c r="F263" s="2">
        <v>41193.0</v>
      </c>
      <c r="G263" s="1" t="s">
        <v>710</v>
      </c>
      <c r="I263" s="1" t="s">
        <v>710</v>
      </c>
      <c r="L263" s="1" t="s">
        <v>647</v>
      </c>
      <c r="M263" s="1">
        <v>1200.0</v>
      </c>
      <c r="N263" s="1" t="s">
        <v>647</v>
      </c>
      <c r="O263" s="1">
        <v>1.68568132E8</v>
      </c>
      <c r="P263" s="1" t="s">
        <v>588</v>
      </c>
      <c r="R263" s="1" t="s">
        <v>589</v>
      </c>
      <c r="S263" s="1" t="s">
        <v>44</v>
      </c>
      <c r="T263" s="1" t="s">
        <v>45</v>
      </c>
      <c r="U263" s="1">
        <v>4.82143323E8</v>
      </c>
      <c r="W263" s="1" t="s">
        <v>44</v>
      </c>
      <c r="X263" s="1" t="s">
        <v>45</v>
      </c>
      <c r="Y263" s="1">
        <v>4.82143323E8</v>
      </c>
      <c r="Z263" s="1">
        <v>9.60742484E8</v>
      </c>
      <c r="AB263" s="1">
        <v>211985.86</v>
      </c>
      <c r="AC263" s="2">
        <v>41193.0</v>
      </c>
      <c r="AD263" s="1">
        <v>1200.0</v>
      </c>
      <c r="AE263" s="1" t="s">
        <v>647</v>
      </c>
      <c r="AF263" s="1" t="s">
        <v>857</v>
      </c>
      <c r="AG263" s="1" t="s">
        <v>712</v>
      </c>
      <c r="AH263" s="1">
        <v>8.0</v>
      </c>
      <c r="AI263" s="1">
        <v>2013.0</v>
      </c>
      <c r="AJ263" s="1">
        <v>2013.0</v>
      </c>
      <c r="AK263" s="1" t="s">
        <v>713</v>
      </c>
    </row>
    <row r="264">
      <c r="A264" s="1" t="s">
        <v>709</v>
      </c>
      <c r="B264" s="1" t="s">
        <v>709</v>
      </c>
      <c r="C264" s="1" t="s">
        <v>645</v>
      </c>
      <c r="E264" s="1">
        <v>4.44297088E8</v>
      </c>
      <c r="F264" s="2">
        <v>41242.0</v>
      </c>
      <c r="G264" s="1" t="s">
        <v>710</v>
      </c>
      <c r="I264" s="1" t="s">
        <v>710</v>
      </c>
      <c r="L264" s="1" t="s">
        <v>647</v>
      </c>
      <c r="M264" s="1">
        <v>1200.0</v>
      </c>
      <c r="N264" s="1" t="s">
        <v>647</v>
      </c>
      <c r="O264" s="1">
        <v>8.3082572E8</v>
      </c>
      <c r="P264" s="1" t="s">
        <v>465</v>
      </c>
      <c r="Q264" s="1" t="s">
        <v>554</v>
      </c>
      <c r="R264" s="1" t="s">
        <v>555</v>
      </c>
      <c r="S264" s="1" t="s">
        <v>44</v>
      </c>
      <c r="T264" s="1" t="s">
        <v>45</v>
      </c>
      <c r="U264" s="1">
        <v>4.82024061E8</v>
      </c>
      <c r="W264" s="1" t="s">
        <v>44</v>
      </c>
      <c r="X264" s="1" t="s">
        <v>45</v>
      </c>
      <c r="Y264" s="1">
        <v>4.82023457E8</v>
      </c>
      <c r="Z264" s="1">
        <v>1.6338926E8</v>
      </c>
      <c r="AA264" s="1" t="s">
        <v>465</v>
      </c>
      <c r="AB264" s="1">
        <v>124152.79</v>
      </c>
      <c r="AC264" s="2">
        <v>41242.0</v>
      </c>
      <c r="AD264" s="1">
        <v>1200.0</v>
      </c>
      <c r="AE264" s="1" t="s">
        <v>647</v>
      </c>
      <c r="AF264" s="1" t="s">
        <v>858</v>
      </c>
      <c r="AG264" s="1" t="s">
        <v>712</v>
      </c>
      <c r="AH264" s="1">
        <v>8.0</v>
      </c>
      <c r="AI264" s="1">
        <v>2013.0</v>
      </c>
      <c r="AJ264" s="1">
        <v>2013.0</v>
      </c>
      <c r="AK264" s="1" t="s">
        <v>713</v>
      </c>
    </row>
    <row r="265">
      <c r="A265" s="1" t="s">
        <v>709</v>
      </c>
      <c r="B265" s="1" t="s">
        <v>709</v>
      </c>
      <c r="C265" s="1" t="s">
        <v>645</v>
      </c>
      <c r="E265" s="1">
        <v>4.44297088E8</v>
      </c>
      <c r="F265" s="2">
        <v>41207.0</v>
      </c>
      <c r="G265" s="1" t="s">
        <v>710</v>
      </c>
      <c r="I265" s="1" t="s">
        <v>710</v>
      </c>
      <c r="L265" s="1" t="s">
        <v>647</v>
      </c>
      <c r="M265" s="1">
        <v>1200.0</v>
      </c>
      <c r="N265" s="1" t="s">
        <v>647</v>
      </c>
      <c r="O265" s="1">
        <v>7.6340843E7</v>
      </c>
      <c r="P265" s="1" t="s">
        <v>461</v>
      </c>
      <c r="Q265" s="1" t="s">
        <v>459</v>
      </c>
      <c r="R265" s="1" t="s">
        <v>524</v>
      </c>
      <c r="S265" s="1" t="s">
        <v>44</v>
      </c>
      <c r="T265" s="1" t="s">
        <v>45</v>
      </c>
      <c r="U265" s="1">
        <v>4.82023046E8</v>
      </c>
      <c r="W265" s="1" t="s">
        <v>44</v>
      </c>
      <c r="X265" s="1" t="s">
        <v>45</v>
      </c>
      <c r="Y265" s="1">
        <v>4.82023096E8</v>
      </c>
      <c r="Z265" s="1">
        <v>7.6340843E7</v>
      </c>
      <c r="AA265" s="1" t="s">
        <v>461</v>
      </c>
      <c r="AB265" s="3">
        <v>2.227515588E7</v>
      </c>
      <c r="AC265" s="2">
        <v>41207.0</v>
      </c>
      <c r="AD265" s="1">
        <v>1200.0</v>
      </c>
      <c r="AE265" s="1" t="s">
        <v>647</v>
      </c>
      <c r="AF265" s="1" t="s">
        <v>859</v>
      </c>
      <c r="AG265" s="1" t="s">
        <v>712</v>
      </c>
      <c r="AH265" s="1">
        <v>8.0</v>
      </c>
      <c r="AI265" s="1">
        <v>2013.0</v>
      </c>
      <c r="AJ265" s="1">
        <v>2013.0</v>
      </c>
      <c r="AK265" s="1" t="s">
        <v>713</v>
      </c>
    </row>
    <row r="266">
      <c r="A266" s="1" t="s">
        <v>709</v>
      </c>
      <c r="B266" s="1" t="s">
        <v>709</v>
      </c>
      <c r="C266" s="1" t="s">
        <v>645</v>
      </c>
      <c r="E266" s="1">
        <v>4.44297088E8</v>
      </c>
      <c r="F266" s="2">
        <v>41186.0</v>
      </c>
      <c r="G266" s="1" t="s">
        <v>710</v>
      </c>
      <c r="I266" s="1" t="s">
        <v>710</v>
      </c>
      <c r="L266" s="1" t="s">
        <v>647</v>
      </c>
      <c r="M266" s="1">
        <v>1200.0</v>
      </c>
      <c r="N266" s="1" t="s">
        <v>647</v>
      </c>
      <c r="O266" s="1">
        <v>5.4074575E7</v>
      </c>
      <c r="P266" s="1" t="s">
        <v>629</v>
      </c>
      <c r="Q266" s="1" t="s">
        <v>630</v>
      </c>
      <c r="R266" s="1" t="s">
        <v>631</v>
      </c>
      <c r="S266" s="1" t="s">
        <v>44</v>
      </c>
      <c r="T266" s="1" t="s">
        <v>45</v>
      </c>
      <c r="U266" s="1">
        <v>4.82171631E8</v>
      </c>
      <c r="W266" s="1" t="s">
        <v>44</v>
      </c>
      <c r="X266" s="1" t="s">
        <v>45</v>
      </c>
      <c r="Y266" s="1">
        <v>4.82171631E8</v>
      </c>
      <c r="AB266" s="1">
        <v>36412.1</v>
      </c>
      <c r="AC266" s="2">
        <v>41186.0</v>
      </c>
      <c r="AD266" s="1">
        <v>1200.0</v>
      </c>
      <c r="AE266" s="1" t="s">
        <v>647</v>
      </c>
      <c r="AF266" s="1" t="s">
        <v>860</v>
      </c>
      <c r="AG266" s="1" t="s">
        <v>712</v>
      </c>
      <c r="AH266" s="1">
        <v>8.0</v>
      </c>
      <c r="AI266" s="1">
        <v>2013.0</v>
      </c>
      <c r="AJ266" s="1">
        <v>2013.0</v>
      </c>
      <c r="AK266" s="1" t="s">
        <v>713</v>
      </c>
    </row>
    <row r="267">
      <c r="A267" s="1" t="s">
        <v>709</v>
      </c>
      <c r="B267" s="1" t="s">
        <v>709</v>
      </c>
      <c r="C267" s="1" t="s">
        <v>645</v>
      </c>
      <c r="E267" s="1">
        <v>4.44297088E8</v>
      </c>
      <c r="F267" s="2">
        <v>41221.0</v>
      </c>
      <c r="G267" s="1" t="s">
        <v>710</v>
      </c>
      <c r="I267" s="1" t="s">
        <v>710</v>
      </c>
      <c r="L267" s="1" t="s">
        <v>647</v>
      </c>
      <c r="M267" s="1">
        <v>1200.0</v>
      </c>
      <c r="N267" s="1" t="s">
        <v>647</v>
      </c>
      <c r="O267" s="1">
        <v>1.47777952E8</v>
      </c>
      <c r="P267" s="1" t="s">
        <v>459</v>
      </c>
      <c r="Q267" s="1" t="s">
        <v>626</v>
      </c>
      <c r="R267" s="1" t="s">
        <v>627</v>
      </c>
      <c r="S267" s="1" t="s">
        <v>44</v>
      </c>
      <c r="T267" s="1" t="s">
        <v>45</v>
      </c>
      <c r="U267" s="1">
        <v>4.82072112E8</v>
      </c>
      <c r="W267" s="1" t="s">
        <v>44</v>
      </c>
      <c r="X267" s="1" t="s">
        <v>45</v>
      </c>
      <c r="Y267" s="1">
        <v>4.82072112E8</v>
      </c>
      <c r="Z267" s="1">
        <v>7.6340843E7</v>
      </c>
      <c r="AA267" s="1" t="s">
        <v>461</v>
      </c>
      <c r="AB267" s="1">
        <v>198169.12</v>
      </c>
      <c r="AC267" s="2">
        <v>41221.0</v>
      </c>
      <c r="AD267" s="1">
        <v>1200.0</v>
      </c>
      <c r="AE267" s="1" t="s">
        <v>647</v>
      </c>
      <c r="AF267" s="1" t="s">
        <v>861</v>
      </c>
      <c r="AG267" s="1" t="s">
        <v>712</v>
      </c>
      <c r="AH267" s="1">
        <v>8.0</v>
      </c>
      <c r="AI267" s="1">
        <v>2013.0</v>
      </c>
      <c r="AJ267" s="1">
        <v>2013.0</v>
      </c>
      <c r="AK267" s="1" t="s">
        <v>713</v>
      </c>
    </row>
    <row r="268">
      <c r="A268" s="1" t="s">
        <v>709</v>
      </c>
      <c r="B268" s="1" t="s">
        <v>709</v>
      </c>
      <c r="C268" s="1" t="s">
        <v>645</v>
      </c>
      <c r="E268" s="1">
        <v>4.44297088E8</v>
      </c>
      <c r="F268" s="2">
        <v>41234.0</v>
      </c>
      <c r="G268" s="1" t="s">
        <v>710</v>
      </c>
      <c r="I268" s="1" t="s">
        <v>710</v>
      </c>
      <c r="L268" s="1" t="s">
        <v>647</v>
      </c>
      <c r="M268" s="1">
        <v>1200.0</v>
      </c>
      <c r="N268" s="1" t="s">
        <v>647</v>
      </c>
      <c r="O268" s="1">
        <v>9.69821029E8</v>
      </c>
      <c r="P268" s="1" t="s">
        <v>862</v>
      </c>
      <c r="R268" s="1" t="s">
        <v>863</v>
      </c>
      <c r="S268" s="1" t="s">
        <v>44</v>
      </c>
      <c r="T268" s="1" t="s">
        <v>45</v>
      </c>
      <c r="U268" s="1">
        <v>4.82042081E8</v>
      </c>
      <c r="W268" s="1" t="s">
        <v>44</v>
      </c>
      <c r="X268" s="1" t="s">
        <v>45</v>
      </c>
      <c r="Y268" s="1">
        <v>4.82042039E8</v>
      </c>
      <c r="AB268" s="1">
        <v>159191.67</v>
      </c>
      <c r="AC268" s="2">
        <v>41234.0</v>
      </c>
      <c r="AD268" s="1">
        <v>1200.0</v>
      </c>
      <c r="AE268" s="1" t="s">
        <v>647</v>
      </c>
      <c r="AF268" s="1" t="s">
        <v>864</v>
      </c>
      <c r="AG268" s="1" t="s">
        <v>712</v>
      </c>
      <c r="AH268" s="1">
        <v>8.0</v>
      </c>
      <c r="AI268" s="1">
        <v>2013.0</v>
      </c>
      <c r="AJ268" s="1">
        <v>2013.0</v>
      </c>
      <c r="AK268" s="1" t="s">
        <v>713</v>
      </c>
    </row>
    <row r="269">
      <c r="A269" s="1" t="s">
        <v>709</v>
      </c>
      <c r="B269" s="1" t="s">
        <v>709</v>
      </c>
      <c r="C269" s="1" t="s">
        <v>645</v>
      </c>
      <c r="E269" s="1">
        <v>4.44297088E8</v>
      </c>
      <c r="F269" s="2">
        <v>41193.0</v>
      </c>
      <c r="G269" s="1" t="s">
        <v>710</v>
      </c>
      <c r="I269" s="1" t="s">
        <v>710</v>
      </c>
      <c r="L269" s="1" t="s">
        <v>647</v>
      </c>
      <c r="M269" s="1">
        <v>1200.0</v>
      </c>
      <c r="N269" s="1" t="s">
        <v>647</v>
      </c>
      <c r="O269" s="1">
        <v>1.38064923E8</v>
      </c>
      <c r="P269" s="1" t="s">
        <v>585</v>
      </c>
      <c r="R269" s="1" t="s">
        <v>586</v>
      </c>
      <c r="S269" s="1" t="s">
        <v>44</v>
      </c>
      <c r="T269" s="1" t="s">
        <v>45</v>
      </c>
      <c r="U269" s="1">
        <v>4.82152861E8</v>
      </c>
      <c r="W269" s="1" t="s">
        <v>44</v>
      </c>
      <c r="X269" s="1" t="s">
        <v>45</v>
      </c>
      <c r="Y269" s="1">
        <v>4.82152861E8</v>
      </c>
      <c r="Z269" s="1">
        <v>9.60742484E8</v>
      </c>
      <c r="AB269" s="1">
        <v>85320.62</v>
      </c>
      <c r="AC269" s="2">
        <v>41193.0</v>
      </c>
      <c r="AD269" s="1">
        <v>1200.0</v>
      </c>
      <c r="AE269" s="1" t="s">
        <v>647</v>
      </c>
      <c r="AF269" s="1" t="s">
        <v>865</v>
      </c>
      <c r="AG269" s="1" t="s">
        <v>712</v>
      </c>
      <c r="AH269" s="1">
        <v>8.0</v>
      </c>
      <c r="AI269" s="1">
        <v>2013.0</v>
      </c>
      <c r="AJ269" s="1">
        <v>2013.0</v>
      </c>
      <c r="AK269" s="1" t="s">
        <v>713</v>
      </c>
    </row>
    <row r="270">
      <c r="A270" s="1" t="s">
        <v>709</v>
      </c>
      <c r="B270" s="1" t="s">
        <v>709</v>
      </c>
      <c r="C270" s="1" t="s">
        <v>645</v>
      </c>
      <c r="E270" s="1">
        <v>4.44297088E8</v>
      </c>
      <c r="F270" s="2">
        <v>41242.0</v>
      </c>
      <c r="G270" s="1" t="s">
        <v>710</v>
      </c>
      <c r="I270" s="1" t="s">
        <v>710</v>
      </c>
      <c r="L270" s="1" t="s">
        <v>647</v>
      </c>
      <c r="M270" s="1">
        <v>1200.0</v>
      </c>
      <c r="N270" s="1" t="s">
        <v>647</v>
      </c>
      <c r="O270" s="1">
        <v>6.6707493E7</v>
      </c>
      <c r="P270" s="1" t="s">
        <v>541</v>
      </c>
      <c r="R270" s="1" t="s">
        <v>542</v>
      </c>
      <c r="S270" s="1" t="s">
        <v>44</v>
      </c>
      <c r="T270" s="1" t="s">
        <v>45</v>
      </c>
      <c r="U270" s="1">
        <v>4.8210252E8</v>
      </c>
      <c r="W270" s="1" t="s">
        <v>44</v>
      </c>
      <c r="X270" s="1" t="s">
        <v>45</v>
      </c>
      <c r="Y270" s="1">
        <v>4.8210252E8</v>
      </c>
      <c r="AB270" s="1">
        <v>190962.61</v>
      </c>
      <c r="AC270" s="2">
        <v>41242.0</v>
      </c>
      <c r="AD270" s="1">
        <v>1200.0</v>
      </c>
      <c r="AE270" s="1" t="s">
        <v>647</v>
      </c>
      <c r="AF270" s="1" t="s">
        <v>866</v>
      </c>
      <c r="AG270" s="1" t="s">
        <v>712</v>
      </c>
      <c r="AH270" s="1">
        <v>8.0</v>
      </c>
      <c r="AI270" s="1">
        <v>2013.0</v>
      </c>
      <c r="AJ270" s="1">
        <v>2013.0</v>
      </c>
      <c r="AK270" s="1" t="s">
        <v>713</v>
      </c>
    </row>
    <row r="271">
      <c r="A271" s="1" t="s">
        <v>709</v>
      </c>
      <c r="B271" s="1" t="s">
        <v>709</v>
      </c>
      <c r="C271" s="1" t="s">
        <v>645</v>
      </c>
      <c r="E271" s="1">
        <v>4.44297088E8</v>
      </c>
      <c r="F271" s="2">
        <v>41228.0</v>
      </c>
      <c r="G271" s="1" t="s">
        <v>710</v>
      </c>
      <c r="I271" s="1" t="s">
        <v>710</v>
      </c>
      <c r="L271" s="1" t="s">
        <v>647</v>
      </c>
      <c r="M271" s="1">
        <v>1200.0</v>
      </c>
      <c r="N271" s="1" t="s">
        <v>647</v>
      </c>
      <c r="O271" s="1">
        <v>8.29503312E8</v>
      </c>
      <c r="P271" s="1" t="s">
        <v>622</v>
      </c>
      <c r="R271" s="1" t="s">
        <v>623</v>
      </c>
      <c r="S271" s="1" t="s">
        <v>44</v>
      </c>
      <c r="T271" s="1" t="s">
        <v>45</v>
      </c>
      <c r="U271" s="1">
        <v>4.82035715E8</v>
      </c>
      <c r="W271" s="1" t="s">
        <v>603</v>
      </c>
      <c r="X271" s="1" t="s">
        <v>45</v>
      </c>
      <c r="Y271" s="1">
        <v>4.82035715E8</v>
      </c>
      <c r="AB271" s="1">
        <v>102522.14</v>
      </c>
      <c r="AC271" s="2">
        <v>41228.0</v>
      </c>
      <c r="AD271" s="1">
        <v>1200.0</v>
      </c>
      <c r="AE271" s="1" t="s">
        <v>647</v>
      </c>
      <c r="AF271" s="1" t="s">
        <v>867</v>
      </c>
      <c r="AG271" s="1" t="s">
        <v>712</v>
      </c>
      <c r="AH271" s="1">
        <v>8.0</v>
      </c>
      <c r="AI271" s="1">
        <v>2013.0</v>
      </c>
      <c r="AJ271" s="1">
        <v>2013.0</v>
      </c>
      <c r="AK271" s="1" t="s">
        <v>713</v>
      </c>
    </row>
    <row r="272">
      <c r="A272" s="1" t="s">
        <v>709</v>
      </c>
      <c r="B272" s="1" t="s">
        <v>709</v>
      </c>
      <c r="C272" s="1" t="s">
        <v>645</v>
      </c>
      <c r="E272" s="1">
        <v>4.44297088E8</v>
      </c>
      <c r="F272" s="2">
        <v>41228.0</v>
      </c>
      <c r="G272" s="1" t="s">
        <v>710</v>
      </c>
      <c r="I272" s="1" t="s">
        <v>710</v>
      </c>
      <c r="L272" s="1" t="s">
        <v>647</v>
      </c>
      <c r="M272" s="1">
        <v>1200.0</v>
      </c>
      <c r="N272" s="1" t="s">
        <v>647</v>
      </c>
      <c r="O272" s="1">
        <v>7.97531279E8</v>
      </c>
      <c r="P272" s="1" t="s">
        <v>496</v>
      </c>
      <c r="R272" s="1" t="s">
        <v>497</v>
      </c>
      <c r="S272" s="1" t="s">
        <v>44</v>
      </c>
      <c r="T272" s="1" t="s">
        <v>45</v>
      </c>
      <c r="U272" s="1">
        <v>4.82123323E8</v>
      </c>
      <c r="W272" s="1" t="s">
        <v>498</v>
      </c>
      <c r="X272" s="1" t="s">
        <v>45</v>
      </c>
      <c r="Y272" s="1">
        <v>4.82123323E8</v>
      </c>
      <c r="AB272" s="1">
        <v>320024.52</v>
      </c>
      <c r="AC272" s="2">
        <v>41228.0</v>
      </c>
      <c r="AD272" s="1">
        <v>1200.0</v>
      </c>
      <c r="AE272" s="1" t="s">
        <v>647</v>
      </c>
      <c r="AF272" s="1" t="s">
        <v>868</v>
      </c>
      <c r="AG272" s="1" t="s">
        <v>712</v>
      </c>
      <c r="AH272" s="1">
        <v>8.0</v>
      </c>
      <c r="AI272" s="1">
        <v>2013.0</v>
      </c>
      <c r="AJ272" s="1">
        <v>2013.0</v>
      </c>
      <c r="AK272" s="1" t="s">
        <v>713</v>
      </c>
    </row>
    <row r="273">
      <c r="A273" s="1" t="s">
        <v>709</v>
      </c>
      <c r="B273" s="1" t="s">
        <v>709</v>
      </c>
      <c r="C273" s="1" t="s">
        <v>645</v>
      </c>
      <c r="E273" s="1">
        <v>4.44297088E8</v>
      </c>
      <c r="F273" s="2">
        <v>41249.0</v>
      </c>
      <c r="G273" s="1" t="s">
        <v>710</v>
      </c>
      <c r="I273" s="1" t="s">
        <v>710</v>
      </c>
      <c r="L273" s="1" t="s">
        <v>647</v>
      </c>
      <c r="M273" s="1">
        <v>1200.0</v>
      </c>
      <c r="N273" s="1" t="s">
        <v>647</v>
      </c>
      <c r="O273" s="1">
        <v>4.2136734E7</v>
      </c>
      <c r="P273" s="1" t="s">
        <v>557</v>
      </c>
      <c r="R273" s="1" t="s">
        <v>558</v>
      </c>
      <c r="S273" s="1" t="s">
        <v>44</v>
      </c>
      <c r="T273" s="1" t="s">
        <v>45</v>
      </c>
      <c r="U273" s="1">
        <v>4.82082204E8</v>
      </c>
      <c r="W273" s="1" t="s">
        <v>44</v>
      </c>
      <c r="X273" s="1" t="s">
        <v>45</v>
      </c>
      <c r="Y273" s="1">
        <v>4.82082204E8</v>
      </c>
      <c r="AB273" s="1">
        <v>48365.7</v>
      </c>
      <c r="AC273" s="2">
        <v>41249.0</v>
      </c>
      <c r="AD273" s="1">
        <v>1200.0</v>
      </c>
      <c r="AE273" s="1" t="s">
        <v>647</v>
      </c>
      <c r="AF273" s="1" t="s">
        <v>869</v>
      </c>
      <c r="AG273" s="1" t="s">
        <v>712</v>
      </c>
      <c r="AH273" s="1">
        <v>8.0</v>
      </c>
      <c r="AI273" s="1">
        <v>2013.0</v>
      </c>
      <c r="AJ273" s="1">
        <v>2013.0</v>
      </c>
      <c r="AK273" s="1" t="s">
        <v>713</v>
      </c>
    </row>
    <row r="274">
      <c r="A274" s="1" t="s">
        <v>709</v>
      </c>
      <c r="B274" s="1" t="s">
        <v>709</v>
      </c>
      <c r="C274" s="1" t="s">
        <v>645</v>
      </c>
      <c r="E274" s="1">
        <v>4.44297088E8</v>
      </c>
      <c r="F274" s="2">
        <v>41221.0</v>
      </c>
      <c r="G274" s="1" t="s">
        <v>710</v>
      </c>
      <c r="I274" s="1" t="s">
        <v>710</v>
      </c>
      <c r="L274" s="1" t="s">
        <v>647</v>
      </c>
      <c r="M274" s="1">
        <v>1200.0</v>
      </c>
      <c r="N274" s="1" t="s">
        <v>647</v>
      </c>
      <c r="O274" s="1">
        <v>3.9866801E7</v>
      </c>
      <c r="P274" s="1" t="s">
        <v>612</v>
      </c>
      <c r="R274" s="1" t="s">
        <v>613</v>
      </c>
      <c r="S274" s="1" t="s">
        <v>44</v>
      </c>
      <c r="T274" s="1" t="s">
        <v>45</v>
      </c>
      <c r="U274" s="1">
        <v>4.82123753E8</v>
      </c>
      <c r="W274" s="1" t="s">
        <v>607</v>
      </c>
      <c r="X274" s="1" t="s">
        <v>45</v>
      </c>
      <c r="Y274" s="1">
        <v>4.82120012E8</v>
      </c>
      <c r="Z274" s="1">
        <v>3.9866801E7</v>
      </c>
      <c r="AA274" s="1" t="s">
        <v>612</v>
      </c>
      <c r="AB274" s="1">
        <v>589968.95</v>
      </c>
      <c r="AC274" s="2">
        <v>41221.0</v>
      </c>
      <c r="AD274" s="1">
        <v>1200.0</v>
      </c>
      <c r="AE274" s="1" t="s">
        <v>647</v>
      </c>
      <c r="AF274" s="1" t="s">
        <v>870</v>
      </c>
      <c r="AG274" s="1" t="s">
        <v>712</v>
      </c>
      <c r="AH274" s="1">
        <v>8.0</v>
      </c>
      <c r="AI274" s="1">
        <v>2013.0</v>
      </c>
      <c r="AJ274" s="1">
        <v>2013.0</v>
      </c>
      <c r="AK274" s="1" t="s">
        <v>713</v>
      </c>
    </row>
    <row r="275">
      <c r="A275" s="1" t="s">
        <v>709</v>
      </c>
      <c r="B275" s="1" t="s">
        <v>709</v>
      </c>
      <c r="C275" s="1" t="s">
        <v>645</v>
      </c>
      <c r="E275" s="1">
        <v>4.44297088E8</v>
      </c>
      <c r="F275" s="2">
        <v>41193.0</v>
      </c>
      <c r="G275" s="1" t="s">
        <v>710</v>
      </c>
      <c r="I275" s="1" t="s">
        <v>710</v>
      </c>
      <c r="L275" s="1" t="s">
        <v>647</v>
      </c>
      <c r="M275" s="1">
        <v>1200.0</v>
      </c>
      <c r="N275" s="1" t="s">
        <v>647</v>
      </c>
      <c r="O275" s="1">
        <v>9.48021373E8</v>
      </c>
      <c r="P275" s="1" t="s">
        <v>501</v>
      </c>
      <c r="R275" s="1" t="s">
        <v>502</v>
      </c>
      <c r="S275" s="1" t="s">
        <v>44</v>
      </c>
      <c r="T275" s="1" t="s">
        <v>45</v>
      </c>
      <c r="U275" s="1">
        <v>4.82072901E8</v>
      </c>
      <c r="W275" s="1" t="s">
        <v>44</v>
      </c>
      <c r="X275" s="1" t="s">
        <v>45</v>
      </c>
      <c r="Y275" s="1">
        <v>4.82072901E8</v>
      </c>
      <c r="AB275" s="1">
        <v>43753.51</v>
      </c>
      <c r="AC275" s="2">
        <v>41193.0</v>
      </c>
      <c r="AD275" s="1">
        <v>1200.0</v>
      </c>
      <c r="AE275" s="1" t="s">
        <v>647</v>
      </c>
      <c r="AF275" s="1" t="s">
        <v>871</v>
      </c>
      <c r="AG275" s="1" t="s">
        <v>712</v>
      </c>
      <c r="AH275" s="1">
        <v>8.0</v>
      </c>
      <c r="AI275" s="1">
        <v>2013.0</v>
      </c>
      <c r="AJ275" s="1">
        <v>2013.0</v>
      </c>
      <c r="AK275" s="1" t="s">
        <v>713</v>
      </c>
    </row>
    <row r="276">
      <c r="A276" s="1" t="s">
        <v>709</v>
      </c>
      <c r="B276" s="1" t="s">
        <v>709</v>
      </c>
      <c r="C276" s="1" t="s">
        <v>645</v>
      </c>
      <c r="E276" s="1">
        <v>4.44297088E8</v>
      </c>
      <c r="F276" s="2">
        <v>41234.0</v>
      </c>
      <c r="G276" s="1" t="s">
        <v>710</v>
      </c>
      <c r="I276" s="1" t="s">
        <v>710</v>
      </c>
      <c r="L276" s="1" t="s">
        <v>647</v>
      </c>
      <c r="M276" s="1">
        <v>1200.0</v>
      </c>
      <c r="N276" s="1" t="s">
        <v>647</v>
      </c>
      <c r="O276" s="1">
        <v>2.5773859E7</v>
      </c>
      <c r="P276" s="1" t="s">
        <v>872</v>
      </c>
      <c r="R276" s="1" t="s">
        <v>873</v>
      </c>
      <c r="S276" s="1" t="s">
        <v>44</v>
      </c>
      <c r="T276" s="1" t="s">
        <v>45</v>
      </c>
      <c r="U276" s="1">
        <v>4.82042042E8</v>
      </c>
      <c r="W276" s="1" t="s">
        <v>44</v>
      </c>
      <c r="X276" s="1" t="s">
        <v>45</v>
      </c>
      <c r="Y276" s="1">
        <v>4.82042042E8</v>
      </c>
      <c r="AB276" s="1">
        <v>227945.52</v>
      </c>
      <c r="AC276" s="2">
        <v>41234.0</v>
      </c>
      <c r="AD276" s="1">
        <v>1200.0</v>
      </c>
      <c r="AE276" s="1" t="s">
        <v>647</v>
      </c>
      <c r="AF276" s="1" t="s">
        <v>874</v>
      </c>
      <c r="AG276" s="1" t="s">
        <v>712</v>
      </c>
      <c r="AH276" s="1">
        <v>8.0</v>
      </c>
      <c r="AI276" s="1">
        <v>2013.0</v>
      </c>
      <c r="AJ276" s="1">
        <v>2013.0</v>
      </c>
      <c r="AK276" s="1" t="s">
        <v>713</v>
      </c>
    </row>
    <row r="277">
      <c r="A277" s="1" t="s">
        <v>875</v>
      </c>
      <c r="B277" s="1" t="s">
        <v>875</v>
      </c>
      <c r="C277" s="1" t="s">
        <v>129</v>
      </c>
      <c r="E277" s="1">
        <v>2770305.0</v>
      </c>
      <c r="F277" s="2">
        <v>41456.0</v>
      </c>
      <c r="G277" s="1" t="s">
        <v>876</v>
      </c>
      <c r="I277" s="1" t="s">
        <v>876</v>
      </c>
      <c r="L277" s="1" t="s">
        <v>40</v>
      </c>
      <c r="M277" s="1">
        <v>7500.0</v>
      </c>
      <c r="N277" s="1" t="s">
        <v>40</v>
      </c>
      <c r="O277" s="1">
        <v>1.4193515E8</v>
      </c>
      <c r="P277" s="1" t="s">
        <v>877</v>
      </c>
      <c r="R277" s="1" t="s">
        <v>878</v>
      </c>
      <c r="S277" s="1" t="s">
        <v>44</v>
      </c>
      <c r="T277" s="1" t="s">
        <v>45</v>
      </c>
      <c r="U277" s="1">
        <v>4.82102038E8</v>
      </c>
      <c r="W277" s="1" t="s">
        <v>879</v>
      </c>
      <c r="X277" s="1" t="s">
        <v>880</v>
      </c>
      <c r="Y277" s="1">
        <v>6.06233738E8</v>
      </c>
      <c r="AB277" s="1">
        <v>283200.0</v>
      </c>
      <c r="AC277" s="2">
        <v>41456.0</v>
      </c>
      <c r="AD277" s="1">
        <v>7500.0</v>
      </c>
      <c r="AE277" s="1" t="s">
        <v>40</v>
      </c>
      <c r="AF277" s="1" t="s">
        <v>881</v>
      </c>
      <c r="AG277" s="1" t="s">
        <v>882</v>
      </c>
      <c r="AH277" s="1">
        <v>7.0</v>
      </c>
      <c r="AI277" s="1">
        <v>2013.0</v>
      </c>
      <c r="AJ277" s="1">
        <v>2013.0</v>
      </c>
      <c r="AK277" s="1" t="s">
        <v>883</v>
      </c>
    </row>
    <row r="278">
      <c r="A278" s="1" t="s">
        <v>709</v>
      </c>
      <c r="B278" s="1" t="s">
        <v>709</v>
      </c>
      <c r="C278" s="1" t="s">
        <v>645</v>
      </c>
      <c r="E278" s="1">
        <v>4.44297088E8</v>
      </c>
      <c r="F278" s="2">
        <v>41193.0</v>
      </c>
      <c r="G278" s="1" t="s">
        <v>710</v>
      </c>
      <c r="I278" s="1" t="s">
        <v>710</v>
      </c>
      <c r="L278" s="1" t="s">
        <v>647</v>
      </c>
      <c r="M278" s="1">
        <v>1200.0</v>
      </c>
      <c r="N278" s="1" t="s">
        <v>647</v>
      </c>
      <c r="O278" s="1">
        <v>9.62378779E8</v>
      </c>
      <c r="P278" s="1" t="s">
        <v>478</v>
      </c>
      <c r="R278" s="1" t="s">
        <v>479</v>
      </c>
      <c r="S278" s="1" t="s">
        <v>44</v>
      </c>
      <c r="T278" s="1" t="s">
        <v>45</v>
      </c>
      <c r="U278" s="1">
        <v>4.82342225E8</v>
      </c>
      <c r="W278" s="1" t="s">
        <v>44</v>
      </c>
      <c r="X278" s="1" t="s">
        <v>45</v>
      </c>
      <c r="Y278" s="1">
        <v>4.82342225E8</v>
      </c>
      <c r="AB278" s="1">
        <v>60015.03</v>
      </c>
      <c r="AC278" s="2">
        <v>41193.0</v>
      </c>
      <c r="AD278" s="1">
        <v>1200.0</v>
      </c>
      <c r="AE278" s="1" t="s">
        <v>647</v>
      </c>
      <c r="AF278" s="1" t="s">
        <v>884</v>
      </c>
      <c r="AG278" s="1" t="s">
        <v>712</v>
      </c>
      <c r="AH278" s="1">
        <v>8.0</v>
      </c>
      <c r="AI278" s="1">
        <v>2013.0</v>
      </c>
      <c r="AJ278" s="1">
        <v>2013.0</v>
      </c>
      <c r="AK278" s="1" t="s">
        <v>713</v>
      </c>
    </row>
    <row r="279">
      <c r="A279" s="1" t="s">
        <v>709</v>
      </c>
      <c r="B279" s="1" t="s">
        <v>709</v>
      </c>
      <c r="C279" s="1" t="s">
        <v>645</v>
      </c>
      <c r="E279" s="1">
        <v>4.44297088E8</v>
      </c>
      <c r="F279" s="2">
        <v>41193.0</v>
      </c>
      <c r="G279" s="1" t="s">
        <v>710</v>
      </c>
      <c r="I279" s="1" t="s">
        <v>710</v>
      </c>
      <c r="L279" s="1" t="s">
        <v>647</v>
      </c>
      <c r="M279" s="1">
        <v>1200.0</v>
      </c>
      <c r="N279" s="1" t="s">
        <v>647</v>
      </c>
      <c r="O279" s="1">
        <v>7.97527715E8</v>
      </c>
      <c r="P279" s="1" t="s">
        <v>567</v>
      </c>
      <c r="R279" s="1" t="s">
        <v>568</v>
      </c>
      <c r="S279" s="1" t="s">
        <v>44</v>
      </c>
      <c r="T279" s="1" t="s">
        <v>45</v>
      </c>
      <c r="U279" s="1">
        <v>4.82123134E8</v>
      </c>
      <c r="W279" s="1" t="s">
        <v>498</v>
      </c>
      <c r="X279" s="1" t="s">
        <v>45</v>
      </c>
      <c r="Y279" s="1">
        <v>4.82123134E8</v>
      </c>
      <c r="Z279" s="1">
        <v>9.60742484E8</v>
      </c>
      <c r="AB279" s="1">
        <v>26388.21</v>
      </c>
      <c r="AC279" s="2">
        <v>41193.0</v>
      </c>
      <c r="AD279" s="1">
        <v>1200.0</v>
      </c>
      <c r="AE279" s="1" t="s">
        <v>647</v>
      </c>
      <c r="AF279" s="1" t="s">
        <v>885</v>
      </c>
      <c r="AG279" s="1" t="s">
        <v>712</v>
      </c>
      <c r="AH279" s="1">
        <v>8.0</v>
      </c>
      <c r="AI279" s="1">
        <v>2013.0</v>
      </c>
      <c r="AJ279" s="1">
        <v>2013.0</v>
      </c>
      <c r="AK279" s="1" t="s">
        <v>713</v>
      </c>
    </row>
    <row r="280">
      <c r="A280" s="1" t="s">
        <v>709</v>
      </c>
      <c r="B280" s="1" t="s">
        <v>709</v>
      </c>
      <c r="C280" s="1" t="s">
        <v>645</v>
      </c>
      <c r="E280" s="1">
        <v>4.44297088E8</v>
      </c>
      <c r="F280" s="2">
        <v>41284.0</v>
      </c>
      <c r="G280" s="1" t="s">
        <v>710</v>
      </c>
      <c r="I280" s="1" t="s">
        <v>710</v>
      </c>
      <c r="L280" s="1" t="s">
        <v>647</v>
      </c>
      <c r="M280" s="1">
        <v>1200.0</v>
      </c>
      <c r="N280" s="1" t="s">
        <v>647</v>
      </c>
      <c r="O280" s="1">
        <v>7.6340843E7</v>
      </c>
      <c r="P280" s="1" t="s">
        <v>461</v>
      </c>
      <c r="Q280" s="1" t="s">
        <v>459</v>
      </c>
      <c r="R280" s="1" t="s">
        <v>524</v>
      </c>
      <c r="S280" s="1" t="s">
        <v>44</v>
      </c>
      <c r="T280" s="1" t="s">
        <v>45</v>
      </c>
      <c r="U280" s="1">
        <v>4.82023046E8</v>
      </c>
      <c r="W280" s="1" t="s">
        <v>44</v>
      </c>
      <c r="X280" s="1" t="s">
        <v>45</v>
      </c>
      <c r="Y280" s="1">
        <v>4.82023096E8</v>
      </c>
      <c r="Z280" s="1">
        <v>7.6340843E7</v>
      </c>
      <c r="AA280" s="1" t="s">
        <v>461</v>
      </c>
      <c r="AB280" s="1">
        <v>124375.02</v>
      </c>
      <c r="AC280" s="2">
        <v>41284.0</v>
      </c>
      <c r="AD280" s="1">
        <v>1200.0</v>
      </c>
      <c r="AE280" s="1" t="s">
        <v>647</v>
      </c>
      <c r="AF280" s="1" t="s">
        <v>886</v>
      </c>
      <c r="AG280" s="1" t="s">
        <v>712</v>
      </c>
      <c r="AH280" s="1">
        <v>8.0</v>
      </c>
      <c r="AI280" s="1">
        <v>2013.0</v>
      </c>
      <c r="AJ280" s="1">
        <v>2013.0</v>
      </c>
      <c r="AK280" s="1" t="s">
        <v>713</v>
      </c>
    </row>
    <row r="281">
      <c r="A281" s="1" t="s">
        <v>709</v>
      </c>
      <c r="B281" s="1" t="s">
        <v>709</v>
      </c>
      <c r="C281" s="1" t="s">
        <v>645</v>
      </c>
      <c r="E281" s="1">
        <v>4.44297088E8</v>
      </c>
      <c r="F281" s="2">
        <v>41193.0</v>
      </c>
      <c r="G281" s="1" t="s">
        <v>710</v>
      </c>
      <c r="I281" s="1" t="s">
        <v>710</v>
      </c>
      <c r="L281" s="1" t="s">
        <v>647</v>
      </c>
      <c r="M281" s="1">
        <v>1200.0</v>
      </c>
      <c r="N281" s="1" t="s">
        <v>647</v>
      </c>
      <c r="O281" s="1">
        <v>1.23577707E8</v>
      </c>
      <c r="P281" s="1" t="s">
        <v>563</v>
      </c>
      <c r="R281" s="1" t="s">
        <v>565</v>
      </c>
      <c r="S281" s="1" t="s">
        <v>44</v>
      </c>
      <c r="T281" s="1" t="s">
        <v>45</v>
      </c>
      <c r="U281" s="1">
        <v>4.8228333E8</v>
      </c>
      <c r="W281" s="1" t="s">
        <v>44</v>
      </c>
      <c r="X281" s="1" t="s">
        <v>45</v>
      </c>
      <c r="Y281" s="1">
        <v>4.82283396E8</v>
      </c>
      <c r="Z281" s="1">
        <v>9.60742484E8</v>
      </c>
      <c r="AB281" s="1">
        <v>261322.28</v>
      </c>
      <c r="AC281" s="2">
        <v>41193.0</v>
      </c>
      <c r="AD281" s="1">
        <v>1200.0</v>
      </c>
      <c r="AE281" s="1" t="s">
        <v>647</v>
      </c>
      <c r="AF281" s="1" t="s">
        <v>887</v>
      </c>
      <c r="AG281" s="1" t="s">
        <v>712</v>
      </c>
      <c r="AH281" s="1">
        <v>8.0</v>
      </c>
      <c r="AI281" s="1">
        <v>2013.0</v>
      </c>
      <c r="AJ281" s="1">
        <v>2013.0</v>
      </c>
      <c r="AK281" s="1" t="s">
        <v>713</v>
      </c>
    </row>
    <row r="282">
      <c r="A282" s="1" t="s">
        <v>709</v>
      </c>
      <c r="B282" s="1" t="s">
        <v>709</v>
      </c>
      <c r="C282" s="1" t="s">
        <v>645</v>
      </c>
      <c r="E282" s="1">
        <v>4.44297088E8</v>
      </c>
      <c r="F282" s="2">
        <v>41193.0</v>
      </c>
      <c r="G282" s="1" t="s">
        <v>710</v>
      </c>
      <c r="I282" s="1" t="s">
        <v>710</v>
      </c>
      <c r="L282" s="1" t="s">
        <v>647</v>
      </c>
      <c r="M282" s="1">
        <v>1200.0</v>
      </c>
      <c r="N282" s="1" t="s">
        <v>647</v>
      </c>
      <c r="O282" s="1">
        <v>8.7299367E8</v>
      </c>
      <c r="P282" s="1" t="s">
        <v>888</v>
      </c>
      <c r="R282" s="1" t="s">
        <v>889</v>
      </c>
      <c r="S282" s="1" t="s">
        <v>44</v>
      </c>
      <c r="T282" s="1" t="s">
        <v>45</v>
      </c>
      <c r="U282" s="1">
        <v>4.82051136E8</v>
      </c>
      <c r="W282" s="1" t="s">
        <v>44</v>
      </c>
      <c r="X282" s="1" t="s">
        <v>45</v>
      </c>
      <c r="Y282" s="1">
        <v>4.82051136E8</v>
      </c>
      <c r="AB282" s="1">
        <v>82692.64</v>
      </c>
      <c r="AC282" s="2">
        <v>41193.0</v>
      </c>
      <c r="AD282" s="1">
        <v>1200.0</v>
      </c>
      <c r="AE282" s="1" t="s">
        <v>647</v>
      </c>
      <c r="AF282" s="1" t="s">
        <v>890</v>
      </c>
      <c r="AG282" s="1" t="s">
        <v>712</v>
      </c>
      <c r="AH282" s="1">
        <v>8.0</v>
      </c>
      <c r="AI282" s="1">
        <v>2013.0</v>
      </c>
      <c r="AJ282" s="1">
        <v>2013.0</v>
      </c>
      <c r="AK282" s="1" t="s">
        <v>713</v>
      </c>
    </row>
    <row r="283">
      <c r="A283" s="1" t="s">
        <v>709</v>
      </c>
      <c r="B283" s="1" t="s">
        <v>709</v>
      </c>
      <c r="C283" s="1" t="s">
        <v>645</v>
      </c>
      <c r="E283" s="1">
        <v>4.44297088E8</v>
      </c>
      <c r="F283" s="2">
        <v>41193.0</v>
      </c>
      <c r="G283" s="1" t="s">
        <v>710</v>
      </c>
      <c r="I283" s="1" t="s">
        <v>710</v>
      </c>
      <c r="L283" s="1" t="s">
        <v>647</v>
      </c>
      <c r="M283" s="1">
        <v>1200.0</v>
      </c>
      <c r="N283" s="1" t="s">
        <v>647</v>
      </c>
      <c r="O283" s="1">
        <v>9.65349769E8</v>
      </c>
      <c r="P283" s="1" t="s">
        <v>465</v>
      </c>
      <c r="Q283" s="1" t="s">
        <v>466</v>
      </c>
      <c r="R283" s="1" t="s">
        <v>467</v>
      </c>
      <c r="S283" s="1" t="s">
        <v>44</v>
      </c>
      <c r="T283" s="1" t="s">
        <v>45</v>
      </c>
      <c r="U283" s="1">
        <v>4.8202322E8</v>
      </c>
      <c r="W283" s="1" t="s">
        <v>44</v>
      </c>
      <c r="X283" s="1" t="s">
        <v>45</v>
      </c>
      <c r="Y283" s="1">
        <v>4.8202322E8</v>
      </c>
      <c r="Z283" s="1">
        <v>1.6338926E8</v>
      </c>
      <c r="AA283" s="1" t="s">
        <v>465</v>
      </c>
      <c r="AB283" s="1">
        <v>145255.92</v>
      </c>
      <c r="AC283" s="2">
        <v>41193.0</v>
      </c>
      <c r="AD283" s="1">
        <v>1200.0</v>
      </c>
      <c r="AE283" s="1" t="s">
        <v>647</v>
      </c>
      <c r="AF283" s="1" t="s">
        <v>891</v>
      </c>
      <c r="AG283" s="1" t="s">
        <v>712</v>
      </c>
      <c r="AH283" s="1">
        <v>8.0</v>
      </c>
      <c r="AI283" s="1">
        <v>2013.0</v>
      </c>
      <c r="AJ283" s="1">
        <v>2013.0</v>
      </c>
      <c r="AK283" s="1" t="s">
        <v>713</v>
      </c>
    </row>
    <row r="284">
      <c r="A284" s="1" t="s">
        <v>709</v>
      </c>
      <c r="B284" s="1" t="s">
        <v>709</v>
      </c>
      <c r="C284" s="1" t="s">
        <v>645</v>
      </c>
      <c r="E284" s="1">
        <v>4.44297088E8</v>
      </c>
      <c r="F284" s="2">
        <v>41234.0</v>
      </c>
      <c r="G284" s="1" t="s">
        <v>710</v>
      </c>
      <c r="I284" s="1" t="s">
        <v>710</v>
      </c>
      <c r="L284" s="1" t="s">
        <v>647</v>
      </c>
      <c r="M284" s="1">
        <v>1200.0</v>
      </c>
      <c r="N284" s="1" t="s">
        <v>647</v>
      </c>
      <c r="O284" s="1">
        <v>2.5773859E7</v>
      </c>
      <c r="P284" s="1" t="s">
        <v>872</v>
      </c>
      <c r="R284" s="1" t="s">
        <v>873</v>
      </c>
      <c r="S284" s="1" t="s">
        <v>44</v>
      </c>
      <c r="T284" s="1" t="s">
        <v>45</v>
      </c>
      <c r="U284" s="1">
        <v>4.82042042E8</v>
      </c>
      <c r="W284" s="1" t="s">
        <v>44</v>
      </c>
      <c r="X284" s="1" t="s">
        <v>45</v>
      </c>
      <c r="Y284" s="1">
        <v>4.82042042E8</v>
      </c>
      <c r="AB284" s="1">
        <v>136440.1</v>
      </c>
      <c r="AC284" s="2">
        <v>41234.0</v>
      </c>
      <c r="AD284" s="1">
        <v>1200.0</v>
      </c>
      <c r="AE284" s="1" t="s">
        <v>647</v>
      </c>
      <c r="AF284" s="1" t="s">
        <v>892</v>
      </c>
      <c r="AG284" s="1" t="s">
        <v>712</v>
      </c>
      <c r="AH284" s="1">
        <v>8.0</v>
      </c>
      <c r="AI284" s="1">
        <v>2013.0</v>
      </c>
      <c r="AJ284" s="1">
        <v>2013.0</v>
      </c>
      <c r="AK284" s="1" t="s">
        <v>713</v>
      </c>
    </row>
    <row r="285">
      <c r="A285" s="1" t="s">
        <v>709</v>
      </c>
      <c r="B285" s="1" t="s">
        <v>709</v>
      </c>
      <c r="C285" s="1" t="s">
        <v>645</v>
      </c>
      <c r="E285" s="1">
        <v>4.44297088E8</v>
      </c>
      <c r="F285" s="2">
        <v>41193.0</v>
      </c>
      <c r="G285" s="1" t="s">
        <v>710</v>
      </c>
      <c r="I285" s="1" t="s">
        <v>710</v>
      </c>
      <c r="L285" s="1" t="s">
        <v>647</v>
      </c>
      <c r="M285" s="1">
        <v>1200.0</v>
      </c>
      <c r="N285" s="1" t="s">
        <v>647</v>
      </c>
      <c r="O285" s="1">
        <v>8.30792151E8</v>
      </c>
      <c r="P285" s="1" t="s">
        <v>594</v>
      </c>
      <c r="R285" s="1" t="s">
        <v>596</v>
      </c>
      <c r="S285" s="1" t="s">
        <v>44</v>
      </c>
      <c r="T285" s="1" t="s">
        <v>45</v>
      </c>
      <c r="U285" s="1">
        <v>4.82382356E8</v>
      </c>
      <c r="W285" s="1" t="s">
        <v>44</v>
      </c>
      <c r="X285" s="1" t="s">
        <v>45</v>
      </c>
      <c r="Y285" s="1">
        <v>4.82382356E8</v>
      </c>
      <c r="Z285" s="1">
        <v>9.60742484E8</v>
      </c>
      <c r="AB285" s="1">
        <v>249439.35</v>
      </c>
      <c r="AC285" s="2">
        <v>41193.0</v>
      </c>
      <c r="AD285" s="1">
        <v>1200.0</v>
      </c>
      <c r="AE285" s="1" t="s">
        <v>647</v>
      </c>
      <c r="AF285" s="1" t="s">
        <v>893</v>
      </c>
      <c r="AG285" s="1" t="s">
        <v>712</v>
      </c>
      <c r="AH285" s="1">
        <v>8.0</v>
      </c>
      <c r="AI285" s="1">
        <v>2013.0</v>
      </c>
      <c r="AJ285" s="1">
        <v>2013.0</v>
      </c>
      <c r="AK285" s="1" t="s">
        <v>713</v>
      </c>
    </row>
    <row r="286">
      <c r="A286" s="1" t="s">
        <v>709</v>
      </c>
      <c r="B286" s="1" t="s">
        <v>709</v>
      </c>
      <c r="C286" s="1" t="s">
        <v>645</v>
      </c>
      <c r="E286" s="1">
        <v>4.44297088E8</v>
      </c>
      <c r="F286" s="2">
        <v>41242.0</v>
      </c>
      <c r="G286" s="1" t="s">
        <v>710</v>
      </c>
      <c r="I286" s="1" t="s">
        <v>710</v>
      </c>
      <c r="L286" s="1" t="s">
        <v>647</v>
      </c>
      <c r="M286" s="1">
        <v>1200.0</v>
      </c>
      <c r="N286" s="1" t="s">
        <v>647</v>
      </c>
      <c r="O286" s="1">
        <v>1.6338926E8</v>
      </c>
      <c r="P286" s="1" t="s">
        <v>465</v>
      </c>
      <c r="Q286" s="1" t="s">
        <v>598</v>
      </c>
      <c r="R286" s="1" t="s">
        <v>599</v>
      </c>
      <c r="S286" s="1" t="s">
        <v>44</v>
      </c>
      <c r="T286" s="1" t="s">
        <v>45</v>
      </c>
      <c r="U286" s="1">
        <v>4.82023457E8</v>
      </c>
      <c r="W286" s="1" t="s">
        <v>44</v>
      </c>
      <c r="X286" s="1" t="s">
        <v>45</v>
      </c>
      <c r="Y286" s="1">
        <v>4.82023457E8</v>
      </c>
      <c r="Z286" s="1">
        <v>1.6338926E8</v>
      </c>
      <c r="AA286" s="1" t="s">
        <v>465</v>
      </c>
      <c r="AB286" s="1">
        <v>56089.77</v>
      </c>
      <c r="AC286" s="2">
        <v>41242.0</v>
      </c>
      <c r="AD286" s="1">
        <v>1200.0</v>
      </c>
      <c r="AE286" s="1" t="s">
        <v>647</v>
      </c>
      <c r="AF286" s="1" t="s">
        <v>894</v>
      </c>
      <c r="AG286" s="1" t="s">
        <v>712</v>
      </c>
      <c r="AH286" s="1">
        <v>8.0</v>
      </c>
      <c r="AI286" s="1">
        <v>2013.0</v>
      </c>
      <c r="AJ286" s="1">
        <v>2013.0</v>
      </c>
      <c r="AK286" s="1" t="s">
        <v>713</v>
      </c>
    </row>
    <row r="287">
      <c r="A287" s="1" t="s">
        <v>709</v>
      </c>
      <c r="B287" s="1" t="s">
        <v>709</v>
      </c>
      <c r="C287" s="1" t="s">
        <v>645</v>
      </c>
      <c r="E287" s="1">
        <v>4.44297088E8</v>
      </c>
      <c r="F287" s="2">
        <v>41193.0</v>
      </c>
      <c r="G287" s="1" t="s">
        <v>710</v>
      </c>
      <c r="I287" s="1" t="s">
        <v>710</v>
      </c>
      <c r="L287" s="1" t="s">
        <v>647</v>
      </c>
      <c r="M287" s="1">
        <v>1200.0</v>
      </c>
      <c r="N287" s="1" t="s">
        <v>647</v>
      </c>
      <c r="O287" s="1">
        <v>8.31014068E8</v>
      </c>
      <c r="P287" s="1" t="s">
        <v>515</v>
      </c>
      <c r="R287" s="1" t="s">
        <v>516</v>
      </c>
      <c r="S287" s="1" t="s">
        <v>44</v>
      </c>
      <c r="T287" s="1" t="s">
        <v>45</v>
      </c>
      <c r="U287" s="1">
        <v>4.82283685E8</v>
      </c>
      <c r="W287" s="1" t="s">
        <v>46</v>
      </c>
      <c r="X287" s="1" t="s">
        <v>45</v>
      </c>
      <c r="Y287" s="1">
        <v>4.82283685E8</v>
      </c>
      <c r="Z287" s="1">
        <v>9.60742484E8</v>
      </c>
      <c r="AB287" s="1">
        <v>155688.94</v>
      </c>
      <c r="AC287" s="2">
        <v>41193.0</v>
      </c>
      <c r="AD287" s="1">
        <v>1200.0</v>
      </c>
      <c r="AE287" s="1" t="s">
        <v>647</v>
      </c>
      <c r="AF287" s="1" t="s">
        <v>895</v>
      </c>
      <c r="AG287" s="1" t="s">
        <v>712</v>
      </c>
      <c r="AH287" s="1">
        <v>8.0</v>
      </c>
      <c r="AI287" s="1">
        <v>2013.0</v>
      </c>
      <c r="AJ287" s="1">
        <v>2013.0</v>
      </c>
      <c r="AK287" s="1" t="s">
        <v>713</v>
      </c>
    </row>
    <row r="288">
      <c r="A288" s="1" t="s">
        <v>709</v>
      </c>
      <c r="B288" s="1" t="s">
        <v>709</v>
      </c>
      <c r="C288" s="1" t="s">
        <v>645</v>
      </c>
      <c r="E288" s="1">
        <v>4.44297088E8</v>
      </c>
      <c r="F288" s="2">
        <v>41207.0</v>
      </c>
      <c r="G288" s="1" t="s">
        <v>710</v>
      </c>
      <c r="I288" s="1" t="s">
        <v>710</v>
      </c>
      <c r="L288" s="1" t="s">
        <v>647</v>
      </c>
      <c r="M288" s="1">
        <v>1200.0</v>
      </c>
      <c r="N288" s="1" t="s">
        <v>647</v>
      </c>
      <c r="O288" s="1">
        <v>7.6340843E7</v>
      </c>
      <c r="P288" s="1" t="s">
        <v>461</v>
      </c>
      <c r="Q288" s="1" t="s">
        <v>459</v>
      </c>
      <c r="R288" s="1" t="s">
        <v>524</v>
      </c>
      <c r="S288" s="1" t="s">
        <v>44</v>
      </c>
      <c r="T288" s="1" t="s">
        <v>45</v>
      </c>
      <c r="U288" s="1">
        <v>4.82023046E8</v>
      </c>
      <c r="W288" s="1" t="s">
        <v>44</v>
      </c>
      <c r="X288" s="1" t="s">
        <v>45</v>
      </c>
      <c r="Y288" s="1">
        <v>4.82023096E8</v>
      </c>
      <c r="Z288" s="1">
        <v>7.6340843E7</v>
      </c>
      <c r="AA288" s="1" t="s">
        <v>461</v>
      </c>
      <c r="AB288" s="3">
        <v>1.183353565E7</v>
      </c>
      <c r="AC288" s="2">
        <v>41207.0</v>
      </c>
      <c r="AD288" s="1">
        <v>1200.0</v>
      </c>
      <c r="AE288" s="1" t="s">
        <v>647</v>
      </c>
      <c r="AF288" s="1" t="s">
        <v>896</v>
      </c>
      <c r="AG288" s="1" t="s">
        <v>712</v>
      </c>
      <c r="AH288" s="1">
        <v>8.0</v>
      </c>
      <c r="AI288" s="1">
        <v>2013.0</v>
      </c>
      <c r="AJ288" s="1">
        <v>2013.0</v>
      </c>
      <c r="AK288" s="1" t="s">
        <v>713</v>
      </c>
    </row>
    <row r="289">
      <c r="A289" s="1" t="s">
        <v>709</v>
      </c>
      <c r="B289" s="1" t="s">
        <v>709</v>
      </c>
      <c r="C289" s="1" t="s">
        <v>645</v>
      </c>
      <c r="E289" s="1">
        <v>4.44297088E8</v>
      </c>
      <c r="F289" s="2">
        <v>41207.0</v>
      </c>
      <c r="G289" s="1" t="s">
        <v>710</v>
      </c>
      <c r="I289" s="1" t="s">
        <v>710</v>
      </c>
      <c r="L289" s="1" t="s">
        <v>647</v>
      </c>
      <c r="M289" s="1">
        <v>1200.0</v>
      </c>
      <c r="N289" s="1" t="s">
        <v>647</v>
      </c>
      <c r="O289" s="1">
        <v>9.26909602E8</v>
      </c>
      <c r="P289" s="1" t="s">
        <v>897</v>
      </c>
      <c r="R289" s="1" t="s">
        <v>898</v>
      </c>
      <c r="S289" s="1" t="s">
        <v>44</v>
      </c>
      <c r="T289" s="1" t="s">
        <v>45</v>
      </c>
      <c r="U289" s="1">
        <v>4.82283509E8</v>
      </c>
      <c r="W289" s="1" t="s">
        <v>44</v>
      </c>
      <c r="X289" s="1" t="s">
        <v>45</v>
      </c>
      <c r="Y289" s="1">
        <v>4.82283509E8</v>
      </c>
      <c r="AB289" s="1">
        <v>40820.59</v>
      </c>
      <c r="AC289" s="2">
        <v>41207.0</v>
      </c>
      <c r="AD289" s="1">
        <v>1200.0</v>
      </c>
      <c r="AE289" s="1" t="s">
        <v>647</v>
      </c>
      <c r="AF289" s="1" t="s">
        <v>899</v>
      </c>
      <c r="AG289" s="1" t="s">
        <v>712</v>
      </c>
      <c r="AH289" s="1">
        <v>8.0</v>
      </c>
      <c r="AI289" s="1">
        <v>2013.0</v>
      </c>
      <c r="AJ289" s="1">
        <v>2013.0</v>
      </c>
      <c r="AK289" s="1" t="s">
        <v>713</v>
      </c>
    </row>
    <row r="290">
      <c r="A290" s="1" t="s">
        <v>709</v>
      </c>
      <c r="B290" s="1" t="s">
        <v>709</v>
      </c>
      <c r="C290" s="1" t="s">
        <v>645</v>
      </c>
      <c r="E290" s="1">
        <v>4.44297088E8</v>
      </c>
      <c r="F290" s="2">
        <v>41200.0</v>
      </c>
      <c r="G290" s="1" t="s">
        <v>710</v>
      </c>
      <c r="I290" s="1" t="s">
        <v>710</v>
      </c>
      <c r="L290" s="1" t="s">
        <v>647</v>
      </c>
      <c r="M290" s="1">
        <v>1200.0</v>
      </c>
      <c r="N290" s="1" t="s">
        <v>647</v>
      </c>
      <c r="O290" s="1">
        <v>7.8634042E7</v>
      </c>
      <c r="P290" s="1" t="s">
        <v>473</v>
      </c>
      <c r="R290" s="1" t="s">
        <v>475</v>
      </c>
      <c r="S290" s="1" t="s">
        <v>44</v>
      </c>
      <c r="T290" s="1" t="s">
        <v>45</v>
      </c>
      <c r="U290" s="1">
        <v>4.82133744E8</v>
      </c>
      <c r="W290" s="1" t="s">
        <v>46</v>
      </c>
      <c r="X290" s="1" t="s">
        <v>45</v>
      </c>
      <c r="Y290" s="1">
        <v>4.82133744E8</v>
      </c>
      <c r="AB290" s="1">
        <v>42093.51</v>
      </c>
      <c r="AC290" s="2">
        <v>41200.0</v>
      </c>
      <c r="AD290" s="1">
        <v>1200.0</v>
      </c>
      <c r="AE290" s="1" t="s">
        <v>647</v>
      </c>
      <c r="AF290" s="1" t="s">
        <v>900</v>
      </c>
      <c r="AG290" s="1" t="s">
        <v>712</v>
      </c>
      <c r="AH290" s="1">
        <v>8.0</v>
      </c>
      <c r="AI290" s="1">
        <v>2013.0</v>
      </c>
      <c r="AJ290" s="1">
        <v>2013.0</v>
      </c>
      <c r="AK290" s="1" t="s">
        <v>713</v>
      </c>
    </row>
    <row r="291">
      <c r="A291" s="1" t="s">
        <v>709</v>
      </c>
      <c r="B291" s="1" t="s">
        <v>709</v>
      </c>
      <c r="C291" s="1" t="s">
        <v>645</v>
      </c>
      <c r="E291" s="1">
        <v>4.44297088E8</v>
      </c>
      <c r="F291" s="2">
        <v>41186.0</v>
      </c>
      <c r="G291" s="1" t="s">
        <v>710</v>
      </c>
      <c r="I291" s="1" t="s">
        <v>710</v>
      </c>
      <c r="L291" s="1" t="s">
        <v>647</v>
      </c>
      <c r="M291" s="1">
        <v>1200.0</v>
      </c>
      <c r="N291" s="1" t="s">
        <v>647</v>
      </c>
      <c r="O291" s="1">
        <v>8.59589231E8</v>
      </c>
      <c r="P291" s="1" t="s">
        <v>901</v>
      </c>
      <c r="R291" s="1" t="s">
        <v>902</v>
      </c>
      <c r="S291" s="1" t="s">
        <v>44</v>
      </c>
      <c r="T291" s="1" t="s">
        <v>45</v>
      </c>
      <c r="U291" s="1">
        <v>4.82391326E8</v>
      </c>
      <c r="W291" s="1" t="s">
        <v>903</v>
      </c>
      <c r="X291" s="1" t="s">
        <v>45</v>
      </c>
      <c r="Y291" s="1">
        <v>4.82391326E8</v>
      </c>
      <c r="AB291" s="1">
        <v>68916.24</v>
      </c>
      <c r="AC291" s="2">
        <v>41186.0</v>
      </c>
      <c r="AD291" s="1">
        <v>1200.0</v>
      </c>
      <c r="AE291" s="1" t="s">
        <v>647</v>
      </c>
      <c r="AF291" s="1" t="s">
        <v>904</v>
      </c>
      <c r="AG291" s="1" t="s">
        <v>712</v>
      </c>
      <c r="AH291" s="1">
        <v>8.0</v>
      </c>
      <c r="AI291" s="1">
        <v>2013.0</v>
      </c>
      <c r="AJ291" s="1">
        <v>2013.0</v>
      </c>
      <c r="AK291" s="1" t="s">
        <v>713</v>
      </c>
    </row>
    <row r="292">
      <c r="A292" s="1" t="s">
        <v>709</v>
      </c>
      <c r="B292" s="1" t="s">
        <v>709</v>
      </c>
      <c r="C292" s="1" t="s">
        <v>645</v>
      </c>
      <c r="E292" s="1">
        <v>4.44297088E8</v>
      </c>
      <c r="F292" s="2">
        <v>41242.0</v>
      </c>
      <c r="G292" s="1" t="s">
        <v>710</v>
      </c>
      <c r="I292" s="1" t="s">
        <v>710</v>
      </c>
      <c r="L292" s="1" t="s">
        <v>647</v>
      </c>
      <c r="M292" s="1">
        <v>1200.0</v>
      </c>
      <c r="N292" s="1" t="s">
        <v>647</v>
      </c>
      <c r="O292" s="1">
        <v>6.6707493E7</v>
      </c>
      <c r="P292" s="1" t="s">
        <v>541</v>
      </c>
      <c r="R292" s="1" t="s">
        <v>542</v>
      </c>
      <c r="S292" s="1" t="s">
        <v>44</v>
      </c>
      <c r="T292" s="1" t="s">
        <v>45</v>
      </c>
      <c r="U292" s="1">
        <v>4.8210252E8</v>
      </c>
      <c r="W292" s="1" t="s">
        <v>44</v>
      </c>
      <c r="X292" s="1" t="s">
        <v>45</v>
      </c>
      <c r="Y292" s="1">
        <v>4.8210252E8</v>
      </c>
      <c r="AB292" s="1">
        <v>29705.49</v>
      </c>
      <c r="AC292" s="2">
        <v>41242.0</v>
      </c>
      <c r="AD292" s="1">
        <v>1200.0</v>
      </c>
      <c r="AE292" s="1" t="s">
        <v>647</v>
      </c>
      <c r="AF292" s="1" t="s">
        <v>905</v>
      </c>
      <c r="AG292" s="1" t="s">
        <v>712</v>
      </c>
      <c r="AH292" s="1">
        <v>8.0</v>
      </c>
      <c r="AI292" s="1">
        <v>2013.0</v>
      </c>
      <c r="AJ292" s="1">
        <v>2013.0</v>
      </c>
      <c r="AK292" s="1" t="s">
        <v>713</v>
      </c>
    </row>
    <row r="293">
      <c r="A293" s="1" t="s">
        <v>709</v>
      </c>
      <c r="B293" s="1" t="s">
        <v>709</v>
      </c>
      <c r="C293" s="1" t="s">
        <v>645</v>
      </c>
      <c r="E293" s="1">
        <v>4.44297088E8</v>
      </c>
      <c r="F293" s="2">
        <v>41200.0</v>
      </c>
      <c r="G293" s="1" t="s">
        <v>710</v>
      </c>
      <c r="I293" s="1" t="s">
        <v>710</v>
      </c>
      <c r="L293" s="1" t="s">
        <v>647</v>
      </c>
      <c r="M293" s="1">
        <v>1200.0</v>
      </c>
      <c r="N293" s="1" t="s">
        <v>647</v>
      </c>
      <c r="O293" s="1">
        <v>1.78318531E8</v>
      </c>
      <c r="P293" s="1" t="s">
        <v>906</v>
      </c>
      <c r="R293" s="1" t="s">
        <v>907</v>
      </c>
      <c r="S293" s="1" t="s">
        <v>44</v>
      </c>
      <c r="T293" s="1" t="s">
        <v>45</v>
      </c>
      <c r="U293" s="1">
        <v>4.82351717E8</v>
      </c>
      <c r="W293" s="1" t="s">
        <v>44</v>
      </c>
      <c r="X293" s="1" t="s">
        <v>45</v>
      </c>
      <c r="Y293" s="1">
        <v>4.82351717E8</v>
      </c>
      <c r="Z293" s="1">
        <v>1.78318531E8</v>
      </c>
      <c r="AA293" s="1" t="s">
        <v>906</v>
      </c>
      <c r="AB293" s="1">
        <v>420996.56</v>
      </c>
      <c r="AC293" s="2">
        <v>41200.0</v>
      </c>
      <c r="AD293" s="1">
        <v>1200.0</v>
      </c>
      <c r="AE293" s="1" t="s">
        <v>647</v>
      </c>
      <c r="AF293" s="1" t="s">
        <v>908</v>
      </c>
      <c r="AG293" s="1" t="s">
        <v>712</v>
      </c>
      <c r="AH293" s="1">
        <v>8.0</v>
      </c>
      <c r="AI293" s="1">
        <v>2013.0</v>
      </c>
      <c r="AJ293" s="1">
        <v>2013.0</v>
      </c>
      <c r="AK293" s="1" t="s">
        <v>713</v>
      </c>
    </row>
    <row r="294">
      <c r="A294" s="1" t="s">
        <v>709</v>
      </c>
      <c r="B294" s="1" t="s">
        <v>709</v>
      </c>
      <c r="C294" s="1" t="s">
        <v>645</v>
      </c>
      <c r="E294" s="1">
        <v>4.44297088E8</v>
      </c>
      <c r="F294" s="2">
        <v>41228.0</v>
      </c>
      <c r="G294" s="1" t="s">
        <v>710</v>
      </c>
      <c r="I294" s="1" t="s">
        <v>710</v>
      </c>
      <c r="L294" s="1" t="s">
        <v>647</v>
      </c>
      <c r="M294" s="1">
        <v>1200.0</v>
      </c>
      <c r="N294" s="1" t="s">
        <v>647</v>
      </c>
      <c r="O294" s="1">
        <v>7.97531279E8</v>
      </c>
      <c r="P294" s="1" t="s">
        <v>496</v>
      </c>
      <c r="R294" s="1" t="s">
        <v>497</v>
      </c>
      <c r="S294" s="1" t="s">
        <v>44</v>
      </c>
      <c r="T294" s="1" t="s">
        <v>45</v>
      </c>
      <c r="U294" s="1">
        <v>4.82123323E8</v>
      </c>
      <c r="W294" s="1" t="s">
        <v>498</v>
      </c>
      <c r="X294" s="1" t="s">
        <v>45</v>
      </c>
      <c r="Y294" s="1">
        <v>4.82123323E8</v>
      </c>
      <c r="AB294" s="1">
        <v>145878.09</v>
      </c>
      <c r="AC294" s="2">
        <v>41228.0</v>
      </c>
      <c r="AD294" s="1">
        <v>1200.0</v>
      </c>
      <c r="AE294" s="1" t="s">
        <v>647</v>
      </c>
      <c r="AF294" s="1" t="s">
        <v>909</v>
      </c>
      <c r="AG294" s="1" t="s">
        <v>712</v>
      </c>
      <c r="AH294" s="1">
        <v>8.0</v>
      </c>
      <c r="AI294" s="1">
        <v>2013.0</v>
      </c>
      <c r="AJ294" s="1">
        <v>2013.0</v>
      </c>
      <c r="AK294" s="1" t="s">
        <v>713</v>
      </c>
    </row>
    <row r="295">
      <c r="A295" s="1" t="s">
        <v>709</v>
      </c>
      <c r="B295" s="1" t="s">
        <v>709</v>
      </c>
      <c r="C295" s="1" t="s">
        <v>645</v>
      </c>
      <c r="E295" s="1">
        <v>4.44297088E8</v>
      </c>
      <c r="F295" s="2">
        <v>41193.0</v>
      </c>
      <c r="G295" s="1" t="s">
        <v>710</v>
      </c>
      <c r="I295" s="1" t="s">
        <v>710</v>
      </c>
      <c r="L295" s="1" t="s">
        <v>647</v>
      </c>
      <c r="M295" s="1">
        <v>1200.0</v>
      </c>
      <c r="N295" s="1" t="s">
        <v>647</v>
      </c>
      <c r="O295" s="1">
        <v>7.93697355E8</v>
      </c>
      <c r="P295" s="1" t="s">
        <v>691</v>
      </c>
      <c r="R295" s="1" t="s">
        <v>692</v>
      </c>
      <c r="S295" s="1" t="s">
        <v>44</v>
      </c>
      <c r="T295" s="1" t="s">
        <v>45</v>
      </c>
      <c r="U295" s="1">
        <v>4.82111554E8</v>
      </c>
      <c r="W295" s="1" t="s">
        <v>44</v>
      </c>
      <c r="X295" s="1" t="s">
        <v>45</v>
      </c>
      <c r="Y295" s="1">
        <v>4.82111552E8</v>
      </c>
      <c r="AB295" s="1">
        <v>312334.56</v>
      </c>
      <c r="AC295" s="2">
        <v>41193.0</v>
      </c>
      <c r="AD295" s="1">
        <v>1200.0</v>
      </c>
      <c r="AE295" s="1" t="s">
        <v>647</v>
      </c>
      <c r="AF295" s="1" t="s">
        <v>910</v>
      </c>
      <c r="AG295" s="1" t="s">
        <v>712</v>
      </c>
      <c r="AH295" s="1">
        <v>8.0</v>
      </c>
      <c r="AI295" s="1">
        <v>2013.0</v>
      </c>
      <c r="AJ295" s="1">
        <v>2013.0</v>
      </c>
      <c r="AK295" s="1" t="s">
        <v>713</v>
      </c>
    </row>
    <row r="296">
      <c r="A296" s="1" t="s">
        <v>911</v>
      </c>
      <c r="B296" s="1" t="s">
        <v>911</v>
      </c>
      <c r="C296" s="1" t="s">
        <v>38</v>
      </c>
      <c r="E296" s="1">
        <v>1673811.0</v>
      </c>
      <c r="F296" s="2">
        <v>41499.0</v>
      </c>
      <c r="G296" s="1" t="s">
        <v>912</v>
      </c>
      <c r="I296" s="1" t="s">
        <v>912</v>
      </c>
      <c r="L296" s="1" t="s">
        <v>40</v>
      </c>
      <c r="M296" s="1">
        <v>7500.0</v>
      </c>
      <c r="N296" s="1" t="s">
        <v>40</v>
      </c>
      <c r="O296" s="1">
        <v>7.3134603E7</v>
      </c>
      <c r="P296" s="1" t="s">
        <v>41</v>
      </c>
      <c r="Q296" s="1" t="s">
        <v>252</v>
      </c>
      <c r="R296" s="1" t="s">
        <v>253</v>
      </c>
      <c r="S296" s="1" t="s">
        <v>44</v>
      </c>
      <c r="T296" s="1" t="s">
        <v>45</v>
      </c>
      <c r="U296" s="1">
        <v>4.8202345E8</v>
      </c>
      <c r="W296" s="1" t="s">
        <v>46</v>
      </c>
      <c r="X296" s="1" t="s">
        <v>45</v>
      </c>
      <c r="Y296" s="1">
        <v>4.82022689E8</v>
      </c>
      <c r="Z296" s="1">
        <v>7.3134603E7</v>
      </c>
      <c r="AA296" s="1" t="s">
        <v>41</v>
      </c>
      <c r="AB296" s="1">
        <v>186595.0</v>
      </c>
      <c r="AC296" s="2">
        <v>41499.0</v>
      </c>
      <c r="AD296" s="1">
        <v>7500.0</v>
      </c>
      <c r="AE296" s="1" t="s">
        <v>40</v>
      </c>
      <c r="AF296" s="1" t="s">
        <v>913</v>
      </c>
      <c r="AG296" s="1" t="s">
        <v>914</v>
      </c>
      <c r="AH296" s="1">
        <v>8.0</v>
      </c>
      <c r="AI296" s="1">
        <v>2013.0</v>
      </c>
      <c r="AJ296" s="1">
        <v>2013.0</v>
      </c>
      <c r="AK296" s="1" t="s">
        <v>256</v>
      </c>
    </row>
    <row r="297">
      <c r="A297" s="1" t="s">
        <v>709</v>
      </c>
      <c r="B297" s="1" t="s">
        <v>709</v>
      </c>
      <c r="C297" s="1" t="s">
        <v>645</v>
      </c>
      <c r="E297" s="1">
        <v>4.44297088E8</v>
      </c>
      <c r="F297" s="2">
        <v>41193.0</v>
      </c>
      <c r="G297" s="1" t="s">
        <v>710</v>
      </c>
      <c r="I297" s="1" t="s">
        <v>710</v>
      </c>
      <c r="L297" s="1" t="s">
        <v>647</v>
      </c>
      <c r="M297" s="1">
        <v>1200.0</v>
      </c>
      <c r="N297" s="1" t="s">
        <v>647</v>
      </c>
      <c r="O297" s="1">
        <v>1.10601841E8</v>
      </c>
      <c r="P297" s="1" t="s">
        <v>915</v>
      </c>
      <c r="Q297" s="1" t="s">
        <v>916</v>
      </c>
      <c r="R297" s="1" t="s">
        <v>917</v>
      </c>
      <c r="S297" s="1" t="s">
        <v>44</v>
      </c>
      <c r="T297" s="1" t="s">
        <v>45</v>
      </c>
      <c r="U297" s="1">
        <v>4.82283719E8</v>
      </c>
      <c r="W297" s="1" t="s">
        <v>44</v>
      </c>
      <c r="X297" s="1" t="s">
        <v>45</v>
      </c>
      <c r="Y297" s="1">
        <v>4.82283719E8</v>
      </c>
      <c r="AB297" s="1">
        <v>74962.11</v>
      </c>
      <c r="AC297" s="2">
        <v>41193.0</v>
      </c>
      <c r="AD297" s="1">
        <v>1200.0</v>
      </c>
      <c r="AE297" s="1" t="s">
        <v>647</v>
      </c>
      <c r="AF297" s="1" t="s">
        <v>918</v>
      </c>
      <c r="AG297" s="1" t="s">
        <v>712</v>
      </c>
      <c r="AH297" s="1">
        <v>8.0</v>
      </c>
      <c r="AI297" s="1">
        <v>2013.0</v>
      </c>
      <c r="AJ297" s="1">
        <v>2013.0</v>
      </c>
      <c r="AK297" s="1" t="s">
        <v>713</v>
      </c>
    </row>
    <row r="298">
      <c r="A298" s="1" t="s">
        <v>709</v>
      </c>
      <c r="B298" s="1" t="s">
        <v>709</v>
      </c>
      <c r="C298" s="1" t="s">
        <v>645</v>
      </c>
      <c r="E298" s="1">
        <v>4.44297088E8</v>
      </c>
      <c r="F298" s="2">
        <v>41249.0</v>
      </c>
      <c r="G298" s="1" t="s">
        <v>710</v>
      </c>
      <c r="I298" s="1" t="s">
        <v>710</v>
      </c>
      <c r="L298" s="1" t="s">
        <v>647</v>
      </c>
      <c r="M298" s="1">
        <v>1200.0</v>
      </c>
      <c r="N298" s="1" t="s">
        <v>647</v>
      </c>
      <c r="O298" s="1">
        <v>8.76992343E8</v>
      </c>
      <c r="P298" s="1" t="s">
        <v>550</v>
      </c>
      <c r="R298" s="1" t="s">
        <v>551</v>
      </c>
      <c r="S298" s="1" t="s">
        <v>44</v>
      </c>
      <c r="T298" s="1" t="s">
        <v>45</v>
      </c>
      <c r="U298" s="1">
        <v>4.82102451E8</v>
      </c>
      <c r="W298" s="1" t="s">
        <v>44</v>
      </c>
      <c r="X298" s="1" t="s">
        <v>45</v>
      </c>
      <c r="Y298" s="1">
        <v>4.82102451E8</v>
      </c>
      <c r="AB298" s="1">
        <v>27963.58</v>
      </c>
      <c r="AC298" s="2">
        <v>41249.0</v>
      </c>
      <c r="AD298" s="1">
        <v>1200.0</v>
      </c>
      <c r="AE298" s="1" t="s">
        <v>647</v>
      </c>
      <c r="AF298" s="1" t="s">
        <v>919</v>
      </c>
      <c r="AG298" s="1" t="s">
        <v>712</v>
      </c>
      <c r="AH298" s="1">
        <v>8.0</v>
      </c>
      <c r="AI298" s="1">
        <v>2013.0</v>
      </c>
      <c r="AJ298" s="1">
        <v>2013.0</v>
      </c>
      <c r="AK298" s="1" t="s">
        <v>713</v>
      </c>
    </row>
    <row r="299">
      <c r="A299" s="1" t="s">
        <v>709</v>
      </c>
      <c r="B299" s="1" t="s">
        <v>709</v>
      </c>
      <c r="C299" s="1" t="s">
        <v>645</v>
      </c>
      <c r="E299" s="1">
        <v>4.44297088E8</v>
      </c>
      <c r="F299" s="2">
        <v>41193.0</v>
      </c>
      <c r="G299" s="1" t="s">
        <v>710</v>
      </c>
      <c r="I299" s="1" t="s">
        <v>710</v>
      </c>
      <c r="L299" s="1" t="s">
        <v>647</v>
      </c>
      <c r="M299" s="1">
        <v>1200.0</v>
      </c>
      <c r="N299" s="1" t="s">
        <v>647</v>
      </c>
      <c r="O299" s="1">
        <v>9.6910162E8</v>
      </c>
      <c r="P299" s="1" t="s">
        <v>579</v>
      </c>
      <c r="R299" s="1" t="s">
        <v>580</v>
      </c>
      <c r="S299" s="1" t="s">
        <v>44</v>
      </c>
      <c r="T299" s="1" t="s">
        <v>45</v>
      </c>
      <c r="U299" s="1">
        <v>4.82283905E8</v>
      </c>
      <c r="W299" s="1" t="s">
        <v>287</v>
      </c>
      <c r="X299" s="1" t="s">
        <v>45</v>
      </c>
      <c r="Y299" s="1">
        <v>4.82283905E8</v>
      </c>
      <c r="AB299" s="1">
        <v>47048.72</v>
      </c>
      <c r="AC299" s="2">
        <v>41193.0</v>
      </c>
      <c r="AD299" s="1">
        <v>1200.0</v>
      </c>
      <c r="AE299" s="1" t="s">
        <v>647</v>
      </c>
      <c r="AF299" s="1" t="s">
        <v>920</v>
      </c>
      <c r="AG299" s="1" t="s">
        <v>712</v>
      </c>
      <c r="AH299" s="1">
        <v>8.0</v>
      </c>
      <c r="AI299" s="1">
        <v>2013.0</v>
      </c>
      <c r="AJ299" s="1">
        <v>2013.0</v>
      </c>
      <c r="AK299" s="1" t="s">
        <v>713</v>
      </c>
    </row>
    <row r="300">
      <c r="A300" s="1" t="s">
        <v>709</v>
      </c>
      <c r="B300" s="1" t="s">
        <v>709</v>
      </c>
      <c r="C300" s="1" t="s">
        <v>645</v>
      </c>
      <c r="E300" s="1">
        <v>4.44297088E8</v>
      </c>
      <c r="F300" s="2">
        <v>41234.0</v>
      </c>
      <c r="G300" s="1" t="s">
        <v>710</v>
      </c>
      <c r="I300" s="1" t="s">
        <v>710</v>
      </c>
      <c r="L300" s="1" t="s">
        <v>647</v>
      </c>
      <c r="M300" s="1">
        <v>1200.0</v>
      </c>
      <c r="N300" s="1" t="s">
        <v>647</v>
      </c>
      <c r="O300" s="1">
        <v>9.0912429E7</v>
      </c>
      <c r="P300" s="1" t="s">
        <v>521</v>
      </c>
      <c r="R300" s="1" t="s">
        <v>522</v>
      </c>
      <c r="S300" s="1" t="s">
        <v>44</v>
      </c>
      <c r="T300" s="1" t="s">
        <v>45</v>
      </c>
      <c r="U300" s="1">
        <v>4.82233314E8</v>
      </c>
      <c r="W300" s="1" t="s">
        <v>44</v>
      </c>
      <c r="X300" s="1" t="s">
        <v>45</v>
      </c>
      <c r="Y300" s="1">
        <v>4.82233314E8</v>
      </c>
      <c r="AB300" s="1">
        <v>82119.25</v>
      </c>
      <c r="AC300" s="2">
        <v>41234.0</v>
      </c>
      <c r="AD300" s="1">
        <v>1200.0</v>
      </c>
      <c r="AE300" s="1" t="s">
        <v>647</v>
      </c>
      <c r="AF300" s="1" t="s">
        <v>921</v>
      </c>
      <c r="AG300" s="1" t="s">
        <v>712</v>
      </c>
      <c r="AH300" s="1">
        <v>8.0</v>
      </c>
      <c r="AI300" s="1">
        <v>2013.0</v>
      </c>
      <c r="AJ300" s="1">
        <v>2013.0</v>
      </c>
      <c r="AK300" s="1" t="s">
        <v>713</v>
      </c>
    </row>
    <row r="301">
      <c r="A301" s="1" t="s">
        <v>709</v>
      </c>
      <c r="B301" s="1" t="s">
        <v>709</v>
      </c>
      <c r="C301" s="1" t="s">
        <v>645</v>
      </c>
      <c r="E301" s="1">
        <v>4.44297088E8</v>
      </c>
      <c r="F301" s="2">
        <v>41200.0</v>
      </c>
      <c r="G301" s="1" t="s">
        <v>710</v>
      </c>
      <c r="I301" s="1" t="s">
        <v>710</v>
      </c>
      <c r="L301" s="1" t="s">
        <v>647</v>
      </c>
      <c r="M301" s="1">
        <v>1200.0</v>
      </c>
      <c r="N301" s="1" t="s">
        <v>647</v>
      </c>
      <c r="O301" s="1">
        <v>2.496865E7</v>
      </c>
      <c r="P301" s="1" t="s">
        <v>609</v>
      </c>
      <c r="R301" s="1" t="s">
        <v>610</v>
      </c>
      <c r="S301" s="1" t="s">
        <v>44</v>
      </c>
      <c r="T301" s="1" t="s">
        <v>45</v>
      </c>
      <c r="U301" s="1">
        <v>4.8235168E8</v>
      </c>
      <c r="W301" s="1" t="s">
        <v>46</v>
      </c>
      <c r="X301" s="1" t="s">
        <v>45</v>
      </c>
      <c r="Y301" s="1">
        <v>4.8235168E8</v>
      </c>
      <c r="AB301" s="1">
        <v>46412.58</v>
      </c>
      <c r="AC301" s="2">
        <v>41200.0</v>
      </c>
      <c r="AD301" s="1">
        <v>1200.0</v>
      </c>
      <c r="AE301" s="1" t="s">
        <v>647</v>
      </c>
      <c r="AF301" s="1" t="s">
        <v>922</v>
      </c>
      <c r="AG301" s="1" t="s">
        <v>712</v>
      </c>
      <c r="AH301" s="1">
        <v>8.0</v>
      </c>
      <c r="AI301" s="1">
        <v>2013.0</v>
      </c>
      <c r="AJ301" s="1">
        <v>2013.0</v>
      </c>
      <c r="AK301" s="1" t="s">
        <v>713</v>
      </c>
    </row>
    <row r="302">
      <c r="A302" s="1" t="s">
        <v>709</v>
      </c>
      <c r="B302" s="1" t="s">
        <v>709</v>
      </c>
      <c r="C302" s="1" t="s">
        <v>645</v>
      </c>
      <c r="E302" s="1">
        <v>4.44297088E8</v>
      </c>
      <c r="F302" s="2">
        <v>41186.0</v>
      </c>
      <c r="G302" s="1" t="s">
        <v>710</v>
      </c>
      <c r="I302" s="1" t="s">
        <v>710</v>
      </c>
      <c r="L302" s="1" t="s">
        <v>647</v>
      </c>
      <c r="M302" s="1">
        <v>1200.0</v>
      </c>
      <c r="N302" s="1" t="s">
        <v>647</v>
      </c>
      <c r="O302" s="1">
        <v>7.8773308E7</v>
      </c>
      <c r="P302" s="1" t="s">
        <v>923</v>
      </c>
      <c r="R302" s="1" t="s">
        <v>924</v>
      </c>
      <c r="S302" s="1" t="s">
        <v>44</v>
      </c>
      <c r="T302" s="1" t="s">
        <v>45</v>
      </c>
      <c r="U302" s="1">
        <v>4.82283346E8</v>
      </c>
      <c r="W302" s="1" t="s">
        <v>44</v>
      </c>
      <c r="X302" s="1" t="s">
        <v>45</v>
      </c>
      <c r="Y302" s="1">
        <v>4.82283346E8</v>
      </c>
      <c r="AB302" s="1">
        <v>31444.88</v>
      </c>
      <c r="AC302" s="2">
        <v>41186.0</v>
      </c>
      <c r="AD302" s="1">
        <v>1200.0</v>
      </c>
      <c r="AE302" s="1" t="s">
        <v>647</v>
      </c>
      <c r="AF302" s="1" t="s">
        <v>925</v>
      </c>
      <c r="AG302" s="1" t="s">
        <v>712</v>
      </c>
      <c r="AH302" s="1">
        <v>8.0</v>
      </c>
      <c r="AI302" s="1">
        <v>2013.0</v>
      </c>
      <c r="AJ302" s="1">
        <v>2013.0</v>
      </c>
      <c r="AK302" s="1" t="s">
        <v>713</v>
      </c>
    </row>
    <row r="303">
      <c r="A303" s="1" t="s">
        <v>709</v>
      </c>
      <c r="B303" s="1" t="s">
        <v>709</v>
      </c>
      <c r="C303" s="1" t="s">
        <v>645</v>
      </c>
      <c r="E303" s="1">
        <v>4.44297088E8</v>
      </c>
      <c r="F303" s="2">
        <v>41186.0</v>
      </c>
      <c r="G303" s="1" t="s">
        <v>710</v>
      </c>
      <c r="I303" s="1" t="s">
        <v>710</v>
      </c>
      <c r="L303" s="1" t="s">
        <v>647</v>
      </c>
      <c r="M303" s="1">
        <v>1200.0</v>
      </c>
      <c r="N303" s="1" t="s">
        <v>647</v>
      </c>
      <c r="O303" s="1">
        <v>6.10593329E8</v>
      </c>
      <c r="P303" s="1" t="s">
        <v>926</v>
      </c>
      <c r="R303" s="1" t="s">
        <v>927</v>
      </c>
      <c r="S303" s="1" t="s">
        <v>44</v>
      </c>
      <c r="T303" s="1" t="s">
        <v>45</v>
      </c>
      <c r="U303" s="1">
        <v>4.82353325E8</v>
      </c>
      <c r="W303" s="1" t="s">
        <v>928</v>
      </c>
      <c r="X303" s="1" t="s">
        <v>45</v>
      </c>
      <c r="Y303" s="1">
        <v>4.80761694E8</v>
      </c>
      <c r="AB303" s="1">
        <v>39146.42</v>
      </c>
      <c r="AC303" s="2">
        <v>41186.0</v>
      </c>
      <c r="AD303" s="1">
        <v>1200.0</v>
      </c>
      <c r="AE303" s="1" t="s">
        <v>647</v>
      </c>
      <c r="AF303" s="1" t="s">
        <v>929</v>
      </c>
      <c r="AG303" s="1" t="s">
        <v>712</v>
      </c>
      <c r="AH303" s="1">
        <v>8.0</v>
      </c>
      <c r="AI303" s="1">
        <v>2013.0</v>
      </c>
      <c r="AJ303" s="1">
        <v>2013.0</v>
      </c>
      <c r="AK303" s="1" t="s">
        <v>713</v>
      </c>
    </row>
    <row r="304">
      <c r="A304" s="1" t="s">
        <v>709</v>
      </c>
      <c r="B304" s="1" t="s">
        <v>709</v>
      </c>
      <c r="C304" s="1" t="s">
        <v>645</v>
      </c>
      <c r="E304" s="1">
        <v>4.44297088E8</v>
      </c>
      <c r="F304" s="2">
        <v>41193.0</v>
      </c>
      <c r="G304" s="1" t="s">
        <v>710</v>
      </c>
      <c r="I304" s="1" t="s">
        <v>710</v>
      </c>
      <c r="L304" s="1" t="s">
        <v>647</v>
      </c>
      <c r="M304" s="1">
        <v>1200.0</v>
      </c>
      <c r="N304" s="1" t="s">
        <v>647</v>
      </c>
      <c r="O304" s="1">
        <v>1.36900474E8</v>
      </c>
      <c r="P304" s="1" t="s">
        <v>930</v>
      </c>
      <c r="R304" s="1" t="s">
        <v>931</v>
      </c>
      <c r="S304" s="1" t="s">
        <v>44</v>
      </c>
      <c r="T304" s="1" t="s">
        <v>45</v>
      </c>
      <c r="U304" s="1">
        <v>4.82281222E8</v>
      </c>
      <c r="W304" s="1" t="s">
        <v>44</v>
      </c>
      <c r="X304" s="1" t="s">
        <v>45</v>
      </c>
      <c r="Y304" s="1">
        <v>4.82281222E8</v>
      </c>
      <c r="AB304" s="1">
        <v>37989.0</v>
      </c>
      <c r="AC304" s="2">
        <v>41193.0</v>
      </c>
      <c r="AD304" s="1">
        <v>1200.0</v>
      </c>
      <c r="AE304" s="1" t="s">
        <v>647</v>
      </c>
      <c r="AF304" s="1" t="s">
        <v>932</v>
      </c>
      <c r="AG304" s="1" t="s">
        <v>712</v>
      </c>
      <c r="AH304" s="1">
        <v>8.0</v>
      </c>
      <c r="AI304" s="1">
        <v>2013.0</v>
      </c>
      <c r="AJ304" s="1">
        <v>2013.0</v>
      </c>
      <c r="AK304" s="1" t="s">
        <v>713</v>
      </c>
    </row>
    <row r="305">
      <c r="A305" s="1" t="s">
        <v>709</v>
      </c>
      <c r="B305" s="1" t="s">
        <v>709</v>
      </c>
      <c r="C305" s="1" t="s">
        <v>645</v>
      </c>
      <c r="E305" s="1">
        <v>4.44297088E8</v>
      </c>
      <c r="F305" s="2">
        <v>41193.0</v>
      </c>
      <c r="G305" s="1" t="s">
        <v>710</v>
      </c>
      <c r="I305" s="1" t="s">
        <v>710</v>
      </c>
      <c r="L305" s="1" t="s">
        <v>647</v>
      </c>
      <c r="M305" s="1">
        <v>1200.0</v>
      </c>
      <c r="N305" s="1" t="s">
        <v>647</v>
      </c>
      <c r="O305" s="1">
        <v>8.8328984E7</v>
      </c>
      <c r="P305" s="1" t="s">
        <v>933</v>
      </c>
      <c r="R305" s="1" t="s">
        <v>934</v>
      </c>
      <c r="S305" s="1" t="s">
        <v>44</v>
      </c>
      <c r="T305" s="1" t="s">
        <v>45</v>
      </c>
      <c r="U305" s="1">
        <v>4.82274087E8</v>
      </c>
      <c r="W305" s="1" t="s">
        <v>44</v>
      </c>
      <c r="X305" s="1" t="s">
        <v>45</v>
      </c>
      <c r="Y305" s="1">
        <v>4.82274087E8</v>
      </c>
      <c r="AB305" s="1">
        <v>57005.33</v>
      </c>
      <c r="AC305" s="2">
        <v>41193.0</v>
      </c>
      <c r="AD305" s="1">
        <v>1200.0</v>
      </c>
      <c r="AE305" s="1" t="s">
        <v>647</v>
      </c>
      <c r="AF305" s="1" t="s">
        <v>935</v>
      </c>
      <c r="AG305" s="1" t="s">
        <v>712</v>
      </c>
      <c r="AH305" s="1">
        <v>8.0</v>
      </c>
      <c r="AI305" s="1">
        <v>2013.0</v>
      </c>
      <c r="AJ305" s="1">
        <v>2013.0</v>
      </c>
      <c r="AK305" s="1" t="s">
        <v>713</v>
      </c>
    </row>
    <row r="306">
      <c r="A306" s="1" t="s">
        <v>709</v>
      </c>
      <c r="B306" s="1" t="s">
        <v>709</v>
      </c>
      <c r="C306" s="1" t="s">
        <v>645</v>
      </c>
      <c r="E306" s="1">
        <v>4.44297088E8</v>
      </c>
      <c r="F306" s="2">
        <v>41228.0</v>
      </c>
      <c r="G306" s="1" t="s">
        <v>710</v>
      </c>
      <c r="I306" s="1" t="s">
        <v>710</v>
      </c>
      <c r="L306" s="1" t="s">
        <v>647</v>
      </c>
      <c r="M306" s="1">
        <v>1200.0</v>
      </c>
      <c r="N306" s="1" t="s">
        <v>647</v>
      </c>
      <c r="O306" s="1">
        <v>3537326.0</v>
      </c>
      <c r="P306" s="1" t="s">
        <v>560</v>
      </c>
      <c r="R306" s="1" t="s">
        <v>561</v>
      </c>
      <c r="S306" s="1" t="s">
        <v>44</v>
      </c>
      <c r="T306" s="1" t="s">
        <v>45</v>
      </c>
      <c r="U306" s="1">
        <v>4.8212177E8</v>
      </c>
      <c r="W306" s="1" t="s">
        <v>498</v>
      </c>
      <c r="X306" s="1" t="s">
        <v>45</v>
      </c>
      <c r="Y306" s="1">
        <v>4.82121754E8</v>
      </c>
      <c r="Z306" s="1">
        <v>3537326.0</v>
      </c>
      <c r="AA306" s="1" t="s">
        <v>560</v>
      </c>
      <c r="AB306" s="1">
        <v>25584.75</v>
      </c>
      <c r="AC306" s="2">
        <v>41228.0</v>
      </c>
      <c r="AD306" s="1">
        <v>1200.0</v>
      </c>
      <c r="AE306" s="1" t="s">
        <v>647</v>
      </c>
      <c r="AF306" s="1" t="s">
        <v>936</v>
      </c>
      <c r="AG306" s="1" t="s">
        <v>712</v>
      </c>
      <c r="AH306" s="1">
        <v>8.0</v>
      </c>
      <c r="AI306" s="1">
        <v>2013.0</v>
      </c>
      <c r="AJ306" s="1">
        <v>2013.0</v>
      </c>
      <c r="AK306" s="1" t="s">
        <v>713</v>
      </c>
    </row>
    <row r="307">
      <c r="A307" s="1" t="s">
        <v>709</v>
      </c>
      <c r="B307" s="1" t="s">
        <v>709</v>
      </c>
      <c r="C307" s="1" t="s">
        <v>645</v>
      </c>
      <c r="E307" s="1">
        <v>4.44297088E8</v>
      </c>
      <c r="F307" s="2">
        <v>41242.0</v>
      </c>
      <c r="G307" s="1" t="s">
        <v>710</v>
      </c>
      <c r="I307" s="1" t="s">
        <v>710</v>
      </c>
      <c r="L307" s="1" t="s">
        <v>647</v>
      </c>
      <c r="M307" s="1">
        <v>1200.0</v>
      </c>
      <c r="N307" s="1" t="s">
        <v>647</v>
      </c>
      <c r="O307" s="1">
        <v>7.93697942E8</v>
      </c>
      <c r="P307" s="1" t="s">
        <v>459</v>
      </c>
      <c r="R307" s="1" t="s">
        <v>460</v>
      </c>
      <c r="S307" s="1" t="s">
        <v>44</v>
      </c>
      <c r="T307" s="1" t="s">
        <v>45</v>
      </c>
      <c r="U307" s="1">
        <v>4.82141601E8</v>
      </c>
      <c r="W307" s="1" t="s">
        <v>44</v>
      </c>
      <c r="X307" s="1" t="s">
        <v>45</v>
      </c>
      <c r="Y307" s="1">
        <v>4.82141601E8</v>
      </c>
      <c r="Z307" s="1">
        <v>7.6340843E7</v>
      </c>
      <c r="AA307" s="1" t="s">
        <v>461</v>
      </c>
      <c r="AB307" s="1">
        <v>167129.55</v>
      </c>
      <c r="AC307" s="2">
        <v>41242.0</v>
      </c>
      <c r="AD307" s="1">
        <v>1200.0</v>
      </c>
      <c r="AE307" s="1" t="s">
        <v>647</v>
      </c>
      <c r="AF307" s="1" t="s">
        <v>937</v>
      </c>
      <c r="AG307" s="1" t="s">
        <v>712</v>
      </c>
      <c r="AH307" s="1">
        <v>8.0</v>
      </c>
      <c r="AI307" s="1">
        <v>2013.0</v>
      </c>
      <c r="AJ307" s="1">
        <v>2013.0</v>
      </c>
      <c r="AK307" s="1" t="s">
        <v>713</v>
      </c>
    </row>
    <row r="308">
      <c r="A308" s="1" t="s">
        <v>709</v>
      </c>
      <c r="B308" s="1" t="s">
        <v>709</v>
      </c>
      <c r="C308" s="1" t="s">
        <v>645</v>
      </c>
      <c r="E308" s="1">
        <v>4.44297088E8</v>
      </c>
      <c r="F308" s="2">
        <v>41186.0</v>
      </c>
      <c r="G308" s="1" t="s">
        <v>710</v>
      </c>
      <c r="I308" s="1" t="s">
        <v>710</v>
      </c>
      <c r="L308" s="1" t="s">
        <v>647</v>
      </c>
      <c r="M308" s="1">
        <v>1200.0</v>
      </c>
      <c r="N308" s="1" t="s">
        <v>647</v>
      </c>
      <c r="O308" s="1">
        <v>6.07448487E8</v>
      </c>
      <c r="P308" s="1" t="s">
        <v>938</v>
      </c>
      <c r="R308" s="1" t="s">
        <v>939</v>
      </c>
      <c r="S308" s="1" t="s">
        <v>44</v>
      </c>
      <c r="T308" s="1" t="s">
        <v>45</v>
      </c>
      <c r="U308" s="1">
        <v>4.82242829E8</v>
      </c>
      <c r="W308" s="1" t="s">
        <v>44</v>
      </c>
      <c r="X308" s="1" t="s">
        <v>45</v>
      </c>
      <c r="Y308" s="1">
        <v>4.82242829E8</v>
      </c>
      <c r="Z308" s="1">
        <v>6.07448487E8</v>
      </c>
      <c r="AB308" s="1">
        <v>44776.07</v>
      </c>
      <c r="AC308" s="2">
        <v>41186.0</v>
      </c>
      <c r="AD308" s="1">
        <v>1200.0</v>
      </c>
      <c r="AE308" s="1" t="s">
        <v>647</v>
      </c>
      <c r="AF308" s="1" t="s">
        <v>940</v>
      </c>
      <c r="AG308" s="1" t="s">
        <v>712</v>
      </c>
      <c r="AH308" s="1">
        <v>8.0</v>
      </c>
      <c r="AI308" s="1">
        <v>2013.0</v>
      </c>
      <c r="AJ308" s="1">
        <v>2013.0</v>
      </c>
      <c r="AK308" s="1" t="s">
        <v>713</v>
      </c>
    </row>
    <row r="309">
      <c r="A309" s="1" t="s">
        <v>709</v>
      </c>
      <c r="B309" s="1" t="s">
        <v>709</v>
      </c>
      <c r="C309" s="1" t="s">
        <v>645</v>
      </c>
      <c r="E309" s="1">
        <v>4.44297088E8</v>
      </c>
      <c r="F309" s="2">
        <v>41228.0</v>
      </c>
      <c r="G309" s="1" t="s">
        <v>710</v>
      </c>
      <c r="I309" s="1" t="s">
        <v>710</v>
      </c>
      <c r="L309" s="1" t="s">
        <v>647</v>
      </c>
      <c r="M309" s="1">
        <v>1200.0</v>
      </c>
      <c r="N309" s="1" t="s">
        <v>647</v>
      </c>
      <c r="O309" s="1">
        <v>7.94990296E8</v>
      </c>
      <c r="P309" s="1" t="s">
        <v>601</v>
      </c>
      <c r="R309" s="1" t="s">
        <v>602</v>
      </c>
      <c r="S309" s="1" t="s">
        <v>44</v>
      </c>
      <c r="T309" s="1" t="s">
        <v>45</v>
      </c>
      <c r="U309" s="1">
        <v>4.82032827E8</v>
      </c>
      <c r="W309" s="1" t="s">
        <v>603</v>
      </c>
      <c r="X309" s="1" t="s">
        <v>45</v>
      </c>
      <c r="Y309" s="1">
        <v>4.82032827E8</v>
      </c>
      <c r="AB309" s="1">
        <v>43241.01</v>
      </c>
      <c r="AC309" s="2">
        <v>41228.0</v>
      </c>
      <c r="AD309" s="1">
        <v>1200.0</v>
      </c>
      <c r="AE309" s="1" t="s">
        <v>647</v>
      </c>
      <c r="AF309" s="1" t="s">
        <v>941</v>
      </c>
      <c r="AG309" s="1" t="s">
        <v>712</v>
      </c>
      <c r="AH309" s="1">
        <v>8.0</v>
      </c>
      <c r="AI309" s="1">
        <v>2013.0</v>
      </c>
      <c r="AJ309" s="1">
        <v>2013.0</v>
      </c>
      <c r="AK309" s="1" t="s">
        <v>713</v>
      </c>
    </row>
    <row r="310">
      <c r="A310" s="1" t="s">
        <v>709</v>
      </c>
      <c r="B310" s="1" t="s">
        <v>709</v>
      </c>
      <c r="C310" s="1" t="s">
        <v>645</v>
      </c>
      <c r="E310" s="1">
        <v>4.44297088E8</v>
      </c>
      <c r="F310" s="2">
        <v>41186.0</v>
      </c>
      <c r="G310" s="1" t="s">
        <v>710</v>
      </c>
      <c r="I310" s="1" t="s">
        <v>710</v>
      </c>
      <c r="L310" s="1" t="s">
        <v>647</v>
      </c>
      <c r="M310" s="1">
        <v>1200.0</v>
      </c>
      <c r="N310" s="1" t="s">
        <v>647</v>
      </c>
      <c r="O310" s="1">
        <v>5.4074575E7</v>
      </c>
      <c r="P310" s="1" t="s">
        <v>629</v>
      </c>
      <c r="Q310" s="1" t="s">
        <v>630</v>
      </c>
      <c r="R310" s="1" t="s">
        <v>631</v>
      </c>
      <c r="S310" s="1" t="s">
        <v>44</v>
      </c>
      <c r="T310" s="1" t="s">
        <v>45</v>
      </c>
      <c r="U310" s="1">
        <v>4.82171631E8</v>
      </c>
      <c r="W310" s="1" t="s">
        <v>44</v>
      </c>
      <c r="X310" s="1" t="s">
        <v>45</v>
      </c>
      <c r="Y310" s="1">
        <v>4.82171631E8</v>
      </c>
      <c r="AB310" s="1">
        <v>140684.58</v>
      </c>
      <c r="AC310" s="2">
        <v>41186.0</v>
      </c>
      <c r="AD310" s="1">
        <v>1200.0</v>
      </c>
      <c r="AE310" s="1" t="s">
        <v>647</v>
      </c>
      <c r="AF310" s="1" t="s">
        <v>942</v>
      </c>
      <c r="AG310" s="1" t="s">
        <v>712</v>
      </c>
      <c r="AH310" s="1">
        <v>8.0</v>
      </c>
      <c r="AI310" s="1">
        <v>2013.0</v>
      </c>
      <c r="AJ310" s="1">
        <v>2013.0</v>
      </c>
      <c r="AK310" s="1" t="s">
        <v>713</v>
      </c>
    </row>
    <row r="311">
      <c r="A311" s="1" t="s">
        <v>709</v>
      </c>
      <c r="B311" s="1" t="s">
        <v>709</v>
      </c>
      <c r="C311" s="1" t="s">
        <v>645</v>
      </c>
      <c r="E311" s="1">
        <v>4.44297088E8</v>
      </c>
      <c r="F311" s="2">
        <v>41193.0</v>
      </c>
      <c r="G311" s="1" t="s">
        <v>710</v>
      </c>
      <c r="I311" s="1" t="s">
        <v>710</v>
      </c>
      <c r="L311" s="1" t="s">
        <v>647</v>
      </c>
      <c r="M311" s="1">
        <v>1200.0</v>
      </c>
      <c r="N311" s="1" t="s">
        <v>647</v>
      </c>
      <c r="O311" s="1">
        <v>1.9366103E8</v>
      </c>
      <c r="P311" s="1" t="s">
        <v>943</v>
      </c>
      <c r="Q311" s="1" t="s">
        <v>944</v>
      </c>
      <c r="R311" s="1" t="s">
        <v>945</v>
      </c>
      <c r="S311" s="1" t="s">
        <v>44</v>
      </c>
      <c r="T311" s="1" t="s">
        <v>45</v>
      </c>
      <c r="U311" s="1">
        <v>4.82282283E8</v>
      </c>
      <c r="W311" s="1" t="s">
        <v>44</v>
      </c>
      <c r="X311" s="1" t="s">
        <v>45</v>
      </c>
      <c r="Y311" s="1">
        <v>4.82282283E8</v>
      </c>
      <c r="AB311" s="1">
        <v>35435.46</v>
      </c>
      <c r="AC311" s="2">
        <v>41193.0</v>
      </c>
      <c r="AD311" s="1">
        <v>1200.0</v>
      </c>
      <c r="AE311" s="1" t="s">
        <v>647</v>
      </c>
      <c r="AF311" s="1" t="s">
        <v>946</v>
      </c>
      <c r="AG311" s="1" t="s">
        <v>712</v>
      </c>
      <c r="AH311" s="1">
        <v>8.0</v>
      </c>
      <c r="AI311" s="1">
        <v>2013.0</v>
      </c>
      <c r="AJ311" s="1">
        <v>2013.0</v>
      </c>
      <c r="AK311" s="1" t="s">
        <v>713</v>
      </c>
    </row>
    <row r="312">
      <c r="A312" s="1" t="s">
        <v>709</v>
      </c>
      <c r="B312" s="1" t="s">
        <v>709</v>
      </c>
      <c r="C312" s="1" t="s">
        <v>645</v>
      </c>
      <c r="E312" s="1">
        <v>4.44297088E8</v>
      </c>
      <c r="F312" s="2">
        <v>41186.0</v>
      </c>
      <c r="G312" s="1" t="s">
        <v>710</v>
      </c>
      <c r="I312" s="1" t="s">
        <v>710</v>
      </c>
      <c r="L312" s="1" t="s">
        <v>647</v>
      </c>
      <c r="M312" s="1">
        <v>1200.0</v>
      </c>
      <c r="N312" s="1" t="s">
        <v>647</v>
      </c>
      <c r="O312" s="1">
        <v>1.36396822E8</v>
      </c>
      <c r="P312" s="1" t="s">
        <v>947</v>
      </c>
      <c r="R312" s="1" t="s">
        <v>948</v>
      </c>
      <c r="S312" s="1" t="s">
        <v>44</v>
      </c>
      <c r="T312" s="1" t="s">
        <v>45</v>
      </c>
      <c r="U312" s="1">
        <v>4.82191902E8</v>
      </c>
      <c r="W312" s="1" t="s">
        <v>44</v>
      </c>
      <c r="X312" s="1" t="s">
        <v>45</v>
      </c>
      <c r="Y312" s="1">
        <v>4.82191902E8</v>
      </c>
      <c r="AB312" s="1">
        <v>41887.82</v>
      </c>
      <c r="AC312" s="2">
        <v>41186.0</v>
      </c>
      <c r="AD312" s="1">
        <v>1200.0</v>
      </c>
      <c r="AE312" s="1" t="s">
        <v>647</v>
      </c>
      <c r="AF312" s="1" t="s">
        <v>949</v>
      </c>
      <c r="AG312" s="1" t="s">
        <v>712</v>
      </c>
      <c r="AH312" s="1">
        <v>8.0</v>
      </c>
      <c r="AI312" s="1">
        <v>2013.0</v>
      </c>
      <c r="AJ312" s="1">
        <v>2013.0</v>
      </c>
      <c r="AK312" s="1" t="s">
        <v>713</v>
      </c>
    </row>
    <row r="313">
      <c r="A313" s="1" t="s">
        <v>709</v>
      </c>
      <c r="B313" s="1" t="s">
        <v>709</v>
      </c>
      <c r="C313" s="1" t="s">
        <v>645</v>
      </c>
      <c r="E313" s="1">
        <v>4.44297088E8</v>
      </c>
      <c r="F313" s="2">
        <v>41200.0</v>
      </c>
      <c r="G313" s="1" t="s">
        <v>710</v>
      </c>
      <c r="I313" s="1" t="s">
        <v>710</v>
      </c>
      <c r="L313" s="1" t="s">
        <v>647</v>
      </c>
      <c r="M313" s="1">
        <v>1200.0</v>
      </c>
      <c r="N313" s="1" t="s">
        <v>647</v>
      </c>
      <c r="O313" s="1">
        <v>5.3529803E7</v>
      </c>
      <c r="P313" s="1" t="s">
        <v>950</v>
      </c>
      <c r="R313" s="1" t="s">
        <v>951</v>
      </c>
      <c r="S313" s="1" t="s">
        <v>44</v>
      </c>
      <c r="T313" s="1" t="s">
        <v>45</v>
      </c>
      <c r="U313" s="1">
        <v>4.82241518E8</v>
      </c>
      <c r="W313" s="1" t="s">
        <v>46</v>
      </c>
      <c r="X313" s="1" t="s">
        <v>45</v>
      </c>
      <c r="Y313" s="1">
        <v>4.82241518E8</v>
      </c>
      <c r="AB313" s="1">
        <v>41780.59</v>
      </c>
      <c r="AC313" s="2">
        <v>41200.0</v>
      </c>
      <c r="AD313" s="1">
        <v>1200.0</v>
      </c>
      <c r="AE313" s="1" t="s">
        <v>647</v>
      </c>
      <c r="AF313" s="1" t="s">
        <v>952</v>
      </c>
      <c r="AG313" s="1" t="s">
        <v>712</v>
      </c>
      <c r="AH313" s="1">
        <v>8.0</v>
      </c>
      <c r="AI313" s="1">
        <v>2013.0</v>
      </c>
      <c r="AJ313" s="1">
        <v>2013.0</v>
      </c>
      <c r="AK313" s="1" t="s">
        <v>713</v>
      </c>
    </row>
    <row r="314">
      <c r="A314" s="1" t="s">
        <v>709</v>
      </c>
      <c r="B314" s="1" t="s">
        <v>709</v>
      </c>
      <c r="C314" s="1" t="s">
        <v>645</v>
      </c>
      <c r="E314" s="1">
        <v>4.44297088E8</v>
      </c>
      <c r="F314" s="2">
        <v>41249.0</v>
      </c>
      <c r="G314" s="1" t="s">
        <v>710</v>
      </c>
      <c r="I314" s="1" t="s">
        <v>710</v>
      </c>
      <c r="L314" s="1" t="s">
        <v>647</v>
      </c>
      <c r="M314" s="1">
        <v>1200.0</v>
      </c>
      <c r="N314" s="1" t="s">
        <v>647</v>
      </c>
      <c r="O314" s="1">
        <v>9.62104118E8</v>
      </c>
      <c r="P314" s="1" t="s">
        <v>634</v>
      </c>
      <c r="R314" s="1" t="s">
        <v>635</v>
      </c>
      <c r="S314" s="1" t="s">
        <v>44</v>
      </c>
      <c r="T314" s="1" t="s">
        <v>45</v>
      </c>
      <c r="U314" s="1">
        <v>4.82351111E8</v>
      </c>
      <c r="W314" s="1" t="s">
        <v>46</v>
      </c>
      <c r="X314" s="1" t="s">
        <v>45</v>
      </c>
      <c r="Y314" s="1">
        <v>4.82351111E8</v>
      </c>
      <c r="AB314" s="1">
        <v>36022.37</v>
      </c>
      <c r="AC314" s="2">
        <v>41249.0</v>
      </c>
      <c r="AD314" s="1">
        <v>1200.0</v>
      </c>
      <c r="AE314" s="1" t="s">
        <v>647</v>
      </c>
      <c r="AF314" s="1" t="s">
        <v>953</v>
      </c>
      <c r="AG314" s="1" t="s">
        <v>712</v>
      </c>
      <c r="AH314" s="1">
        <v>8.0</v>
      </c>
      <c r="AI314" s="1">
        <v>2013.0</v>
      </c>
      <c r="AJ314" s="1">
        <v>2013.0</v>
      </c>
      <c r="AK314" s="1" t="s">
        <v>713</v>
      </c>
    </row>
    <row r="315">
      <c r="A315" s="1" t="s">
        <v>709</v>
      </c>
      <c r="B315" s="1" t="s">
        <v>709</v>
      </c>
      <c r="C315" s="1" t="s">
        <v>645</v>
      </c>
      <c r="E315" s="1">
        <v>4.44297088E8</v>
      </c>
      <c r="F315" s="2">
        <v>41193.0</v>
      </c>
      <c r="G315" s="1" t="s">
        <v>710</v>
      </c>
      <c r="I315" s="1" t="s">
        <v>710</v>
      </c>
      <c r="L315" s="1" t="s">
        <v>647</v>
      </c>
      <c r="M315" s="1">
        <v>1200.0</v>
      </c>
      <c r="N315" s="1" t="s">
        <v>647</v>
      </c>
      <c r="O315" s="1">
        <v>5.56265135E8</v>
      </c>
      <c r="P315" s="1" t="s">
        <v>954</v>
      </c>
      <c r="R315" s="1" t="s">
        <v>955</v>
      </c>
      <c r="S315" s="1" t="s">
        <v>44</v>
      </c>
      <c r="T315" s="1" t="s">
        <v>45</v>
      </c>
      <c r="U315" s="1">
        <v>4.82192756E8</v>
      </c>
      <c r="W315" s="1" t="s">
        <v>44</v>
      </c>
      <c r="X315" s="1" t="s">
        <v>45</v>
      </c>
      <c r="Y315" s="1">
        <v>4.82192756E8</v>
      </c>
      <c r="AB315" s="1">
        <v>65476.88</v>
      </c>
      <c r="AC315" s="2">
        <v>41193.0</v>
      </c>
      <c r="AD315" s="1">
        <v>1200.0</v>
      </c>
      <c r="AE315" s="1" t="s">
        <v>647</v>
      </c>
      <c r="AF315" s="1" t="s">
        <v>956</v>
      </c>
      <c r="AG315" s="1" t="s">
        <v>712</v>
      </c>
      <c r="AH315" s="1">
        <v>8.0</v>
      </c>
      <c r="AI315" s="1">
        <v>2013.0</v>
      </c>
      <c r="AJ315" s="1">
        <v>2013.0</v>
      </c>
      <c r="AK315" s="1" t="s">
        <v>713</v>
      </c>
    </row>
    <row r="316">
      <c r="A316" s="1" t="s">
        <v>957</v>
      </c>
      <c r="B316" s="1" t="s">
        <v>957</v>
      </c>
      <c r="C316" s="1" t="s">
        <v>645</v>
      </c>
      <c r="E316" s="1">
        <v>4077418.0</v>
      </c>
      <c r="F316" s="2">
        <v>41456.0</v>
      </c>
      <c r="G316" s="1" t="s">
        <v>958</v>
      </c>
      <c r="I316" s="1" t="s">
        <v>958</v>
      </c>
      <c r="L316" s="1" t="s">
        <v>647</v>
      </c>
      <c r="M316" s="1">
        <v>1200.0</v>
      </c>
      <c r="N316" s="1" t="s">
        <v>647</v>
      </c>
      <c r="O316" s="1">
        <v>1.4193515E8</v>
      </c>
      <c r="P316" s="1" t="s">
        <v>877</v>
      </c>
      <c r="R316" s="1" t="s">
        <v>878</v>
      </c>
      <c r="S316" s="1" t="s">
        <v>44</v>
      </c>
      <c r="T316" s="1" t="s">
        <v>45</v>
      </c>
      <c r="U316" s="1">
        <v>4.82102038E8</v>
      </c>
      <c r="W316" s="1" t="s">
        <v>879</v>
      </c>
      <c r="X316" s="1" t="s">
        <v>880</v>
      </c>
      <c r="Y316" s="1">
        <v>6.06233738E8</v>
      </c>
      <c r="AB316" s="1">
        <v>12326.0</v>
      </c>
      <c r="AC316" s="2">
        <v>41456.0</v>
      </c>
      <c r="AD316" s="1">
        <v>1200.0</v>
      </c>
      <c r="AE316" s="1" t="s">
        <v>647</v>
      </c>
      <c r="AF316" s="1" t="s">
        <v>959</v>
      </c>
      <c r="AG316" s="1" t="s">
        <v>960</v>
      </c>
      <c r="AH316" s="1">
        <v>7.0</v>
      </c>
      <c r="AI316" s="1">
        <v>2013.0</v>
      </c>
      <c r="AJ316" s="1">
        <v>2013.0</v>
      </c>
      <c r="AK316" s="1" t="s">
        <v>961</v>
      </c>
    </row>
    <row r="317">
      <c r="A317" s="1" t="s">
        <v>709</v>
      </c>
      <c r="B317" s="1" t="s">
        <v>709</v>
      </c>
      <c r="C317" s="1" t="s">
        <v>645</v>
      </c>
      <c r="E317" s="1">
        <v>4.44297088E8</v>
      </c>
      <c r="F317" s="2">
        <v>41242.0</v>
      </c>
      <c r="G317" s="1" t="s">
        <v>710</v>
      </c>
      <c r="I317" s="1" t="s">
        <v>710</v>
      </c>
      <c r="L317" s="1" t="s">
        <v>647</v>
      </c>
      <c r="M317" s="1">
        <v>1200.0</v>
      </c>
      <c r="N317" s="1" t="s">
        <v>647</v>
      </c>
      <c r="O317" s="1">
        <v>7.6340843E7</v>
      </c>
      <c r="P317" s="1" t="s">
        <v>461</v>
      </c>
      <c r="Q317" s="1" t="s">
        <v>459</v>
      </c>
      <c r="R317" s="1" t="s">
        <v>524</v>
      </c>
      <c r="S317" s="1" t="s">
        <v>44</v>
      </c>
      <c r="T317" s="1" t="s">
        <v>45</v>
      </c>
      <c r="U317" s="1">
        <v>4.82023046E8</v>
      </c>
      <c r="W317" s="1" t="s">
        <v>44</v>
      </c>
      <c r="X317" s="1" t="s">
        <v>45</v>
      </c>
      <c r="Y317" s="1">
        <v>4.82023096E8</v>
      </c>
      <c r="Z317" s="1">
        <v>7.6340843E7</v>
      </c>
      <c r="AA317" s="1" t="s">
        <v>461</v>
      </c>
      <c r="AB317" s="1">
        <v>1271137.35</v>
      </c>
      <c r="AC317" s="2">
        <v>41242.0</v>
      </c>
      <c r="AD317" s="1">
        <v>1200.0</v>
      </c>
      <c r="AE317" s="1" t="s">
        <v>647</v>
      </c>
      <c r="AF317" s="1" t="s">
        <v>962</v>
      </c>
      <c r="AG317" s="1" t="s">
        <v>712</v>
      </c>
      <c r="AH317" s="1">
        <v>8.0</v>
      </c>
      <c r="AI317" s="1">
        <v>2013.0</v>
      </c>
      <c r="AJ317" s="1">
        <v>2013.0</v>
      </c>
      <c r="AK317" s="1" t="s">
        <v>713</v>
      </c>
    </row>
    <row r="318">
      <c r="A318" s="1" t="s">
        <v>957</v>
      </c>
      <c r="B318" s="1" t="s">
        <v>957</v>
      </c>
      <c r="C318" s="1" t="s">
        <v>645</v>
      </c>
      <c r="E318" s="1">
        <v>4077418.0</v>
      </c>
      <c r="F318" s="2">
        <v>41456.0</v>
      </c>
      <c r="G318" s="1" t="s">
        <v>958</v>
      </c>
      <c r="I318" s="1" t="s">
        <v>958</v>
      </c>
      <c r="L318" s="1" t="s">
        <v>647</v>
      </c>
      <c r="M318" s="1">
        <v>1200.0</v>
      </c>
      <c r="N318" s="1" t="s">
        <v>647</v>
      </c>
      <c r="O318" s="1">
        <v>1.4193515E8</v>
      </c>
      <c r="P318" s="1" t="s">
        <v>877</v>
      </c>
      <c r="R318" s="1" t="s">
        <v>878</v>
      </c>
      <c r="S318" s="1" t="s">
        <v>44</v>
      </c>
      <c r="T318" s="1" t="s">
        <v>45</v>
      </c>
      <c r="U318" s="1">
        <v>4.82102038E8</v>
      </c>
      <c r="W318" s="1" t="s">
        <v>879</v>
      </c>
      <c r="X318" s="1" t="s">
        <v>880</v>
      </c>
      <c r="Y318" s="1">
        <v>6.06233738E8</v>
      </c>
      <c r="AB318" s="1">
        <v>39600.0</v>
      </c>
      <c r="AC318" s="2">
        <v>41456.0</v>
      </c>
      <c r="AD318" s="1">
        <v>1200.0</v>
      </c>
      <c r="AE318" s="1" t="s">
        <v>647</v>
      </c>
      <c r="AF318" s="1" t="s">
        <v>959</v>
      </c>
      <c r="AG318" s="1" t="s">
        <v>960</v>
      </c>
      <c r="AH318" s="1">
        <v>7.0</v>
      </c>
      <c r="AI318" s="1">
        <v>2013.0</v>
      </c>
      <c r="AJ318" s="1">
        <v>2013.0</v>
      </c>
      <c r="AK318" s="1" t="s">
        <v>961</v>
      </c>
    </row>
    <row r="319">
      <c r="A319" s="1" t="s">
        <v>963</v>
      </c>
      <c r="B319" s="1" t="s">
        <v>963</v>
      </c>
      <c r="C319" s="1" t="s">
        <v>964</v>
      </c>
      <c r="E319" s="1">
        <v>3.5377028E7</v>
      </c>
      <c r="F319" s="2">
        <v>41183.0</v>
      </c>
      <c r="G319" s="1" t="s">
        <v>965</v>
      </c>
      <c r="I319" s="1" t="s">
        <v>965</v>
      </c>
      <c r="L319" s="1" t="s">
        <v>40</v>
      </c>
      <c r="M319" s="1">
        <v>7500.0</v>
      </c>
      <c r="N319" s="1" t="s">
        <v>40</v>
      </c>
      <c r="O319" s="1">
        <v>1962224.0</v>
      </c>
      <c r="P319" s="1" t="s">
        <v>52</v>
      </c>
      <c r="Q319" s="1" t="s">
        <v>966</v>
      </c>
      <c r="R319" s="1" t="s">
        <v>53</v>
      </c>
      <c r="S319" s="1" t="s">
        <v>44</v>
      </c>
      <c r="T319" s="1" t="s">
        <v>45</v>
      </c>
      <c r="U319" s="1">
        <v>4.82023692E8</v>
      </c>
      <c r="W319" s="1" t="s">
        <v>46</v>
      </c>
      <c r="X319" s="1" t="s">
        <v>45</v>
      </c>
      <c r="Y319" s="1">
        <v>4.82023692E8</v>
      </c>
      <c r="Z319" s="1">
        <v>1962224.0</v>
      </c>
      <c r="AA319" s="1" t="s">
        <v>52</v>
      </c>
      <c r="AB319" s="1">
        <v>20000.0</v>
      </c>
      <c r="AC319" s="2">
        <v>41183.0</v>
      </c>
      <c r="AD319" s="1">
        <v>7500.0</v>
      </c>
      <c r="AE319" s="1" t="s">
        <v>40</v>
      </c>
      <c r="AF319" s="1">
        <v>2.0131058E7</v>
      </c>
      <c r="AG319" s="1" t="s">
        <v>967</v>
      </c>
      <c r="AH319" s="1">
        <v>10.0</v>
      </c>
      <c r="AI319" s="1">
        <v>2010.0</v>
      </c>
      <c r="AJ319" s="1">
        <v>2013.0</v>
      </c>
      <c r="AK319" s="1" t="s">
        <v>968</v>
      </c>
    </row>
    <row r="320">
      <c r="A320" s="1" t="s">
        <v>969</v>
      </c>
      <c r="B320" s="1" t="s">
        <v>969</v>
      </c>
      <c r="C320" s="1" t="s">
        <v>38</v>
      </c>
      <c r="E320" s="1">
        <v>2134038.0</v>
      </c>
      <c r="F320" s="2">
        <v>41374.0</v>
      </c>
      <c r="G320" s="1" t="s">
        <v>970</v>
      </c>
      <c r="I320" s="1" t="s">
        <v>970</v>
      </c>
      <c r="L320" s="1" t="s">
        <v>40</v>
      </c>
      <c r="M320" s="1">
        <v>7500.0</v>
      </c>
      <c r="N320" s="1" t="s">
        <v>40</v>
      </c>
      <c r="O320" s="1">
        <v>1962224.0</v>
      </c>
      <c r="P320" s="1" t="s">
        <v>52</v>
      </c>
      <c r="R320" s="1" t="s">
        <v>53</v>
      </c>
      <c r="S320" s="1" t="s">
        <v>44</v>
      </c>
      <c r="T320" s="1" t="s">
        <v>45</v>
      </c>
      <c r="U320" s="1">
        <v>4.82023692E8</v>
      </c>
      <c r="W320" s="1" t="s">
        <v>44</v>
      </c>
      <c r="X320" s="1" t="s">
        <v>45</v>
      </c>
      <c r="Y320" s="1">
        <v>4.82023692E8</v>
      </c>
      <c r="Z320" s="1">
        <v>1962224.0</v>
      </c>
      <c r="AA320" s="1" t="s">
        <v>52</v>
      </c>
      <c r="AB320" s="1">
        <v>35110.0</v>
      </c>
      <c r="AC320" s="2">
        <v>41374.0</v>
      </c>
      <c r="AD320" s="1">
        <v>7500.0</v>
      </c>
      <c r="AE320" s="1" t="s">
        <v>40</v>
      </c>
      <c r="AF320" s="1" t="s">
        <v>971</v>
      </c>
      <c r="AG320" s="1" t="s">
        <v>972</v>
      </c>
      <c r="AH320" s="1">
        <v>4.0</v>
      </c>
      <c r="AI320" s="1">
        <v>2013.0</v>
      </c>
      <c r="AJ320" s="1">
        <v>2013.0</v>
      </c>
      <c r="AK320" s="1" t="s">
        <v>973</v>
      </c>
    </row>
    <row r="321">
      <c r="A321" s="1" t="s">
        <v>214</v>
      </c>
      <c r="B321" s="1" t="s">
        <v>214</v>
      </c>
      <c r="C321" s="1" t="s">
        <v>50</v>
      </c>
      <c r="E321" s="1">
        <v>3287008.0</v>
      </c>
      <c r="F321" s="2">
        <v>41526.0</v>
      </c>
      <c r="G321" s="1" t="s">
        <v>215</v>
      </c>
      <c r="I321" s="1" t="s">
        <v>215</v>
      </c>
      <c r="L321" s="1" t="s">
        <v>50</v>
      </c>
      <c r="M321" s="1">
        <v>8900.0</v>
      </c>
      <c r="N321" s="1" t="s">
        <v>50</v>
      </c>
      <c r="O321" s="1">
        <v>6957872.0</v>
      </c>
      <c r="P321" s="1" t="s">
        <v>216</v>
      </c>
      <c r="Q321" s="1" t="s">
        <v>217</v>
      </c>
      <c r="R321" s="1" t="s">
        <v>218</v>
      </c>
      <c r="S321" s="1" t="s">
        <v>44</v>
      </c>
      <c r="T321" s="1" t="s">
        <v>45</v>
      </c>
      <c r="U321" s="1">
        <v>4.82261203E8</v>
      </c>
      <c r="W321" s="1" t="s">
        <v>46</v>
      </c>
      <c r="X321" s="1" t="s">
        <v>45</v>
      </c>
      <c r="Y321" s="1">
        <v>4.82261203E8</v>
      </c>
      <c r="Z321" s="1">
        <v>8.39329158E8</v>
      </c>
      <c r="AA321" s="1" t="s">
        <v>219</v>
      </c>
      <c r="AB321" s="1">
        <v>30000.0</v>
      </c>
      <c r="AC321" s="2">
        <v>41526.0</v>
      </c>
      <c r="AD321" s="1">
        <v>8900.0</v>
      </c>
      <c r="AE321" s="1" t="s">
        <v>50</v>
      </c>
      <c r="AF321" s="1">
        <v>1.0001146E7</v>
      </c>
      <c r="AG321" s="1" t="s">
        <v>974</v>
      </c>
      <c r="AH321" s="1">
        <v>9.0</v>
      </c>
      <c r="AI321" s="1">
        <v>2013.0</v>
      </c>
      <c r="AJ321" s="1">
        <v>2013.0</v>
      </c>
      <c r="AK321" s="1" t="s">
        <v>222</v>
      </c>
    </row>
    <row r="322">
      <c r="A322" s="1" t="s">
        <v>975</v>
      </c>
      <c r="B322" s="1" t="s">
        <v>975</v>
      </c>
      <c r="C322" s="1" t="s">
        <v>100</v>
      </c>
      <c r="E322" s="1">
        <v>2113536.0</v>
      </c>
      <c r="F322" s="2">
        <v>41183.0</v>
      </c>
      <c r="G322" s="1" t="s">
        <v>101</v>
      </c>
      <c r="I322" s="1" t="s">
        <v>101</v>
      </c>
      <c r="L322" s="1" t="s">
        <v>102</v>
      </c>
      <c r="M322" s="1">
        <v>8600.0</v>
      </c>
      <c r="N322" s="1" t="s">
        <v>102</v>
      </c>
      <c r="O322" s="1">
        <v>1.4556403E8</v>
      </c>
      <c r="P322" s="1" t="s">
        <v>976</v>
      </c>
      <c r="R322" s="1" t="s">
        <v>977</v>
      </c>
      <c r="S322" s="1" t="s">
        <v>44</v>
      </c>
      <c r="T322" s="1" t="s">
        <v>45</v>
      </c>
      <c r="U322" s="1">
        <v>4.82133418E8</v>
      </c>
      <c r="W322" s="1" t="s">
        <v>46</v>
      </c>
      <c r="X322" s="1" t="s">
        <v>45</v>
      </c>
      <c r="Y322" s="1">
        <v>4.82133418E8</v>
      </c>
      <c r="AB322" s="1">
        <v>152732.48</v>
      </c>
      <c r="AC322" s="2">
        <v>41183.0</v>
      </c>
      <c r="AD322" s="1">
        <v>8600.0</v>
      </c>
      <c r="AE322" s="1" t="s">
        <v>102</v>
      </c>
      <c r="AF322" s="1">
        <v>2.0130879E7</v>
      </c>
      <c r="AG322" s="1" t="s">
        <v>978</v>
      </c>
      <c r="AH322" s="1">
        <v>10.0</v>
      </c>
      <c r="AI322" s="1">
        <v>2011.0</v>
      </c>
      <c r="AJ322" s="1">
        <v>2013.0</v>
      </c>
      <c r="AK322" s="1" t="s">
        <v>108</v>
      </c>
    </row>
    <row r="323">
      <c r="A323" s="1" t="s">
        <v>975</v>
      </c>
      <c r="B323" s="1" t="s">
        <v>975</v>
      </c>
      <c r="C323" s="1" t="s">
        <v>100</v>
      </c>
      <c r="E323" s="1">
        <v>2113536.0</v>
      </c>
      <c r="F323" s="2">
        <v>41183.0</v>
      </c>
      <c r="G323" s="1" t="s">
        <v>101</v>
      </c>
      <c r="I323" s="1" t="s">
        <v>101</v>
      </c>
      <c r="L323" s="1" t="s">
        <v>102</v>
      </c>
      <c r="M323" s="1">
        <v>8600.0</v>
      </c>
      <c r="N323" s="1" t="s">
        <v>102</v>
      </c>
      <c r="O323" s="1">
        <v>4.3419399E7</v>
      </c>
      <c r="P323" s="1" t="s">
        <v>979</v>
      </c>
      <c r="R323" s="1" t="s">
        <v>980</v>
      </c>
      <c r="S323" s="1" t="s">
        <v>44</v>
      </c>
      <c r="T323" s="1" t="s">
        <v>45</v>
      </c>
      <c r="U323" s="1">
        <v>4.82261412E8</v>
      </c>
      <c r="W323" s="1" t="s">
        <v>46</v>
      </c>
      <c r="X323" s="1" t="s">
        <v>45</v>
      </c>
      <c r="Y323" s="1">
        <v>4.82261412E8</v>
      </c>
      <c r="Z323" s="1">
        <v>4.3419399E7</v>
      </c>
      <c r="AA323" s="1" t="s">
        <v>979</v>
      </c>
      <c r="AB323" s="1">
        <v>99032.11</v>
      </c>
      <c r="AC323" s="2">
        <v>41183.0</v>
      </c>
      <c r="AD323" s="1">
        <v>8600.0</v>
      </c>
      <c r="AE323" s="1" t="s">
        <v>102</v>
      </c>
      <c r="AF323" s="1">
        <v>2.0131023E7</v>
      </c>
      <c r="AG323" s="1" t="s">
        <v>978</v>
      </c>
      <c r="AH323" s="1">
        <v>10.0</v>
      </c>
      <c r="AI323" s="1">
        <v>2011.0</v>
      </c>
      <c r="AJ323" s="1">
        <v>2013.0</v>
      </c>
      <c r="AK323" s="1" t="s">
        <v>108</v>
      </c>
    </row>
    <row r="324">
      <c r="A324" s="1" t="s">
        <v>981</v>
      </c>
      <c r="B324" s="1" t="s">
        <v>981</v>
      </c>
      <c r="C324" s="1" t="s">
        <v>224</v>
      </c>
      <c r="E324" s="1">
        <v>400000.0</v>
      </c>
      <c r="F324" s="2">
        <v>41514.0</v>
      </c>
      <c r="G324" s="1" t="s">
        <v>982</v>
      </c>
      <c r="I324" s="1" t="s">
        <v>982</v>
      </c>
      <c r="L324" s="1" t="s">
        <v>151</v>
      </c>
      <c r="M324" s="1">
        <v>6900.0</v>
      </c>
      <c r="N324" s="1" t="s">
        <v>151</v>
      </c>
      <c r="O324" s="1">
        <v>1.1855476E8</v>
      </c>
      <c r="P324" s="1" t="s">
        <v>983</v>
      </c>
      <c r="Q324" s="1" t="s">
        <v>984</v>
      </c>
      <c r="R324" s="1" t="s">
        <v>227</v>
      </c>
      <c r="S324" s="1" t="s">
        <v>44</v>
      </c>
      <c r="T324" s="1" t="s">
        <v>45</v>
      </c>
      <c r="U324" s="1">
        <v>4.82262886E8</v>
      </c>
      <c r="W324" s="1" t="s">
        <v>46</v>
      </c>
      <c r="X324" s="1" t="s">
        <v>45</v>
      </c>
      <c r="Y324" s="1">
        <v>4.82262886E8</v>
      </c>
      <c r="Z324" s="1">
        <v>6530661.0</v>
      </c>
      <c r="AA324" s="1" t="s">
        <v>76</v>
      </c>
      <c r="AB324" s="1">
        <v>400000.0</v>
      </c>
      <c r="AC324" s="2">
        <v>41514.0</v>
      </c>
      <c r="AD324" s="1">
        <v>6900.0</v>
      </c>
      <c r="AE324" s="1" t="s">
        <v>151</v>
      </c>
      <c r="AF324" s="1">
        <v>1.0</v>
      </c>
      <c r="AG324" s="1" t="s">
        <v>985</v>
      </c>
      <c r="AH324" s="1">
        <v>10.0</v>
      </c>
      <c r="AI324" s="1">
        <v>2013.0</v>
      </c>
      <c r="AJ324" s="1">
        <v>2013.0</v>
      </c>
      <c r="AK324" s="1" t="s">
        <v>229</v>
      </c>
    </row>
    <row r="325">
      <c r="A325" s="1" t="s">
        <v>986</v>
      </c>
      <c r="B325" s="1" t="s">
        <v>986</v>
      </c>
      <c r="C325" s="1" t="s">
        <v>224</v>
      </c>
      <c r="E325" s="1">
        <v>247267.0</v>
      </c>
      <c r="F325" s="2">
        <v>41506.0</v>
      </c>
      <c r="G325" s="1" t="s">
        <v>987</v>
      </c>
      <c r="I325" s="1" t="s">
        <v>987</v>
      </c>
      <c r="L325" s="1" t="s">
        <v>151</v>
      </c>
      <c r="M325" s="1">
        <v>6900.0</v>
      </c>
      <c r="N325" s="1" t="s">
        <v>151</v>
      </c>
      <c r="O325" s="1">
        <v>1.1855476E8</v>
      </c>
      <c r="P325" s="1" t="s">
        <v>983</v>
      </c>
      <c r="Q325" s="1" t="s">
        <v>984</v>
      </c>
      <c r="R325" s="1" t="s">
        <v>227</v>
      </c>
      <c r="S325" s="1" t="s">
        <v>44</v>
      </c>
      <c r="T325" s="1" t="s">
        <v>45</v>
      </c>
      <c r="U325" s="1">
        <v>4.82262886E8</v>
      </c>
      <c r="W325" s="1" t="s">
        <v>46</v>
      </c>
      <c r="X325" s="1" t="s">
        <v>45</v>
      </c>
      <c r="Y325" s="1">
        <v>4.82262886E8</v>
      </c>
      <c r="Z325" s="1">
        <v>6530661.0</v>
      </c>
      <c r="AA325" s="1" t="s">
        <v>76</v>
      </c>
      <c r="AB325" s="1">
        <v>247267.2</v>
      </c>
      <c r="AC325" s="2">
        <v>41506.0</v>
      </c>
      <c r="AD325" s="1">
        <v>6900.0</v>
      </c>
      <c r="AE325" s="1" t="s">
        <v>151</v>
      </c>
      <c r="AF325" s="1">
        <v>1.0</v>
      </c>
      <c r="AG325" s="1" t="s">
        <v>988</v>
      </c>
      <c r="AH325" s="1">
        <v>10.0</v>
      </c>
      <c r="AI325" s="1">
        <v>2013.0</v>
      </c>
      <c r="AJ325" s="1">
        <v>2013.0</v>
      </c>
      <c r="AK325" s="1" t="s">
        <v>229</v>
      </c>
    </row>
    <row r="326">
      <c r="A326" s="1" t="s">
        <v>989</v>
      </c>
      <c r="B326" s="1" t="s">
        <v>989</v>
      </c>
      <c r="C326" s="1" t="s">
        <v>224</v>
      </c>
      <c r="E326" s="1">
        <v>1411984.0</v>
      </c>
      <c r="F326" s="2">
        <v>41514.0</v>
      </c>
      <c r="G326" s="1" t="s">
        <v>990</v>
      </c>
      <c r="I326" s="1" t="s">
        <v>990</v>
      </c>
      <c r="L326" s="1" t="s">
        <v>151</v>
      </c>
      <c r="M326" s="1">
        <v>6900.0</v>
      </c>
      <c r="N326" s="1" t="s">
        <v>151</v>
      </c>
      <c r="O326" s="1">
        <v>9.63886101E8</v>
      </c>
      <c r="P326" s="1" t="s">
        <v>259</v>
      </c>
      <c r="R326" s="1" t="s">
        <v>260</v>
      </c>
      <c r="S326" s="1" t="s">
        <v>44</v>
      </c>
      <c r="T326" s="1" t="s">
        <v>45</v>
      </c>
      <c r="U326" s="1">
        <v>4.8226348E8</v>
      </c>
      <c r="W326" s="1" t="s">
        <v>46</v>
      </c>
      <c r="X326" s="1" t="s">
        <v>45</v>
      </c>
      <c r="Y326" s="1">
        <v>4.8226348E8</v>
      </c>
      <c r="Z326" s="1">
        <v>7.3134884E7</v>
      </c>
      <c r="AA326" s="1" t="s">
        <v>261</v>
      </c>
      <c r="AB326" s="1">
        <v>1411984.48</v>
      </c>
      <c r="AC326" s="2">
        <v>41514.0</v>
      </c>
      <c r="AD326" s="1">
        <v>6900.0</v>
      </c>
      <c r="AE326" s="1" t="s">
        <v>151</v>
      </c>
      <c r="AF326" s="1">
        <v>1.0</v>
      </c>
      <c r="AG326" s="1" t="s">
        <v>991</v>
      </c>
      <c r="AH326" s="1">
        <v>10.0</v>
      </c>
      <c r="AI326" s="1">
        <v>2013.0</v>
      </c>
      <c r="AJ326" s="1">
        <v>2013.0</v>
      </c>
      <c r="AK326" s="1" t="s">
        <v>229</v>
      </c>
    </row>
    <row r="327">
      <c r="A327" s="1" t="s">
        <v>992</v>
      </c>
      <c r="B327" s="1" t="s">
        <v>992</v>
      </c>
      <c r="C327" s="1" t="s">
        <v>159</v>
      </c>
      <c r="E327" s="1">
        <v>3.4836676E7</v>
      </c>
      <c r="F327" s="2">
        <v>41528.0</v>
      </c>
      <c r="G327" s="1" t="s">
        <v>993</v>
      </c>
      <c r="I327" s="1" t="s">
        <v>993</v>
      </c>
      <c r="L327" s="1" t="s">
        <v>40</v>
      </c>
      <c r="M327" s="1">
        <v>7500.0</v>
      </c>
      <c r="N327" s="1" t="s">
        <v>40</v>
      </c>
      <c r="O327" s="1">
        <v>1.42793053E8</v>
      </c>
      <c r="P327" s="1" t="s">
        <v>994</v>
      </c>
      <c r="R327" s="1" t="s">
        <v>995</v>
      </c>
      <c r="S327" s="1" t="s">
        <v>44</v>
      </c>
      <c r="T327" s="1" t="s">
        <v>45</v>
      </c>
      <c r="U327" s="1">
        <v>4.82282721E8</v>
      </c>
      <c r="W327" s="1" t="s">
        <v>46</v>
      </c>
      <c r="X327" s="1" t="s">
        <v>45</v>
      </c>
      <c r="Y327" s="1">
        <v>4.82282721E8</v>
      </c>
      <c r="AB327" s="1">
        <v>51598.0</v>
      </c>
      <c r="AC327" s="2">
        <v>41528.0</v>
      </c>
      <c r="AD327" s="1">
        <v>7500.0</v>
      </c>
      <c r="AE327" s="1" t="s">
        <v>40</v>
      </c>
      <c r="AF327" s="1">
        <v>2.0606865E7</v>
      </c>
      <c r="AG327" s="1" t="s">
        <v>996</v>
      </c>
      <c r="AH327" s="1">
        <v>6.0</v>
      </c>
      <c r="AI327" s="1">
        <v>2013.0</v>
      </c>
      <c r="AJ327" s="1">
        <v>2013.0</v>
      </c>
      <c r="AK327" s="1" t="s">
        <v>997</v>
      </c>
    </row>
    <row r="328">
      <c r="A328" s="1" t="s">
        <v>992</v>
      </c>
      <c r="B328" s="1" t="s">
        <v>992</v>
      </c>
      <c r="C328" s="1" t="s">
        <v>159</v>
      </c>
      <c r="E328" s="1">
        <v>3.4836676E7</v>
      </c>
      <c r="F328" s="2">
        <v>41514.0</v>
      </c>
      <c r="G328" s="1" t="s">
        <v>993</v>
      </c>
      <c r="I328" s="1" t="s">
        <v>993</v>
      </c>
      <c r="L328" s="1" t="s">
        <v>40</v>
      </c>
      <c r="M328" s="1">
        <v>7500.0</v>
      </c>
      <c r="N328" s="1" t="s">
        <v>40</v>
      </c>
      <c r="O328" s="1">
        <v>2.0830303E7</v>
      </c>
      <c r="P328" s="1" t="s">
        <v>424</v>
      </c>
      <c r="Q328" s="1" t="s">
        <v>425</v>
      </c>
      <c r="R328" s="1" t="s">
        <v>426</v>
      </c>
      <c r="S328" s="1" t="s">
        <v>44</v>
      </c>
      <c r="T328" s="1" t="s">
        <v>45</v>
      </c>
      <c r="U328" s="1">
        <v>4.82012002E8</v>
      </c>
      <c r="W328" s="1" t="s">
        <v>46</v>
      </c>
      <c r="X328" s="1" t="s">
        <v>45</v>
      </c>
      <c r="Y328" s="1">
        <v>4.82012002E8</v>
      </c>
      <c r="Z328" s="1">
        <v>2.0830303E7</v>
      </c>
      <c r="AA328" s="1" t="s">
        <v>424</v>
      </c>
      <c r="AB328" s="1">
        <v>1096742.0</v>
      </c>
      <c r="AC328" s="2">
        <v>41514.0</v>
      </c>
      <c r="AD328" s="1">
        <v>7500.0</v>
      </c>
      <c r="AE328" s="1" t="s">
        <v>40</v>
      </c>
      <c r="AF328" s="1">
        <v>3.81358015E8</v>
      </c>
      <c r="AG328" s="1" t="s">
        <v>998</v>
      </c>
      <c r="AH328" s="1">
        <v>6.0</v>
      </c>
      <c r="AI328" s="1">
        <v>2013.0</v>
      </c>
      <c r="AJ328" s="1">
        <v>2013.0</v>
      </c>
      <c r="AK328" s="1" t="s">
        <v>997</v>
      </c>
    </row>
    <row r="329">
      <c r="A329" s="1" t="s">
        <v>992</v>
      </c>
      <c r="B329" s="1" t="s">
        <v>992</v>
      </c>
      <c r="C329" s="1" t="s">
        <v>159</v>
      </c>
      <c r="E329" s="1">
        <v>3.4836676E7</v>
      </c>
      <c r="F329" s="2">
        <v>41528.0</v>
      </c>
      <c r="G329" s="1" t="s">
        <v>993</v>
      </c>
      <c r="I329" s="1" t="s">
        <v>993</v>
      </c>
      <c r="L329" s="1" t="s">
        <v>40</v>
      </c>
      <c r="M329" s="1">
        <v>7500.0</v>
      </c>
      <c r="N329" s="1" t="s">
        <v>40</v>
      </c>
      <c r="O329" s="1">
        <v>1.98999146E8</v>
      </c>
      <c r="P329" s="1" t="s">
        <v>999</v>
      </c>
      <c r="R329" s="1" t="s">
        <v>1000</v>
      </c>
      <c r="S329" s="1" t="s">
        <v>44</v>
      </c>
      <c r="T329" s="1" t="s">
        <v>45</v>
      </c>
      <c r="U329" s="1">
        <v>4.82263007E8</v>
      </c>
      <c r="W329" s="1" t="s">
        <v>46</v>
      </c>
      <c r="X329" s="1" t="s">
        <v>45</v>
      </c>
      <c r="Y329" s="1">
        <v>4.82263007E8</v>
      </c>
      <c r="AB329" s="1">
        <v>693365.0</v>
      </c>
      <c r="AC329" s="2">
        <v>41528.0</v>
      </c>
      <c r="AD329" s="1">
        <v>7500.0</v>
      </c>
      <c r="AE329" s="1" t="s">
        <v>40</v>
      </c>
      <c r="AF329" s="1">
        <v>3.82704374E8</v>
      </c>
      <c r="AG329" s="1" t="s">
        <v>1001</v>
      </c>
      <c r="AH329" s="1">
        <v>6.0</v>
      </c>
      <c r="AI329" s="1">
        <v>2013.0</v>
      </c>
      <c r="AJ329" s="1">
        <v>2013.0</v>
      </c>
      <c r="AK329" s="1" t="s">
        <v>997</v>
      </c>
    </row>
    <row r="330">
      <c r="A330" s="1" t="s">
        <v>975</v>
      </c>
      <c r="B330" s="1" t="s">
        <v>975</v>
      </c>
      <c r="C330" s="1" t="s">
        <v>100</v>
      </c>
      <c r="E330" s="1">
        <v>2113536.0</v>
      </c>
      <c r="F330" s="2">
        <v>41183.0</v>
      </c>
      <c r="G330" s="1" t="s">
        <v>101</v>
      </c>
      <c r="I330" s="1" t="s">
        <v>101</v>
      </c>
      <c r="L330" s="1" t="s">
        <v>102</v>
      </c>
      <c r="M330" s="1">
        <v>8600.0</v>
      </c>
      <c r="N330" s="1" t="s">
        <v>102</v>
      </c>
      <c r="O330" s="1">
        <v>6.07778081E8</v>
      </c>
      <c r="P330" s="1" t="s">
        <v>1002</v>
      </c>
      <c r="Q330" s="1" t="s">
        <v>1003</v>
      </c>
      <c r="R330" s="1" t="s">
        <v>1004</v>
      </c>
      <c r="S330" s="1" t="s">
        <v>44</v>
      </c>
      <c r="T330" s="1" t="s">
        <v>45</v>
      </c>
      <c r="U330" s="1">
        <v>4.82261986E8</v>
      </c>
      <c r="W330" s="1" t="s">
        <v>46</v>
      </c>
      <c r="X330" s="1" t="s">
        <v>45</v>
      </c>
      <c r="Y330" s="1">
        <v>4.8226288E8</v>
      </c>
      <c r="Z330" s="1">
        <v>6.07778081E8</v>
      </c>
      <c r="AA330" s="1" t="s">
        <v>1002</v>
      </c>
      <c r="AB330" s="1">
        <v>147333.0</v>
      </c>
      <c r="AC330" s="2">
        <v>41183.0</v>
      </c>
      <c r="AD330" s="1">
        <v>8600.0</v>
      </c>
      <c r="AE330" s="1" t="s">
        <v>102</v>
      </c>
      <c r="AF330" s="1">
        <v>2.0130877E7</v>
      </c>
      <c r="AG330" s="1" t="s">
        <v>978</v>
      </c>
      <c r="AH330" s="1">
        <v>10.0</v>
      </c>
      <c r="AI330" s="1">
        <v>2011.0</v>
      </c>
      <c r="AJ330" s="1">
        <v>2013.0</v>
      </c>
      <c r="AK330" s="1" t="s">
        <v>108</v>
      </c>
    </row>
    <row r="331">
      <c r="A331" s="1" t="s">
        <v>975</v>
      </c>
      <c r="B331" s="1" t="s">
        <v>975</v>
      </c>
      <c r="C331" s="1" t="s">
        <v>100</v>
      </c>
      <c r="E331" s="1">
        <v>2113536.0</v>
      </c>
      <c r="F331" s="2">
        <v>41183.0</v>
      </c>
      <c r="G331" s="1" t="s">
        <v>101</v>
      </c>
      <c r="I331" s="1" t="s">
        <v>101</v>
      </c>
      <c r="L331" s="1" t="s">
        <v>102</v>
      </c>
      <c r="M331" s="1">
        <v>8600.0</v>
      </c>
      <c r="N331" s="1" t="s">
        <v>102</v>
      </c>
      <c r="O331" s="1">
        <v>7.6385699E7</v>
      </c>
      <c r="P331" s="1" t="s">
        <v>106</v>
      </c>
      <c r="Q331" s="1" t="s">
        <v>1005</v>
      </c>
      <c r="R331" s="1" t="s">
        <v>1006</v>
      </c>
      <c r="S331" s="1" t="s">
        <v>44</v>
      </c>
      <c r="T331" s="1" t="s">
        <v>45</v>
      </c>
      <c r="U331" s="1">
        <v>4.82092022E8</v>
      </c>
      <c r="W331" s="1" t="s">
        <v>46</v>
      </c>
      <c r="X331" s="1" t="s">
        <v>45</v>
      </c>
      <c r="Y331" s="1">
        <v>4.82092022E8</v>
      </c>
      <c r="Z331" s="1">
        <v>7.6385699E7</v>
      </c>
      <c r="AA331" s="1" t="s">
        <v>106</v>
      </c>
      <c r="AB331" s="1">
        <v>287504.28</v>
      </c>
      <c r="AC331" s="2">
        <v>41183.0</v>
      </c>
      <c r="AD331" s="1">
        <v>8600.0</v>
      </c>
      <c r="AE331" s="1" t="s">
        <v>102</v>
      </c>
      <c r="AF331" s="1">
        <v>2.0130878E7</v>
      </c>
      <c r="AG331" s="1" t="s">
        <v>978</v>
      </c>
      <c r="AH331" s="1">
        <v>10.0</v>
      </c>
      <c r="AI331" s="1">
        <v>2011.0</v>
      </c>
      <c r="AJ331" s="1">
        <v>2013.0</v>
      </c>
      <c r="AK331" s="1" t="s">
        <v>108</v>
      </c>
    </row>
    <row r="332">
      <c r="A332" s="1" t="s">
        <v>1007</v>
      </c>
      <c r="B332" s="1" t="s">
        <v>1007</v>
      </c>
      <c r="C332" s="1" t="s">
        <v>63</v>
      </c>
      <c r="E332" s="1">
        <v>3200991.0</v>
      </c>
      <c r="F332" s="2">
        <v>41183.0</v>
      </c>
      <c r="G332" s="1" t="s">
        <v>1008</v>
      </c>
      <c r="I332" s="1" t="s">
        <v>1008</v>
      </c>
      <c r="L332" s="1" t="s">
        <v>40</v>
      </c>
      <c r="M332" s="1">
        <v>7500.0</v>
      </c>
      <c r="N332" s="1" t="s">
        <v>40</v>
      </c>
      <c r="O332" s="1">
        <v>7.3135402E7</v>
      </c>
      <c r="P332" s="1" t="s">
        <v>152</v>
      </c>
      <c r="Q332" s="1" t="s">
        <v>153</v>
      </c>
      <c r="R332" s="1" t="s">
        <v>154</v>
      </c>
      <c r="S332" s="1" t="s">
        <v>44</v>
      </c>
      <c r="T332" s="1" t="s">
        <v>45</v>
      </c>
      <c r="U332" s="1">
        <v>4.82213038E8</v>
      </c>
      <c r="W332" s="1" t="s">
        <v>46</v>
      </c>
      <c r="X332" s="1" t="s">
        <v>45</v>
      </c>
      <c r="Y332" s="1">
        <v>4.82213038E8</v>
      </c>
      <c r="Z332" s="1">
        <v>7.3135402E7</v>
      </c>
      <c r="AA332" s="1" t="s">
        <v>152</v>
      </c>
      <c r="AB332" s="1">
        <v>5245.0</v>
      </c>
      <c r="AC332" s="2">
        <v>41183.0</v>
      </c>
      <c r="AD332" s="1">
        <v>7500.0</v>
      </c>
      <c r="AE332" s="1" t="s">
        <v>40</v>
      </c>
      <c r="AF332" s="1">
        <v>2.01302E7</v>
      </c>
      <c r="AG332" s="1" t="s">
        <v>1009</v>
      </c>
      <c r="AH332" s="1">
        <v>10.0</v>
      </c>
      <c r="AI332" s="1">
        <v>2010.0</v>
      </c>
      <c r="AJ332" s="1">
        <v>2013.0</v>
      </c>
      <c r="AK332" s="1" t="s">
        <v>342</v>
      </c>
    </row>
    <row r="333">
      <c r="A333" s="1" t="s">
        <v>975</v>
      </c>
      <c r="B333" s="1" t="s">
        <v>975</v>
      </c>
      <c r="C333" s="1" t="s">
        <v>100</v>
      </c>
      <c r="E333" s="1">
        <v>2113536.0</v>
      </c>
      <c r="F333" s="2">
        <v>41183.0</v>
      </c>
      <c r="G333" s="1" t="s">
        <v>101</v>
      </c>
      <c r="I333" s="1" t="s">
        <v>101</v>
      </c>
      <c r="L333" s="1" t="s">
        <v>102</v>
      </c>
      <c r="M333" s="1">
        <v>8600.0</v>
      </c>
      <c r="N333" s="1" t="s">
        <v>102</v>
      </c>
      <c r="O333" s="1">
        <v>1.61078902E8</v>
      </c>
      <c r="P333" s="1" t="s">
        <v>1010</v>
      </c>
      <c r="Q333" s="1" t="s">
        <v>1011</v>
      </c>
      <c r="R333" s="1" t="s">
        <v>1012</v>
      </c>
      <c r="S333" s="1" t="s">
        <v>44</v>
      </c>
      <c r="T333" s="1" t="s">
        <v>45</v>
      </c>
      <c r="U333" s="1">
        <v>4.82012722E8</v>
      </c>
      <c r="W333" s="1" t="s">
        <v>46</v>
      </c>
      <c r="X333" s="1" t="s">
        <v>45</v>
      </c>
      <c r="Y333" s="1">
        <v>4.82012722E8</v>
      </c>
      <c r="Z333" s="1">
        <v>1.61078902E8</v>
      </c>
      <c r="AA333" s="1" t="s">
        <v>1010</v>
      </c>
      <c r="AB333" s="1">
        <v>286562.46</v>
      </c>
      <c r="AC333" s="2">
        <v>41183.0</v>
      </c>
      <c r="AD333" s="1">
        <v>8600.0</v>
      </c>
      <c r="AE333" s="1" t="s">
        <v>102</v>
      </c>
      <c r="AF333" s="1">
        <v>2.0130882E7</v>
      </c>
      <c r="AG333" s="1" t="s">
        <v>978</v>
      </c>
      <c r="AH333" s="1">
        <v>10.0</v>
      </c>
      <c r="AI333" s="1">
        <v>2011.0</v>
      </c>
      <c r="AJ333" s="1">
        <v>2013.0</v>
      </c>
      <c r="AK333" s="1" t="s">
        <v>108</v>
      </c>
    </row>
    <row r="334">
      <c r="A334" s="1" t="s">
        <v>1013</v>
      </c>
      <c r="B334" s="1" t="s">
        <v>1013</v>
      </c>
      <c r="C334" s="1" t="s">
        <v>224</v>
      </c>
      <c r="E334" s="1">
        <v>164878.0</v>
      </c>
      <c r="F334" s="2">
        <v>41506.0</v>
      </c>
      <c r="G334" s="1" t="s">
        <v>1014</v>
      </c>
      <c r="I334" s="1" t="s">
        <v>1014</v>
      </c>
      <c r="L334" s="1" t="s">
        <v>151</v>
      </c>
      <c r="M334" s="1">
        <v>6900.0</v>
      </c>
      <c r="N334" s="1" t="s">
        <v>151</v>
      </c>
      <c r="O334" s="1">
        <v>1.1855476E8</v>
      </c>
      <c r="P334" s="1" t="s">
        <v>983</v>
      </c>
      <c r="Q334" s="1" t="s">
        <v>984</v>
      </c>
      <c r="R334" s="1" t="s">
        <v>227</v>
      </c>
      <c r="S334" s="1" t="s">
        <v>44</v>
      </c>
      <c r="T334" s="1" t="s">
        <v>45</v>
      </c>
      <c r="U334" s="1">
        <v>4.82262886E8</v>
      </c>
      <c r="W334" s="1" t="s">
        <v>46</v>
      </c>
      <c r="X334" s="1" t="s">
        <v>45</v>
      </c>
      <c r="Y334" s="1">
        <v>4.82262886E8</v>
      </c>
      <c r="Z334" s="1">
        <v>6530661.0</v>
      </c>
      <c r="AA334" s="1" t="s">
        <v>76</v>
      </c>
      <c r="AB334" s="1">
        <v>164878.34</v>
      </c>
      <c r="AC334" s="2">
        <v>41506.0</v>
      </c>
      <c r="AD334" s="1">
        <v>6900.0</v>
      </c>
      <c r="AE334" s="1" t="s">
        <v>151</v>
      </c>
      <c r="AF334" s="1">
        <v>1.0</v>
      </c>
      <c r="AG334" s="1" t="s">
        <v>1015</v>
      </c>
      <c r="AH334" s="1">
        <v>10.0</v>
      </c>
      <c r="AI334" s="1">
        <v>2013.0</v>
      </c>
      <c r="AJ334" s="1">
        <v>2013.0</v>
      </c>
      <c r="AK334" s="1" t="s">
        <v>229</v>
      </c>
    </row>
    <row r="335">
      <c r="A335" s="1" t="s">
        <v>1016</v>
      </c>
      <c r="B335" s="1" t="s">
        <v>1016</v>
      </c>
      <c r="C335" s="1" t="s">
        <v>38</v>
      </c>
      <c r="E335" s="1">
        <v>1704425.0</v>
      </c>
      <c r="F335" s="2">
        <v>41488.0</v>
      </c>
      <c r="G335" s="1" t="s">
        <v>1017</v>
      </c>
      <c r="I335" s="1" t="s">
        <v>1017</v>
      </c>
      <c r="L335" s="1" t="s">
        <v>40</v>
      </c>
      <c r="M335" s="1">
        <v>7500.0</v>
      </c>
      <c r="N335" s="1" t="s">
        <v>40</v>
      </c>
      <c r="O335" s="1">
        <v>8.29081207E8</v>
      </c>
      <c r="P335" s="1" t="s">
        <v>1018</v>
      </c>
      <c r="R335" s="1" t="s">
        <v>1019</v>
      </c>
      <c r="S335" s="1" t="s">
        <v>44</v>
      </c>
      <c r="T335" s="1" t="s">
        <v>45</v>
      </c>
      <c r="U335" s="1">
        <v>4.82133402E8</v>
      </c>
      <c r="W335" s="1" t="s">
        <v>46</v>
      </c>
      <c r="X335" s="1" t="s">
        <v>45</v>
      </c>
      <c r="Y335" s="1">
        <v>4.82133402E8</v>
      </c>
      <c r="AB335" s="1">
        <v>50683.0</v>
      </c>
      <c r="AC335" s="2">
        <v>41488.0</v>
      </c>
      <c r="AD335" s="1">
        <v>7500.0</v>
      </c>
      <c r="AE335" s="1" t="s">
        <v>40</v>
      </c>
      <c r="AF335" s="1">
        <v>3.002042445E9</v>
      </c>
      <c r="AG335" s="1" t="s">
        <v>1020</v>
      </c>
      <c r="AH335" s="1">
        <v>9.0</v>
      </c>
      <c r="AI335" s="1">
        <v>2013.0</v>
      </c>
      <c r="AJ335" s="1">
        <v>2013.0</v>
      </c>
      <c r="AK335" s="1" t="s">
        <v>1021</v>
      </c>
    </row>
    <row r="336">
      <c r="A336" s="1" t="s">
        <v>975</v>
      </c>
      <c r="B336" s="1" t="s">
        <v>975</v>
      </c>
      <c r="C336" s="1" t="s">
        <v>100</v>
      </c>
      <c r="E336" s="1">
        <v>2113536.0</v>
      </c>
      <c r="F336" s="2">
        <v>41183.0</v>
      </c>
      <c r="G336" s="1" t="s">
        <v>101</v>
      </c>
      <c r="I336" s="1" t="s">
        <v>101</v>
      </c>
      <c r="L336" s="1" t="s">
        <v>102</v>
      </c>
      <c r="M336" s="1">
        <v>8600.0</v>
      </c>
      <c r="N336" s="1" t="s">
        <v>102</v>
      </c>
      <c r="O336" s="1">
        <v>1.93540515E8</v>
      </c>
      <c r="P336" s="1" t="s">
        <v>1022</v>
      </c>
      <c r="R336" s="1" t="s">
        <v>1023</v>
      </c>
      <c r="S336" s="1" t="s">
        <v>44</v>
      </c>
      <c r="T336" s="1" t="s">
        <v>45</v>
      </c>
      <c r="U336" s="1">
        <v>4.82193653E8</v>
      </c>
      <c r="W336" s="1" t="s">
        <v>46</v>
      </c>
      <c r="X336" s="1" t="s">
        <v>45</v>
      </c>
      <c r="Y336" s="1">
        <v>4.82193165E8</v>
      </c>
      <c r="AB336" s="1">
        <v>132027.06</v>
      </c>
      <c r="AC336" s="2">
        <v>41183.0</v>
      </c>
      <c r="AD336" s="1">
        <v>8600.0</v>
      </c>
      <c r="AE336" s="1" t="s">
        <v>102</v>
      </c>
      <c r="AF336" s="1">
        <v>2.0130881E7</v>
      </c>
      <c r="AG336" s="1" t="s">
        <v>978</v>
      </c>
      <c r="AH336" s="1">
        <v>10.0</v>
      </c>
      <c r="AI336" s="1">
        <v>2011.0</v>
      </c>
      <c r="AJ336" s="1">
        <v>2013.0</v>
      </c>
      <c r="AK336" s="1" t="s">
        <v>108</v>
      </c>
    </row>
    <row r="337">
      <c r="A337" s="1" t="s">
        <v>1007</v>
      </c>
      <c r="B337" s="1" t="s">
        <v>1007</v>
      </c>
      <c r="C337" s="1" t="s">
        <v>63</v>
      </c>
      <c r="E337" s="1">
        <v>3200991.0</v>
      </c>
      <c r="F337" s="2">
        <v>41183.0</v>
      </c>
      <c r="G337" s="1" t="s">
        <v>1008</v>
      </c>
      <c r="I337" s="1" t="s">
        <v>1008</v>
      </c>
      <c r="L337" s="1" t="s">
        <v>40</v>
      </c>
      <c r="M337" s="1">
        <v>7500.0</v>
      </c>
      <c r="N337" s="1" t="s">
        <v>40</v>
      </c>
      <c r="O337" s="1">
        <v>7.8583404E7</v>
      </c>
      <c r="P337" s="1" t="s">
        <v>65</v>
      </c>
      <c r="R337" s="1" t="s">
        <v>66</v>
      </c>
      <c r="S337" s="1" t="s">
        <v>44</v>
      </c>
      <c r="T337" s="1" t="s">
        <v>45</v>
      </c>
      <c r="U337" s="1">
        <v>4.82021732E8</v>
      </c>
      <c r="W337" s="1" t="s">
        <v>46</v>
      </c>
      <c r="X337" s="1" t="s">
        <v>45</v>
      </c>
      <c r="Y337" s="1">
        <v>4.82021732E8</v>
      </c>
      <c r="AB337" s="1">
        <v>3025.0</v>
      </c>
      <c r="AC337" s="2">
        <v>41183.0</v>
      </c>
      <c r="AD337" s="1">
        <v>7500.0</v>
      </c>
      <c r="AE337" s="1" t="s">
        <v>40</v>
      </c>
      <c r="AF337" s="1">
        <v>2.01304E7</v>
      </c>
      <c r="AG337" s="1" t="s">
        <v>1009</v>
      </c>
      <c r="AH337" s="1">
        <v>10.0</v>
      </c>
      <c r="AI337" s="1">
        <v>2010.0</v>
      </c>
      <c r="AJ337" s="1">
        <v>2013.0</v>
      </c>
      <c r="AK337" s="1" t="s">
        <v>342</v>
      </c>
    </row>
    <row r="338">
      <c r="A338" s="1" t="s">
        <v>1024</v>
      </c>
      <c r="B338" s="1" t="s">
        <v>1024</v>
      </c>
      <c r="C338" s="1" t="s">
        <v>224</v>
      </c>
      <c r="E338" s="1">
        <v>317497.0</v>
      </c>
      <c r="F338" s="2">
        <v>41499.0</v>
      </c>
      <c r="G338" s="1" t="s">
        <v>1025</v>
      </c>
      <c r="I338" s="1" t="s">
        <v>1025</v>
      </c>
      <c r="L338" s="1" t="s">
        <v>151</v>
      </c>
      <c r="M338" s="1">
        <v>6900.0</v>
      </c>
      <c r="N338" s="1" t="s">
        <v>151</v>
      </c>
      <c r="O338" s="1">
        <v>1.1855476E8</v>
      </c>
      <c r="P338" s="1" t="s">
        <v>983</v>
      </c>
      <c r="Q338" s="1" t="s">
        <v>984</v>
      </c>
      <c r="R338" s="1" t="s">
        <v>227</v>
      </c>
      <c r="S338" s="1" t="s">
        <v>44</v>
      </c>
      <c r="T338" s="1" t="s">
        <v>45</v>
      </c>
      <c r="U338" s="1">
        <v>4.82262886E8</v>
      </c>
      <c r="W338" s="1" t="s">
        <v>46</v>
      </c>
      <c r="X338" s="1" t="s">
        <v>45</v>
      </c>
      <c r="Y338" s="1">
        <v>4.82262886E8</v>
      </c>
      <c r="Z338" s="1">
        <v>6530661.0</v>
      </c>
      <c r="AA338" s="1" t="s">
        <v>76</v>
      </c>
      <c r="AB338" s="1">
        <v>317497.75</v>
      </c>
      <c r="AC338" s="2">
        <v>41499.0</v>
      </c>
      <c r="AD338" s="1">
        <v>6900.0</v>
      </c>
      <c r="AE338" s="1" t="s">
        <v>151</v>
      </c>
      <c r="AF338" s="1">
        <v>1.0</v>
      </c>
      <c r="AG338" s="1" t="s">
        <v>1026</v>
      </c>
      <c r="AH338" s="1">
        <v>10.0</v>
      </c>
      <c r="AI338" s="1">
        <v>2013.0</v>
      </c>
      <c r="AJ338" s="1">
        <v>2013.0</v>
      </c>
      <c r="AK338" s="1" t="s">
        <v>229</v>
      </c>
    </row>
    <row r="339">
      <c r="A339" s="1" t="s">
        <v>1027</v>
      </c>
      <c r="B339" s="1" t="s">
        <v>1027</v>
      </c>
      <c r="C339" s="1" t="s">
        <v>224</v>
      </c>
      <c r="E339" s="1">
        <v>2162865.0</v>
      </c>
      <c r="F339" s="2">
        <v>41499.0</v>
      </c>
      <c r="G339" s="1" t="s">
        <v>1025</v>
      </c>
      <c r="I339" s="1" t="s">
        <v>1025</v>
      </c>
      <c r="L339" s="1" t="s">
        <v>151</v>
      </c>
      <c r="M339" s="1">
        <v>6900.0</v>
      </c>
      <c r="N339" s="1" t="s">
        <v>151</v>
      </c>
      <c r="O339" s="1">
        <v>1.1855476E8</v>
      </c>
      <c r="P339" s="1" t="s">
        <v>983</v>
      </c>
      <c r="Q339" s="1" t="s">
        <v>984</v>
      </c>
      <c r="R339" s="1" t="s">
        <v>227</v>
      </c>
      <c r="S339" s="1" t="s">
        <v>44</v>
      </c>
      <c r="T339" s="1" t="s">
        <v>45</v>
      </c>
      <c r="U339" s="1">
        <v>4.82262886E8</v>
      </c>
      <c r="W339" s="1" t="s">
        <v>46</v>
      </c>
      <c r="X339" s="1" t="s">
        <v>45</v>
      </c>
      <c r="Y339" s="1">
        <v>4.82262886E8</v>
      </c>
      <c r="Z339" s="1">
        <v>6530661.0</v>
      </c>
      <c r="AA339" s="1" t="s">
        <v>76</v>
      </c>
      <c r="AB339" s="1">
        <v>2162864.25</v>
      </c>
      <c r="AC339" s="2">
        <v>41499.0</v>
      </c>
      <c r="AD339" s="1">
        <v>6900.0</v>
      </c>
      <c r="AE339" s="1" t="s">
        <v>151</v>
      </c>
      <c r="AF339" s="1">
        <v>1.0</v>
      </c>
      <c r="AG339" s="1" t="s">
        <v>1026</v>
      </c>
      <c r="AH339" s="1">
        <v>10.0</v>
      </c>
      <c r="AI339" s="1">
        <v>2013.0</v>
      </c>
      <c r="AJ339" s="1">
        <v>2013.0</v>
      </c>
      <c r="AK339" s="1" t="s">
        <v>229</v>
      </c>
    </row>
    <row r="340">
      <c r="A340" s="1" t="s">
        <v>1028</v>
      </c>
      <c r="B340" s="1" t="s">
        <v>1028</v>
      </c>
      <c r="C340" s="1" t="s">
        <v>224</v>
      </c>
      <c r="E340" s="1">
        <v>216458.0</v>
      </c>
      <c r="F340" s="2">
        <v>41499.0</v>
      </c>
      <c r="G340" s="1" t="s">
        <v>1025</v>
      </c>
      <c r="I340" s="1" t="s">
        <v>1025</v>
      </c>
      <c r="L340" s="1" t="s">
        <v>151</v>
      </c>
      <c r="M340" s="1">
        <v>6900.0</v>
      </c>
      <c r="N340" s="1" t="s">
        <v>151</v>
      </c>
      <c r="O340" s="1">
        <v>1.1855476E8</v>
      </c>
      <c r="P340" s="1" t="s">
        <v>983</v>
      </c>
      <c r="Q340" s="1" t="s">
        <v>984</v>
      </c>
      <c r="R340" s="1" t="s">
        <v>227</v>
      </c>
      <c r="S340" s="1" t="s">
        <v>44</v>
      </c>
      <c r="T340" s="1" t="s">
        <v>45</v>
      </c>
      <c r="U340" s="1">
        <v>4.82262886E8</v>
      </c>
      <c r="W340" s="1" t="s">
        <v>46</v>
      </c>
      <c r="X340" s="1" t="s">
        <v>45</v>
      </c>
      <c r="Y340" s="1">
        <v>4.82262886E8</v>
      </c>
      <c r="Z340" s="1">
        <v>6530661.0</v>
      </c>
      <c r="AA340" s="1" t="s">
        <v>76</v>
      </c>
      <c r="AB340" s="1">
        <v>262288.21</v>
      </c>
      <c r="AC340" s="2">
        <v>41499.0</v>
      </c>
      <c r="AD340" s="1">
        <v>6900.0</v>
      </c>
      <c r="AE340" s="1" t="s">
        <v>151</v>
      </c>
      <c r="AF340" s="1">
        <v>1.0</v>
      </c>
      <c r="AG340" s="1" t="s">
        <v>1026</v>
      </c>
      <c r="AH340" s="1">
        <v>10.0</v>
      </c>
      <c r="AI340" s="1">
        <v>2013.0</v>
      </c>
      <c r="AJ340" s="1">
        <v>2013.0</v>
      </c>
      <c r="AK340" s="1" t="s">
        <v>229</v>
      </c>
    </row>
    <row r="341">
      <c r="A341" s="1" t="s">
        <v>1029</v>
      </c>
      <c r="B341" s="1" t="s">
        <v>1029</v>
      </c>
      <c r="C341" s="1" t="s">
        <v>224</v>
      </c>
      <c r="E341" s="1">
        <v>1474563.0</v>
      </c>
      <c r="F341" s="2">
        <v>41499.0</v>
      </c>
      <c r="G341" s="1" t="s">
        <v>1025</v>
      </c>
      <c r="I341" s="1" t="s">
        <v>1025</v>
      </c>
      <c r="L341" s="1" t="s">
        <v>151</v>
      </c>
      <c r="M341" s="1">
        <v>6900.0</v>
      </c>
      <c r="N341" s="1" t="s">
        <v>151</v>
      </c>
      <c r="O341" s="1">
        <v>1.1855476E8</v>
      </c>
      <c r="P341" s="1" t="s">
        <v>983</v>
      </c>
      <c r="Q341" s="1" t="s">
        <v>984</v>
      </c>
      <c r="R341" s="1" t="s">
        <v>227</v>
      </c>
      <c r="S341" s="1" t="s">
        <v>44</v>
      </c>
      <c r="T341" s="1" t="s">
        <v>45</v>
      </c>
      <c r="U341" s="1">
        <v>4.82262886E8</v>
      </c>
      <c r="W341" s="1" t="s">
        <v>46</v>
      </c>
      <c r="X341" s="1" t="s">
        <v>45</v>
      </c>
      <c r="Y341" s="1">
        <v>4.82262886E8</v>
      </c>
      <c r="Z341" s="1">
        <v>6530661.0</v>
      </c>
      <c r="AA341" s="1" t="s">
        <v>76</v>
      </c>
      <c r="AB341" s="1">
        <v>1786764.79</v>
      </c>
      <c r="AC341" s="2">
        <v>41499.0</v>
      </c>
      <c r="AD341" s="1">
        <v>6900.0</v>
      </c>
      <c r="AE341" s="1" t="s">
        <v>151</v>
      </c>
      <c r="AF341" s="1">
        <v>1.0</v>
      </c>
      <c r="AG341" s="1" t="s">
        <v>1026</v>
      </c>
      <c r="AH341" s="1">
        <v>10.0</v>
      </c>
      <c r="AI341" s="1">
        <v>2013.0</v>
      </c>
      <c r="AJ341" s="1">
        <v>2013.0</v>
      </c>
      <c r="AK341" s="1" t="s">
        <v>229</v>
      </c>
    </row>
    <row r="342">
      <c r="A342" s="1" t="s">
        <v>1030</v>
      </c>
      <c r="B342" s="1" t="s">
        <v>1030</v>
      </c>
      <c r="C342" s="1" t="s">
        <v>224</v>
      </c>
      <c r="E342" s="1">
        <v>25252.0</v>
      </c>
      <c r="F342" s="2">
        <v>41506.0</v>
      </c>
      <c r="G342" s="1" t="s">
        <v>1014</v>
      </c>
      <c r="I342" s="1" t="s">
        <v>1014</v>
      </c>
      <c r="L342" s="1" t="s">
        <v>151</v>
      </c>
      <c r="M342" s="1">
        <v>6900.0</v>
      </c>
      <c r="N342" s="1" t="s">
        <v>151</v>
      </c>
      <c r="O342" s="1">
        <v>1.1855476E8</v>
      </c>
      <c r="P342" s="1" t="s">
        <v>983</v>
      </c>
      <c r="Q342" s="1" t="s">
        <v>984</v>
      </c>
      <c r="R342" s="1" t="s">
        <v>227</v>
      </c>
      <c r="S342" s="1" t="s">
        <v>44</v>
      </c>
      <c r="T342" s="1" t="s">
        <v>45</v>
      </c>
      <c r="U342" s="1">
        <v>4.82262886E8</v>
      </c>
      <c r="W342" s="1" t="s">
        <v>46</v>
      </c>
      <c r="X342" s="1" t="s">
        <v>45</v>
      </c>
      <c r="Y342" s="1">
        <v>4.82262886E8</v>
      </c>
      <c r="Z342" s="1">
        <v>6530661.0</v>
      </c>
      <c r="AA342" s="1" t="s">
        <v>76</v>
      </c>
      <c r="AB342" s="1">
        <v>25252.46</v>
      </c>
      <c r="AC342" s="2">
        <v>41506.0</v>
      </c>
      <c r="AD342" s="1">
        <v>6900.0</v>
      </c>
      <c r="AE342" s="1" t="s">
        <v>151</v>
      </c>
      <c r="AF342" s="1">
        <v>1.0</v>
      </c>
      <c r="AG342" s="1" t="s">
        <v>1015</v>
      </c>
      <c r="AH342" s="1">
        <v>10.0</v>
      </c>
      <c r="AI342" s="1">
        <v>2013.0</v>
      </c>
      <c r="AJ342" s="1">
        <v>2013.0</v>
      </c>
      <c r="AK342" s="1" t="s">
        <v>229</v>
      </c>
    </row>
    <row r="343">
      <c r="A343" s="1" t="s">
        <v>1031</v>
      </c>
      <c r="B343" s="1" t="s">
        <v>1031</v>
      </c>
      <c r="C343" s="1" t="s">
        <v>224</v>
      </c>
      <c r="E343" s="1">
        <v>1637946.0</v>
      </c>
      <c r="F343" s="2">
        <v>41506.0</v>
      </c>
      <c r="G343" s="1" t="s">
        <v>987</v>
      </c>
      <c r="I343" s="1" t="s">
        <v>987</v>
      </c>
      <c r="L343" s="1" t="s">
        <v>151</v>
      </c>
      <c r="M343" s="1">
        <v>6900.0</v>
      </c>
      <c r="N343" s="1" t="s">
        <v>151</v>
      </c>
      <c r="O343" s="1">
        <v>1.1855476E8</v>
      </c>
      <c r="P343" s="1" t="s">
        <v>983</v>
      </c>
      <c r="Q343" s="1" t="s">
        <v>984</v>
      </c>
      <c r="R343" s="1" t="s">
        <v>227</v>
      </c>
      <c r="S343" s="1" t="s">
        <v>44</v>
      </c>
      <c r="T343" s="1" t="s">
        <v>45</v>
      </c>
      <c r="U343" s="1">
        <v>4.82262886E8</v>
      </c>
      <c r="W343" s="1" t="s">
        <v>46</v>
      </c>
      <c r="X343" s="1" t="s">
        <v>45</v>
      </c>
      <c r="Y343" s="1">
        <v>4.82262886E8</v>
      </c>
      <c r="Z343" s="1">
        <v>6530661.0</v>
      </c>
      <c r="AA343" s="1" t="s">
        <v>76</v>
      </c>
      <c r="AB343" s="1">
        <v>1637946.6</v>
      </c>
      <c r="AC343" s="2">
        <v>41506.0</v>
      </c>
      <c r="AD343" s="1">
        <v>6900.0</v>
      </c>
      <c r="AE343" s="1" t="s">
        <v>151</v>
      </c>
      <c r="AF343" s="1">
        <v>1.0</v>
      </c>
      <c r="AG343" s="1" t="s">
        <v>988</v>
      </c>
      <c r="AH343" s="1">
        <v>10.0</v>
      </c>
      <c r="AI343" s="1">
        <v>2013.0</v>
      </c>
      <c r="AJ343" s="1">
        <v>2013.0</v>
      </c>
      <c r="AK343" s="1" t="s">
        <v>229</v>
      </c>
    </row>
    <row r="344">
      <c r="A344" s="1" t="s">
        <v>1032</v>
      </c>
      <c r="B344" s="1" t="s">
        <v>1032</v>
      </c>
      <c r="C344" s="1" t="s">
        <v>224</v>
      </c>
      <c r="E344" s="1">
        <v>400000.0</v>
      </c>
      <c r="F344" s="2">
        <v>41514.0</v>
      </c>
      <c r="G344" s="1" t="s">
        <v>1033</v>
      </c>
      <c r="I344" s="1" t="s">
        <v>1033</v>
      </c>
      <c r="L344" s="1" t="s">
        <v>151</v>
      </c>
      <c r="M344" s="1">
        <v>6900.0</v>
      </c>
      <c r="N344" s="1" t="s">
        <v>151</v>
      </c>
      <c r="O344" s="1">
        <v>1.1855476E8</v>
      </c>
      <c r="P344" s="1" t="s">
        <v>983</v>
      </c>
      <c r="Q344" s="1" t="s">
        <v>984</v>
      </c>
      <c r="R344" s="1" t="s">
        <v>227</v>
      </c>
      <c r="S344" s="1" t="s">
        <v>44</v>
      </c>
      <c r="T344" s="1" t="s">
        <v>45</v>
      </c>
      <c r="U344" s="1">
        <v>4.82262886E8</v>
      </c>
      <c r="W344" s="1" t="s">
        <v>46</v>
      </c>
      <c r="X344" s="1" t="s">
        <v>45</v>
      </c>
      <c r="Y344" s="1">
        <v>4.82262886E8</v>
      </c>
      <c r="Z344" s="1">
        <v>6530661.0</v>
      </c>
      <c r="AA344" s="1" t="s">
        <v>76</v>
      </c>
      <c r="AB344" s="1">
        <v>400000.0</v>
      </c>
      <c r="AC344" s="2">
        <v>41514.0</v>
      </c>
      <c r="AD344" s="1">
        <v>6900.0</v>
      </c>
      <c r="AE344" s="1" t="s">
        <v>151</v>
      </c>
      <c r="AF344" s="1">
        <v>1.0</v>
      </c>
      <c r="AG344" s="1" t="s">
        <v>1034</v>
      </c>
      <c r="AH344" s="1">
        <v>10.0</v>
      </c>
      <c r="AI344" s="1">
        <v>2013.0</v>
      </c>
      <c r="AJ344" s="1">
        <v>2013.0</v>
      </c>
      <c r="AK344" s="1" t="s">
        <v>229</v>
      </c>
    </row>
    <row r="345">
      <c r="A345" s="1" t="s">
        <v>1035</v>
      </c>
      <c r="B345" s="1" t="s">
        <v>1035</v>
      </c>
      <c r="C345" s="1" t="s">
        <v>224</v>
      </c>
      <c r="E345" s="1">
        <v>400000.0</v>
      </c>
      <c r="F345" s="2">
        <v>41514.0</v>
      </c>
      <c r="G345" s="1" t="s">
        <v>1036</v>
      </c>
      <c r="I345" s="1" t="s">
        <v>1036</v>
      </c>
      <c r="L345" s="1" t="s">
        <v>151</v>
      </c>
      <c r="M345" s="1">
        <v>6900.0</v>
      </c>
      <c r="N345" s="1" t="s">
        <v>151</v>
      </c>
      <c r="O345" s="1">
        <v>1.1855476E8</v>
      </c>
      <c r="P345" s="1" t="s">
        <v>983</v>
      </c>
      <c r="Q345" s="1" t="s">
        <v>984</v>
      </c>
      <c r="R345" s="1" t="s">
        <v>227</v>
      </c>
      <c r="S345" s="1" t="s">
        <v>44</v>
      </c>
      <c r="T345" s="1" t="s">
        <v>45</v>
      </c>
      <c r="U345" s="1">
        <v>4.82262886E8</v>
      </c>
      <c r="W345" s="1" t="s">
        <v>46</v>
      </c>
      <c r="X345" s="1" t="s">
        <v>45</v>
      </c>
      <c r="Y345" s="1">
        <v>4.82262886E8</v>
      </c>
      <c r="Z345" s="1">
        <v>6530661.0</v>
      </c>
      <c r="AA345" s="1" t="s">
        <v>76</v>
      </c>
      <c r="AB345" s="1">
        <v>400000.0</v>
      </c>
      <c r="AC345" s="2">
        <v>41514.0</v>
      </c>
      <c r="AD345" s="1">
        <v>6900.0</v>
      </c>
      <c r="AE345" s="1" t="s">
        <v>151</v>
      </c>
      <c r="AF345" s="1">
        <v>1.0</v>
      </c>
      <c r="AG345" s="1" t="s">
        <v>1037</v>
      </c>
      <c r="AH345" s="1">
        <v>10.0</v>
      </c>
      <c r="AI345" s="1">
        <v>2013.0</v>
      </c>
      <c r="AJ345" s="1">
        <v>2013.0</v>
      </c>
      <c r="AK345" s="1" t="s">
        <v>229</v>
      </c>
    </row>
    <row r="346">
      <c r="A346" s="1" t="s">
        <v>1038</v>
      </c>
      <c r="B346" s="1" t="s">
        <v>1038</v>
      </c>
      <c r="C346" s="1" t="s">
        <v>224</v>
      </c>
      <c r="E346" s="1">
        <v>116280.0</v>
      </c>
      <c r="F346" s="2">
        <v>41506.0</v>
      </c>
      <c r="G346" s="1" t="s">
        <v>1014</v>
      </c>
      <c r="I346" s="1" t="s">
        <v>1014</v>
      </c>
      <c r="L346" s="1" t="s">
        <v>151</v>
      </c>
      <c r="M346" s="1">
        <v>6900.0</v>
      </c>
      <c r="N346" s="1" t="s">
        <v>151</v>
      </c>
      <c r="O346" s="1">
        <v>1.1855476E8</v>
      </c>
      <c r="P346" s="1" t="s">
        <v>983</v>
      </c>
      <c r="Q346" s="1" t="s">
        <v>984</v>
      </c>
      <c r="R346" s="1" t="s">
        <v>227</v>
      </c>
      <c r="S346" s="1" t="s">
        <v>44</v>
      </c>
      <c r="T346" s="1" t="s">
        <v>45</v>
      </c>
      <c r="U346" s="1">
        <v>4.82262886E8</v>
      </c>
      <c r="W346" s="1" t="s">
        <v>46</v>
      </c>
      <c r="X346" s="1" t="s">
        <v>45</v>
      </c>
      <c r="Y346" s="1">
        <v>4.82262886E8</v>
      </c>
      <c r="Z346" s="1">
        <v>6530661.0</v>
      </c>
      <c r="AA346" s="1" t="s">
        <v>76</v>
      </c>
      <c r="AB346" s="1">
        <v>116280.05</v>
      </c>
      <c r="AC346" s="2">
        <v>41506.0</v>
      </c>
      <c r="AD346" s="1">
        <v>6900.0</v>
      </c>
      <c r="AE346" s="1" t="s">
        <v>151</v>
      </c>
      <c r="AF346" s="1">
        <v>1.0</v>
      </c>
      <c r="AG346" s="1" t="s">
        <v>1015</v>
      </c>
      <c r="AH346" s="1">
        <v>10.0</v>
      </c>
      <c r="AI346" s="1">
        <v>2013.0</v>
      </c>
      <c r="AJ346" s="1">
        <v>2013.0</v>
      </c>
      <c r="AK346" s="1" t="s">
        <v>229</v>
      </c>
    </row>
    <row r="347">
      <c r="A347" s="1" t="s">
        <v>1039</v>
      </c>
      <c r="B347" s="1" t="s">
        <v>1039</v>
      </c>
      <c r="C347" s="1" t="s">
        <v>224</v>
      </c>
      <c r="E347" s="1">
        <v>400000.0</v>
      </c>
      <c r="F347" s="2">
        <v>41514.0</v>
      </c>
      <c r="G347" s="1" t="s">
        <v>1040</v>
      </c>
      <c r="I347" s="1" t="s">
        <v>1040</v>
      </c>
      <c r="L347" s="1" t="s">
        <v>151</v>
      </c>
      <c r="M347" s="1">
        <v>6900.0</v>
      </c>
      <c r="N347" s="1" t="s">
        <v>151</v>
      </c>
      <c r="O347" s="1">
        <v>1.1855476E8</v>
      </c>
      <c r="P347" s="1" t="s">
        <v>983</v>
      </c>
      <c r="Q347" s="1" t="s">
        <v>984</v>
      </c>
      <c r="R347" s="1" t="s">
        <v>227</v>
      </c>
      <c r="S347" s="1" t="s">
        <v>44</v>
      </c>
      <c r="T347" s="1" t="s">
        <v>45</v>
      </c>
      <c r="U347" s="1">
        <v>4.82262886E8</v>
      </c>
      <c r="W347" s="1" t="s">
        <v>46</v>
      </c>
      <c r="X347" s="1" t="s">
        <v>45</v>
      </c>
      <c r="Y347" s="1">
        <v>4.82262886E8</v>
      </c>
      <c r="Z347" s="1">
        <v>6530661.0</v>
      </c>
      <c r="AA347" s="1" t="s">
        <v>76</v>
      </c>
      <c r="AB347" s="1">
        <v>400000.0</v>
      </c>
      <c r="AC347" s="2">
        <v>41514.0</v>
      </c>
      <c r="AD347" s="1">
        <v>6900.0</v>
      </c>
      <c r="AE347" s="1" t="s">
        <v>151</v>
      </c>
      <c r="AF347" s="1">
        <v>1.0</v>
      </c>
      <c r="AG347" s="1" t="s">
        <v>1041</v>
      </c>
      <c r="AH347" s="1">
        <v>10.0</v>
      </c>
      <c r="AI347" s="1">
        <v>2013.0</v>
      </c>
      <c r="AJ347" s="1">
        <v>2013.0</v>
      </c>
      <c r="AK347" s="1" t="s">
        <v>229</v>
      </c>
    </row>
    <row r="348">
      <c r="A348" s="1" t="s">
        <v>1042</v>
      </c>
      <c r="B348" s="1" t="s">
        <v>1042</v>
      </c>
      <c r="C348" s="1" t="s">
        <v>224</v>
      </c>
      <c r="E348" s="1">
        <v>33328.0</v>
      </c>
      <c r="F348" s="2">
        <v>41506.0</v>
      </c>
      <c r="G348" s="1" t="s">
        <v>1014</v>
      </c>
      <c r="I348" s="1" t="s">
        <v>1014</v>
      </c>
      <c r="L348" s="1" t="s">
        <v>151</v>
      </c>
      <c r="M348" s="1">
        <v>6900.0</v>
      </c>
      <c r="N348" s="1" t="s">
        <v>151</v>
      </c>
      <c r="O348" s="1">
        <v>1.1855476E8</v>
      </c>
      <c r="P348" s="1" t="s">
        <v>983</v>
      </c>
      <c r="Q348" s="1" t="s">
        <v>984</v>
      </c>
      <c r="R348" s="1" t="s">
        <v>227</v>
      </c>
      <c r="S348" s="1" t="s">
        <v>44</v>
      </c>
      <c r="T348" s="1" t="s">
        <v>45</v>
      </c>
      <c r="U348" s="1">
        <v>4.82262886E8</v>
      </c>
      <c r="W348" s="1" t="s">
        <v>46</v>
      </c>
      <c r="X348" s="1" t="s">
        <v>45</v>
      </c>
      <c r="Y348" s="1">
        <v>4.82262886E8</v>
      </c>
      <c r="Z348" s="1">
        <v>6530661.0</v>
      </c>
      <c r="AA348" s="1" t="s">
        <v>76</v>
      </c>
      <c r="AB348" s="1">
        <v>33328.9</v>
      </c>
      <c r="AC348" s="2">
        <v>41506.0</v>
      </c>
      <c r="AD348" s="1">
        <v>6900.0</v>
      </c>
      <c r="AE348" s="1" t="s">
        <v>151</v>
      </c>
      <c r="AF348" s="1">
        <v>1.0</v>
      </c>
      <c r="AG348" s="1" t="s">
        <v>1015</v>
      </c>
      <c r="AH348" s="1">
        <v>10.0</v>
      </c>
      <c r="AI348" s="1">
        <v>2013.0</v>
      </c>
      <c r="AJ348" s="1">
        <v>2013.0</v>
      </c>
      <c r="AK348" s="1" t="s">
        <v>229</v>
      </c>
    </row>
    <row r="349">
      <c r="A349" s="1" t="s">
        <v>992</v>
      </c>
      <c r="B349" s="1" t="s">
        <v>992</v>
      </c>
      <c r="C349" s="1" t="s">
        <v>159</v>
      </c>
      <c r="E349" s="1">
        <v>3.4836676E7</v>
      </c>
      <c r="F349" s="2">
        <v>41394.0</v>
      </c>
      <c r="G349" s="1" t="s">
        <v>993</v>
      </c>
      <c r="I349" s="1" t="s">
        <v>993</v>
      </c>
      <c r="L349" s="1" t="s">
        <v>40</v>
      </c>
      <c r="M349" s="1">
        <v>7500.0</v>
      </c>
      <c r="N349" s="1" t="s">
        <v>40</v>
      </c>
      <c r="O349" s="1">
        <v>9.29292464E8</v>
      </c>
      <c r="P349" s="1" t="s">
        <v>1043</v>
      </c>
      <c r="R349" s="1" t="s">
        <v>1044</v>
      </c>
      <c r="S349" s="1" t="s">
        <v>44</v>
      </c>
      <c r="T349" s="1" t="s">
        <v>45</v>
      </c>
      <c r="U349" s="1">
        <v>4.82161921E8</v>
      </c>
      <c r="W349" s="1" t="s">
        <v>46</v>
      </c>
      <c r="X349" s="1" t="s">
        <v>45</v>
      </c>
      <c r="Y349" s="1">
        <v>4.82161921E8</v>
      </c>
      <c r="AB349" s="1">
        <v>390749.0</v>
      </c>
      <c r="AC349" s="2">
        <v>41394.0</v>
      </c>
      <c r="AD349" s="1">
        <v>7500.0</v>
      </c>
      <c r="AE349" s="1" t="s">
        <v>40</v>
      </c>
      <c r="AF349" s="1">
        <v>3.827119621E9</v>
      </c>
      <c r="AG349" s="1" t="s">
        <v>1045</v>
      </c>
      <c r="AH349" s="1">
        <v>6.0</v>
      </c>
      <c r="AI349" s="1">
        <v>2013.0</v>
      </c>
      <c r="AJ349" s="1">
        <v>2013.0</v>
      </c>
      <c r="AK349" s="1" t="s">
        <v>997</v>
      </c>
    </row>
    <row r="350">
      <c r="A350" s="1" t="s">
        <v>992</v>
      </c>
      <c r="B350" s="1" t="s">
        <v>992</v>
      </c>
      <c r="C350" s="1" t="s">
        <v>159</v>
      </c>
      <c r="E350" s="1">
        <v>3.4836676E7</v>
      </c>
      <c r="F350" s="2">
        <v>41528.0</v>
      </c>
      <c r="G350" s="1" t="s">
        <v>993</v>
      </c>
      <c r="I350" s="1" t="s">
        <v>993</v>
      </c>
      <c r="L350" s="1" t="s">
        <v>40</v>
      </c>
      <c r="M350" s="1">
        <v>7500.0</v>
      </c>
      <c r="N350" s="1" t="s">
        <v>40</v>
      </c>
      <c r="O350" s="1">
        <v>2.1761763E7</v>
      </c>
      <c r="P350" s="1" t="s">
        <v>1046</v>
      </c>
      <c r="Q350" s="1" t="s">
        <v>1047</v>
      </c>
      <c r="R350" s="1" t="s">
        <v>1048</v>
      </c>
      <c r="S350" s="1" t="s">
        <v>44</v>
      </c>
      <c r="T350" s="1" t="s">
        <v>45</v>
      </c>
      <c r="U350" s="1">
        <v>4.82121112E8</v>
      </c>
      <c r="W350" s="1" t="s">
        <v>46</v>
      </c>
      <c r="X350" s="1" t="s">
        <v>45</v>
      </c>
      <c r="Y350" s="1">
        <v>4.82121112E8</v>
      </c>
      <c r="AB350" s="1">
        <v>34303.0</v>
      </c>
      <c r="AC350" s="2">
        <v>41528.0</v>
      </c>
      <c r="AD350" s="1">
        <v>7500.0</v>
      </c>
      <c r="AE350" s="1" t="s">
        <v>40</v>
      </c>
      <c r="AF350" s="1">
        <v>3.8171546E8</v>
      </c>
      <c r="AG350" s="1" t="s">
        <v>1049</v>
      </c>
      <c r="AH350" s="1">
        <v>6.0</v>
      </c>
      <c r="AI350" s="1">
        <v>2013.0</v>
      </c>
      <c r="AJ350" s="1">
        <v>2013.0</v>
      </c>
      <c r="AK350" s="1" t="s">
        <v>997</v>
      </c>
    </row>
    <row r="351">
      <c r="A351" s="1" t="s">
        <v>992</v>
      </c>
      <c r="B351" s="1" t="s">
        <v>992</v>
      </c>
      <c r="C351" s="1" t="s">
        <v>159</v>
      </c>
      <c r="E351" s="1">
        <v>3.4836676E7</v>
      </c>
      <c r="F351" s="2">
        <v>41514.0</v>
      </c>
      <c r="G351" s="1" t="s">
        <v>993</v>
      </c>
      <c r="I351" s="1" t="s">
        <v>993</v>
      </c>
      <c r="L351" s="1" t="s">
        <v>40</v>
      </c>
      <c r="M351" s="1">
        <v>7500.0</v>
      </c>
      <c r="N351" s="1" t="s">
        <v>40</v>
      </c>
      <c r="O351" s="1">
        <v>8.48764171E8</v>
      </c>
      <c r="P351" s="1" t="s">
        <v>1050</v>
      </c>
      <c r="Q351" s="1" t="s">
        <v>1051</v>
      </c>
      <c r="R351" s="1" t="s">
        <v>1052</v>
      </c>
      <c r="S351" s="1" t="s">
        <v>44</v>
      </c>
      <c r="T351" s="1" t="s">
        <v>45</v>
      </c>
      <c r="U351" s="1">
        <v>4.820741E8</v>
      </c>
      <c r="W351" s="1" t="s">
        <v>46</v>
      </c>
      <c r="X351" s="1" t="s">
        <v>45</v>
      </c>
      <c r="Y351" s="1">
        <v>4.820741E8</v>
      </c>
      <c r="AB351" s="1">
        <v>777367.0</v>
      </c>
      <c r="AC351" s="2">
        <v>41514.0</v>
      </c>
      <c r="AD351" s="1">
        <v>7500.0</v>
      </c>
      <c r="AE351" s="1" t="s">
        <v>40</v>
      </c>
      <c r="AF351" s="1">
        <v>3.82464851E8</v>
      </c>
      <c r="AG351" s="1" t="s">
        <v>1053</v>
      </c>
      <c r="AH351" s="1">
        <v>6.0</v>
      </c>
      <c r="AI351" s="1">
        <v>2013.0</v>
      </c>
      <c r="AJ351" s="1">
        <v>2013.0</v>
      </c>
      <c r="AK351" s="1" t="s">
        <v>997</v>
      </c>
    </row>
    <row r="352">
      <c r="A352" s="1" t="s">
        <v>992</v>
      </c>
      <c r="B352" s="1" t="s">
        <v>992</v>
      </c>
      <c r="C352" s="1" t="s">
        <v>159</v>
      </c>
      <c r="E352" s="1">
        <v>3.4836676E7</v>
      </c>
      <c r="F352" s="2">
        <v>41528.0</v>
      </c>
      <c r="G352" s="1" t="s">
        <v>993</v>
      </c>
      <c r="I352" s="1" t="s">
        <v>993</v>
      </c>
      <c r="L352" s="1" t="s">
        <v>40</v>
      </c>
      <c r="M352" s="1">
        <v>7500.0</v>
      </c>
      <c r="N352" s="1" t="s">
        <v>40</v>
      </c>
      <c r="O352" s="1">
        <v>1962224.0</v>
      </c>
      <c r="P352" s="1" t="s">
        <v>52</v>
      </c>
      <c r="R352" s="1" t="s">
        <v>53</v>
      </c>
      <c r="S352" s="1" t="s">
        <v>44</v>
      </c>
      <c r="T352" s="1" t="s">
        <v>45</v>
      </c>
      <c r="U352" s="1">
        <v>4.82023692E8</v>
      </c>
      <c r="W352" s="1" t="s">
        <v>46</v>
      </c>
      <c r="X352" s="1" t="s">
        <v>45</v>
      </c>
      <c r="Y352" s="1">
        <v>4.8202405E8</v>
      </c>
      <c r="Z352" s="1">
        <v>1962224.0</v>
      </c>
      <c r="AA352" s="1" t="s">
        <v>52</v>
      </c>
      <c r="AB352" s="1">
        <v>474304.0</v>
      </c>
      <c r="AC352" s="2">
        <v>41528.0</v>
      </c>
      <c r="AD352" s="1">
        <v>7500.0</v>
      </c>
      <c r="AE352" s="1" t="s">
        <v>40</v>
      </c>
      <c r="AF352" s="1">
        <v>3.86028429E8</v>
      </c>
      <c r="AG352" s="1" t="s">
        <v>1054</v>
      </c>
      <c r="AH352" s="1">
        <v>6.0</v>
      </c>
      <c r="AI352" s="1">
        <v>2013.0</v>
      </c>
      <c r="AJ352" s="1">
        <v>2013.0</v>
      </c>
      <c r="AK352" s="1" t="s">
        <v>997</v>
      </c>
    </row>
    <row r="353">
      <c r="A353" s="1" t="s">
        <v>1055</v>
      </c>
      <c r="B353" s="1" t="s">
        <v>1055</v>
      </c>
      <c r="C353" s="1" t="s">
        <v>224</v>
      </c>
      <c r="E353" s="1">
        <v>213373.0</v>
      </c>
      <c r="F353" s="2">
        <v>41514.0</v>
      </c>
      <c r="G353" s="1" t="s">
        <v>990</v>
      </c>
      <c r="I353" s="1" t="s">
        <v>990</v>
      </c>
      <c r="L353" s="1" t="s">
        <v>151</v>
      </c>
      <c r="M353" s="1">
        <v>6900.0</v>
      </c>
      <c r="N353" s="1" t="s">
        <v>151</v>
      </c>
      <c r="O353" s="1">
        <v>9.63886101E8</v>
      </c>
      <c r="P353" s="1" t="s">
        <v>259</v>
      </c>
      <c r="R353" s="1" t="s">
        <v>260</v>
      </c>
      <c r="S353" s="1" t="s">
        <v>44</v>
      </c>
      <c r="T353" s="1" t="s">
        <v>45</v>
      </c>
      <c r="U353" s="1">
        <v>4.8226348E8</v>
      </c>
      <c r="W353" s="1" t="s">
        <v>46</v>
      </c>
      <c r="X353" s="1" t="s">
        <v>45</v>
      </c>
      <c r="Y353" s="1">
        <v>4.8226348E8</v>
      </c>
      <c r="Z353" s="1">
        <v>7.3134884E7</v>
      </c>
      <c r="AA353" s="1" t="s">
        <v>261</v>
      </c>
      <c r="AB353" s="1">
        <v>213373.13</v>
      </c>
      <c r="AC353" s="2">
        <v>41514.0</v>
      </c>
      <c r="AD353" s="1">
        <v>6900.0</v>
      </c>
      <c r="AE353" s="1" t="s">
        <v>151</v>
      </c>
      <c r="AF353" s="1">
        <v>1.0</v>
      </c>
      <c r="AG353" s="1" t="s">
        <v>991</v>
      </c>
      <c r="AH353" s="1">
        <v>10.0</v>
      </c>
      <c r="AI353" s="1">
        <v>2013.0</v>
      </c>
      <c r="AJ353" s="1">
        <v>2013.0</v>
      </c>
      <c r="AK353" s="1" t="s">
        <v>229</v>
      </c>
    </row>
    <row r="354">
      <c r="A354" s="1" t="s">
        <v>992</v>
      </c>
      <c r="B354" s="1" t="s">
        <v>992</v>
      </c>
      <c r="C354" s="1" t="s">
        <v>159</v>
      </c>
      <c r="E354" s="1">
        <v>3.4836676E7</v>
      </c>
      <c r="F354" s="2">
        <v>41534.0</v>
      </c>
      <c r="G354" s="1" t="s">
        <v>993</v>
      </c>
      <c r="I354" s="1" t="s">
        <v>993</v>
      </c>
      <c r="L354" s="1" t="s">
        <v>40</v>
      </c>
      <c r="M354" s="1">
        <v>7500.0</v>
      </c>
      <c r="N354" s="1" t="s">
        <v>40</v>
      </c>
      <c r="O354" s="1">
        <v>1.41947783E8</v>
      </c>
      <c r="P354" s="1" t="s">
        <v>144</v>
      </c>
      <c r="R354" s="1" t="s">
        <v>145</v>
      </c>
      <c r="S354" s="1" t="s">
        <v>44</v>
      </c>
      <c r="T354" s="1" t="s">
        <v>45</v>
      </c>
      <c r="U354" s="1">
        <v>4.82362148E8</v>
      </c>
      <c r="W354" s="1" t="s">
        <v>46</v>
      </c>
      <c r="X354" s="1" t="s">
        <v>45</v>
      </c>
      <c r="Y354" s="1">
        <v>4.82021732E8</v>
      </c>
      <c r="AB354" s="1">
        <v>550315.0</v>
      </c>
      <c r="AC354" s="2">
        <v>41534.0</v>
      </c>
      <c r="AD354" s="1">
        <v>7500.0</v>
      </c>
      <c r="AE354" s="1" t="s">
        <v>40</v>
      </c>
      <c r="AF354" s="1">
        <v>3.82262856E8</v>
      </c>
      <c r="AG354" s="1" t="s">
        <v>1054</v>
      </c>
      <c r="AH354" s="1">
        <v>6.0</v>
      </c>
      <c r="AI354" s="1">
        <v>2013.0</v>
      </c>
      <c r="AJ354" s="1">
        <v>2013.0</v>
      </c>
      <c r="AK354" s="1" t="s">
        <v>997</v>
      </c>
    </row>
    <row r="355">
      <c r="A355" s="1" t="s">
        <v>992</v>
      </c>
      <c r="B355" s="1" t="s">
        <v>992</v>
      </c>
      <c r="C355" s="1" t="s">
        <v>159</v>
      </c>
      <c r="E355" s="1">
        <v>3.4836676E7</v>
      </c>
      <c r="F355" s="2">
        <v>41394.0</v>
      </c>
      <c r="G355" s="1" t="s">
        <v>993</v>
      </c>
      <c r="I355" s="1" t="s">
        <v>993</v>
      </c>
      <c r="L355" s="1" t="s">
        <v>40</v>
      </c>
      <c r="M355" s="1">
        <v>7500.0</v>
      </c>
      <c r="N355" s="1" t="s">
        <v>40</v>
      </c>
      <c r="O355" s="1">
        <v>1.97862014E8</v>
      </c>
      <c r="P355" s="1" t="s">
        <v>1056</v>
      </c>
      <c r="Q355" s="1" t="s">
        <v>1057</v>
      </c>
      <c r="R355" s="1" t="s">
        <v>1058</v>
      </c>
      <c r="S355" s="1" t="s">
        <v>44</v>
      </c>
      <c r="T355" s="1" t="s">
        <v>45</v>
      </c>
      <c r="U355" s="1">
        <v>4.82023165E8</v>
      </c>
      <c r="W355" s="1" t="s">
        <v>46</v>
      </c>
      <c r="X355" s="1" t="s">
        <v>45</v>
      </c>
      <c r="Y355" s="1">
        <v>4.82023165E8</v>
      </c>
      <c r="Z355" s="1">
        <v>1.97862014E8</v>
      </c>
      <c r="AA355" s="1" t="s">
        <v>1056</v>
      </c>
      <c r="AB355" s="1">
        <v>30082.0</v>
      </c>
      <c r="AC355" s="2">
        <v>41394.0</v>
      </c>
      <c r="AD355" s="1">
        <v>7500.0</v>
      </c>
      <c r="AE355" s="1" t="s">
        <v>40</v>
      </c>
      <c r="AF355" s="1">
        <v>1.97862014E8</v>
      </c>
      <c r="AG355" s="1" t="s">
        <v>1059</v>
      </c>
      <c r="AH355" s="1">
        <v>6.0</v>
      </c>
      <c r="AI355" s="1">
        <v>2013.0</v>
      </c>
      <c r="AJ355" s="1">
        <v>2013.0</v>
      </c>
      <c r="AK355" s="1" t="s">
        <v>997</v>
      </c>
    </row>
    <row r="356">
      <c r="A356" s="1" t="s">
        <v>317</v>
      </c>
      <c r="B356" s="1" t="s">
        <v>317</v>
      </c>
      <c r="C356" s="1" t="s">
        <v>38</v>
      </c>
      <c r="E356" s="1">
        <v>1514326.0</v>
      </c>
      <c r="F356" s="2">
        <v>41527.0</v>
      </c>
      <c r="G356" s="1" t="s">
        <v>318</v>
      </c>
      <c r="I356" s="1" t="s">
        <v>318</v>
      </c>
      <c r="L356" s="1" t="s">
        <v>40</v>
      </c>
      <c r="M356" s="1">
        <v>7500.0</v>
      </c>
      <c r="N356" s="1" t="s">
        <v>40</v>
      </c>
      <c r="O356" s="1">
        <v>7.3134603E7</v>
      </c>
      <c r="P356" s="1" t="s">
        <v>41</v>
      </c>
      <c r="Q356" s="1" t="s">
        <v>252</v>
      </c>
      <c r="R356" s="1" t="s">
        <v>253</v>
      </c>
      <c r="S356" s="1" t="s">
        <v>44</v>
      </c>
      <c r="T356" s="1" t="s">
        <v>45</v>
      </c>
      <c r="U356" s="1">
        <v>4.8202345E8</v>
      </c>
      <c r="W356" s="1" t="s">
        <v>44</v>
      </c>
      <c r="X356" s="1" t="s">
        <v>45</v>
      </c>
      <c r="Y356" s="1">
        <v>4.8202345E8</v>
      </c>
      <c r="Z356" s="1">
        <v>7.3134603E7</v>
      </c>
      <c r="AA356" s="1" t="s">
        <v>41</v>
      </c>
      <c r="AB356" s="1">
        <v>43360.0</v>
      </c>
      <c r="AC356" s="2">
        <v>41527.0</v>
      </c>
      <c r="AD356" s="1">
        <v>7500.0</v>
      </c>
      <c r="AE356" s="1" t="s">
        <v>40</v>
      </c>
      <c r="AF356" s="1" t="s">
        <v>1060</v>
      </c>
      <c r="AG356" s="1" t="s">
        <v>320</v>
      </c>
      <c r="AH356" s="1">
        <v>10.0</v>
      </c>
      <c r="AI356" s="1">
        <v>2013.0</v>
      </c>
      <c r="AJ356" s="1">
        <v>2013.0</v>
      </c>
      <c r="AK356" s="1" t="s">
        <v>256</v>
      </c>
    </row>
    <row r="357">
      <c r="A357" s="1" t="s">
        <v>992</v>
      </c>
      <c r="B357" s="1" t="s">
        <v>992</v>
      </c>
      <c r="C357" s="1" t="s">
        <v>159</v>
      </c>
      <c r="E357" s="1">
        <v>3.4836676E7</v>
      </c>
      <c r="F357" s="2">
        <v>41394.0</v>
      </c>
      <c r="G357" s="1" t="s">
        <v>993</v>
      </c>
      <c r="I357" s="1" t="s">
        <v>993</v>
      </c>
      <c r="L357" s="1" t="s">
        <v>40</v>
      </c>
      <c r="M357" s="1">
        <v>7500.0</v>
      </c>
      <c r="N357" s="1" t="s">
        <v>40</v>
      </c>
      <c r="O357" s="1">
        <v>7.3134603E7</v>
      </c>
      <c r="P357" s="1" t="s">
        <v>41</v>
      </c>
      <c r="Q357" s="1" t="s">
        <v>252</v>
      </c>
      <c r="R357" s="1" t="s">
        <v>253</v>
      </c>
      <c r="S357" s="1" t="s">
        <v>44</v>
      </c>
      <c r="T357" s="1" t="s">
        <v>45</v>
      </c>
      <c r="U357" s="1">
        <v>4.8202345E8</v>
      </c>
      <c r="W357" s="1" t="s">
        <v>46</v>
      </c>
      <c r="X357" s="1" t="s">
        <v>45</v>
      </c>
      <c r="Y357" s="1">
        <v>4.82022689E8</v>
      </c>
      <c r="Z357" s="1">
        <v>7.3134603E7</v>
      </c>
      <c r="AA357" s="1" t="s">
        <v>41</v>
      </c>
      <c r="AB357" s="1">
        <v>311486.0</v>
      </c>
      <c r="AC357" s="2">
        <v>41394.0</v>
      </c>
      <c r="AD357" s="1">
        <v>7500.0</v>
      </c>
      <c r="AE357" s="1" t="s">
        <v>40</v>
      </c>
      <c r="AF357" s="1">
        <v>3.8135702E8</v>
      </c>
      <c r="AG357" s="1" t="s">
        <v>1061</v>
      </c>
      <c r="AH357" s="1">
        <v>6.0</v>
      </c>
      <c r="AI357" s="1">
        <v>2013.0</v>
      </c>
      <c r="AJ357" s="1">
        <v>2013.0</v>
      </c>
      <c r="AK357" s="1" t="s">
        <v>997</v>
      </c>
    </row>
    <row r="358">
      <c r="A358" s="1" t="s">
        <v>992</v>
      </c>
      <c r="B358" s="1" t="s">
        <v>992</v>
      </c>
      <c r="C358" s="1" t="s">
        <v>159</v>
      </c>
      <c r="E358" s="1">
        <v>3.4836676E7</v>
      </c>
      <c r="F358" s="2">
        <v>41394.0</v>
      </c>
      <c r="G358" s="1" t="s">
        <v>993</v>
      </c>
      <c r="I358" s="1" t="s">
        <v>993</v>
      </c>
      <c r="L358" s="1" t="s">
        <v>40</v>
      </c>
      <c r="M358" s="1">
        <v>7500.0</v>
      </c>
      <c r="N358" s="1" t="s">
        <v>40</v>
      </c>
      <c r="O358" s="1">
        <v>3.8775243E7</v>
      </c>
      <c r="P358" s="1" t="s">
        <v>209</v>
      </c>
      <c r="Q358" s="1" t="s">
        <v>210</v>
      </c>
      <c r="R358" s="1" t="s">
        <v>211</v>
      </c>
      <c r="S358" s="1" t="s">
        <v>44</v>
      </c>
      <c r="T358" s="1" t="s">
        <v>45</v>
      </c>
      <c r="U358" s="1">
        <v>4.82023068E8</v>
      </c>
      <c r="W358" s="1" t="s">
        <v>46</v>
      </c>
      <c r="X358" s="1" t="s">
        <v>45</v>
      </c>
      <c r="Y358" s="1">
        <v>4.82023449E8</v>
      </c>
      <c r="Z358" s="1">
        <v>3.8775243E7</v>
      </c>
      <c r="AA358" s="1" t="s">
        <v>209</v>
      </c>
      <c r="AB358" s="1">
        <v>487697.0</v>
      </c>
      <c r="AC358" s="2">
        <v>41394.0</v>
      </c>
      <c r="AD358" s="1">
        <v>7500.0</v>
      </c>
      <c r="AE358" s="1" t="s">
        <v>40</v>
      </c>
      <c r="AF358" s="1">
        <v>1120190.0</v>
      </c>
      <c r="AG358" s="1" t="s">
        <v>1062</v>
      </c>
      <c r="AH358" s="1">
        <v>6.0</v>
      </c>
      <c r="AI358" s="1">
        <v>2013.0</v>
      </c>
      <c r="AJ358" s="1">
        <v>2013.0</v>
      </c>
      <c r="AK358" s="1" t="s">
        <v>997</v>
      </c>
    </row>
    <row r="359">
      <c r="A359" s="1" t="s">
        <v>992</v>
      </c>
      <c r="B359" s="1" t="s">
        <v>992</v>
      </c>
      <c r="C359" s="1" t="s">
        <v>159</v>
      </c>
      <c r="E359" s="1">
        <v>3.4836676E7</v>
      </c>
      <c r="F359" s="2">
        <v>41394.0</v>
      </c>
      <c r="G359" s="1" t="s">
        <v>993</v>
      </c>
      <c r="I359" s="1" t="s">
        <v>993</v>
      </c>
      <c r="L359" s="1" t="s">
        <v>40</v>
      </c>
      <c r="M359" s="1">
        <v>7500.0</v>
      </c>
      <c r="N359" s="1" t="s">
        <v>40</v>
      </c>
      <c r="O359" s="1">
        <v>1.41947783E8</v>
      </c>
      <c r="P359" s="1" t="s">
        <v>144</v>
      </c>
      <c r="R359" s="1" t="s">
        <v>145</v>
      </c>
      <c r="S359" s="1" t="s">
        <v>44</v>
      </c>
      <c r="T359" s="1" t="s">
        <v>45</v>
      </c>
      <c r="U359" s="1">
        <v>4.82362148E8</v>
      </c>
      <c r="W359" s="1" t="s">
        <v>46</v>
      </c>
      <c r="X359" s="1" t="s">
        <v>45</v>
      </c>
      <c r="Y359" s="1">
        <v>4.82021732E8</v>
      </c>
      <c r="AB359" s="1">
        <v>0.0</v>
      </c>
      <c r="AC359" s="2">
        <v>41394.0</v>
      </c>
      <c r="AD359" s="1">
        <v>7500.0</v>
      </c>
      <c r="AE359" s="1" t="s">
        <v>40</v>
      </c>
      <c r="AF359" s="1">
        <v>3.82262856E8</v>
      </c>
      <c r="AG359" s="1" t="s">
        <v>1063</v>
      </c>
      <c r="AH359" s="1">
        <v>6.0</v>
      </c>
      <c r="AI359" s="1">
        <v>2013.0</v>
      </c>
      <c r="AJ359" s="1">
        <v>2013.0</v>
      </c>
      <c r="AK359" s="1" t="s">
        <v>997</v>
      </c>
    </row>
    <row r="360">
      <c r="A360" s="1" t="s">
        <v>1064</v>
      </c>
      <c r="B360" s="1" t="s">
        <v>1064</v>
      </c>
      <c r="C360" s="1" t="s">
        <v>38</v>
      </c>
      <c r="E360" s="1">
        <v>6302707.0</v>
      </c>
      <c r="F360" s="2">
        <v>41484.0</v>
      </c>
      <c r="G360" s="1" t="s">
        <v>1065</v>
      </c>
      <c r="I360" s="1" t="s">
        <v>1065</v>
      </c>
      <c r="L360" s="1" t="s">
        <v>40</v>
      </c>
      <c r="M360" s="1">
        <v>7500.0</v>
      </c>
      <c r="N360" s="1" t="s">
        <v>40</v>
      </c>
      <c r="O360" s="1">
        <v>1962224.0</v>
      </c>
      <c r="P360" s="1" t="s">
        <v>52</v>
      </c>
      <c r="R360" s="1" t="s">
        <v>53</v>
      </c>
      <c r="S360" s="1" t="s">
        <v>44</v>
      </c>
      <c r="T360" s="1" t="s">
        <v>45</v>
      </c>
      <c r="U360" s="1">
        <v>4.82023692E8</v>
      </c>
      <c r="W360" s="1" t="s">
        <v>46</v>
      </c>
      <c r="X360" s="1" t="s">
        <v>45</v>
      </c>
      <c r="Y360" s="1">
        <v>4.8202405E8</v>
      </c>
      <c r="Z360" s="1">
        <v>1962224.0</v>
      </c>
      <c r="AA360" s="1" t="s">
        <v>52</v>
      </c>
      <c r="AB360" s="1">
        <v>114000.0</v>
      </c>
      <c r="AC360" s="2">
        <v>41484.0</v>
      </c>
      <c r="AD360" s="1">
        <v>7500.0</v>
      </c>
      <c r="AE360" s="1" t="s">
        <v>40</v>
      </c>
      <c r="AF360" s="1" t="s">
        <v>1066</v>
      </c>
      <c r="AG360" s="1" t="s">
        <v>1067</v>
      </c>
      <c r="AH360" s="1">
        <v>8.0</v>
      </c>
      <c r="AI360" s="1">
        <v>2013.0</v>
      </c>
      <c r="AJ360" s="1">
        <v>2013.0</v>
      </c>
      <c r="AK360" s="1" t="s">
        <v>415</v>
      </c>
    </row>
    <row r="361">
      <c r="A361" s="1" t="s">
        <v>992</v>
      </c>
      <c r="B361" s="1" t="s">
        <v>992</v>
      </c>
      <c r="C361" s="1" t="s">
        <v>159</v>
      </c>
      <c r="E361" s="1">
        <v>3.481772E7</v>
      </c>
      <c r="F361" s="2">
        <v>41394.0</v>
      </c>
      <c r="G361" s="1" t="s">
        <v>993</v>
      </c>
      <c r="I361" s="1" t="s">
        <v>993</v>
      </c>
      <c r="L361" s="1" t="s">
        <v>40</v>
      </c>
      <c r="M361" s="1">
        <v>7500.0</v>
      </c>
      <c r="N361" s="1" t="s">
        <v>40</v>
      </c>
      <c r="O361" s="1">
        <v>1.41947783E8</v>
      </c>
      <c r="P361" s="1" t="s">
        <v>144</v>
      </c>
      <c r="R361" s="1" t="s">
        <v>145</v>
      </c>
      <c r="S361" s="1" t="s">
        <v>44</v>
      </c>
      <c r="T361" s="1" t="s">
        <v>45</v>
      </c>
      <c r="U361" s="1">
        <v>4.82362148E8</v>
      </c>
      <c r="W361" s="1" t="s">
        <v>46</v>
      </c>
      <c r="X361" s="1" t="s">
        <v>45</v>
      </c>
      <c r="Y361" s="1">
        <v>4.82021732E8</v>
      </c>
      <c r="AB361" s="1">
        <v>0.0</v>
      </c>
      <c r="AC361" s="2">
        <v>41394.0</v>
      </c>
      <c r="AD361" s="1">
        <v>7500.0</v>
      </c>
      <c r="AE361" s="1" t="s">
        <v>40</v>
      </c>
      <c r="AF361" s="1">
        <v>3.82262856E8</v>
      </c>
      <c r="AG361" s="1" t="s">
        <v>1063</v>
      </c>
      <c r="AH361" s="1">
        <v>10.0</v>
      </c>
      <c r="AI361" s="1">
        <v>2013.0</v>
      </c>
      <c r="AJ361" s="1">
        <v>2013.0</v>
      </c>
      <c r="AK361" s="1" t="s">
        <v>997</v>
      </c>
    </row>
    <row r="362">
      <c r="A362" s="1" t="s">
        <v>992</v>
      </c>
      <c r="B362" s="1" t="s">
        <v>992</v>
      </c>
      <c r="C362" s="1" t="s">
        <v>159</v>
      </c>
      <c r="E362" s="1">
        <v>3.481772E7</v>
      </c>
      <c r="F362" s="2">
        <v>41528.0</v>
      </c>
      <c r="G362" s="1" t="s">
        <v>993</v>
      </c>
      <c r="I362" s="1" t="s">
        <v>993</v>
      </c>
      <c r="L362" s="1" t="s">
        <v>40</v>
      </c>
      <c r="M362" s="1">
        <v>7500.0</v>
      </c>
      <c r="N362" s="1" t="s">
        <v>40</v>
      </c>
      <c r="O362" s="1">
        <v>1.98999146E8</v>
      </c>
      <c r="P362" s="1" t="s">
        <v>999</v>
      </c>
      <c r="R362" s="1" t="s">
        <v>1000</v>
      </c>
      <c r="S362" s="1" t="s">
        <v>44</v>
      </c>
      <c r="T362" s="1" t="s">
        <v>45</v>
      </c>
      <c r="U362" s="1">
        <v>4.82263007E8</v>
      </c>
      <c r="W362" s="1" t="s">
        <v>46</v>
      </c>
      <c r="X362" s="1" t="s">
        <v>45</v>
      </c>
      <c r="Y362" s="1">
        <v>4.82263007E8</v>
      </c>
      <c r="AB362" s="1">
        <v>693365.0</v>
      </c>
      <c r="AC362" s="2">
        <v>41528.0</v>
      </c>
      <c r="AD362" s="1">
        <v>7500.0</v>
      </c>
      <c r="AE362" s="1" t="s">
        <v>40</v>
      </c>
      <c r="AF362" s="1">
        <v>3.82704374E8</v>
      </c>
      <c r="AG362" s="1" t="s">
        <v>1001</v>
      </c>
      <c r="AH362" s="1">
        <v>10.0</v>
      </c>
      <c r="AI362" s="1">
        <v>2013.0</v>
      </c>
      <c r="AJ362" s="1">
        <v>2013.0</v>
      </c>
      <c r="AK362" s="1" t="s">
        <v>997</v>
      </c>
    </row>
    <row r="363">
      <c r="A363" s="1" t="s">
        <v>128</v>
      </c>
      <c r="B363" s="1" t="s">
        <v>128</v>
      </c>
      <c r="C363" s="1" t="s">
        <v>129</v>
      </c>
      <c r="E363" s="1">
        <v>1.86131E7</v>
      </c>
      <c r="F363" s="2">
        <v>41547.0</v>
      </c>
      <c r="G363" s="1" t="s">
        <v>1068</v>
      </c>
      <c r="I363" s="1" t="s">
        <v>1068</v>
      </c>
      <c r="L363" s="1" t="s">
        <v>40</v>
      </c>
      <c r="M363" s="1">
        <v>7500.0</v>
      </c>
      <c r="N363" s="1" t="s">
        <v>40</v>
      </c>
      <c r="O363" s="1">
        <v>6.9840817E7</v>
      </c>
      <c r="P363" s="1" t="s">
        <v>131</v>
      </c>
      <c r="R363" s="1" t="s">
        <v>132</v>
      </c>
      <c r="S363" s="1" t="s">
        <v>44</v>
      </c>
      <c r="T363" s="1" t="s">
        <v>45</v>
      </c>
      <c r="U363" s="1">
        <v>4.8214261E8</v>
      </c>
      <c r="W363" s="1" t="s">
        <v>133</v>
      </c>
      <c r="X363" s="1" t="s">
        <v>45</v>
      </c>
      <c r="Y363" s="1">
        <v>4.8214261E8</v>
      </c>
      <c r="Z363" s="1">
        <v>6.9840817E7</v>
      </c>
      <c r="AA363" s="1" t="s">
        <v>131</v>
      </c>
      <c r="AB363" s="1">
        <v>228000.0</v>
      </c>
      <c r="AC363" s="2">
        <v>41547.0</v>
      </c>
      <c r="AD363" s="1">
        <v>7500.0</v>
      </c>
      <c r="AE363" s="1" t="s">
        <v>40</v>
      </c>
      <c r="AF363" s="1" t="s">
        <v>1069</v>
      </c>
      <c r="AG363" s="1" t="s">
        <v>135</v>
      </c>
      <c r="AH363" s="1">
        <v>9.0</v>
      </c>
      <c r="AI363" s="1">
        <v>2013.0</v>
      </c>
      <c r="AJ363" s="1">
        <v>2013.0</v>
      </c>
      <c r="AK363" s="1" t="s">
        <v>136</v>
      </c>
    </row>
    <row r="364">
      <c r="A364" s="1" t="s">
        <v>1070</v>
      </c>
      <c r="B364" s="1" t="s">
        <v>1070</v>
      </c>
      <c r="C364" s="1" t="s">
        <v>38</v>
      </c>
      <c r="E364" s="1">
        <v>1785122.0</v>
      </c>
      <c r="F364" s="2">
        <v>41214.0</v>
      </c>
      <c r="G364" s="1" t="s">
        <v>1071</v>
      </c>
      <c r="I364" s="1" t="s">
        <v>1071</v>
      </c>
      <c r="L364" s="1" t="s">
        <v>40</v>
      </c>
      <c r="M364" s="1">
        <v>7500.0</v>
      </c>
      <c r="N364" s="1" t="s">
        <v>40</v>
      </c>
      <c r="O364" s="1">
        <v>7.3134603E7</v>
      </c>
      <c r="P364" s="1" t="s">
        <v>41</v>
      </c>
      <c r="Q364" s="1" t="s">
        <v>252</v>
      </c>
      <c r="R364" s="1" t="s">
        <v>253</v>
      </c>
      <c r="S364" s="1" t="s">
        <v>44</v>
      </c>
      <c r="T364" s="1" t="s">
        <v>45</v>
      </c>
      <c r="U364" s="1">
        <v>4.8202345E8</v>
      </c>
      <c r="W364" s="1" t="s">
        <v>46</v>
      </c>
      <c r="X364" s="1" t="s">
        <v>45</v>
      </c>
      <c r="Y364" s="1">
        <v>4.82022689E8</v>
      </c>
      <c r="Z364" s="1">
        <v>7.3134603E7</v>
      </c>
      <c r="AA364" s="1" t="s">
        <v>41</v>
      </c>
      <c r="AB364" s="1">
        <v>151643.0</v>
      </c>
      <c r="AC364" s="2">
        <v>41214.0</v>
      </c>
      <c r="AD364" s="1">
        <v>7500.0</v>
      </c>
      <c r="AE364" s="1" t="s">
        <v>40</v>
      </c>
      <c r="AF364" s="1" t="s">
        <v>1072</v>
      </c>
      <c r="AG364" s="1" t="s">
        <v>1073</v>
      </c>
      <c r="AH364" s="1">
        <v>3.0</v>
      </c>
      <c r="AI364" s="1">
        <v>2013.0</v>
      </c>
      <c r="AJ364" s="1">
        <v>2013.0</v>
      </c>
      <c r="AK364" s="1" t="s">
        <v>973</v>
      </c>
    </row>
    <row r="365">
      <c r="A365" s="1" t="s">
        <v>992</v>
      </c>
      <c r="B365" s="1" t="s">
        <v>992</v>
      </c>
      <c r="C365" s="1" t="s">
        <v>159</v>
      </c>
      <c r="E365" s="1">
        <v>3.481772E7</v>
      </c>
      <c r="F365" s="2">
        <v>41558.0</v>
      </c>
      <c r="G365" s="1" t="s">
        <v>993</v>
      </c>
      <c r="I365" s="1" t="s">
        <v>993</v>
      </c>
      <c r="L365" s="1" t="s">
        <v>40</v>
      </c>
      <c r="M365" s="1">
        <v>7500.0</v>
      </c>
      <c r="N365" s="1" t="s">
        <v>40</v>
      </c>
      <c r="O365" s="1">
        <v>1962224.0</v>
      </c>
      <c r="P365" s="1" t="s">
        <v>52</v>
      </c>
      <c r="R365" s="1" t="s">
        <v>53</v>
      </c>
      <c r="S365" s="1" t="s">
        <v>44</v>
      </c>
      <c r="T365" s="1" t="s">
        <v>45</v>
      </c>
      <c r="U365" s="1">
        <v>4.82023692E8</v>
      </c>
      <c r="W365" s="1" t="s">
        <v>46</v>
      </c>
      <c r="X365" s="1" t="s">
        <v>45</v>
      </c>
      <c r="Y365" s="1">
        <v>4.8202405E8</v>
      </c>
      <c r="Z365" s="1">
        <v>1962224.0</v>
      </c>
      <c r="AA365" s="1" t="s">
        <v>52</v>
      </c>
      <c r="AB365" s="1">
        <v>808834.0</v>
      </c>
      <c r="AC365" s="2">
        <v>41558.0</v>
      </c>
      <c r="AD365" s="1">
        <v>7500.0</v>
      </c>
      <c r="AE365" s="1" t="s">
        <v>40</v>
      </c>
      <c r="AF365" s="1" t="s">
        <v>1074</v>
      </c>
      <c r="AG365" s="1" t="s">
        <v>1075</v>
      </c>
      <c r="AH365" s="1">
        <v>10.0</v>
      </c>
      <c r="AI365" s="1">
        <v>2013.0</v>
      </c>
      <c r="AJ365" s="1">
        <v>2014.0</v>
      </c>
      <c r="AK365" s="1" t="s">
        <v>997</v>
      </c>
    </row>
    <row r="366">
      <c r="A366" s="1" t="s">
        <v>992</v>
      </c>
      <c r="B366" s="1" t="s">
        <v>992</v>
      </c>
      <c r="C366" s="1" t="s">
        <v>159</v>
      </c>
      <c r="E366" s="1">
        <v>3.481772E7</v>
      </c>
      <c r="F366" s="2">
        <v>41534.0</v>
      </c>
      <c r="G366" s="1" t="s">
        <v>993</v>
      </c>
      <c r="I366" s="1" t="s">
        <v>993</v>
      </c>
      <c r="L366" s="1" t="s">
        <v>40</v>
      </c>
      <c r="M366" s="1">
        <v>7500.0</v>
      </c>
      <c r="N366" s="1" t="s">
        <v>40</v>
      </c>
      <c r="O366" s="1">
        <v>1.41947783E8</v>
      </c>
      <c r="P366" s="1" t="s">
        <v>144</v>
      </c>
      <c r="R366" s="1" t="s">
        <v>145</v>
      </c>
      <c r="S366" s="1" t="s">
        <v>44</v>
      </c>
      <c r="T366" s="1" t="s">
        <v>45</v>
      </c>
      <c r="U366" s="1">
        <v>4.82362148E8</v>
      </c>
      <c r="W366" s="1" t="s">
        <v>46</v>
      </c>
      <c r="X366" s="1" t="s">
        <v>45</v>
      </c>
      <c r="Y366" s="1">
        <v>4.82021732E8</v>
      </c>
      <c r="AB366" s="1">
        <v>550315.0</v>
      </c>
      <c r="AC366" s="2">
        <v>41534.0</v>
      </c>
      <c r="AD366" s="1">
        <v>7500.0</v>
      </c>
      <c r="AE366" s="1" t="s">
        <v>40</v>
      </c>
      <c r="AF366" s="1">
        <v>3.82262856E8</v>
      </c>
      <c r="AG366" s="1" t="s">
        <v>1054</v>
      </c>
      <c r="AH366" s="1">
        <v>10.0</v>
      </c>
      <c r="AI366" s="1">
        <v>2013.0</v>
      </c>
      <c r="AJ366" s="1">
        <v>2013.0</v>
      </c>
      <c r="AK366" s="1" t="s">
        <v>997</v>
      </c>
    </row>
    <row r="367">
      <c r="A367" s="1" t="s">
        <v>992</v>
      </c>
      <c r="B367" s="1" t="s">
        <v>992</v>
      </c>
      <c r="C367" s="1" t="s">
        <v>159</v>
      </c>
      <c r="E367" s="1">
        <v>3.481772E7</v>
      </c>
      <c r="F367" s="2">
        <v>41558.0</v>
      </c>
      <c r="G367" s="1" t="s">
        <v>993</v>
      </c>
      <c r="I367" s="1" t="s">
        <v>993</v>
      </c>
      <c r="L367" s="1" t="s">
        <v>40</v>
      </c>
      <c r="M367" s="1">
        <v>7500.0</v>
      </c>
      <c r="N367" s="1" t="s">
        <v>40</v>
      </c>
      <c r="O367" s="1">
        <v>7.3134603E7</v>
      </c>
      <c r="P367" s="1" t="s">
        <v>41</v>
      </c>
      <c r="Q367" s="1" t="s">
        <v>252</v>
      </c>
      <c r="R367" s="1" t="s">
        <v>253</v>
      </c>
      <c r="S367" s="1" t="s">
        <v>44</v>
      </c>
      <c r="T367" s="1" t="s">
        <v>45</v>
      </c>
      <c r="U367" s="1">
        <v>4.8202345E8</v>
      </c>
      <c r="W367" s="1" t="s">
        <v>46</v>
      </c>
      <c r="X367" s="1" t="s">
        <v>45</v>
      </c>
      <c r="Y367" s="1">
        <v>4.82022689E8</v>
      </c>
      <c r="Z367" s="1">
        <v>7.3134603E7</v>
      </c>
      <c r="AA367" s="1" t="s">
        <v>41</v>
      </c>
      <c r="AB367" s="1">
        <v>737625.0</v>
      </c>
      <c r="AC367" s="2">
        <v>41558.0</v>
      </c>
      <c r="AD367" s="1">
        <v>7500.0</v>
      </c>
      <c r="AE367" s="1" t="s">
        <v>40</v>
      </c>
      <c r="AF367" s="1">
        <v>3.8135702E8</v>
      </c>
      <c r="AG367" s="1" t="s">
        <v>1061</v>
      </c>
      <c r="AH367" s="1">
        <v>10.0</v>
      </c>
      <c r="AI367" s="1">
        <v>2013.0</v>
      </c>
      <c r="AJ367" s="1">
        <v>2014.0</v>
      </c>
      <c r="AK367" s="1" t="s">
        <v>997</v>
      </c>
    </row>
    <row r="368">
      <c r="A368" s="1" t="s">
        <v>992</v>
      </c>
      <c r="B368" s="1" t="s">
        <v>992</v>
      </c>
      <c r="C368" s="1" t="s">
        <v>159</v>
      </c>
      <c r="E368" s="1">
        <v>3.481772E7</v>
      </c>
      <c r="F368" s="2">
        <v>41558.0</v>
      </c>
      <c r="G368" s="1" t="s">
        <v>993</v>
      </c>
      <c r="I368" s="1" t="s">
        <v>993</v>
      </c>
      <c r="L368" s="1" t="s">
        <v>40</v>
      </c>
      <c r="M368" s="1">
        <v>7500.0</v>
      </c>
      <c r="N368" s="1" t="s">
        <v>40</v>
      </c>
      <c r="O368" s="1">
        <v>1.97862014E8</v>
      </c>
      <c r="P368" s="1" t="s">
        <v>1056</v>
      </c>
      <c r="Q368" s="1" t="s">
        <v>1057</v>
      </c>
      <c r="R368" s="1" t="s">
        <v>1058</v>
      </c>
      <c r="S368" s="1" t="s">
        <v>44</v>
      </c>
      <c r="T368" s="1" t="s">
        <v>45</v>
      </c>
      <c r="U368" s="1">
        <v>4.82023165E8</v>
      </c>
      <c r="W368" s="1" t="s">
        <v>46</v>
      </c>
      <c r="X368" s="1" t="s">
        <v>45</v>
      </c>
      <c r="Y368" s="1">
        <v>4.82023165E8</v>
      </c>
      <c r="Z368" s="1">
        <v>1.97862014E8</v>
      </c>
      <c r="AA368" s="1" t="s">
        <v>1056</v>
      </c>
      <c r="AB368" s="1">
        <v>46594.0</v>
      </c>
      <c r="AC368" s="2">
        <v>41558.0</v>
      </c>
      <c r="AD368" s="1">
        <v>7500.0</v>
      </c>
      <c r="AE368" s="1" t="s">
        <v>40</v>
      </c>
      <c r="AF368" s="1">
        <v>1.97862014E8</v>
      </c>
      <c r="AG368" s="1" t="s">
        <v>1059</v>
      </c>
      <c r="AH368" s="1">
        <v>10.0</v>
      </c>
      <c r="AI368" s="1">
        <v>2013.0</v>
      </c>
      <c r="AJ368" s="1">
        <v>2014.0</v>
      </c>
      <c r="AK368" s="1" t="s">
        <v>997</v>
      </c>
    </row>
    <row r="369">
      <c r="A369" s="1" t="s">
        <v>992</v>
      </c>
      <c r="B369" s="1" t="s">
        <v>992</v>
      </c>
      <c r="C369" s="1" t="s">
        <v>159</v>
      </c>
      <c r="E369" s="1">
        <v>3.481772E7</v>
      </c>
      <c r="F369" s="2">
        <v>41558.0</v>
      </c>
      <c r="G369" s="1" t="s">
        <v>993</v>
      </c>
      <c r="I369" s="1" t="s">
        <v>993</v>
      </c>
      <c r="L369" s="1" t="s">
        <v>40</v>
      </c>
      <c r="M369" s="1">
        <v>7500.0</v>
      </c>
      <c r="N369" s="1" t="s">
        <v>40</v>
      </c>
      <c r="O369" s="1">
        <v>2.0830303E7</v>
      </c>
      <c r="P369" s="1" t="s">
        <v>424</v>
      </c>
      <c r="Q369" s="1" t="s">
        <v>425</v>
      </c>
      <c r="R369" s="1" t="s">
        <v>426</v>
      </c>
      <c r="S369" s="1" t="s">
        <v>44</v>
      </c>
      <c r="T369" s="1" t="s">
        <v>45</v>
      </c>
      <c r="U369" s="1">
        <v>4.82012002E8</v>
      </c>
      <c r="W369" s="1" t="s">
        <v>46</v>
      </c>
      <c r="X369" s="1" t="s">
        <v>45</v>
      </c>
      <c r="Y369" s="1">
        <v>4.82012002E8</v>
      </c>
      <c r="Z369" s="1">
        <v>2.0830303E7</v>
      </c>
      <c r="AA369" s="1" t="s">
        <v>424</v>
      </c>
      <c r="AB369" s="1">
        <v>1171745.0</v>
      </c>
      <c r="AC369" s="2">
        <v>41558.0</v>
      </c>
      <c r="AD369" s="1">
        <v>7500.0</v>
      </c>
      <c r="AE369" s="1" t="s">
        <v>40</v>
      </c>
      <c r="AF369" s="1">
        <v>3.81358015E8</v>
      </c>
      <c r="AG369" s="1" t="s">
        <v>998</v>
      </c>
      <c r="AH369" s="1">
        <v>10.0</v>
      </c>
      <c r="AI369" s="1">
        <v>2013.0</v>
      </c>
      <c r="AJ369" s="1">
        <v>2014.0</v>
      </c>
      <c r="AK369" s="1" t="s">
        <v>997</v>
      </c>
    </row>
    <row r="370">
      <c r="A370" s="1" t="s">
        <v>1076</v>
      </c>
      <c r="B370" s="1" t="s">
        <v>1076</v>
      </c>
      <c r="C370" s="1" t="s">
        <v>1077</v>
      </c>
      <c r="E370" s="1">
        <v>108182.0</v>
      </c>
      <c r="F370" s="2">
        <v>41542.0</v>
      </c>
      <c r="G370" s="1" t="s">
        <v>1078</v>
      </c>
      <c r="I370" s="1" t="s">
        <v>1078</v>
      </c>
      <c r="L370" s="1" t="s">
        <v>1079</v>
      </c>
      <c r="M370" s="1">
        <v>7000.0</v>
      </c>
      <c r="N370" s="1" t="s">
        <v>1079</v>
      </c>
      <c r="O370" s="1">
        <v>7.3134884E7</v>
      </c>
      <c r="P370" s="1" t="s">
        <v>259</v>
      </c>
      <c r="R370" s="1" t="s">
        <v>286</v>
      </c>
      <c r="S370" s="1" t="s">
        <v>44</v>
      </c>
      <c r="T370" s="1" t="s">
        <v>45</v>
      </c>
      <c r="U370" s="1">
        <v>4.82262841E8</v>
      </c>
      <c r="W370" s="1" t="s">
        <v>46</v>
      </c>
      <c r="X370" s="1" t="s">
        <v>45</v>
      </c>
      <c r="Y370" s="1">
        <v>4.82262841E8</v>
      </c>
      <c r="Z370" s="1">
        <v>7.3134884E7</v>
      </c>
      <c r="AA370" s="1" t="s">
        <v>261</v>
      </c>
      <c r="AB370" s="1">
        <v>68182.0</v>
      </c>
      <c r="AC370" s="2">
        <v>41542.0</v>
      </c>
      <c r="AD370" s="1">
        <v>7000.0</v>
      </c>
      <c r="AE370" s="1" t="s">
        <v>1079</v>
      </c>
      <c r="AF370" s="1" t="s">
        <v>1080</v>
      </c>
      <c r="AG370" s="1" t="s">
        <v>1080</v>
      </c>
      <c r="AH370" s="1">
        <v>10.0</v>
      </c>
      <c r="AI370" s="1">
        <v>2013.0</v>
      </c>
      <c r="AJ370" s="1">
        <v>2013.0</v>
      </c>
      <c r="AK370" s="1" t="s">
        <v>1081</v>
      </c>
    </row>
    <row r="371">
      <c r="A371" s="1" t="s">
        <v>992</v>
      </c>
      <c r="B371" s="1" t="s">
        <v>992</v>
      </c>
      <c r="C371" s="1" t="s">
        <v>159</v>
      </c>
      <c r="E371" s="1">
        <v>3.481772E7</v>
      </c>
      <c r="F371" s="2">
        <v>41528.0</v>
      </c>
      <c r="G371" s="1" t="s">
        <v>993</v>
      </c>
      <c r="I371" s="1" t="s">
        <v>993</v>
      </c>
      <c r="L371" s="1" t="s">
        <v>40</v>
      </c>
      <c r="M371" s="1">
        <v>7500.0</v>
      </c>
      <c r="N371" s="1" t="s">
        <v>40</v>
      </c>
      <c r="O371" s="1">
        <v>2.1761763E7</v>
      </c>
      <c r="P371" s="1" t="s">
        <v>1046</v>
      </c>
      <c r="Q371" s="1" t="s">
        <v>1047</v>
      </c>
      <c r="R371" s="1" t="s">
        <v>1048</v>
      </c>
      <c r="S371" s="1" t="s">
        <v>44</v>
      </c>
      <c r="T371" s="1" t="s">
        <v>45</v>
      </c>
      <c r="U371" s="1">
        <v>4.82121112E8</v>
      </c>
      <c r="W371" s="1" t="s">
        <v>46</v>
      </c>
      <c r="X371" s="1" t="s">
        <v>45</v>
      </c>
      <c r="Y371" s="1">
        <v>4.82121112E8</v>
      </c>
      <c r="AB371" s="1">
        <v>34303.0</v>
      </c>
      <c r="AC371" s="2">
        <v>41528.0</v>
      </c>
      <c r="AD371" s="1">
        <v>7500.0</v>
      </c>
      <c r="AE371" s="1" t="s">
        <v>40</v>
      </c>
      <c r="AF371" s="1">
        <v>3.8171546E8</v>
      </c>
      <c r="AG371" s="1" t="s">
        <v>1049</v>
      </c>
      <c r="AH371" s="1">
        <v>10.0</v>
      </c>
      <c r="AI371" s="1">
        <v>2013.0</v>
      </c>
      <c r="AJ371" s="1">
        <v>2013.0</v>
      </c>
      <c r="AK371" s="1" t="s">
        <v>997</v>
      </c>
    </row>
    <row r="372">
      <c r="A372" s="1" t="s">
        <v>992</v>
      </c>
      <c r="B372" s="1" t="s">
        <v>992</v>
      </c>
      <c r="C372" s="1" t="s">
        <v>159</v>
      </c>
      <c r="E372" s="1">
        <v>3.481772E7</v>
      </c>
      <c r="F372" s="2">
        <v>41518.0</v>
      </c>
      <c r="G372" s="1" t="s">
        <v>993</v>
      </c>
      <c r="I372" s="1" t="s">
        <v>993</v>
      </c>
      <c r="L372" s="1" t="s">
        <v>40</v>
      </c>
      <c r="M372" s="1">
        <v>7500.0</v>
      </c>
      <c r="N372" s="1" t="s">
        <v>40</v>
      </c>
      <c r="O372" s="1">
        <v>3.8775243E7</v>
      </c>
      <c r="P372" s="1" t="s">
        <v>209</v>
      </c>
      <c r="Q372" s="1" t="s">
        <v>210</v>
      </c>
      <c r="R372" s="1" t="s">
        <v>211</v>
      </c>
      <c r="S372" s="1" t="s">
        <v>44</v>
      </c>
      <c r="T372" s="1" t="s">
        <v>45</v>
      </c>
      <c r="U372" s="1">
        <v>4.82023068E8</v>
      </c>
      <c r="W372" s="1" t="s">
        <v>46</v>
      </c>
      <c r="X372" s="1" t="s">
        <v>45</v>
      </c>
      <c r="Y372" s="1">
        <v>4.82023449E8</v>
      </c>
      <c r="Z372" s="1">
        <v>3.8775243E7</v>
      </c>
      <c r="AA372" s="1" t="s">
        <v>209</v>
      </c>
      <c r="AB372" s="1">
        <v>1273271.0</v>
      </c>
      <c r="AC372" s="2">
        <v>41518.0</v>
      </c>
      <c r="AD372" s="1">
        <v>7500.0</v>
      </c>
      <c r="AE372" s="1" t="s">
        <v>40</v>
      </c>
      <c r="AF372" s="1">
        <v>1120190.0</v>
      </c>
      <c r="AG372" s="1" t="s">
        <v>1062</v>
      </c>
      <c r="AH372" s="1">
        <v>10.0</v>
      </c>
      <c r="AI372" s="1">
        <v>2013.0</v>
      </c>
      <c r="AJ372" s="1">
        <v>2013.0</v>
      </c>
      <c r="AK372" s="1" t="s">
        <v>997</v>
      </c>
    </row>
    <row r="373">
      <c r="A373" s="1" t="s">
        <v>1082</v>
      </c>
      <c r="B373" s="1" t="s">
        <v>1082</v>
      </c>
      <c r="C373" s="1" t="s">
        <v>70</v>
      </c>
      <c r="E373" s="1">
        <v>6550517.0</v>
      </c>
      <c r="F373" s="2">
        <v>41548.0</v>
      </c>
      <c r="G373" s="1" t="s">
        <v>1083</v>
      </c>
      <c r="I373" s="1" t="s">
        <v>1083</v>
      </c>
      <c r="L373" s="1" t="s">
        <v>72</v>
      </c>
      <c r="M373" s="1">
        <v>1500.0</v>
      </c>
      <c r="N373" s="1" t="s">
        <v>72</v>
      </c>
      <c r="O373" s="1">
        <v>8.08939396E8</v>
      </c>
      <c r="P373" s="1" t="s">
        <v>1084</v>
      </c>
      <c r="Q373" s="1" t="s">
        <v>1085</v>
      </c>
      <c r="R373" s="1" t="s">
        <v>1086</v>
      </c>
      <c r="S373" s="1" t="s">
        <v>44</v>
      </c>
      <c r="T373" s="1" t="s">
        <v>45</v>
      </c>
      <c r="U373" s="1">
        <v>4.82264215E8</v>
      </c>
      <c r="W373" s="1" t="s">
        <v>1087</v>
      </c>
      <c r="X373" s="1" t="s">
        <v>45</v>
      </c>
      <c r="Y373" s="1">
        <v>4.89151741E8</v>
      </c>
      <c r="Z373" s="1">
        <v>5.4698428E7</v>
      </c>
      <c r="AB373" s="1">
        <v>110051.0</v>
      </c>
      <c r="AC373" s="2">
        <v>41548.0</v>
      </c>
      <c r="AD373" s="1">
        <v>1500.0</v>
      </c>
      <c r="AE373" s="1" t="s">
        <v>72</v>
      </c>
      <c r="AF373" s="1" t="s">
        <v>1088</v>
      </c>
      <c r="AG373" s="1" t="s">
        <v>1089</v>
      </c>
      <c r="AH373" s="1">
        <v>10.0</v>
      </c>
      <c r="AI373" s="1">
        <v>2013.0</v>
      </c>
      <c r="AJ373" s="1">
        <v>2014.0</v>
      </c>
      <c r="AK373" s="1" t="s">
        <v>79</v>
      </c>
    </row>
    <row r="374">
      <c r="A374" s="1" t="s">
        <v>992</v>
      </c>
      <c r="B374" s="1" t="s">
        <v>992</v>
      </c>
      <c r="C374" s="1" t="s">
        <v>159</v>
      </c>
      <c r="E374" s="1">
        <v>3.481772E7</v>
      </c>
      <c r="F374" s="2">
        <v>41558.0</v>
      </c>
      <c r="G374" s="1" t="s">
        <v>993</v>
      </c>
      <c r="I374" s="1" t="s">
        <v>993</v>
      </c>
      <c r="L374" s="1" t="s">
        <v>40</v>
      </c>
      <c r="M374" s="1">
        <v>7500.0</v>
      </c>
      <c r="N374" s="1" t="s">
        <v>40</v>
      </c>
      <c r="O374" s="1">
        <v>8.48764171E8</v>
      </c>
      <c r="P374" s="1" t="s">
        <v>1050</v>
      </c>
      <c r="Q374" s="1" t="s">
        <v>1051</v>
      </c>
      <c r="R374" s="1" t="s">
        <v>1052</v>
      </c>
      <c r="S374" s="1" t="s">
        <v>44</v>
      </c>
      <c r="T374" s="1" t="s">
        <v>45</v>
      </c>
      <c r="U374" s="1">
        <v>4.820741E8</v>
      </c>
      <c r="W374" s="1" t="s">
        <v>46</v>
      </c>
      <c r="X374" s="1" t="s">
        <v>45</v>
      </c>
      <c r="Y374" s="1">
        <v>4.820741E8</v>
      </c>
      <c r="AB374" s="1">
        <v>818868.0</v>
      </c>
      <c r="AC374" s="2">
        <v>41558.0</v>
      </c>
      <c r="AD374" s="1">
        <v>7500.0</v>
      </c>
      <c r="AE374" s="1" t="s">
        <v>40</v>
      </c>
      <c r="AF374" s="1">
        <v>3.82464851E8</v>
      </c>
      <c r="AG374" s="1" t="s">
        <v>1053</v>
      </c>
      <c r="AH374" s="1">
        <v>10.0</v>
      </c>
      <c r="AI374" s="1">
        <v>2013.0</v>
      </c>
      <c r="AJ374" s="1">
        <v>2014.0</v>
      </c>
      <c r="AK374" s="1" t="s">
        <v>997</v>
      </c>
    </row>
    <row r="375">
      <c r="A375" s="1" t="s">
        <v>992</v>
      </c>
      <c r="B375" s="1" t="s">
        <v>992</v>
      </c>
      <c r="C375" s="1" t="s">
        <v>159</v>
      </c>
      <c r="E375" s="1">
        <v>3.481772E7</v>
      </c>
      <c r="F375" s="2">
        <v>41558.0</v>
      </c>
      <c r="G375" s="1" t="s">
        <v>993</v>
      </c>
      <c r="I375" s="1" t="s">
        <v>993</v>
      </c>
      <c r="L375" s="1" t="s">
        <v>40</v>
      </c>
      <c r="M375" s="1">
        <v>7500.0</v>
      </c>
      <c r="N375" s="1" t="s">
        <v>40</v>
      </c>
      <c r="O375" s="1">
        <v>9.29292464E8</v>
      </c>
      <c r="P375" s="1" t="s">
        <v>1043</v>
      </c>
      <c r="R375" s="1" t="s">
        <v>1044</v>
      </c>
      <c r="S375" s="1" t="s">
        <v>44</v>
      </c>
      <c r="T375" s="1" t="s">
        <v>45</v>
      </c>
      <c r="U375" s="1">
        <v>4.82161921E8</v>
      </c>
      <c r="W375" s="1" t="s">
        <v>46</v>
      </c>
      <c r="X375" s="1" t="s">
        <v>45</v>
      </c>
      <c r="Y375" s="1">
        <v>4.82161921E8</v>
      </c>
      <c r="AB375" s="1">
        <v>1093491.0</v>
      </c>
      <c r="AC375" s="2">
        <v>41558.0</v>
      </c>
      <c r="AD375" s="1">
        <v>7500.0</v>
      </c>
      <c r="AE375" s="1" t="s">
        <v>40</v>
      </c>
      <c r="AF375" s="1">
        <v>3.827119621E9</v>
      </c>
      <c r="AG375" s="1" t="s">
        <v>1045</v>
      </c>
      <c r="AH375" s="1">
        <v>10.0</v>
      </c>
      <c r="AI375" s="1">
        <v>2013.0</v>
      </c>
      <c r="AJ375" s="1">
        <v>2014.0</v>
      </c>
      <c r="AK375" s="1" t="s">
        <v>997</v>
      </c>
    </row>
    <row r="376">
      <c r="A376" s="1" t="s">
        <v>992</v>
      </c>
      <c r="B376" s="1" t="s">
        <v>992</v>
      </c>
      <c r="C376" s="1" t="s">
        <v>159</v>
      </c>
      <c r="E376" s="1">
        <v>3.481772E7</v>
      </c>
      <c r="F376" s="2">
        <v>41528.0</v>
      </c>
      <c r="G376" s="1" t="s">
        <v>993</v>
      </c>
      <c r="I376" s="1" t="s">
        <v>993</v>
      </c>
      <c r="L376" s="1" t="s">
        <v>40</v>
      </c>
      <c r="M376" s="1">
        <v>7500.0</v>
      </c>
      <c r="N376" s="1" t="s">
        <v>40</v>
      </c>
      <c r="O376" s="1">
        <v>1.42793053E8</v>
      </c>
      <c r="P376" s="1" t="s">
        <v>994</v>
      </c>
      <c r="R376" s="1" t="s">
        <v>995</v>
      </c>
      <c r="S376" s="1" t="s">
        <v>44</v>
      </c>
      <c r="T376" s="1" t="s">
        <v>45</v>
      </c>
      <c r="U376" s="1">
        <v>4.82282721E8</v>
      </c>
      <c r="W376" s="1" t="s">
        <v>46</v>
      </c>
      <c r="X376" s="1" t="s">
        <v>45</v>
      </c>
      <c r="Y376" s="1">
        <v>4.82282721E8</v>
      </c>
      <c r="AB376" s="1">
        <v>51598.0</v>
      </c>
      <c r="AC376" s="2">
        <v>41528.0</v>
      </c>
      <c r="AD376" s="1">
        <v>7500.0</v>
      </c>
      <c r="AE376" s="1" t="s">
        <v>40</v>
      </c>
      <c r="AF376" s="1">
        <v>2.0606865E7</v>
      </c>
      <c r="AG376" s="1" t="s">
        <v>996</v>
      </c>
      <c r="AH376" s="1">
        <v>10.0</v>
      </c>
      <c r="AI376" s="1">
        <v>2013.0</v>
      </c>
      <c r="AJ376" s="1">
        <v>2013.0</v>
      </c>
      <c r="AK376" s="1" t="s">
        <v>997</v>
      </c>
    </row>
    <row r="377">
      <c r="A377" s="1" t="s">
        <v>1090</v>
      </c>
      <c r="B377" s="1" t="s">
        <v>1090</v>
      </c>
      <c r="C377" s="1" t="s">
        <v>431</v>
      </c>
      <c r="E377" s="1">
        <v>2052597.0</v>
      </c>
      <c r="F377" s="2">
        <v>41521.0</v>
      </c>
      <c r="G377" s="1" t="s">
        <v>1091</v>
      </c>
      <c r="I377" s="1" t="s">
        <v>1091</v>
      </c>
      <c r="L377" s="1" t="s">
        <v>431</v>
      </c>
      <c r="M377" s="1">
        <v>9700.0</v>
      </c>
      <c r="N377" s="1" t="s">
        <v>431</v>
      </c>
      <c r="O377" s="1">
        <v>1962224.0</v>
      </c>
      <c r="P377" s="1" t="s">
        <v>52</v>
      </c>
      <c r="R377" s="1" t="s">
        <v>53</v>
      </c>
      <c r="S377" s="1" t="s">
        <v>44</v>
      </c>
      <c r="T377" s="1" t="s">
        <v>45</v>
      </c>
      <c r="U377" s="1">
        <v>4.82023692E8</v>
      </c>
      <c r="W377" s="1" t="s">
        <v>44</v>
      </c>
      <c r="X377" s="1" t="s">
        <v>45</v>
      </c>
      <c r="Y377" s="1">
        <v>4.82023692E8</v>
      </c>
      <c r="Z377" s="1">
        <v>1962224.0</v>
      </c>
      <c r="AA377" s="1" t="s">
        <v>52</v>
      </c>
      <c r="AB377" s="1">
        <v>39983.0</v>
      </c>
      <c r="AC377" s="2">
        <v>41521.0</v>
      </c>
      <c r="AD377" s="1">
        <v>9700.0</v>
      </c>
      <c r="AE377" s="1" t="s">
        <v>431</v>
      </c>
      <c r="AF377" s="1" t="s">
        <v>1092</v>
      </c>
      <c r="AG377" s="1" t="s">
        <v>1093</v>
      </c>
      <c r="AH377" s="1">
        <v>10.0</v>
      </c>
      <c r="AI377" s="1">
        <v>2013.0</v>
      </c>
      <c r="AJ377" s="1">
        <v>2013.0</v>
      </c>
      <c r="AK377" s="1" t="s">
        <v>1094</v>
      </c>
    </row>
    <row r="378">
      <c r="A378" s="1" t="s">
        <v>187</v>
      </c>
      <c r="B378" s="1" t="s">
        <v>187</v>
      </c>
      <c r="C378" s="1" t="s">
        <v>188</v>
      </c>
      <c r="E378" s="1">
        <v>2.2770804E7</v>
      </c>
      <c r="F378" s="2">
        <v>41547.0</v>
      </c>
      <c r="G378" s="1" t="s">
        <v>189</v>
      </c>
      <c r="I378" s="1" t="s">
        <v>189</v>
      </c>
      <c r="L378" s="1" t="s">
        <v>188</v>
      </c>
      <c r="M378" s="1">
        <v>1900.0</v>
      </c>
      <c r="N378" s="1" t="s">
        <v>188</v>
      </c>
      <c r="O378" s="1">
        <v>6.9840817E7</v>
      </c>
      <c r="P378" s="1" t="s">
        <v>131</v>
      </c>
      <c r="R378" s="1" t="s">
        <v>132</v>
      </c>
      <c r="S378" s="1" t="s">
        <v>44</v>
      </c>
      <c r="T378" s="1" t="s">
        <v>45</v>
      </c>
      <c r="U378" s="1">
        <v>4.8214261E8</v>
      </c>
      <c r="W378" s="1" t="s">
        <v>46</v>
      </c>
      <c r="X378" s="1" t="s">
        <v>45</v>
      </c>
      <c r="Y378" s="1">
        <v>4.8214261E8</v>
      </c>
      <c r="Z378" s="1">
        <v>6.9840817E7</v>
      </c>
      <c r="AA378" s="1" t="s">
        <v>131</v>
      </c>
      <c r="AB378" s="1">
        <v>744375.0</v>
      </c>
      <c r="AC378" s="2">
        <v>41547.0</v>
      </c>
      <c r="AD378" s="1">
        <v>1900.0</v>
      </c>
      <c r="AE378" s="1" t="s">
        <v>188</v>
      </c>
      <c r="AF378" s="1" t="s">
        <v>1095</v>
      </c>
      <c r="AG378" s="1" t="s">
        <v>191</v>
      </c>
      <c r="AH378" s="1">
        <v>9.0</v>
      </c>
      <c r="AI378" s="1">
        <v>2013.0</v>
      </c>
      <c r="AJ378" s="1">
        <v>2013.0</v>
      </c>
      <c r="AK378" s="1" t="s">
        <v>192</v>
      </c>
    </row>
    <row r="379">
      <c r="A379" s="1" t="s">
        <v>1096</v>
      </c>
      <c r="B379" s="1" t="s">
        <v>1096</v>
      </c>
      <c r="C379" s="1" t="s">
        <v>85</v>
      </c>
      <c r="E379" s="1">
        <v>1.3557223E7</v>
      </c>
      <c r="F379" s="2">
        <v>41183.0</v>
      </c>
      <c r="G379" s="1" t="s">
        <v>1097</v>
      </c>
      <c r="I379" s="1" t="s">
        <v>1097</v>
      </c>
      <c r="L379" s="1" t="s">
        <v>40</v>
      </c>
      <c r="M379" s="1">
        <v>7500.0</v>
      </c>
      <c r="N379" s="1" t="s">
        <v>40</v>
      </c>
      <c r="O379" s="1">
        <v>3.8775243E7</v>
      </c>
      <c r="P379" s="1" t="s">
        <v>209</v>
      </c>
      <c r="Q379" s="1" t="s">
        <v>210</v>
      </c>
      <c r="R379" s="1" t="s">
        <v>211</v>
      </c>
      <c r="S379" s="1" t="s">
        <v>44</v>
      </c>
      <c r="T379" s="1" t="s">
        <v>45</v>
      </c>
      <c r="U379" s="1">
        <v>4.82023068E8</v>
      </c>
      <c r="W379" s="1" t="s">
        <v>46</v>
      </c>
      <c r="X379" s="1" t="s">
        <v>45</v>
      </c>
      <c r="Y379" s="1">
        <v>4.82023068E8</v>
      </c>
      <c r="Z379" s="1">
        <v>3.8775243E7</v>
      </c>
      <c r="AA379" s="1" t="s">
        <v>209</v>
      </c>
      <c r="AB379" s="1">
        <v>124537.73</v>
      </c>
      <c r="AC379" s="2">
        <v>41183.0</v>
      </c>
      <c r="AD379" s="1">
        <v>7500.0</v>
      </c>
      <c r="AE379" s="1" t="s">
        <v>40</v>
      </c>
      <c r="AF379" s="1">
        <v>2.0131084E7</v>
      </c>
      <c r="AG379" s="1" t="s">
        <v>1098</v>
      </c>
      <c r="AH379" s="1">
        <v>10.0</v>
      </c>
      <c r="AI379" s="1">
        <v>2011.0</v>
      </c>
      <c r="AJ379" s="1">
        <v>2013.0</v>
      </c>
      <c r="AK379" s="1" t="s">
        <v>1099</v>
      </c>
    </row>
    <row r="380">
      <c r="A380" s="1" t="s">
        <v>1100</v>
      </c>
      <c r="B380" s="1" t="s">
        <v>1100</v>
      </c>
      <c r="C380" s="1" t="s">
        <v>100</v>
      </c>
      <c r="E380" s="1">
        <v>1.5204729E7</v>
      </c>
      <c r="F380" s="2">
        <v>41542.0</v>
      </c>
      <c r="G380" s="1" t="s">
        <v>122</v>
      </c>
      <c r="I380" s="1" t="s">
        <v>122</v>
      </c>
      <c r="L380" s="1" t="s">
        <v>102</v>
      </c>
      <c r="M380" s="1">
        <v>8600.0</v>
      </c>
      <c r="N380" s="1" t="s">
        <v>102</v>
      </c>
      <c r="O380" s="1">
        <v>9.64523815E8</v>
      </c>
      <c r="P380" s="1" t="s">
        <v>123</v>
      </c>
      <c r="Q380" s="1" t="s">
        <v>124</v>
      </c>
      <c r="R380" s="1" t="s">
        <v>125</v>
      </c>
      <c r="S380" s="1" t="s">
        <v>44</v>
      </c>
      <c r="T380" s="1" t="s">
        <v>45</v>
      </c>
      <c r="U380" s="1">
        <v>4.82231227E8</v>
      </c>
      <c r="W380" s="1" t="s">
        <v>46</v>
      </c>
      <c r="X380" s="1" t="s">
        <v>45</v>
      </c>
      <c r="Y380" s="1">
        <v>4.82231227E8</v>
      </c>
      <c r="AB380" s="1">
        <v>133500.0</v>
      </c>
      <c r="AC380" s="2">
        <v>41542.0</v>
      </c>
      <c r="AD380" s="1">
        <v>8600.0</v>
      </c>
      <c r="AE380" s="1" t="s">
        <v>102</v>
      </c>
      <c r="AF380" s="1" t="s">
        <v>1101</v>
      </c>
      <c r="AG380" s="1" t="s">
        <v>1102</v>
      </c>
      <c r="AH380" s="1">
        <v>9.0</v>
      </c>
      <c r="AI380" s="1">
        <v>2013.0</v>
      </c>
      <c r="AJ380" s="1">
        <v>2013.0</v>
      </c>
      <c r="AK380" s="1" t="s">
        <v>127</v>
      </c>
    </row>
    <row r="381">
      <c r="A381" s="1" t="s">
        <v>1103</v>
      </c>
      <c r="B381" s="1" t="s">
        <v>1103</v>
      </c>
      <c r="C381" s="1">
        <v>7545.0</v>
      </c>
      <c r="E381" s="1">
        <v>6758859.0</v>
      </c>
      <c r="F381" s="2">
        <v>41183.0</v>
      </c>
      <c r="G381" s="1" t="s">
        <v>1104</v>
      </c>
      <c r="I381" s="1" t="s">
        <v>1104</v>
      </c>
      <c r="L381" s="1" t="s">
        <v>40</v>
      </c>
      <c r="M381" s="1">
        <v>7500.0</v>
      </c>
      <c r="N381" s="1" t="s">
        <v>40</v>
      </c>
      <c r="O381" s="1">
        <v>4.6842605E7</v>
      </c>
      <c r="P381" s="1" t="s">
        <v>165</v>
      </c>
      <c r="Q381" s="1" t="s">
        <v>166</v>
      </c>
      <c r="R381" s="1" t="s">
        <v>167</v>
      </c>
      <c r="S381" s="1" t="s">
        <v>44</v>
      </c>
      <c r="T381" s="1" t="s">
        <v>45</v>
      </c>
      <c r="U381" s="1">
        <v>4.82074544E8</v>
      </c>
      <c r="W381" s="1" t="s">
        <v>46</v>
      </c>
      <c r="X381" s="1" t="s">
        <v>45</v>
      </c>
      <c r="Y381" s="1">
        <v>4.82074544E8</v>
      </c>
      <c r="AB381" s="1">
        <v>596807.0</v>
      </c>
      <c r="AC381" s="2">
        <v>41183.0</v>
      </c>
      <c r="AD381" s="1">
        <v>7500.0</v>
      </c>
      <c r="AE381" s="1" t="s">
        <v>40</v>
      </c>
      <c r="AF381" s="1">
        <v>2.0131585E7</v>
      </c>
      <c r="AG381" s="1" t="s">
        <v>1105</v>
      </c>
      <c r="AH381" s="1">
        <v>10.0</v>
      </c>
      <c r="AI381" s="1">
        <v>2012.0</v>
      </c>
      <c r="AJ381" s="1">
        <v>2013.0</v>
      </c>
      <c r="AK381" s="1" t="s">
        <v>1106</v>
      </c>
    </row>
    <row r="382">
      <c r="A382" s="1" t="s">
        <v>1107</v>
      </c>
      <c r="B382" s="1" t="s">
        <v>1107</v>
      </c>
      <c r="C382" s="1">
        <v>7545.0</v>
      </c>
      <c r="E382" s="1">
        <v>3.5955108E7</v>
      </c>
      <c r="F382" s="2">
        <v>41183.0</v>
      </c>
      <c r="G382" s="1" t="s">
        <v>1108</v>
      </c>
      <c r="I382" s="1" t="s">
        <v>1108</v>
      </c>
      <c r="L382" s="1" t="s">
        <v>40</v>
      </c>
      <c r="M382" s="1">
        <v>7500.0</v>
      </c>
      <c r="N382" s="1" t="s">
        <v>40</v>
      </c>
      <c r="O382" s="1">
        <v>4.6842605E7</v>
      </c>
      <c r="P382" s="1" t="s">
        <v>165</v>
      </c>
      <c r="Q382" s="1" t="s">
        <v>166</v>
      </c>
      <c r="R382" s="1" t="s">
        <v>167</v>
      </c>
      <c r="S382" s="1" t="s">
        <v>44</v>
      </c>
      <c r="T382" s="1" t="s">
        <v>45</v>
      </c>
      <c r="U382" s="1">
        <v>4.82074544E8</v>
      </c>
      <c r="W382" s="1" t="s">
        <v>46</v>
      </c>
      <c r="X382" s="1" t="s">
        <v>45</v>
      </c>
      <c r="Y382" s="1">
        <v>4.82074544E8</v>
      </c>
      <c r="AB382" s="1">
        <v>3936008.0</v>
      </c>
      <c r="AC382" s="2">
        <v>41183.0</v>
      </c>
      <c r="AD382" s="1">
        <v>7500.0</v>
      </c>
      <c r="AE382" s="1" t="s">
        <v>40</v>
      </c>
      <c r="AF382" s="1">
        <v>2.0131585E7</v>
      </c>
      <c r="AG382" s="1" t="s">
        <v>392</v>
      </c>
      <c r="AH382" s="1">
        <v>10.0</v>
      </c>
      <c r="AI382" s="1">
        <v>2012.0</v>
      </c>
      <c r="AJ382" s="1">
        <v>2013.0</v>
      </c>
      <c r="AK382" s="1" t="s">
        <v>1109</v>
      </c>
    </row>
    <row r="383">
      <c r="A383" s="1" t="s">
        <v>1096</v>
      </c>
      <c r="B383" s="1" t="s">
        <v>1096</v>
      </c>
      <c r="C383" s="1" t="s">
        <v>85</v>
      </c>
      <c r="E383" s="1">
        <v>1.3557223E7</v>
      </c>
      <c r="F383" s="2">
        <v>41183.0</v>
      </c>
      <c r="G383" s="1" t="s">
        <v>1097</v>
      </c>
      <c r="I383" s="1" t="s">
        <v>1097</v>
      </c>
      <c r="L383" s="1" t="s">
        <v>40</v>
      </c>
      <c r="M383" s="1">
        <v>7500.0</v>
      </c>
      <c r="N383" s="1" t="s">
        <v>40</v>
      </c>
      <c r="O383" s="1">
        <v>7.3134884E7</v>
      </c>
      <c r="P383" s="1" t="s">
        <v>259</v>
      </c>
      <c r="R383" s="1" t="s">
        <v>286</v>
      </c>
      <c r="S383" s="1" t="s">
        <v>44</v>
      </c>
      <c r="T383" s="1" t="s">
        <v>45</v>
      </c>
      <c r="U383" s="1">
        <v>4.82262841E8</v>
      </c>
      <c r="W383" s="1" t="s">
        <v>46</v>
      </c>
      <c r="X383" s="1" t="s">
        <v>45</v>
      </c>
      <c r="Y383" s="1">
        <v>4.8226348E8</v>
      </c>
      <c r="Z383" s="1">
        <v>7.3134884E7</v>
      </c>
      <c r="AA383" s="1" t="s">
        <v>261</v>
      </c>
      <c r="AB383" s="1">
        <v>80000.0</v>
      </c>
      <c r="AC383" s="2">
        <v>41183.0</v>
      </c>
      <c r="AD383" s="1">
        <v>7500.0</v>
      </c>
      <c r="AE383" s="1" t="s">
        <v>40</v>
      </c>
      <c r="AF383" s="1">
        <v>2.0131357E7</v>
      </c>
      <c r="AG383" s="1" t="s">
        <v>1098</v>
      </c>
      <c r="AH383" s="1">
        <v>10.0</v>
      </c>
      <c r="AI383" s="1">
        <v>2011.0</v>
      </c>
      <c r="AJ383" s="1">
        <v>2013.0</v>
      </c>
      <c r="AK383" s="1" t="s">
        <v>1099</v>
      </c>
    </row>
    <row r="384">
      <c r="A384" s="1" t="s">
        <v>1096</v>
      </c>
      <c r="B384" s="1" t="s">
        <v>1096</v>
      </c>
      <c r="C384" s="1" t="s">
        <v>85</v>
      </c>
      <c r="E384" s="1">
        <v>1.3557223E7</v>
      </c>
      <c r="F384" s="2">
        <v>41183.0</v>
      </c>
      <c r="G384" s="1" t="s">
        <v>1097</v>
      </c>
      <c r="I384" s="1" t="s">
        <v>1097</v>
      </c>
      <c r="L384" s="1" t="s">
        <v>40</v>
      </c>
      <c r="M384" s="1">
        <v>7500.0</v>
      </c>
      <c r="N384" s="1" t="s">
        <v>40</v>
      </c>
      <c r="O384" s="1">
        <v>3.8775243E7</v>
      </c>
      <c r="P384" s="1" t="s">
        <v>209</v>
      </c>
      <c r="Q384" s="1" t="s">
        <v>210</v>
      </c>
      <c r="R384" s="1" t="s">
        <v>211</v>
      </c>
      <c r="S384" s="1" t="s">
        <v>44</v>
      </c>
      <c r="T384" s="1" t="s">
        <v>45</v>
      </c>
      <c r="U384" s="1">
        <v>4.82023068E8</v>
      </c>
      <c r="W384" s="1" t="s">
        <v>46</v>
      </c>
      <c r="X384" s="1" t="s">
        <v>45</v>
      </c>
      <c r="Y384" s="1">
        <v>4.82023068E8</v>
      </c>
      <c r="Z384" s="1">
        <v>3.8775243E7</v>
      </c>
      <c r="AA384" s="1" t="s">
        <v>209</v>
      </c>
      <c r="AB384" s="1">
        <v>34188.0</v>
      </c>
      <c r="AC384" s="2">
        <v>41183.0</v>
      </c>
      <c r="AD384" s="1">
        <v>7500.0</v>
      </c>
      <c r="AE384" s="1" t="s">
        <v>40</v>
      </c>
      <c r="AF384" s="1">
        <v>2.0131086E7</v>
      </c>
      <c r="AG384" s="1" t="s">
        <v>1098</v>
      </c>
      <c r="AH384" s="1">
        <v>10.0</v>
      </c>
      <c r="AI384" s="1">
        <v>2011.0</v>
      </c>
      <c r="AJ384" s="1">
        <v>2013.0</v>
      </c>
      <c r="AK384" s="1" t="s">
        <v>1099</v>
      </c>
    </row>
    <row r="385">
      <c r="A385" s="1" t="s">
        <v>1100</v>
      </c>
      <c r="B385" s="1" t="s">
        <v>1100</v>
      </c>
      <c r="C385" s="1" t="s">
        <v>100</v>
      </c>
      <c r="E385" s="1">
        <v>1.5204729E7</v>
      </c>
      <c r="F385" s="2">
        <v>41544.0</v>
      </c>
      <c r="G385" s="1" t="s">
        <v>122</v>
      </c>
      <c r="I385" s="1" t="s">
        <v>122</v>
      </c>
      <c r="L385" s="1" t="s">
        <v>102</v>
      </c>
      <c r="M385" s="1">
        <v>8600.0</v>
      </c>
      <c r="N385" s="1" t="s">
        <v>102</v>
      </c>
      <c r="O385" s="1">
        <v>9.65680176E8</v>
      </c>
      <c r="P385" s="1" t="s">
        <v>353</v>
      </c>
      <c r="Q385" s="1" t="s">
        <v>354</v>
      </c>
      <c r="R385" s="1" t="s">
        <v>355</v>
      </c>
      <c r="S385" s="1" t="s">
        <v>44</v>
      </c>
      <c r="T385" s="1" t="s">
        <v>45</v>
      </c>
      <c r="U385" s="1">
        <v>4.8209344E8</v>
      </c>
      <c r="W385" s="1" t="s">
        <v>46</v>
      </c>
      <c r="X385" s="1" t="s">
        <v>45</v>
      </c>
      <c r="Y385" s="1">
        <v>4.82091859E8</v>
      </c>
      <c r="AB385" s="1">
        <v>116500.0</v>
      </c>
      <c r="AC385" s="2">
        <v>41544.0</v>
      </c>
      <c r="AD385" s="1">
        <v>8600.0</v>
      </c>
      <c r="AE385" s="1" t="s">
        <v>102</v>
      </c>
      <c r="AF385" s="1" t="s">
        <v>1110</v>
      </c>
      <c r="AG385" s="1" t="s">
        <v>1111</v>
      </c>
      <c r="AH385" s="1">
        <v>9.0</v>
      </c>
      <c r="AI385" s="1">
        <v>2013.0</v>
      </c>
      <c r="AJ385" s="1">
        <v>2013.0</v>
      </c>
      <c r="AK385" s="1" t="s">
        <v>127</v>
      </c>
    </row>
    <row r="386">
      <c r="A386" s="1" t="s">
        <v>1112</v>
      </c>
      <c r="B386" s="1" t="s">
        <v>1112</v>
      </c>
      <c r="C386" s="1" t="s">
        <v>224</v>
      </c>
      <c r="E386" s="1">
        <v>355532.0</v>
      </c>
      <c r="F386" s="2">
        <v>41535.0</v>
      </c>
      <c r="G386" s="1" t="s">
        <v>1113</v>
      </c>
      <c r="I386" s="1" t="s">
        <v>1113</v>
      </c>
      <c r="L386" s="1" t="s">
        <v>151</v>
      </c>
      <c r="M386" s="1">
        <v>6900.0</v>
      </c>
      <c r="N386" s="1" t="s">
        <v>151</v>
      </c>
      <c r="O386" s="1">
        <v>1.1855476E8</v>
      </c>
      <c r="P386" s="1" t="s">
        <v>983</v>
      </c>
      <c r="Q386" s="1" t="s">
        <v>984</v>
      </c>
      <c r="R386" s="1" t="s">
        <v>227</v>
      </c>
      <c r="S386" s="1" t="s">
        <v>44</v>
      </c>
      <c r="T386" s="1" t="s">
        <v>45</v>
      </c>
      <c r="U386" s="1">
        <v>4.82262886E8</v>
      </c>
      <c r="W386" s="1" t="s">
        <v>46</v>
      </c>
      <c r="X386" s="1" t="s">
        <v>45</v>
      </c>
      <c r="Y386" s="1">
        <v>4.82262886E8</v>
      </c>
      <c r="Z386" s="1">
        <v>6530661.0</v>
      </c>
      <c r="AA386" s="1" t="s">
        <v>76</v>
      </c>
      <c r="AB386" s="1">
        <v>355532.29</v>
      </c>
      <c r="AC386" s="2">
        <v>41535.0</v>
      </c>
      <c r="AD386" s="1">
        <v>6900.0</v>
      </c>
      <c r="AE386" s="1" t="s">
        <v>151</v>
      </c>
      <c r="AF386" s="1">
        <v>1.0</v>
      </c>
      <c r="AG386" s="1" t="s">
        <v>1114</v>
      </c>
      <c r="AH386" s="1">
        <v>10.0</v>
      </c>
      <c r="AI386" s="1">
        <v>2013.0</v>
      </c>
      <c r="AJ386" s="1">
        <v>2013.0</v>
      </c>
      <c r="AK386" s="1" t="s">
        <v>229</v>
      </c>
    </row>
    <row r="387">
      <c r="A387" s="1" t="s">
        <v>1115</v>
      </c>
      <c r="B387" s="1" t="s">
        <v>1115</v>
      </c>
      <c r="C387" s="1" t="s">
        <v>224</v>
      </c>
      <c r="E387" s="1">
        <v>54400.0</v>
      </c>
      <c r="F387" s="2">
        <v>41535.0</v>
      </c>
      <c r="G387" s="1" t="s">
        <v>1113</v>
      </c>
      <c r="I387" s="1" t="s">
        <v>1113</v>
      </c>
      <c r="L387" s="1" t="s">
        <v>151</v>
      </c>
      <c r="M387" s="1">
        <v>6900.0</v>
      </c>
      <c r="N387" s="1" t="s">
        <v>151</v>
      </c>
      <c r="O387" s="1">
        <v>1.1855476E8</v>
      </c>
      <c r="P387" s="1" t="s">
        <v>983</v>
      </c>
      <c r="Q387" s="1" t="s">
        <v>984</v>
      </c>
      <c r="R387" s="1" t="s">
        <v>227</v>
      </c>
      <c r="S387" s="1" t="s">
        <v>44</v>
      </c>
      <c r="T387" s="1" t="s">
        <v>45</v>
      </c>
      <c r="U387" s="1">
        <v>4.82262886E8</v>
      </c>
      <c r="W387" s="1" t="s">
        <v>46</v>
      </c>
      <c r="X387" s="1" t="s">
        <v>45</v>
      </c>
      <c r="Y387" s="1">
        <v>4.82262886E8</v>
      </c>
      <c r="Z387" s="1">
        <v>6530661.0</v>
      </c>
      <c r="AA387" s="1" t="s">
        <v>76</v>
      </c>
      <c r="AB387" s="1">
        <v>54400.72</v>
      </c>
      <c r="AC387" s="2">
        <v>41535.0</v>
      </c>
      <c r="AD387" s="1">
        <v>6900.0</v>
      </c>
      <c r="AE387" s="1" t="s">
        <v>151</v>
      </c>
      <c r="AF387" s="1">
        <v>1.0</v>
      </c>
      <c r="AG387" s="1" t="s">
        <v>1114</v>
      </c>
      <c r="AH387" s="1">
        <v>10.0</v>
      </c>
      <c r="AI387" s="1">
        <v>2013.0</v>
      </c>
      <c r="AJ387" s="1">
        <v>2013.0</v>
      </c>
      <c r="AK387" s="1" t="s">
        <v>229</v>
      </c>
    </row>
    <row r="388">
      <c r="A388" s="1" t="s">
        <v>1116</v>
      </c>
      <c r="B388" s="1" t="s">
        <v>1116</v>
      </c>
      <c r="C388" s="1" t="s">
        <v>63</v>
      </c>
      <c r="E388" s="1">
        <v>2235044.0</v>
      </c>
      <c r="F388" s="2">
        <v>41183.0</v>
      </c>
      <c r="G388" s="1" t="s">
        <v>1117</v>
      </c>
      <c r="I388" s="1" t="s">
        <v>1117</v>
      </c>
      <c r="L388" s="1" t="s">
        <v>40</v>
      </c>
      <c r="M388" s="1">
        <v>7500.0</v>
      </c>
      <c r="N388" s="1" t="s">
        <v>40</v>
      </c>
      <c r="O388" s="1">
        <v>8.68400255E8</v>
      </c>
      <c r="P388" s="1" t="s">
        <v>1118</v>
      </c>
      <c r="R388" s="1" t="s">
        <v>1119</v>
      </c>
      <c r="S388" s="1" t="s">
        <v>44</v>
      </c>
      <c r="T388" s="1" t="s">
        <v>45</v>
      </c>
      <c r="U388" s="1">
        <v>4.82232302E8</v>
      </c>
      <c r="W388" s="1" t="s">
        <v>46</v>
      </c>
      <c r="X388" s="1" t="s">
        <v>45</v>
      </c>
      <c r="Y388" s="1">
        <v>4.82232302E8</v>
      </c>
      <c r="AB388" s="1">
        <v>76478.0</v>
      </c>
      <c r="AC388" s="2">
        <v>41183.0</v>
      </c>
      <c r="AD388" s="1">
        <v>7500.0</v>
      </c>
      <c r="AE388" s="1" t="s">
        <v>40</v>
      </c>
      <c r="AF388" s="1">
        <v>2.0130136E7</v>
      </c>
      <c r="AG388" s="1" t="s">
        <v>1120</v>
      </c>
      <c r="AH388" s="1">
        <v>10.0</v>
      </c>
      <c r="AI388" s="1">
        <v>2010.0</v>
      </c>
      <c r="AJ388" s="1">
        <v>2013.0</v>
      </c>
      <c r="AK388" s="1" t="s">
        <v>1121</v>
      </c>
    </row>
    <row r="389">
      <c r="A389" s="1" t="s">
        <v>1122</v>
      </c>
      <c r="B389" s="1" t="s">
        <v>1122</v>
      </c>
      <c r="C389" s="1" t="s">
        <v>100</v>
      </c>
      <c r="E389" s="1">
        <v>1.9727792E7</v>
      </c>
      <c r="F389" s="2">
        <v>41487.0</v>
      </c>
      <c r="G389" s="1" t="s">
        <v>122</v>
      </c>
      <c r="I389" s="1" t="s">
        <v>122</v>
      </c>
      <c r="L389" s="1" t="s">
        <v>102</v>
      </c>
      <c r="M389" s="1">
        <v>8600.0</v>
      </c>
      <c r="N389" s="1" t="s">
        <v>102</v>
      </c>
      <c r="O389" s="1">
        <v>9.67940722E8</v>
      </c>
      <c r="P389" s="1" t="s">
        <v>1123</v>
      </c>
      <c r="R389" s="1" t="s">
        <v>1124</v>
      </c>
      <c r="S389" s="1" t="s">
        <v>44</v>
      </c>
      <c r="T389" s="1" t="s">
        <v>45</v>
      </c>
      <c r="U389" s="1">
        <v>4.82143969E8</v>
      </c>
      <c r="W389" s="1" t="s">
        <v>46</v>
      </c>
      <c r="X389" s="1" t="s">
        <v>45</v>
      </c>
      <c r="Y389" s="1">
        <v>4.82143969E8</v>
      </c>
      <c r="AB389" s="1">
        <v>45000.0</v>
      </c>
      <c r="AC389" s="2">
        <v>41487.0</v>
      </c>
      <c r="AD389" s="1">
        <v>8600.0</v>
      </c>
      <c r="AE389" s="1" t="s">
        <v>102</v>
      </c>
      <c r="AF389" s="1" t="s">
        <v>1125</v>
      </c>
      <c r="AG389" s="1" t="s">
        <v>1126</v>
      </c>
      <c r="AH389" s="1">
        <v>10.0</v>
      </c>
      <c r="AI389" s="1">
        <v>2013.0</v>
      </c>
      <c r="AJ389" s="1">
        <v>2013.0</v>
      </c>
      <c r="AK389" s="1" t="s">
        <v>127</v>
      </c>
    </row>
    <row r="390">
      <c r="A390" s="1" t="s">
        <v>1127</v>
      </c>
      <c r="B390" s="1" t="s">
        <v>1127</v>
      </c>
      <c r="C390" s="1" t="s">
        <v>70</v>
      </c>
      <c r="E390" s="1">
        <v>1.3166814E7</v>
      </c>
      <c r="F390" s="2">
        <v>41183.0</v>
      </c>
      <c r="G390" s="1" t="s">
        <v>1128</v>
      </c>
      <c r="I390" s="1" t="s">
        <v>1128</v>
      </c>
      <c r="L390" s="1" t="s">
        <v>72</v>
      </c>
      <c r="M390" s="1">
        <v>1500.0</v>
      </c>
      <c r="N390" s="1" t="s">
        <v>72</v>
      </c>
      <c r="O390" s="1">
        <v>8.5464519E7</v>
      </c>
      <c r="P390" s="1" t="s">
        <v>704</v>
      </c>
      <c r="Q390" s="1" t="s">
        <v>705</v>
      </c>
      <c r="R390" s="1" t="s">
        <v>706</v>
      </c>
      <c r="S390" s="1" t="s">
        <v>44</v>
      </c>
      <c r="T390" s="1" t="s">
        <v>45</v>
      </c>
      <c r="U390" s="1">
        <v>4.82012015E8</v>
      </c>
      <c r="W390" s="1" t="s">
        <v>46</v>
      </c>
      <c r="X390" s="1" t="s">
        <v>45</v>
      </c>
      <c r="Y390" s="1">
        <v>4.82012015E8</v>
      </c>
      <c r="AB390" s="1">
        <v>168878.0</v>
      </c>
      <c r="AC390" s="2">
        <v>41183.0</v>
      </c>
      <c r="AD390" s="1">
        <v>1500.0</v>
      </c>
      <c r="AE390" s="1" t="s">
        <v>72</v>
      </c>
      <c r="AF390" s="1">
        <v>2.0130629E7</v>
      </c>
      <c r="AG390" s="1" t="s">
        <v>1129</v>
      </c>
      <c r="AH390" s="1">
        <v>10.0</v>
      </c>
      <c r="AI390" s="1">
        <v>2010.0</v>
      </c>
      <c r="AJ390" s="1">
        <v>2013.0</v>
      </c>
      <c r="AK390" s="1" t="s">
        <v>1130</v>
      </c>
    </row>
    <row r="391">
      <c r="A391" s="1" t="s">
        <v>1096</v>
      </c>
      <c r="B391" s="1" t="s">
        <v>1096</v>
      </c>
      <c r="C391" s="1" t="s">
        <v>85</v>
      </c>
      <c r="E391" s="1">
        <v>1.3557223E7</v>
      </c>
      <c r="F391" s="2">
        <v>41183.0</v>
      </c>
      <c r="G391" s="1" t="s">
        <v>1097</v>
      </c>
      <c r="I391" s="1" t="s">
        <v>1097</v>
      </c>
      <c r="L391" s="1" t="s">
        <v>40</v>
      </c>
      <c r="M391" s="1">
        <v>7500.0</v>
      </c>
      <c r="N391" s="1" t="s">
        <v>40</v>
      </c>
      <c r="O391" s="1">
        <v>7.3134884E7</v>
      </c>
      <c r="P391" s="1" t="s">
        <v>259</v>
      </c>
      <c r="R391" s="1" t="s">
        <v>286</v>
      </c>
      <c r="S391" s="1" t="s">
        <v>44</v>
      </c>
      <c r="T391" s="1" t="s">
        <v>45</v>
      </c>
      <c r="U391" s="1">
        <v>4.82262841E8</v>
      </c>
      <c r="W391" s="1" t="s">
        <v>46</v>
      </c>
      <c r="X391" s="1" t="s">
        <v>45</v>
      </c>
      <c r="Y391" s="1">
        <v>4.8226348E8</v>
      </c>
      <c r="Z391" s="1">
        <v>7.3134884E7</v>
      </c>
      <c r="AA391" s="1" t="s">
        <v>261</v>
      </c>
      <c r="AB391" s="1">
        <v>4612132.0</v>
      </c>
      <c r="AC391" s="2">
        <v>41183.0</v>
      </c>
      <c r="AD391" s="1">
        <v>7500.0</v>
      </c>
      <c r="AE391" s="1" t="s">
        <v>40</v>
      </c>
      <c r="AF391" s="1">
        <v>2.0131865E7</v>
      </c>
      <c r="AG391" s="1" t="s">
        <v>1098</v>
      </c>
      <c r="AH391" s="1">
        <v>10.0</v>
      </c>
      <c r="AI391" s="1">
        <v>2011.0</v>
      </c>
      <c r="AJ391" s="1">
        <v>2013.0</v>
      </c>
      <c r="AK391" s="1" t="s">
        <v>1099</v>
      </c>
    </row>
    <row r="392">
      <c r="A392" s="1" t="s">
        <v>1096</v>
      </c>
      <c r="B392" s="1" t="s">
        <v>1096</v>
      </c>
      <c r="C392" s="1" t="s">
        <v>85</v>
      </c>
      <c r="E392" s="1">
        <v>1.3557223E7</v>
      </c>
      <c r="F392" s="2">
        <v>41183.0</v>
      </c>
      <c r="G392" s="1" t="s">
        <v>1097</v>
      </c>
      <c r="I392" s="1" t="s">
        <v>1097</v>
      </c>
      <c r="L392" s="1" t="s">
        <v>40</v>
      </c>
      <c r="M392" s="1">
        <v>7500.0</v>
      </c>
      <c r="N392" s="1" t="s">
        <v>40</v>
      </c>
      <c r="O392" s="1">
        <v>3.8775243E7</v>
      </c>
      <c r="P392" s="1" t="s">
        <v>209</v>
      </c>
      <c r="Q392" s="1" t="s">
        <v>210</v>
      </c>
      <c r="R392" s="1" t="s">
        <v>211</v>
      </c>
      <c r="S392" s="1" t="s">
        <v>44</v>
      </c>
      <c r="T392" s="1" t="s">
        <v>45</v>
      </c>
      <c r="U392" s="1">
        <v>4.82023068E8</v>
      </c>
      <c r="W392" s="1" t="s">
        <v>46</v>
      </c>
      <c r="X392" s="1" t="s">
        <v>45</v>
      </c>
      <c r="Y392" s="1">
        <v>4.82023068E8</v>
      </c>
      <c r="Z392" s="1">
        <v>3.8775243E7</v>
      </c>
      <c r="AA392" s="1" t="s">
        <v>209</v>
      </c>
      <c r="AB392" s="1">
        <v>0.0</v>
      </c>
      <c r="AC392" s="2">
        <v>41183.0</v>
      </c>
      <c r="AD392" s="1">
        <v>7500.0</v>
      </c>
      <c r="AE392" s="1" t="s">
        <v>40</v>
      </c>
      <c r="AF392" s="1">
        <v>2.0131082E7</v>
      </c>
      <c r="AG392" s="1" t="s">
        <v>1098</v>
      </c>
      <c r="AH392" s="1">
        <v>10.0</v>
      </c>
      <c r="AI392" s="1">
        <v>2011.0</v>
      </c>
      <c r="AJ392" s="1">
        <v>2013.0</v>
      </c>
      <c r="AK392" s="1" t="s">
        <v>1099</v>
      </c>
    </row>
    <row r="393">
      <c r="A393" s="1" t="s">
        <v>1131</v>
      </c>
      <c r="B393" s="1" t="s">
        <v>1131</v>
      </c>
      <c r="C393" s="1" t="s">
        <v>224</v>
      </c>
      <c r="E393" s="1">
        <v>81153.0</v>
      </c>
      <c r="F393" s="2">
        <v>41521.0</v>
      </c>
      <c r="G393" s="1" t="s">
        <v>1132</v>
      </c>
      <c r="I393" s="1" t="s">
        <v>1132</v>
      </c>
      <c r="L393" s="1" t="s">
        <v>151</v>
      </c>
      <c r="M393" s="1">
        <v>6900.0</v>
      </c>
      <c r="N393" s="1" t="s">
        <v>151</v>
      </c>
      <c r="O393" s="1">
        <v>1.1855476E8</v>
      </c>
      <c r="P393" s="1" t="s">
        <v>983</v>
      </c>
      <c r="Q393" s="1" t="s">
        <v>984</v>
      </c>
      <c r="R393" s="1" t="s">
        <v>227</v>
      </c>
      <c r="S393" s="1" t="s">
        <v>44</v>
      </c>
      <c r="T393" s="1" t="s">
        <v>45</v>
      </c>
      <c r="U393" s="1">
        <v>4.82262886E8</v>
      </c>
      <c r="W393" s="1" t="s">
        <v>46</v>
      </c>
      <c r="X393" s="1" t="s">
        <v>45</v>
      </c>
      <c r="Y393" s="1">
        <v>4.82262886E8</v>
      </c>
      <c r="Z393" s="1">
        <v>6530661.0</v>
      </c>
      <c r="AA393" s="1" t="s">
        <v>76</v>
      </c>
      <c r="AB393" s="1">
        <v>81153.25</v>
      </c>
      <c r="AC393" s="2">
        <v>41521.0</v>
      </c>
      <c r="AD393" s="1">
        <v>6900.0</v>
      </c>
      <c r="AE393" s="1" t="s">
        <v>151</v>
      </c>
      <c r="AF393" s="1">
        <v>1.0</v>
      </c>
      <c r="AG393" s="1" t="s">
        <v>1133</v>
      </c>
      <c r="AH393" s="1">
        <v>10.0</v>
      </c>
      <c r="AI393" s="1">
        <v>2013.0</v>
      </c>
      <c r="AJ393" s="1">
        <v>2013.0</v>
      </c>
      <c r="AK393" s="1" t="s">
        <v>229</v>
      </c>
    </row>
    <row r="394">
      <c r="A394" s="1" t="s">
        <v>1134</v>
      </c>
      <c r="B394" s="1" t="s">
        <v>1134</v>
      </c>
      <c r="C394" s="1" t="s">
        <v>224</v>
      </c>
      <c r="E394" s="1">
        <v>89460.0</v>
      </c>
      <c r="F394" s="2">
        <v>41535.0</v>
      </c>
      <c r="G394" s="1" t="s">
        <v>1113</v>
      </c>
      <c r="I394" s="1" t="s">
        <v>1113</v>
      </c>
      <c r="L394" s="1" t="s">
        <v>151</v>
      </c>
      <c r="M394" s="1">
        <v>6900.0</v>
      </c>
      <c r="N394" s="1" t="s">
        <v>151</v>
      </c>
      <c r="O394" s="1">
        <v>1.1855476E8</v>
      </c>
      <c r="P394" s="1" t="s">
        <v>983</v>
      </c>
      <c r="Q394" s="1" t="s">
        <v>984</v>
      </c>
      <c r="R394" s="1" t="s">
        <v>227</v>
      </c>
      <c r="S394" s="1" t="s">
        <v>44</v>
      </c>
      <c r="T394" s="1" t="s">
        <v>45</v>
      </c>
      <c r="U394" s="1">
        <v>4.82262886E8</v>
      </c>
      <c r="W394" s="1" t="s">
        <v>46</v>
      </c>
      <c r="X394" s="1" t="s">
        <v>45</v>
      </c>
      <c r="Y394" s="1">
        <v>4.82262886E8</v>
      </c>
      <c r="Z394" s="1">
        <v>6530661.0</v>
      </c>
      <c r="AA394" s="1" t="s">
        <v>76</v>
      </c>
      <c r="AB394" s="1">
        <v>89460.62</v>
      </c>
      <c r="AC394" s="2">
        <v>41535.0</v>
      </c>
      <c r="AD394" s="1">
        <v>6900.0</v>
      </c>
      <c r="AE394" s="1" t="s">
        <v>151</v>
      </c>
      <c r="AF394" s="1">
        <v>1.0</v>
      </c>
      <c r="AG394" s="1" t="s">
        <v>1114</v>
      </c>
      <c r="AH394" s="1">
        <v>10.0</v>
      </c>
      <c r="AI394" s="1">
        <v>2013.0</v>
      </c>
      <c r="AJ394" s="1">
        <v>2013.0</v>
      </c>
      <c r="AK394" s="1" t="s">
        <v>229</v>
      </c>
    </row>
    <row r="395">
      <c r="A395" s="1" t="s">
        <v>1135</v>
      </c>
      <c r="B395" s="1" t="s">
        <v>1135</v>
      </c>
      <c r="C395" s="1">
        <v>7545.0</v>
      </c>
      <c r="E395" s="1">
        <v>3.7949128E7</v>
      </c>
      <c r="F395" s="2">
        <v>41183.0</v>
      </c>
      <c r="G395" s="1" t="s">
        <v>1136</v>
      </c>
      <c r="I395" s="1" t="s">
        <v>1136</v>
      </c>
      <c r="L395" s="1" t="s">
        <v>40</v>
      </c>
      <c r="M395" s="1">
        <v>7500.0</v>
      </c>
      <c r="N395" s="1" t="s">
        <v>40</v>
      </c>
      <c r="O395" s="1">
        <v>4.6842605E7</v>
      </c>
      <c r="P395" s="1" t="s">
        <v>165</v>
      </c>
      <c r="Q395" s="1" t="s">
        <v>166</v>
      </c>
      <c r="R395" s="1" t="s">
        <v>167</v>
      </c>
      <c r="S395" s="1" t="s">
        <v>44</v>
      </c>
      <c r="T395" s="1" t="s">
        <v>45</v>
      </c>
      <c r="U395" s="1">
        <v>4.82074544E8</v>
      </c>
      <c r="W395" s="1" t="s">
        <v>46</v>
      </c>
      <c r="X395" s="1" t="s">
        <v>45</v>
      </c>
      <c r="Y395" s="1">
        <v>4.82074544E8</v>
      </c>
      <c r="AB395" s="1">
        <v>210375.0</v>
      </c>
      <c r="AC395" s="2">
        <v>41183.0</v>
      </c>
      <c r="AD395" s="1">
        <v>7500.0</v>
      </c>
      <c r="AE395" s="1" t="s">
        <v>40</v>
      </c>
      <c r="AF395" s="1">
        <v>2.0131585E7</v>
      </c>
      <c r="AG395" s="1" t="s">
        <v>392</v>
      </c>
      <c r="AH395" s="1">
        <v>10.0</v>
      </c>
      <c r="AI395" s="1">
        <v>2011.0</v>
      </c>
      <c r="AJ395" s="1">
        <v>2013.0</v>
      </c>
      <c r="AK395" s="1" t="s">
        <v>1109</v>
      </c>
    </row>
    <row r="396">
      <c r="A396" s="1" t="s">
        <v>1137</v>
      </c>
      <c r="B396" s="1" t="s">
        <v>1137</v>
      </c>
      <c r="C396" s="1">
        <v>7545.0</v>
      </c>
      <c r="E396" s="1">
        <v>672465.0</v>
      </c>
      <c r="F396" s="2">
        <v>41183.0</v>
      </c>
      <c r="G396" s="1" t="s">
        <v>1138</v>
      </c>
      <c r="I396" s="1" t="s">
        <v>1138</v>
      </c>
      <c r="L396" s="1" t="s">
        <v>40</v>
      </c>
      <c r="M396" s="1">
        <v>7500.0</v>
      </c>
      <c r="N396" s="1" t="s">
        <v>40</v>
      </c>
      <c r="O396" s="1">
        <v>4.6842605E7</v>
      </c>
      <c r="P396" s="1" t="s">
        <v>165</v>
      </c>
      <c r="Q396" s="1" t="s">
        <v>166</v>
      </c>
      <c r="R396" s="1" t="s">
        <v>167</v>
      </c>
      <c r="S396" s="1" t="s">
        <v>44</v>
      </c>
      <c r="T396" s="1" t="s">
        <v>45</v>
      </c>
      <c r="U396" s="1">
        <v>4.82074544E8</v>
      </c>
      <c r="W396" s="1" t="s">
        <v>46</v>
      </c>
      <c r="X396" s="1" t="s">
        <v>45</v>
      </c>
      <c r="Y396" s="1">
        <v>4.82074544E8</v>
      </c>
      <c r="AB396" s="1">
        <v>30679.0</v>
      </c>
      <c r="AC396" s="2">
        <v>41183.0</v>
      </c>
      <c r="AD396" s="1">
        <v>7500.0</v>
      </c>
      <c r="AE396" s="1" t="s">
        <v>40</v>
      </c>
      <c r="AF396" s="1">
        <v>2.0131585E7</v>
      </c>
      <c r="AG396" s="1" t="s">
        <v>392</v>
      </c>
      <c r="AH396" s="1">
        <v>10.0</v>
      </c>
      <c r="AI396" s="1">
        <v>2012.0</v>
      </c>
      <c r="AJ396" s="1">
        <v>2013.0</v>
      </c>
      <c r="AK396" s="1" t="s">
        <v>1139</v>
      </c>
    </row>
    <row r="397">
      <c r="A397" s="1" t="s">
        <v>1140</v>
      </c>
      <c r="B397" s="1" t="s">
        <v>1140</v>
      </c>
      <c r="C397" s="1" t="s">
        <v>389</v>
      </c>
      <c r="E397" s="1">
        <v>2959853.0</v>
      </c>
      <c r="F397" s="2">
        <v>41183.0</v>
      </c>
      <c r="G397" s="1" t="s">
        <v>390</v>
      </c>
      <c r="I397" s="1" t="s">
        <v>390</v>
      </c>
      <c r="L397" s="1" t="s">
        <v>391</v>
      </c>
      <c r="M397" s="1">
        <v>1600.0</v>
      </c>
      <c r="N397" s="1" t="s">
        <v>391</v>
      </c>
      <c r="O397" s="1">
        <v>4.6842605E7</v>
      </c>
      <c r="P397" s="1" t="s">
        <v>165</v>
      </c>
      <c r="Q397" s="1" t="s">
        <v>166</v>
      </c>
      <c r="R397" s="1" t="s">
        <v>167</v>
      </c>
      <c r="S397" s="1" t="s">
        <v>44</v>
      </c>
      <c r="T397" s="1" t="s">
        <v>45</v>
      </c>
      <c r="U397" s="1">
        <v>4.82074544E8</v>
      </c>
      <c r="W397" s="1" t="s">
        <v>46</v>
      </c>
      <c r="X397" s="1" t="s">
        <v>45</v>
      </c>
      <c r="Y397" s="1">
        <v>4.82074544E8</v>
      </c>
      <c r="AB397" s="1">
        <v>743948.0</v>
      </c>
      <c r="AC397" s="2">
        <v>41183.0</v>
      </c>
      <c r="AD397" s="1">
        <v>1600.0</v>
      </c>
      <c r="AE397" s="1" t="s">
        <v>391</v>
      </c>
      <c r="AF397" s="1">
        <v>2.0131585E7</v>
      </c>
      <c r="AG397" s="1" t="s">
        <v>390</v>
      </c>
      <c r="AH397" s="1">
        <v>10.0</v>
      </c>
      <c r="AI397" s="1">
        <v>2010.0</v>
      </c>
      <c r="AJ397" s="1">
        <v>2013.0</v>
      </c>
      <c r="AK397" s="1" t="s">
        <v>393</v>
      </c>
    </row>
    <row r="398">
      <c r="A398" s="1" t="s">
        <v>1127</v>
      </c>
      <c r="B398" s="1" t="s">
        <v>1127</v>
      </c>
      <c r="C398" s="1" t="s">
        <v>70</v>
      </c>
      <c r="E398" s="1">
        <v>1.3166814E7</v>
      </c>
      <c r="F398" s="2">
        <v>41183.0</v>
      </c>
      <c r="G398" s="1" t="s">
        <v>1128</v>
      </c>
      <c r="I398" s="1" t="s">
        <v>1128</v>
      </c>
      <c r="L398" s="1" t="s">
        <v>72</v>
      </c>
      <c r="M398" s="1">
        <v>1500.0</v>
      </c>
      <c r="N398" s="1" t="s">
        <v>72</v>
      </c>
      <c r="O398" s="1">
        <v>7.3134884E7</v>
      </c>
      <c r="P398" s="1" t="s">
        <v>259</v>
      </c>
      <c r="R398" s="1" t="s">
        <v>286</v>
      </c>
      <c r="S398" s="1" t="s">
        <v>44</v>
      </c>
      <c r="T398" s="1" t="s">
        <v>45</v>
      </c>
      <c r="U398" s="1">
        <v>4.82262841E8</v>
      </c>
      <c r="W398" s="1" t="s">
        <v>46</v>
      </c>
      <c r="X398" s="1" t="s">
        <v>45</v>
      </c>
      <c r="Y398" s="1">
        <v>4.8226348E8</v>
      </c>
      <c r="Z398" s="1">
        <v>7.3134884E7</v>
      </c>
      <c r="AA398" s="1" t="s">
        <v>261</v>
      </c>
      <c r="AB398" s="1">
        <v>345398.0</v>
      </c>
      <c r="AC398" s="2">
        <v>41183.0</v>
      </c>
      <c r="AD398" s="1">
        <v>1500.0</v>
      </c>
      <c r="AE398" s="1" t="s">
        <v>72</v>
      </c>
      <c r="AF398" s="1">
        <v>2.0130679E7</v>
      </c>
      <c r="AG398" s="1" t="s">
        <v>1129</v>
      </c>
      <c r="AH398" s="1">
        <v>10.0</v>
      </c>
      <c r="AI398" s="1">
        <v>2010.0</v>
      </c>
      <c r="AJ398" s="1">
        <v>2013.0</v>
      </c>
      <c r="AK398" s="1" t="s">
        <v>1130</v>
      </c>
    </row>
    <row r="399">
      <c r="A399" s="1" t="s">
        <v>1127</v>
      </c>
      <c r="B399" s="1" t="s">
        <v>1127</v>
      </c>
      <c r="C399" s="1" t="s">
        <v>70</v>
      </c>
      <c r="E399" s="1">
        <v>1.3166814E7</v>
      </c>
      <c r="F399" s="2">
        <v>41183.0</v>
      </c>
      <c r="G399" s="1" t="s">
        <v>1128</v>
      </c>
      <c r="I399" s="1" t="s">
        <v>1128</v>
      </c>
      <c r="L399" s="1" t="s">
        <v>72</v>
      </c>
      <c r="M399" s="1">
        <v>1500.0</v>
      </c>
      <c r="N399" s="1" t="s">
        <v>72</v>
      </c>
      <c r="O399" s="1">
        <v>7.3134884E7</v>
      </c>
      <c r="P399" s="1" t="s">
        <v>259</v>
      </c>
      <c r="R399" s="1" t="s">
        <v>286</v>
      </c>
      <c r="S399" s="1" t="s">
        <v>44</v>
      </c>
      <c r="T399" s="1" t="s">
        <v>45</v>
      </c>
      <c r="U399" s="1">
        <v>4.82262841E8</v>
      </c>
      <c r="W399" s="1" t="s">
        <v>46</v>
      </c>
      <c r="X399" s="1" t="s">
        <v>45</v>
      </c>
      <c r="Y399" s="1">
        <v>4.8226348E8</v>
      </c>
      <c r="Z399" s="1">
        <v>7.3134884E7</v>
      </c>
      <c r="AA399" s="1" t="s">
        <v>261</v>
      </c>
      <c r="AB399" s="1">
        <v>455024.0</v>
      </c>
      <c r="AC399" s="2">
        <v>41183.0</v>
      </c>
      <c r="AD399" s="1">
        <v>1500.0</v>
      </c>
      <c r="AE399" s="1" t="s">
        <v>72</v>
      </c>
      <c r="AF399" s="1">
        <v>2.0130656E7</v>
      </c>
      <c r="AG399" s="1" t="s">
        <v>1129</v>
      </c>
      <c r="AH399" s="1">
        <v>10.0</v>
      </c>
      <c r="AI399" s="1">
        <v>2010.0</v>
      </c>
      <c r="AJ399" s="1">
        <v>2013.0</v>
      </c>
      <c r="AK399" s="1" t="s">
        <v>1130</v>
      </c>
    </row>
    <row r="400">
      <c r="A400" s="1" t="s">
        <v>1141</v>
      </c>
      <c r="B400" s="1" t="s">
        <v>1141</v>
      </c>
      <c r="C400" s="1" t="s">
        <v>38</v>
      </c>
      <c r="E400" s="1">
        <v>441471.0</v>
      </c>
      <c r="F400" s="2">
        <v>41528.0</v>
      </c>
      <c r="G400" s="1" t="s">
        <v>1142</v>
      </c>
      <c r="I400" s="1" t="s">
        <v>1142</v>
      </c>
      <c r="L400" s="1" t="s">
        <v>40</v>
      </c>
      <c r="M400" s="1">
        <v>7500.0</v>
      </c>
      <c r="N400" s="1" t="s">
        <v>40</v>
      </c>
      <c r="O400" s="1">
        <v>1962224.0</v>
      </c>
      <c r="P400" s="1" t="s">
        <v>52</v>
      </c>
      <c r="R400" s="1" t="s">
        <v>53</v>
      </c>
      <c r="S400" s="1" t="s">
        <v>44</v>
      </c>
      <c r="T400" s="1" t="s">
        <v>45</v>
      </c>
      <c r="U400" s="1">
        <v>4.82023692E8</v>
      </c>
      <c r="W400" s="1" t="s">
        <v>46</v>
      </c>
      <c r="X400" s="1" t="s">
        <v>45</v>
      </c>
      <c r="Y400" s="1">
        <v>4.82011405E8</v>
      </c>
      <c r="Z400" s="1">
        <v>1962224.0</v>
      </c>
      <c r="AA400" s="1" t="s">
        <v>52</v>
      </c>
      <c r="AB400" s="1">
        <v>33086.0</v>
      </c>
      <c r="AC400" s="2">
        <v>41528.0</v>
      </c>
      <c r="AD400" s="1">
        <v>7500.0</v>
      </c>
      <c r="AE400" s="1" t="s">
        <v>40</v>
      </c>
      <c r="AF400" s="1" t="s">
        <v>1143</v>
      </c>
      <c r="AG400" s="1" t="s">
        <v>1144</v>
      </c>
      <c r="AH400" s="1">
        <v>9.0</v>
      </c>
      <c r="AI400" s="1">
        <v>2013.0</v>
      </c>
      <c r="AJ400" s="1">
        <v>2013.0</v>
      </c>
      <c r="AK400" s="1" t="s">
        <v>1145</v>
      </c>
    </row>
    <row r="401">
      <c r="A401" s="1" t="s">
        <v>1127</v>
      </c>
      <c r="B401" s="1" t="s">
        <v>1127</v>
      </c>
      <c r="C401" s="1" t="s">
        <v>70</v>
      </c>
      <c r="E401" s="1">
        <v>1.3166814E7</v>
      </c>
      <c r="F401" s="2">
        <v>41183.0</v>
      </c>
      <c r="G401" s="1" t="s">
        <v>1128</v>
      </c>
      <c r="I401" s="1" t="s">
        <v>1128</v>
      </c>
      <c r="L401" s="1" t="s">
        <v>72</v>
      </c>
      <c r="M401" s="1">
        <v>1500.0</v>
      </c>
      <c r="N401" s="1" t="s">
        <v>72</v>
      </c>
      <c r="O401" s="1">
        <v>1962224.0</v>
      </c>
      <c r="P401" s="1" t="s">
        <v>52</v>
      </c>
      <c r="R401" s="1" t="s">
        <v>53</v>
      </c>
      <c r="S401" s="1" t="s">
        <v>44</v>
      </c>
      <c r="T401" s="1" t="s">
        <v>45</v>
      </c>
      <c r="U401" s="1">
        <v>4.82023692E8</v>
      </c>
      <c r="W401" s="1" t="s">
        <v>46</v>
      </c>
      <c r="X401" s="1" t="s">
        <v>45</v>
      </c>
      <c r="Y401" s="1">
        <v>4.82023692E8</v>
      </c>
      <c r="Z401" s="1">
        <v>1962224.0</v>
      </c>
      <c r="AA401" s="1" t="s">
        <v>52</v>
      </c>
      <c r="AB401" s="1">
        <v>284919.0</v>
      </c>
      <c r="AC401" s="2">
        <v>41183.0</v>
      </c>
      <c r="AD401" s="1">
        <v>1500.0</v>
      </c>
      <c r="AE401" s="1" t="s">
        <v>72</v>
      </c>
      <c r="AF401" s="1">
        <v>2.0131068E7</v>
      </c>
      <c r="AG401" s="1" t="s">
        <v>1129</v>
      </c>
      <c r="AH401" s="1">
        <v>10.0</v>
      </c>
      <c r="AI401" s="1">
        <v>2010.0</v>
      </c>
      <c r="AJ401" s="1">
        <v>2013.0</v>
      </c>
      <c r="AK401" s="1" t="s">
        <v>1130</v>
      </c>
    </row>
    <row r="402">
      <c r="A402" s="1" t="s">
        <v>1146</v>
      </c>
      <c r="B402" s="1" t="s">
        <v>1146</v>
      </c>
      <c r="C402" s="1" t="s">
        <v>224</v>
      </c>
      <c r="E402" s="1">
        <v>84690.0</v>
      </c>
      <c r="F402" s="2">
        <v>41521.0</v>
      </c>
      <c r="G402" s="1" t="s">
        <v>1132</v>
      </c>
      <c r="I402" s="1" t="s">
        <v>1132</v>
      </c>
      <c r="L402" s="1" t="s">
        <v>151</v>
      </c>
      <c r="M402" s="1">
        <v>6900.0</v>
      </c>
      <c r="N402" s="1" t="s">
        <v>151</v>
      </c>
      <c r="O402" s="1">
        <v>1.1855476E8</v>
      </c>
      <c r="P402" s="1" t="s">
        <v>983</v>
      </c>
      <c r="Q402" s="1" t="s">
        <v>984</v>
      </c>
      <c r="R402" s="1" t="s">
        <v>227</v>
      </c>
      <c r="S402" s="1" t="s">
        <v>44</v>
      </c>
      <c r="T402" s="1" t="s">
        <v>45</v>
      </c>
      <c r="U402" s="1">
        <v>4.82262886E8</v>
      </c>
      <c r="W402" s="1" t="s">
        <v>46</v>
      </c>
      <c r="X402" s="1" t="s">
        <v>45</v>
      </c>
      <c r="Y402" s="1">
        <v>4.82262886E8</v>
      </c>
      <c r="Z402" s="1">
        <v>6530661.0</v>
      </c>
      <c r="AA402" s="1" t="s">
        <v>76</v>
      </c>
      <c r="AB402" s="1">
        <v>84690.96</v>
      </c>
      <c r="AC402" s="2">
        <v>41521.0</v>
      </c>
      <c r="AD402" s="1">
        <v>6900.0</v>
      </c>
      <c r="AE402" s="1" t="s">
        <v>151</v>
      </c>
      <c r="AF402" s="1">
        <v>1.0</v>
      </c>
      <c r="AG402" s="1" t="s">
        <v>1133</v>
      </c>
      <c r="AH402" s="1">
        <v>10.0</v>
      </c>
      <c r="AI402" s="1">
        <v>2013.0</v>
      </c>
      <c r="AJ402" s="1">
        <v>2013.0</v>
      </c>
      <c r="AK402" s="1" t="s">
        <v>229</v>
      </c>
    </row>
    <row r="403">
      <c r="A403" s="1" t="s">
        <v>1147</v>
      </c>
      <c r="B403" s="1" t="s">
        <v>1147</v>
      </c>
      <c r="C403" s="1" t="s">
        <v>224</v>
      </c>
      <c r="E403" s="1">
        <v>78114.0</v>
      </c>
      <c r="F403" s="2">
        <v>41535.0</v>
      </c>
      <c r="G403" s="1" t="s">
        <v>1113</v>
      </c>
      <c r="I403" s="1" t="s">
        <v>1113</v>
      </c>
      <c r="L403" s="1" t="s">
        <v>151</v>
      </c>
      <c r="M403" s="1">
        <v>6900.0</v>
      </c>
      <c r="N403" s="1" t="s">
        <v>151</v>
      </c>
      <c r="O403" s="1">
        <v>1.1855476E8</v>
      </c>
      <c r="P403" s="1" t="s">
        <v>983</v>
      </c>
      <c r="Q403" s="1" t="s">
        <v>984</v>
      </c>
      <c r="R403" s="1" t="s">
        <v>227</v>
      </c>
      <c r="S403" s="1" t="s">
        <v>44</v>
      </c>
      <c r="T403" s="1" t="s">
        <v>45</v>
      </c>
      <c r="U403" s="1">
        <v>4.82262886E8</v>
      </c>
      <c r="W403" s="1" t="s">
        <v>46</v>
      </c>
      <c r="X403" s="1" t="s">
        <v>45</v>
      </c>
      <c r="Y403" s="1">
        <v>4.82262886E8</v>
      </c>
      <c r="Z403" s="1">
        <v>6530661.0</v>
      </c>
      <c r="AA403" s="1" t="s">
        <v>76</v>
      </c>
      <c r="AB403" s="1">
        <v>78114.53</v>
      </c>
      <c r="AC403" s="2">
        <v>41535.0</v>
      </c>
      <c r="AD403" s="1">
        <v>6900.0</v>
      </c>
      <c r="AE403" s="1" t="s">
        <v>151</v>
      </c>
      <c r="AF403" s="1">
        <v>1.0</v>
      </c>
      <c r="AG403" s="1" t="s">
        <v>1148</v>
      </c>
      <c r="AH403" s="1">
        <v>10.0</v>
      </c>
      <c r="AI403" s="1">
        <v>2013.0</v>
      </c>
      <c r="AJ403" s="1">
        <v>2013.0</v>
      </c>
      <c r="AK403" s="1" t="s">
        <v>229</v>
      </c>
    </row>
    <row r="404">
      <c r="A404" s="1" t="s">
        <v>1149</v>
      </c>
      <c r="B404" s="1" t="s">
        <v>1149</v>
      </c>
      <c r="C404" s="1" t="s">
        <v>224</v>
      </c>
      <c r="E404" s="1">
        <v>625207.0</v>
      </c>
      <c r="F404" s="2">
        <v>41521.0</v>
      </c>
      <c r="G404" s="1" t="s">
        <v>1150</v>
      </c>
      <c r="I404" s="1" t="s">
        <v>1150</v>
      </c>
      <c r="L404" s="1" t="s">
        <v>151</v>
      </c>
      <c r="M404" s="1">
        <v>6900.0</v>
      </c>
      <c r="N404" s="1" t="s">
        <v>151</v>
      </c>
      <c r="O404" s="1">
        <v>9.63886101E8</v>
      </c>
      <c r="P404" s="1" t="s">
        <v>259</v>
      </c>
      <c r="R404" s="1" t="s">
        <v>260</v>
      </c>
      <c r="S404" s="1" t="s">
        <v>44</v>
      </c>
      <c r="T404" s="1" t="s">
        <v>45</v>
      </c>
      <c r="U404" s="1">
        <v>4.8226348E8</v>
      </c>
      <c r="W404" s="1" t="s">
        <v>46</v>
      </c>
      <c r="X404" s="1" t="s">
        <v>45</v>
      </c>
      <c r="Y404" s="1">
        <v>4.8226348E8</v>
      </c>
      <c r="Z404" s="1">
        <v>7.3134884E7</v>
      </c>
      <c r="AA404" s="1" t="s">
        <v>261</v>
      </c>
      <c r="AB404" s="1">
        <v>625207.54</v>
      </c>
      <c r="AC404" s="2">
        <v>41521.0</v>
      </c>
      <c r="AD404" s="1">
        <v>6900.0</v>
      </c>
      <c r="AE404" s="1" t="s">
        <v>151</v>
      </c>
      <c r="AF404" s="1">
        <v>1.0</v>
      </c>
      <c r="AG404" s="1" t="s">
        <v>1151</v>
      </c>
      <c r="AH404" s="1">
        <v>10.0</v>
      </c>
      <c r="AI404" s="1">
        <v>2013.0</v>
      </c>
      <c r="AJ404" s="1">
        <v>2013.0</v>
      </c>
      <c r="AK404" s="1" t="s">
        <v>229</v>
      </c>
    </row>
    <row r="405">
      <c r="A405" s="1" t="s">
        <v>1152</v>
      </c>
      <c r="B405" s="1" t="s">
        <v>1152</v>
      </c>
      <c r="C405" s="1" t="s">
        <v>224</v>
      </c>
      <c r="E405" s="1">
        <v>89805.0</v>
      </c>
      <c r="F405" s="2">
        <v>41521.0</v>
      </c>
      <c r="G405" s="1" t="s">
        <v>1153</v>
      </c>
      <c r="I405" s="1" t="s">
        <v>1153</v>
      </c>
      <c r="L405" s="1" t="s">
        <v>151</v>
      </c>
      <c r="M405" s="1">
        <v>6900.0</v>
      </c>
      <c r="N405" s="1" t="s">
        <v>151</v>
      </c>
      <c r="O405" s="1">
        <v>9.63886101E8</v>
      </c>
      <c r="P405" s="1" t="s">
        <v>259</v>
      </c>
      <c r="R405" s="1" t="s">
        <v>260</v>
      </c>
      <c r="S405" s="1" t="s">
        <v>44</v>
      </c>
      <c r="T405" s="1" t="s">
        <v>45</v>
      </c>
      <c r="U405" s="1">
        <v>4.8226348E8</v>
      </c>
      <c r="W405" s="1" t="s">
        <v>46</v>
      </c>
      <c r="X405" s="1" t="s">
        <v>45</v>
      </c>
      <c r="Y405" s="1">
        <v>4.8226348E8</v>
      </c>
      <c r="Z405" s="1">
        <v>7.3134884E7</v>
      </c>
      <c r="AA405" s="1" t="s">
        <v>261</v>
      </c>
      <c r="AB405" s="1">
        <v>89805.0</v>
      </c>
      <c r="AC405" s="2">
        <v>41521.0</v>
      </c>
      <c r="AD405" s="1">
        <v>6900.0</v>
      </c>
      <c r="AE405" s="1" t="s">
        <v>151</v>
      </c>
      <c r="AF405" s="1">
        <v>1.0</v>
      </c>
      <c r="AG405" s="1" t="s">
        <v>1154</v>
      </c>
      <c r="AH405" s="1">
        <v>10.0</v>
      </c>
      <c r="AI405" s="1">
        <v>2013.0</v>
      </c>
      <c r="AJ405" s="1">
        <v>2013.0</v>
      </c>
      <c r="AK405" s="1" t="s">
        <v>229</v>
      </c>
    </row>
    <row r="406">
      <c r="A406" s="1" t="s">
        <v>1155</v>
      </c>
      <c r="B406" s="1" t="s">
        <v>1155</v>
      </c>
      <c r="C406" s="1" t="s">
        <v>224</v>
      </c>
      <c r="E406" s="1">
        <v>613717.0</v>
      </c>
      <c r="F406" s="2">
        <v>41523.0</v>
      </c>
      <c r="G406" s="1" t="s">
        <v>1156</v>
      </c>
      <c r="I406" s="1" t="s">
        <v>1156</v>
      </c>
      <c r="L406" s="1" t="s">
        <v>151</v>
      </c>
      <c r="M406" s="1">
        <v>6900.0</v>
      </c>
      <c r="N406" s="1" t="s">
        <v>151</v>
      </c>
      <c r="O406" s="1">
        <v>9.63886101E8</v>
      </c>
      <c r="P406" s="1" t="s">
        <v>259</v>
      </c>
      <c r="R406" s="1" t="s">
        <v>260</v>
      </c>
      <c r="S406" s="1" t="s">
        <v>44</v>
      </c>
      <c r="T406" s="1" t="s">
        <v>45</v>
      </c>
      <c r="U406" s="1">
        <v>4.8226348E8</v>
      </c>
      <c r="W406" s="1" t="s">
        <v>46</v>
      </c>
      <c r="X406" s="1" t="s">
        <v>45</v>
      </c>
      <c r="Y406" s="1">
        <v>4.8226348E8</v>
      </c>
      <c r="Z406" s="1">
        <v>7.3134884E7</v>
      </c>
      <c r="AA406" s="1" t="s">
        <v>261</v>
      </c>
      <c r="AB406" s="1">
        <v>613717.52</v>
      </c>
      <c r="AC406" s="2">
        <v>41523.0</v>
      </c>
      <c r="AD406" s="1">
        <v>6900.0</v>
      </c>
      <c r="AE406" s="1" t="s">
        <v>151</v>
      </c>
      <c r="AF406" s="1">
        <v>1.0</v>
      </c>
      <c r="AG406" s="1" t="s">
        <v>1157</v>
      </c>
      <c r="AH406" s="1">
        <v>10.0</v>
      </c>
      <c r="AI406" s="1">
        <v>2013.0</v>
      </c>
      <c r="AJ406" s="1">
        <v>2013.0</v>
      </c>
      <c r="AK406" s="1" t="s">
        <v>229</v>
      </c>
    </row>
    <row r="407">
      <c r="A407" s="1" t="s">
        <v>1158</v>
      </c>
      <c r="B407" s="1" t="s">
        <v>1158</v>
      </c>
      <c r="C407" s="1" t="s">
        <v>224</v>
      </c>
      <c r="E407" s="1">
        <v>409260.0</v>
      </c>
      <c r="F407" s="2">
        <v>41523.0</v>
      </c>
      <c r="G407" s="1" t="s">
        <v>1159</v>
      </c>
      <c r="I407" s="1" t="s">
        <v>1159</v>
      </c>
      <c r="L407" s="1" t="s">
        <v>151</v>
      </c>
      <c r="M407" s="1">
        <v>6900.0</v>
      </c>
      <c r="N407" s="1" t="s">
        <v>151</v>
      </c>
      <c r="O407" s="1">
        <v>9.63886101E8</v>
      </c>
      <c r="P407" s="1" t="s">
        <v>259</v>
      </c>
      <c r="R407" s="1" t="s">
        <v>260</v>
      </c>
      <c r="S407" s="1" t="s">
        <v>44</v>
      </c>
      <c r="T407" s="1" t="s">
        <v>45</v>
      </c>
      <c r="U407" s="1">
        <v>4.8226348E8</v>
      </c>
      <c r="W407" s="1" t="s">
        <v>46</v>
      </c>
      <c r="X407" s="1" t="s">
        <v>45</v>
      </c>
      <c r="Y407" s="1">
        <v>4.8226348E8</v>
      </c>
      <c r="Z407" s="1">
        <v>7.3134884E7</v>
      </c>
      <c r="AA407" s="1" t="s">
        <v>261</v>
      </c>
      <c r="AB407" s="1">
        <v>409260.83</v>
      </c>
      <c r="AC407" s="2">
        <v>41523.0</v>
      </c>
      <c r="AD407" s="1">
        <v>6900.0</v>
      </c>
      <c r="AE407" s="1" t="s">
        <v>151</v>
      </c>
      <c r="AF407" s="1">
        <v>1.0</v>
      </c>
      <c r="AG407" s="1" t="s">
        <v>1160</v>
      </c>
      <c r="AH407" s="1">
        <v>10.0</v>
      </c>
      <c r="AI407" s="1">
        <v>2013.0</v>
      </c>
      <c r="AJ407" s="1">
        <v>2013.0</v>
      </c>
      <c r="AK407" s="1" t="s">
        <v>229</v>
      </c>
    </row>
    <row r="408">
      <c r="A408" s="1" t="s">
        <v>1161</v>
      </c>
      <c r="B408" s="1" t="s">
        <v>1161</v>
      </c>
      <c r="C408" s="1" t="s">
        <v>224</v>
      </c>
      <c r="E408" s="1">
        <v>38529.0</v>
      </c>
      <c r="F408" s="2">
        <v>41527.0</v>
      </c>
      <c r="G408" s="1" t="s">
        <v>1162</v>
      </c>
      <c r="I408" s="1" t="s">
        <v>1162</v>
      </c>
      <c r="L408" s="1" t="s">
        <v>151</v>
      </c>
      <c r="M408" s="1">
        <v>6900.0</v>
      </c>
      <c r="N408" s="1" t="s">
        <v>151</v>
      </c>
      <c r="O408" s="1">
        <v>9.63886101E8</v>
      </c>
      <c r="P408" s="1" t="s">
        <v>259</v>
      </c>
      <c r="R408" s="1" t="s">
        <v>260</v>
      </c>
      <c r="S408" s="1" t="s">
        <v>44</v>
      </c>
      <c r="T408" s="1" t="s">
        <v>45</v>
      </c>
      <c r="U408" s="1">
        <v>4.8226348E8</v>
      </c>
      <c r="W408" s="1" t="s">
        <v>46</v>
      </c>
      <c r="X408" s="1" t="s">
        <v>45</v>
      </c>
      <c r="Y408" s="1">
        <v>4.8226348E8</v>
      </c>
      <c r="Z408" s="1">
        <v>7.3134884E7</v>
      </c>
      <c r="AA408" s="1" t="s">
        <v>261</v>
      </c>
      <c r="AB408" s="1">
        <v>38529.96</v>
      </c>
      <c r="AC408" s="2">
        <v>41527.0</v>
      </c>
      <c r="AD408" s="1">
        <v>6900.0</v>
      </c>
      <c r="AE408" s="1" t="s">
        <v>151</v>
      </c>
      <c r="AF408" s="1">
        <v>1.0</v>
      </c>
      <c r="AG408" s="1" t="s">
        <v>1163</v>
      </c>
      <c r="AH408" s="1">
        <v>10.0</v>
      </c>
      <c r="AI408" s="1">
        <v>2013.0</v>
      </c>
      <c r="AJ408" s="1">
        <v>2013.0</v>
      </c>
      <c r="AK408" s="1" t="s">
        <v>229</v>
      </c>
    </row>
    <row r="409">
      <c r="A409" s="1" t="s">
        <v>1164</v>
      </c>
      <c r="B409" s="1" t="s">
        <v>1164</v>
      </c>
      <c r="C409" s="1" t="s">
        <v>224</v>
      </c>
      <c r="E409" s="1">
        <v>217503.0</v>
      </c>
      <c r="F409" s="2">
        <v>41529.0</v>
      </c>
      <c r="G409" s="1" t="s">
        <v>1165</v>
      </c>
      <c r="I409" s="1" t="s">
        <v>1165</v>
      </c>
      <c r="L409" s="1" t="s">
        <v>151</v>
      </c>
      <c r="M409" s="1">
        <v>6900.0</v>
      </c>
      <c r="N409" s="1" t="s">
        <v>151</v>
      </c>
      <c r="O409" s="1">
        <v>9.63886101E8</v>
      </c>
      <c r="P409" s="1" t="s">
        <v>259</v>
      </c>
      <c r="R409" s="1" t="s">
        <v>260</v>
      </c>
      <c r="S409" s="1" t="s">
        <v>44</v>
      </c>
      <c r="T409" s="1" t="s">
        <v>45</v>
      </c>
      <c r="U409" s="1">
        <v>4.8226348E8</v>
      </c>
      <c r="W409" s="1" t="s">
        <v>46</v>
      </c>
      <c r="X409" s="1" t="s">
        <v>45</v>
      </c>
      <c r="Y409" s="1">
        <v>4.8226348E8</v>
      </c>
      <c r="Z409" s="1">
        <v>7.3134884E7</v>
      </c>
      <c r="AA409" s="1" t="s">
        <v>261</v>
      </c>
      <c r="AB409" s="1">
        <v>217503.75</v>
      </c>
      <c r="AC409" s="2">
        <v>41529.0</v>
      </c>
      <c r="AD409" s="1">
        <v>6900.0</v>
      </c>
      <c r="AE409" s="1" t="s">
        <v>151</v>
      </c>
      <c r="AF409" s="1">
        <v>1.0</v>
      </c>
      <c r="AG409" s="1" t="s">
        <v>1166</v>
      </c>
      <c r="AH409" s="1">
        <v>10.0</v>
      </c>
      <c r="AI409" s="1">
        <v>2013.0</v>
      </c>
      <c r="AJ409" s="1">
        <v>2013.0</v>
      </c>
      <c r="AK409" s="1" t="s">
        <v>229</v>
      </c>
    </row>
    <row r="410">
      <c r="A410" s="1" t="s">
        <v>1167</v>
      </c>
      <c r="B410" s="1" t="s">
        <v>1167</v>
      </c>
      <c r="C410" s="1" t="s">
        <v>194</v>
      </c>
      <c r="E410" s="1">
        <v>5.38112E8</v>
      </c>
      <c r="F410" s="2">
        <v>41414.0</v>
      </c>
      <c r="G410" s="1" t="s">
        <v>1168</v>
      </c>
      <c r="I410" s="1" t="s">
        <v>1168</v>
      </c>
      <c r="L410" s="1" t="s">
        <v>194</v>
      </c>
      <c r="M410" s="1">
        <v>9100.0</v>
      </c>
      <c r="N410" s="1" t="s">
        <v>194</v>
      </c>
      <c r="O410" s="1">
        <v>7.6340843E7</v>
      </c>
      <c r="P410" s="1" t="s">
        <v>461</v>
      </c>
      <c r="Q410" s="1" t="s">
        <v>459</v>
      </c>
      <c r="R410" s="1" t="s">
        <v>524</v>
      </c>
      <c r="S410" s="1" t="s">
        <v>44</v>
      </c>
      <c r="T410" s="1" t="s">
        <v>45</v>
      </c>
      <c r="U410" s="1">
        <v>4.82023046E8</v>
      </c>
      <c r="W410" s="1" t="s">
        <v>44</v>
      </c>
      <c r="X410" s="1" t="s">
        <v>45</v>
      </c>
      <c r="Y410" s="1">
        <v>4.82023096E8</v>
      </c>
      <c r="Z410" s="1">
        <v>7.6340843E7</v>
      </c>
      <c r="AA410" s="1" t="s">
        <v>461</v>
      </c>
      <c r="AB410" s="1">
        <v>480963.0</v>
      </c>
      <c r="AC410" s="2">
        <v>41414.0</v>
      </c>
      <c r="AD410" s="1">
        <v>9100.0</v>
      </c>
      <c r="AE410" s="1" t="s">
        <v>194</v>
      </c>
      <c r="AF410" s="1" t="s">
        <v>1169</v>
      </c>
      <c r="AG410" s="1" t="s">
        <v>1170</v>
      </c>
      <c r="AH410" s="1">
        <v>11.0</v>
      </c>
      <c r="AI410" s="1">
        <v>2013.0</v>
      </c>
      <c r="AJ410" s="1">
        <v>2013.0</v>
      </c>
      <c r="AK410" s="1" t="s">
        <v>1171</v>
      </c>
    </row>
    <row r="411">
      <c r="A411" s="1" t="s">
        <v>1167</v>
      </c>
      <c r="B411" s="1" t="s">
        <v>1167</v>
      </c>
      <c r="C411" s="1" t="s">
        <v>194</v>
      </c>
      <c r="E411" s="1">
        <v>5.38112E8</v>
      </c>
      <c r="F411" s="2">
        <v>41409.0</v>
      </c>
      <c r="G411" s="1" t="s">
        <v>1168</v>
      </c>
      <c r="I411" s="1" t="s">
        <v>1168</v>
      </c>
      <c r="L411" s="1" t="s">
        <v>194</v>
      </c>
      <c r="M411" s="1">
        <v>9100.0</v>
      </c>
      <c r="N411" s="1" t="s">
        <v>194</v>
      </c>
      <c r="O411" s="1">
        <v>1.9859285E7</v>
      </c>
      <c r="P411" s="1" t="s">
        <v>1172</v>
      </c>
      <c r="R411" s="1" t="s">
        <v>1173</v>
      </c>
      <c r="S411" s="1" t="s">
        <v>44</v>
      </c>
      <c r="T411" s="1" t="s">
        <v>45</v>
      </c>
      <c r="U411" s="1">
        <v>4.82191263E8</v>
      </c>
      <c r="W411" s="1" t="s">
        <v>44</v>
      </c>
      <c r="X411" s="1" t="s">
        <v>45</v>
      </c>
      <c r="Y411" s="1">
        <v>4.82191263E8</v>
      </c>
      <c r="Z411" s="1">
        <v>2.0836854E7</v>
      </c>
      <c r="AA411" s="1" t="s">
        <v>1174</v>
      </c>
      <c r="AB411" s="1">
        <v>48598.0</v>
      </c>
      <c r="AC411" s="2">
        <v>41409.0</v>
      </c>
      <c r="AD411" s="1">
        <v>9100.0</v>
      </c>
      <c r="AE411" s="1" t="s">
        <v>194</v>
      </c>
      <c r="AF411" s="1" t="s">
        <v>1175</v>
      </c>
      <c r="AG411" s="1" t="s">
        <v>1170</v>
      </c>
      <c r="AH411" s="1">
        <v>11.0</v>
      </c>
      <c r="AI411" s="1">
        <v>2013.0</v>
      </c>
      <c r="AJ411" s="1">
        <v>2013.0</v>
      </c>
      <c r="AK411" s="1" t="s">
        <v>1171</v>
      </c>
    </row>
    <row r="412">
      <c r="A412" s="1" t="s">
        <v>1167</v>
      </c>
      <c r="B412" s="1" t="s">
        <v>1167</v>
      </c>
      <c r="C412" s="1" t="s">
        <v>194</v>
      </c>
      <c r="E412" s="1">
        <v>5.38112E8</v>
      </c>
      <c r="F412" s="2">
        <v>41386.0</v>
      </c>
      <c r="G412" s="1" t="s">
        <v>1168</v>
      </c>
      <c r="I412" s="1" t="s">
        <v>1168</v>
      </c>
      <c r="L412" s="1" t="s">
        <v>194</v>
      </c>
      <c r="M412" s="1">
        <v>9100.0</v>
      </c>
      <c r="N412" s="1" t="s">
        <v>194</v>
      </c>
      <c r="O412" s="1">
        <v>7.8465647E7</v>
      </c>
      <c r="P412" s="1" t="s">
        <v>1176</v>
      </c>
      <c r="Q412" s="1" t="s">
        <v>1177</v>
      </c>
      <c r="R412" s="1" t="s">
        <v>1178</v>
      </c>
      <c r="S412" s="1" t="s">
        <v>44</v>
      </c>
      <c r="T412" s="1" t="s">
        <v>45</v>
      </c>
      <c r="U412" s="1">
        <v>4.82281142E8</v>
      </c>
      <c r="W412" s="1" t="s">
        <v>44</v>
      </c>
      <c r="X412" s="1" t="s">
        <v>45</v>
      </c>
      <c r="Y412" s="1">
        <v>4.82281142E8</v>
      </c>
      <c r="Z412" s="1">
        <v>7.2590433E7</v>
      </c>
      <c r="AA412" s="1" t="s">
        <v>1179</v>
      </c>
      <c r="AB412" s="1">
        <v>108748.0</v>
      </c>
      <c r="AC412" s="2">
        <v>41386.0</v>
      </c>
      <c r="AD412" s="1">
        <v>9100.0</v>
      </c>
      <c r="AE412" s="1" t="s">
        <v>194</v>
      </c>
      <c r="AF412" s="1" t="s">
        <v>1180</v>
      </c>
      <c r="AG412" s="1" t="s">
        <v>1170</v>
      </c>
      <c r="AH412" s="1">
        <v>11.0</v>
      </c>
      <c r="AI412" s="1">
        <v>2013.0</v>
      </c>
      <c r="AJ412" s="1">
        <v>2013.0</v>
      </c>
      <c r="AK412" s="1" t="s">
        <v>1171</v>
      </c>
    </row>
    <row r="413">
      <c r="A413" s="1" t="s">
        <v>1167</v>
      </c>
      <c r="B413" s="1" t="s">
        <v>1167</v>
      </c>
      <c r="C413" s="1" t="s">
        <v>194</v>
      </c>
      <c r="E413" s="1">
        <v>5.38112E8</v>
      </c>
      <c r="F413" s="2">
        <v>41367.0</v>
      </c>
      <c r="G413" s="1" t="s">
        <v>1168</v>
      </c>
      <c r="I413" s="1" t="s">
        <v>1168</v>
      </c>
      <c r="L413" s="1" t="s">
        <v>194</v>
      </c>
      <c r="M413" s="1">
        <v>9100.0</v>
      </c>
      <c r="N413" s="1" t="s">
        <v>194</v>
      </c>
      <c r="O413" s="1">
        <v>2.496865E7</v>
      </c>
      <c r="P413" s="1" t="s">
        <v>609</v>
      </c>
      <c r="Q413" s="1" t="s">
        <v>1181</v>
      </c>
      <c r="R413" s="1" t="s">
        <v>610</v>
      </c>
      <c r="S413" s="1" t="s">
        <v>44</v>
      </c>
      <c r="T413" s="1" t="s">
        <v>45</v>
      </c>
      <c r="U413" s="1">
        <v>4.8235168E8</v>
      </c>
      <c r="W413" s="1" t="s">
        <v>46</v>
      </c>
      <c r="X413" s="1" t="s">
        <v>45</v>
      </c>
      <c r="Y413" s="1">
        <v>4.8235168E8</v>
      </c>
      <c r="Z413" s="1">
        <v>3.9866926E7</v>
      </c>
      <c r="AA413" s="1" t="s">
        <v>1182</v>
      </c>
      <c r="AB413" s="1">
        <v>163848.0</v>
      </c>
      <c r="AC413" s="2">
        <v>41367.0</v>
      </c>
      <c r="AD413" s="1">
        <v>9100.0</v>
      </c>
      <c r="AE413" s="1" t="s">
        <v>194</v>
      </c>
      <c r="AF413" s="1" t="s">
        <v>1183</v>
      </c>
      <c r="AG413" s="1" t="s">
        <v>1170</v>
      </c>
      <c r="AH413" s="1">
        <v>11.0</v>
      </c>
      <c r="AI413" s="1">
        <v>2013.0</v>
      </c>
      <c r="AJ413" s="1">
        <v>2013.0</v>
      </c>
      <c r="AK413" s="1" t="s">
        <v>1171</v>
      </c>
    </row>
    <row r="414">
      <c r="A414" s="1" t="s">
        <v>1167</v>
      </c>
      <c r="B414" s="1" t="s">
        <v>1167</v>
      </c>
      <c r="C414" s="1" t="s">
        <v>194</v>
      </c>
      <c r="E414" s="1">
        <v>5.38112E8</v>
      </c>
      <c r="F414" s="2">
        <v>41358.0</v>
      </c>
      <c r="G414" s="1" t="s">
        <v>1168</v>
      </c>
      <c r="I414" s="1" t="s">
        <v>1168</v>
      </c>
      <c r="L414" s="1" t="s">
        <v>194</v>
      </c>
      <c r="M414" s="1">
        <v>9100.0</v>
      </c>
      <c r="N414" s="1" t="s">
        <v>194</v>
      </c>
      <c r="O414" s="1">
        <v>7.8498569E7</v>
      </c>
      <c r="P414" s="1" t="s">
        <v>1184</v>
      </c>
      <c r="R414" s="1" t="s">
        <v>506</v>
      </c>
      <c r="S414" s="1" t="s">
        <v>44</v>
      </c>
      <c r="T414" s="1" t="s">
        <v>45</v>
      </c>
      <c r="U414" s="1">
        <v>4.82123572E8</v>
      </c>
      <c r="W414" s="1" t="s">
        <v>498</v>
      </c>
      <c r="X414" s="1" t="s">
        <v>45</v>
      </c>
      <c r="Y414" s="1">
        <v>4.82123572E8</v>
      </c>
      <c r="Z414" s="1">
        <v>8.0492697E7</v>
      </c>
      <c r="AA414" s="1" t="s">
        <v>499</v>
      </c>
      <c r="AB414" s="1">
        <v>46932.0</v>
      </c>
      <c r="AC414" s="2">
        <v>41358.0</v>
      </c>
      <c r="AD414" s="1">
        <v>9100.0</v>
      </c>
      <c r="AE414" s="1" t="s">
        <v>194</v>
      </c>
      <c r="AF414" s="1" t="s">
        <v>1185</v>
      </c>
      <c r="AG414" s="1" t="s">
        <v>1170</v>
      </c>
      <c r="AH414" s="1">
        <v>11.0</v>
      </c>
      <c r="AI414" s="1">
        <v>2013.0</v>
      </c>
      <c r="AJ414" s="1">
        <v>2013.0</v>
      </c>
      <c r="AK414" s="1" t="s">
        <v>1171</v>
      </c>
    </row>
    <row r="415">
      <c r="A415" s="1" t="s">
        <v>1167</v>
      </c>
      <c r="B415" s="1" t="s">
        <v>1167</v>
      </c>
      <c r="C415" s="1" t="s">
        <v>194</v>
      </c>
      <c r="E415" s="1">
        <v>5.38112E8</v>
      </c>
      <c r="F415" s="2">
        <v>41353.0</v>
      </c>
      <c r="G415" s="1" t="s">
        <v>1168</v>
      </c>
      <c r="I415" s="1" t="s">
        <v>1168</v>
      </c>
      <c r="L415" s="1" t="s">
        <v>194</v>
      </c>
      <c r="M415" s="1">
        <v>9100.0</v>
      </c>
      <c r="N415" s="1" t="s">
        <v>194</v>
      </c>
      <c r="O415" s="1">
        <v>1.47777952E8</v>
      </c>
      <c r="P415" s="1" t="s">
        <v>459</v>
      </c>
      <c r="Q415" s="1" t="s">
        <v>626</v>
      </c>
      <c r="R415" s="1" t="s">
        <v>627</v>
      </c>
      <c r="S415" s="1" t="s">
        <v>44</v>
      </c>
      <c r="T415" s="1" t="s">
        <v>45</v>
      </c>
      <c r="U415" s="1">
        <v>4.82072112E8</v>
      </c>
      <c r="W415" s="1" t="s">
        <v>44</v>
      </c>
      <c r="X415" s="1" t="s">
        <v>45</v>
      </c>
      <c r="Y415" s="1">
        <v>4.82072112E8</v>
      </c>
      <c r="Z415" s="1">
        <v>7.6340843E7</v>
      </c>
      <c r="AA415" s="1" t="s">
        <v>461</v>
      </c>
      <c r="AB415" s="1">
        <v>397088.0</v>
      </c>
      <c r="AC415" s="2">
        <v>41353.0</v>
      </c>
      <c r="AD415" s="1">
        <v>9100.0</v>
      </c>
      <c r="AE415" s="1" t="s">
        <v>194</v>
      </c>
      <c r="AF415" s="1" t="s">
        <v>1186</v>
      </c>
      <c r="AG415" s="1" t="s">
        <v>1170</v>
      </c>
      <c r="AH415" s="1">
        <v>11.0</v>
      </c>
      <c r="AI415" s="1">
        <v>2013.0</v>
      </c>
      <c r="AJ415" s="1">
        <v>2013.0</v>
      </c>
      <c r="AK415" s="1" t="s">
        <v>1171</v>
      </c>
    </row>
    <row r="416">
      <c r="A416" s="1" t="s">
        <v>1167</v>
      </c>
      <c r="B416" s="1" t="s">
        <v>1167</v>
      </c>
      <c r="C416" s="1" t="s">
        <v>194</v>
      </c>
      <c r="E416" s="1">
        <v>5.38112E8</v>
      </c>
      <c r="F416" s="2">
        <v>41351.0</v>
      </c>
      <c r="G416" s="1" t="s">
        <v>1168</v>
      </c>
      <c r="I416" s="1" t="s">
        <v>1168</v>
      </c>
      <c r="L416" s="1" t="s">
        <v>194</v>
      </c>
      <c r="M416" s="1">
        <v>9100.0</v>
      </c>
      <c r="N416" s="1" t="s">
        <v>194</v>
      </c>
      <c r="O416" s="1">
        <v>8.0463354E7</v>
      </c>
      <c r="P416" s="1" t="s">
        <v>518</v>
      </c>
      <c r="R416" s="1" t="s">
        <v>519</v>
      </c>
      <c r="S416" s="1" t="s">
        <v>44</v>
      </c>
      <c r="T416" s="1" t="s">
        <v>45</v>
      </c>
      <c r="U416" s="1">
        <v>4.82102105E8</v>
      </c>
      <c r="W416" s="1" t="s">
        <v>44</v>
      </c>
      <c r="X416" s="1" t="s">
        <v>45</v>
      </c>
      <c r="Y416" s="1">
        <v>4.82102105E8</v>
      </c>
      <c r="Z416" s="1">
        <v>9.6829635E7</v>
      </c>
      <c r="AA416" s="1" t="s">
        <v>1187</v>
      </c>
      <c r="AB416" s="1">
        <v>634152.0</v>
      </c>
      <c r="AC416" s="2">
        <v>41351.0</v>
      </c>
      <c r="AD416" s="1">
        <v>9100.0</v>
      </c>
      <c r="AE416" s="1" t="s">
        <v>194</v>
      </c>
      <c r="AF416" s="1" t="s">
        <v>1188</v>
      </c>
      <c r="AG416" s="1" t="s">
        <v>1170</v>
      </c>
      <c r="AH416" s="1">
        <v>11.0</v>
      </c>
      <c r="AI416" s="1">
        <v>2013.0</v>
      </c>
      <c r="AJ416" s="1">
        <v>2013.0</v>
      </c>
      <c r="AK416" s="1" t="s">
        <v>1171</v>
      </c>
    </row>
    <row r="417">
      <c r="A417" s="1" t="s">
        <v>1167</v>
      </c>
      <c r="B417" s="1" t="s">
        <v>1167</v>
      </c>
      <c r="C417" s="1" t="s">
        <v>194</v>
      </c>
      <c r="E417" s="1">
        <v>5.38112E8</v>
      </c>
      <c r="F417" s="2">
        <v>41351.0</v>
      </c>
      <c r="G417" s="1" t="s">
        <v>1168</v>
      </c>
      <c r="I417" s="1" t="s">
        <v>1168</v>
      </c>
      <c r="L417" s="1" t="s">
        <v>194</v>
      </c>
      <c r="M417" s="1">
        <v>9100.0</v>
      </c>
      <c r="N417" s="1" t="s">
        <v>194</v>
      </c>
      <c r="O417" s="1">
        <v>9.6578333E8</v>
      </c>
      <c r="P417" s="1" t="s">
        <v>641</v>
      </c>
      <c r="R417" s="1" t="s">
        <v>642</v>
      </c>
      <c r="S417" s="1" t="s">
        <v>44</v>
      </c>
      <c r="T417" s="1" t="s">
        <v>45</v>
      </c>
      <c r="U417" s="1">
        <v>4.82141762E8</v>
      </c>
      <c r="W417" s="1" t="s">
        <v>44</v>
      </c>
      <c r="X417" s="1" t="s">
        <v>45</v>
      </c>
      <c r="Y417" s="1">
        <v>4.82141762E8</v>
      </c>
      <c r="Z417" s="1">
        <v>9.6318522E7</v>
      </c>
      <c r="AA417" s="1" t="s">
        <v>1189</v>
      </c>
      <c r="AB417" s="1">
        <v>547791.0</v>
      </c>
      <c r="AC417" s="2">
        <v>41351.0</v>
      </c>
      <c r="AD417" s="1">
        <v>9100.0</v>
      </c>
      <c r="AE417" s="1" t="s">
        <v>194</v>
      </c>
      <c r="AF417" s="1" t="s">
        <v>1190</v>
      </c>
      <c r="AG417" s="1" t="s">
        <v>1170</v>
      </c>
      <c r="AH417" s="1">
        <v>11.0</v>
      </c>
      <c r="AI417" s="1">
        <v>2013.0</v>
      </c>
      <c r="AJ417" s="1">
        <v>2013.0</v>
      </c>
      <c r="AK417" s="1" t="s">
        <v>1171</v>
      </c>
    </row>
    <row r="418">
      <c r="A418" s="1" t="s">
        <v>1167</v>
      </c>
      <c r="B418" s="1" t="s">
        <v>1167</v>
      </c>
      <c r="C418" s="1" t="s">
        <v>194</v>
      </c>
      <c r="E418" s="1">
        <v>5.38112E8</v>
      </c>
      <c r="F418" s="2">
        <v>41351.0</v>
      </c>
      <c r="G418" s="1" t="s">
        <v>1168</v>
      </c>
      <c r="I418" s="1" t="s">
        <v>1168</v>
      </c>
      <c r="L418" s="1" t="s">
        <v>194</v>
      </c>
      <c r="M418" s="1">
        <v>9100.0</v>
      </c>
      <c r="N418" s="1" t="s">
        <v>194</v>
      </c>
      <c r="O418" s="1">
        <v>9.65778702E8</v>
      </c>
      <c r="P418" s="1" t="s">
        <v>493</v>
      </c>
      <c r="Q418" s="1" t="s">
        <v>1191</v>
      </c>
      <c r="R418" s="1" t="s">
        <v>494</v>
      </c>
      <c r="S418" s="1" t="s">
        <v>44</v>
      </c>
      <c r="T418" s="1" t="s">
        <v>45</v>
      </c>
      <c r="U418" s="1">
        <v>4.82082475E8</v>
      </c>
      <c r="W418" s="1" t="s">
        <v>44</v>
      </c>
      <c r="X418" s="1" t="s">
        <v>45</v>
      </c>
      <c r="Y418" s="1">
        <v>4.82082475E8</v>
      </c>
      <c r="Z418" s="1">
        <v>3.9867288E7</v>
      </c>
      <c r="AA418" s="1" t="s">
        <v>1192</v>
      </c>
      <c r="AB418" s="1">
        <v>312605.0</v>
      </c>
      <c r="AC418" s="2">
        <v>41351.0</v>
      </c>
      <c r="AD418" s="1">
        <v>9100.0</v>
      </c>
      <c r="AE418" s="1" t="s">
        <v>194</v>
      </c>
      <c r="AF418" s="1" t="s">
        <v>1193</v>
      </c>
      <c r="AG418" s="1" t="s">
        <v>1170</v>
      </c>
      <c r="AH418" s="1">
        <v>11.0</v>
      </c>
      <c r="AI418" s="1">
        <v>2013.0</v>
      </c>
      <c r="AJ418" s="1">
        <v>2013.0</v>
      </c>
      <c r="AK418" s="1" t="s">
        <v>1171</v>
      </c>
    </row>
    <row r="419">
      <c r="A419" s="1" t="s">
        <v>1167</v>
      </c>
      <c r="B419" s="1" t="s">
        <v>1167</v>
      </c>
      <c r="C419" s="1" t="s">
        <v>194</v>
      </c>
      <c r="E419" s="1">
        <v>5.38112E8</v>
      </c>
      <c r="F419" s="2">
        <v>41348.0</v>
      </c>
      <c r="G419" s="1" t="s">
        <v>1168</v>
      </c>
      <c r="I419" s="1" t="s">
        <v>1168</v>
      </c>
      <c r="L419" s="1" t="s">
        <v>194</v>
      </c>
      <c r="M419" s="1">
        <v>9100.0</v>
      </c>
      <c r="N419" s="1" t="s">
        <v>194</v>
      </c>
      <c r="O419" s="1">
        <v>7.93697355E8</v>
      </c>
      <c r="P419" s="1" t="s">
        <v>691</v>
      </c>
      <c r="Q419" s="1" t="s">
        <v>1194</v>
      </c>
      <c r="R419" s="1" t="s">
        <v>692</v>
      </c>
      <c r="S419" s="1" t="s">
        <v>44</v>
      </c>
      <c r="T419" s="1" t="s">
        <v>45</v>
      </c>
      <c r="U419" s="1">
        <v>4.82111554E8</v>
      </c>
      <c r="W419" s="1" t="s">
        <v>44</v>
      </c>
      <c r="X419" s="1" t="s">
        <v>45</v>
      </c>
      <c r="Y419" s="1">
        <v>4.82111552E8</v>
      </c>
      <c r="Z419" s="1">
        <v>7.6367846E7</v>
      </c>
      <c r="AA419" s="1" t="s">
        <v>1195</v>
      </c>
      <c r="AB419" s="1">
        <v>636750.0</v>
      </c>
      <c r="AC419" s="2">
        <v>41348.0</v>
      </c>
      <c r="AD419" s="1">
        <v>9100.0</v>
      </c>
      <c r="AE419" s="1" t="s">
        <v>194</v>
      </c>
      <c r="AF419" s="1" t="s">
        <v>1196</v>
      </c>
      <c r="AG419" s="1" t="s">
        <v>1170</v>
      </c>
      <c r="AH419" s="1">
        <v>11.0</v>
      </c>
      <c r="AI419" s="1">
        <v>2013.0</v>
      </c>
      <c r="AJ419" s="1">
        <v>2013.0</v>
      </c>
      <c r="AK419" s="1" t="s">
        <v>1171</v>
      </c>
    </row>
    <row r="420">
      <c r="A420" s="1" t="s">
        <v>1167</v>
      </c>
      <c r="B420" s="1" t="s">
        <v>1167</v>
      </c>
      <c r="C420" s="1" t="s">
        <v>194</v>
      </c>
      <c r="E420" s="1">
        <v>5.38112E8</v>
      </c>
      <c r="F420" s="2">
        <v>41326.0</v>
      </c>
      <c r="G420" s="1" t="s">
        <v>1168</v>
      </c>
      <c r="I420" s="1" t="s">
        <v>1168</v>
      </c>
      <c r="L420" s="1" t="s">
        <v>194</v>
      </c>
      <c r="M420" s="1">
        <v>9100.0</v>
      </c>
      <c r="N420" s="1" t="s">
        <v>194</v>
      </c>
      <c r="O420" s="1">
        <v>6.6707493E7</v>
      </c>
      <c r="P420" s="1" t="s">
        <v>541</v>
      </c>
      <c r="Q420" s="1" t="s">
        <v>1197</v>
      </c>
      <c r="R420" s="1" t="s">
        <v>542</v>
      </c>
      <c r="S420" s="1" t="s">
        <v>44</v>
      </c>
      <c r="T420" s="1" t="s">
        <v>45</v>
      </c>
      <c r="U420" s="1">
        <v>4.8210252E8</v>
      </c>
      <c r="W420" s="1" t="s">
        <v>44</v>
      </c>
      <c r="X420" s="1" t="s">
        <v>45</v>
      </c>
      <c r="Y420" s="1">
        <v>4.8210252E8</v>
      </c>
      <c r="Z420" s="1">
        <v>7496979.0</v>
      </c>
      <c r="AA420" s="1" t="s">
        <v>488</v>
      </c>
      <c r="AB420" s="1">
        <v>460240.0</v>
      </c>
      <c r="AC420" s="2">
        <v>41326.0</v>
      </c>
      <c r="AD420" s="1">
        <v>9100.0</v>
      </c>
      <c r="AE420" s="1" t="s">
        <v>194</v>
      </c>
      <c r="AF420" s="1" t="s">
        <v>1198</v>
      </c>
      <c r="AG420" s="1" t="s">
        <v>1170</v>
      </c>
      <c r="AH420" s="1">
        <v>11.0</v>
      </c>
      <c r="AI420" s="1">
        <v>2013.0</v>
      </c>
      <c r="AJ420" s="1">
        <v>2013.0</v>
      </c>
      <c r="AK420" s="1" t="s">
        <v>1171</v>
      </c>
    </row>
    <row r="421">
      <c r="A421" s="1" t="s">
        <v>1167</v>
      </c>
      <c r="B421" s="1" t="s">
        <v>1167</v>
      </c>
      <c r="C421" s="1" t="s">
        <v>194</v>
      </c>
      <c r="E421" s="1">
        <v>5.38112E8</v>
      </c>
      <c r="F421" s="2">
        <v>41311.0</v>
      </c>
      <c r="G421" s="1" t="s">
        <v>1168</v>
      </c>
      <c r="I421" s="1" t="s">
        <v>1168</v>
      </c>
      <c r="L421" s="1" t="s">
        <v>194</v>
      </c>
      <c r="M421" s="1">
        <v>9100.0</v>
      </c>
      <c r="N421" s="1" t="s">
        <v>194</v>
      </c>
      <c r="O421" s="1">
        <v>8.76992343E8</v>
      </c>
      <c r="P421" s="1" t="s">
        <v>550</v>
      </c>
      <c r="R421" s="1" t="s">
        <v>551</v>
      </c>
      <c r="S421" s="1" t="s">
        <v>44</v>
      </c>
      <c r="T421" s="1" t="s">
        <v>45</v>
      </c>
      <c r="U421" s="1">
        <v>4.82102451E8</v>
      </c>
      <c r="W421" s="1" t="s">
        <v>44</v>
      </c>
      <c r="X421" s="1" t="s">
        <v>45</v>
      </c>
      <c r="Y421" s="1">
        <v>4.82102451E8</v>
      </c>
      <c r="Z421" s="1">
        <v>8.0352495E7</v>
      </c>
      <c r="AA421" s="1" t="s">
        <v>1199</v>
      </c>
      <c r="AB421" s="1">
        <v>727480.0</v>
      </c>
      <c r="AC421" s="2">
        <v>41311.0</v>
      </c>
      <c r="AD421" s="1">
        <v>9100.0</v>
      </c>
      <c r="AE421" s="1" t="s">
        <v>194</v>
      </c>
      <c r="AF421" s="1" t="s">
        <v>1200</v>
      </c>
      <c r="AG421" s="1" t="s">
        <v>1170</v>
      </c>
      <c r="AH421" s="1">
        <v>11.0</v>
      </c>
      <c r="AI421" s="1">
        <v>2013.0</v>
      </c>
      <c r="AJ421" s="1">
        <v>2013.0</v>
      </c>
      <c r="AK421" s="1" t="s">
        <v>1171</v>
      </c>
    </row>
    <row r="422">
      <c r="A422" s="1" t="s">
        <v>1167</v>
      </c>
      <c r="B422" s="1" t="s">
        <v>1167</v>
      </c>
      <c r="C422" s="1" t="s">
        <v>194</v>
      </c>
      <c r="E422" s="1">
        <v>5.38112E8</v>
      </c>
      <c r="F422" s="2">
        <v>41306.0</v>
      </c>
      <c r="G422" s="1" t="s">
        <v>1168</v>
      </c>
      <c r="I422" s="1" t="s">
        <v>1168</v>
      </c>
      <c r="L422" s="1" t="s">
        <v>194</v>
      </c>
      <c r="M422" s="1">
        <v>9100.0</v>
      </c>
      <c r="N422" s="1" t="s">
        <v>194</v>
      </c>
      <c r="O422" s="1">
        <v>8.30792151E8</v>
      </c>
      <c r="P422" s="1" t="s">
        <v>594</v>
      </c>
      <c r="Q422" s="1" t="s">
        <v>1201</v>
      </c>
      <c r="R422" s="1" t="s">
        <v>596</v>
      </c>
      <c r="S422" s="1" t="s">
        <v>44</v>
      </c>
      <c r="T422" s="1" t="s">
        <v>45</v>
      </c>
      <c r="U422" s="1">
        <v>4.82382356E8</v>
      </c>
      <c r="W422" s="1" t="s">
        <v>44</v>
      </c>
      <c r="X422" s="1" t="s">
        <v>45</v>
      </c>
      <c r="Y422" s="1">
        <v>4.82382356E8</v>
      </c>
      <c r="Z422" s="1">
        <v>9.60742484E8</v>
      </c>
      <c r="AB422" s="1">
        <v>481885.0</v>
      </c>
      <c r="AC422" s="2">
        <v>41306.0</v>
      </c>
      <c r="AD422" s="1">
        <v>9100.0</v>
      </c>
      <c r="AE422" s="1" t="s">
        <v>194</v>
      </c>
      <c r="AF422" s="1" t="s">
        <v>1202</v>
      </c>
      <c r="AG422" s="1" t="s">
        <v>1170</v>
      </c>
      <c r="AH422" s="1">
        <v>11.0</v>
      </c>
      <c r="AI422" s="1">
        <v>2013.0</v>
      </c>
      <c r="AJ422" s="1">
        <v>2013.0</v>
      </c>
      <c r="AK422" s="1" t="s">
        <v>1171</v>
      </c>
    </row>
    <row r="423">
      <c r="A423" s="1" t="s">
        <v>1167</v>
      </c>
      <c r="B423" s="1" t="s">
        <v>1167</v>
      </c>
      <c r="C423" s="1" t="s">
        <v>194</v>
      </c>
      <c r="E423" s="1">
        <v>5.38112E8</v>
      </c>
      <c r="F423" s="2">
        <v>41304.0</v>
      </c>
      <c r="G423" s="1" t="s">
        <v>1168</v>
      </c>
      <c r="I423" s="1" t="s">
        <v>1168</v>
      </c>
      <c r="L423" s="1" t="s">
        <v>194</v>
      </c>
      <c r="M423" s="1">
        <v>9100.0</v>
      </c>
      <c r="N423" s="1" t="s">
        <v>194</v>
      </c>
      <c r="O423" s="1">
        <v>1.68568132E8</v>
      </c>
      <c r="P423" s="1" t="s">
        <v>588</v>
      </c>
      <c r="R423" s="1" t="s">
        <v>589</v>
      </c>
      <c r="S423" s="1" t="s">
        <v>44</v>
      </c>
      <c r="T423" s="1" t="s">
        <v>45</v>
      </c>
      <c r="U423" s="1">
        <v>4.82143323E8</v>
      </c>
      <c r="W423" s="1" t="s">
        <v>44</v>
      </c>
      <c r="X423" s="1" t="s">
        <v>45</v>
      </c>
      <c r="Y423" s="1">
        <v>4.82143323E8</v>
      </c>
      <c r="Z423" s="1">
        <v>9.60742484E8</v>
      </c>
      <c r="AB423" s="1">
        <v>522973.0</v>
      </c>
      <c r="AC423" s="2">
        <v>41304.0</v>
      </c>
      <c r="AD423" s="1">
        <v>9100.0</v>
      </c>
      <c r="AE423" s="1" t="s">
        <v>194</v>
      </c>
      <c r="AF423" s="1" t="s">
        <v>1203</v>
      </c>
      <c r="AG423" s="1" t="s">
        <v>1170</v>
      </c>
      <c r="AH423" s="1">
        <v>11.0</v>
      </c>
      <c r="AI423" s="1">
        <v>2013.0</v>
      </c>
      <c r="AJ423" s="1">
        <v>2013.0</v>
      </c>
      <c r="AK423" s="1" t="s">
        <v>1171</v>
      </c>
    </row>
    <row r="424">
      <c r="A424" s="1" t="s">
        <v>1167</v>
      </c>
      <c r="B424" s="1" t="s">
        <v>1167</v>
      </c>
      <c r="C424" s="1" t="s">
        <v>194</v>
      </c>
      <c r="E424" s="1">
        <v>5.38112E8</v>
      </c>
      <c r="F424" s="2">
        <v>41302.0</v>
      </c>
      <c r="G424" s="1" t="s">
        <v>1168</v>
      </c>
      <c r="I424" s="1" t="s">
        <v>1168</v>
      </c>
      <c r="L424" s="1" t="s">
        <v>194</v>
      </c>
      <c r="M424" s="1">
        <v>9100.0</v>
      </c>
      <c r="N424" s="1" t="s">
        <v>194</v>
      </c>
      <c r="O424" s="1">
        <v>8.31014068E8</v>
      </c>
      <c r="P424" s="1" t="s">
        <v>515</v>
      </c>
      <c r="Q424" s="1" t="s">
        <v>1204</v>
      </c>
      <c r="R424" s="1" t="s">
        <v>516</v>
      </c>
      <c r="S424" s="1" t="s">
        <v>44</v>
      </c>
      <c r="T424" s="1" t="s">
        <v>45</v>
      </c>
      <c r="U424" s="1">
        <v>4.82283685E8</v>
      </c>
      <c r="W424" s="1" t="s">
        <v>46</v>
      </c>
      <c r="X424" s="1" t="s">
        <v>45</v>
      </c>
      <c r="Y424" s="1">
        <v>4.82283685E8</v>
      </c>
      <c r="Z424" s="1">
        <v>9.60742484E8</v>
      </c>
      <c r="AB424" s="1">
        <v>535216.0</v>
      </c>
      <c r="AC424" s="2">
        <v>41302.0</v>
      </c>
      <c r="AD424" s="1">
        <v>9100.0</v>
      </c>
      <c r="AE424" s="1" t="s">
        <v>194</v>
      </c>
      <c r="AF424" s="1" t="s">
        <v>1205</v>
      </c>
      <c r="AG424" s="1" t="s">
        <v>1170</v>
      </c>
      <c r="AH424" s="1">
        <v>11.0</v>
      </c>
      <c r="AI424" s="1">
        <v>2013.0</v>
      </c>
      <c r="AJ424" s="1">
        <v>2013.0</v>
      </c>
      <c r="AK424" s="1" t="s">
        <v>1171</v>
      </c>
    </row>
    <row r="425">
      <c r="A425" s="1" t="s">
        <v>1167</v>
      </c>
      <c r="B425" s="1" t="s">
        <v>1167</v>
      </c>
      <c r="C425" s="1" t="s">
        <v>194</v>
      </c>
      <c r="E425" s="1">
        <v>5.38112E8</v>
      </c>
      <c r="F425" s="2">
        <v>41282.0</v>
      </c>
      <c r="G425" s="1" t="s">
        <v>1168</v>
      </c>
      <c r="I425" s="1" t="s">
        <v>1168</v>
      </c>
      <c r="L425" s="1" t="s">
        <v>194</v>
      </c>
      <c r="M425" s="1">
        <v>9100.0</v>
      </c>
      <c r="N425" s="1" t="s">
        <v>194</v>
      </c>
      <c r="O425" s="1">
        <v>9.62949843E8</v>
      </c>
      <c r="P425" s="1" t="s">
        <v>619</v>
      </c>
      <c r="R425" s="1" t="s">
        <v>620</v>
      </c>
      <c r="S425" s="1" t="s">
        <v>44</v>
      </c>
      <c r="T425" s="1" t="s">
        <v>45</v>
      </c>
      <c r="U425" s="1">
        <v>4.82042306E8</v>
      </c>
      <c r="W425" s="1" t="s">
        <v>44</v>
      </c>
      <c r="X425" s="1" t="s">
        <v>45</v>
      </c>
      <c r="Y425" s="1">
        <v>4.82042306E8</v>
      </c>
      <c r="AB425" s="1">
        <v>914892.0</v>
      </c>
      <c r="AC425" s="2">
        <v>41282.0</v>
      </c>
      <c r="AD425" s="1">
        <v>9100.0</v>
      </c>
      <c r="AE425" s="1" t="s">
        <v>194</v>
      </c>
      <c r="AF425" s="1" t="s">
        <v>1206</v>
      </c>
      <c r="AG425" s="1" t="s">
        <v>1170</v>
      </c>
      <c r="AH425" s="1">
        <v>11.0</v>
      </c>
      <c r="AI425" s="1">
        <v>2013.0</v>
      </c>
      <c r="AJ425" s="1">
        <v>2013.0</v>
      </c>
      <c r="AK425" s="1" t="s">
        <v>1171</v>
      </c>
    </row>
    <row r="426">
      <c r="A426" s="1" t="s">
        <v>1167</v>
      </c>
      <c r="B426" s="1" t="s">
        <v>1167</v>
      </c>
      <c r="C426" s="1" t="s">
        <v>194</v>
      </c>
      <c r="E426" s="1">
        <v>5.38112E8</v>
      </c>
      <c r="F426" s="2">
        <v>41277.0</v>
      </c>
      <c r="G426" s="1" t="s">
        <v>1168</v>
      </c>
      <c r="I426" s="1" t="s">
        <v>1168</v>
      </c>
      <c r="L426" s="1" t="s">
        <v>194</v>
      </c>
      <c r="M426" s="1">
        <v>9100.0</v>
      </c>
      <c r="N426" s="1" t="s">
        <v>194</v>
      </c>
      <c r="O426" s="1">
        <v>8.29630537E8</v>
      </c>
      <c r="P426" s="1" t="s">
        <v>531</v>
      </c>
      <c r="Q426" s="1" t="s">
        <v>532</v>
      </c>
      <c r="R426" s="1" t="s">
        <v>533</v>
      </c>
      <c r="S426" s="1" t="s">
        <v>44</v>
      </c>
      <c r="T426" s="1" t="s">
        <v>45</v>
      </c>
      <c r="U426" s="1">
        <v>4.8219181E8</v>
      </c>
      <c r="W426" s="1" t="s">
        <v>44</v>
      </c>
      <c r="X426" s="1" t="s">
        <v>45</v>
      </c>
      <c r="Y426" s="1">
        <v>4.8219181E8</v>
      </c>
      <c r="Z426" s="1">
        <v>7.927823E7</v>
      </c>
      <c r="AA426" s="1" t="s">
        <v>1207</v>
      </c>
      <c r="AB426" s="1">
        <v>698775.0</v>
      </c>
      <c r="AC426" s="2">
        <v>41277.0</v>
      </c>
      <c r="AD426" s="1">
        <v>9100.0</v>
      </c>
      <c r="AE426" s="1" t="s">
        <v>194</v>
      </c>
      <c r="AF426" s="1" t="s">
        <v>1208</v>
      </c>
      <c r="AG426" s="1" t="s">
        <v>1170</v>
      </c>
      <c r="AH426" s="1">
        <v>11.0</v>
      </c>
      <c r="AI426" s="1">
        <v>2013.0</v>
      </c>
      <c r="AJ426" s="1">
        <v>2013.0</v>
      </c>
      <c r="AK426" s="1" t="s">
        <v>1171</v>
      </c>
    </row>
    <row r="427">
      <c r="A427" s="1" t="s">
        <v>1167</v>
      </c>
      <c r="B427" s="1" t="s">
        <v>1167</v>
      </c>
      <c r="C427" s="1" t="s">
        <v>194</v>
      </c>
      <c r="E427" s="1">
        <v>5.38112E8</v>
      </c>
      <c r="F427" s="2">
        <v>41277.0</v>
      </c>
      <c r="G427" s="1" t="s">
        <v>1168</v>
      </c>
      <c r="I427" s="1" t="s">
        <v>1168</v>
      </c>
      <c r="L427" s="1" t="s">
        <v>194</v>
      </c>
      <c r="M427" s="1">
        <v>9100.0</v>
      </c>
      <c r="N427" s="1" t="s">
        <v>194</v>
      </c>
      <c r="O427" s="1">
        <v>3790107.0</v>
      </c>
      <c r="P427" s="1" t="s">
        <v>576</v>
      </c>
      <c r="R427" s="1" t="s">
        <v>577</v>
      </c>
      <c r="S427" s="1" t="s">
        <v>44</v>
      </c>
      <c r="T427" s="1" t="s">
        <v>45</v>
      </c>
      <c r="U427" s="1">
        <v>4.82343284E8</v>
      </c>
      <c r="W427" s="1" t="s">
        <v>44</v>
      </c>
      <c r="X427" s="1" t="s">
        <v>45</v>
      </c>
      <c r="Y427" s="1">
        <v>4.82343284E8</v>
      </c>
      <c r="AB427" s="1">
        <v>681084.0</v>
      </c>
      <c r="AC427" s="2">
        <v>41277.0</v>
      </c>
      <c r="AD427" s="1">
        <v>9100.0</v>
      </c>
      <c r="AE427" s="1" t="s">
        <v>194</v>
      </c>
      <c r="AF427" s="1" t="s">
        <v>1209</v>
      </c>
      <c r="AG427" s="1" t="s">
        <v>1170</v>
      </c>
      <c r="AH427" s="1">
        <v>11.0</v>
      </c>
      <c r="AI427" s="1">
        <v>2013.0</v>
      </c>
      <c r="AJ427" s="1">
        <v>2013.0</v>
      </c>
      <c r="AK427" s="1" t="s">
        <v>1171</v>
      </c>
    </row>
    <row r="428">
      <c r="A428" s="1" t="s">
        <v>1167</v>
      </c>
      <c r="B428" s="1" t="s">
        <v>1167</v>
      </c>
      <c r="C428" s="1" t="s">
        <v>194</v>
      </c>
      <c r="E428" s="1">
        <v>5.38112E8</v>
      </c>
      <c r="F428" s="2">
        <v>41248.0</v>
      </c>
      <c r="G428" s="1" t="s">
        <v>1168</v>
      </c>
      <c r="I428" s="1" t="s">
        <v>1168</v>
      </c>
      <c r="L428" s="1" t="s">
        <v>194</v>
      </c>
      <c r="M428" s="1">
        <v>9100.0</v>
      </c>
      <c r="N428" s="1" t="s">
        <v>194</v>
      </c>
      <c r="O428" s="1">
        <v>1.39436518E8</v>
      </c>
      <c r="P428" s="1" t="s">
        <v>1210</v>
      </c>
      <c r="Q428" s="1" t="s">
        <v>1211</v>
      </c>
      <c r="R428" s="1" t="s">
        <v>1212</v>
      </c>
      <c r="S428" s="1" t="s">
        <v>44</v>
      </c>
      <c r="T428" s="1" t="s">
        <v>45</v>
      </c>
      <c r="U428" s="1">
        <v>4.82211132E8</v>
      </c>
      <c r="W428" s="1" t="s">
        <v>44</v>
      </c>
      <c r="X428" s="1" t="s">
        <v>45</v>
      </c>
      <c r="Y428" s="1">
        <v>4.82211132E8</v>
      </c>
      <c r="Z428" s="1">
        <v>1.39436518E8</v>
      </c>
      <c r="AA428" s="1" t="s">
        <v>1210</v>
      </c>
      <c r="AB428" s="1">
        <v>163457.0</v>
      </c>
      <c r="AC428" s="2">
        <v>41248.0</v>
      </c>
      <c r="AD428" s="1">
        <v>9100.0</v>
      </c>
      <c r="AE428" s="1" t="s">
        <v>194</v>
      </c>
      <c r="AF428" s="1" t="s">
        <v>1213</v>
      </c>
      <c r="AG428" s="1" t="s">
        <v>1170</v>
      </c>
      <c r="AH428" s="1">
        <v>11.0</v>
      </c>
      <c r="AI428" s="1">
        <v>2013.0</v>
      </c>
      <c r="AJ428" s="1">
        <v>2013.0</v>
      </c>
      <c r="AK428" s="1" t="s">
        <v>1171</v>
      </c>
    </row>
    <row r="429">
      <c r="A429" s="1" t="s">
        <v>1167</v>
      </c>
      <c r="B429" s="1" t="s">
        <v>1167</v>
      </c>
      <c r="C429" s="1" t="s">
        <v>194</v>
      </c>
      <c r="E429" s="1">
        <v>5.38112E8</v>
      </c>
      <c r="F429" s="2">
        <v>41190.0</v>
      </c>
      <c r="G429" s="1" t="s">
        <v>1168</v>
      </c>
      <c r="I429" s="1" t="s">
        <v>1168</v>
      </c>
      <c r="L429" s="1" t="s">
        <v>194</v>
      </c>
      <c r="M429" s="1">
        <v>9100.0</v>
      </c>
      <c r="N429" s="1" t="s">
        <v>194</v>
      </c>
      <c r="O429" s="1">
        <v>7.97527715E8</v>
      </c>
      <c r="P429" s="1" t="s">
        <v>567</v>
      </c>
      <c r="R429" s="1" t="s">
        <v>568</v>
      </c>
      <c r="S429" s="1" t="s">
        <v>44</v>
      </c>
      <c r="T429" s="1" t="s">
        <v>45</v>
      </c>
      <c r="U429" s="1">
        <v>4.82123134E8</v>
      </c>
      <c r="W429" s="1" t="s">
        <v>498</v>
      </c>
      <c r="X429" s="1" t="s">
        <v>45</v>
      </c>
      <c r="Y429" s="1">
        <v>4.82123134E8</v>
      </c>
      <c r="Z429" s="1">
        <v>9.60742484E8</v>
      </c>
      <c r="AB429" s="1">
        <v>347484.0</v>
      </c>
      <c r="AC429" s="2">
        <v>41190.0</v>
      </c>
      <c r="AD429" s="1">
        <v>9100.0</v>
      </c>
      <c r="AE429" s="1" t="s">
        <v>194</v>
      </c>
      <c r="AF429" s="1" t="s">
        <v>1214</v>
      </c>
      <c r="AG429" s="1" t="s">
        <v>1170</v>
      </c>
      <c r="AH429" s="1">
        <v>11.0</v>
      </c>
      <c r="AI429" s="1">
        <v>2013.0</v>
      </c>
      <c r="AJ429" s="1">
        <v>2013.0</v>
      </c>
      <c r="AK429" s="1" t="s">
        <v>1171</v>
      </c>
    </row>
    <row r="430">
      <c r="A430" s="1" t="s">
        <v>1215</v>
      </c>
      <c r="B430" s="1" t="s">
        <v>1215</v>
      </c>
      <c r="C430" s="1" t="s">
        <v>224</v>
      </c>
      <c r="E430" s="1">
        <v>61212.0</v>
      </c>
      <c r="F430" s="2">
        <v>41523.0</v>
      </c>
      <c r="G430" s="1" t="s">
        <v>1216</v>
      </c>
      <c r="I430" s="1" t="s">
        <v>1216</v>
      </c>
      <c r="L430" s="1" t="s">
        <v>151</v>
      </c>
      <c r="M430" s="1">
        <v>6900.0</v>
      </c>
      <c r="N430" s="1" t="s">
        <v>151</v>
      </c>
      <c r="O430" s="1">
        <v>9.63886101E8</v>
      </c>
      <c r="P430" s="1" t="s">
        <v>259</v>
      </c>
      <c r="R430" s="1" t="s">
        <v>260</v>
      </c>
      <c r="S430" s="1" t="s">
        <v>44</v>
      </c>
      <c r="T430" s="1" t="s">
        <v>45</v>
      </c>
      <c r="U430" s="1">
        <v>4.8226348E8</v>
      </c>
      <c r="W430" s="1" t="s">
        <v>46</v>
      </c>
      <c r="X430" s="1" t="s">
        <v>45</v>
      </c>
      <c r="Y430" s="1">
        <v>4.8226348E8</v>
      </c>
      <c r="Z430" s="1">
        <v>7.3134884E7</v>
      </c>
      <c r="AA430" s="1" t="s">
        <v>261</v>
      </c>
      <c r="AB430" s="1">
        <v>61212.97</v>
      </c>
      <c r="AC430" s="2">
        <v>41523.0</v>
      </c>
      <c r="AD430" s="1">
        <v>6900.0</v>
      </c>
      <c r="AE430" s="1" t="s">
        <v>151</v>
      </c>
      <c r="AF430" s="1">
        <v>1.0</v>
      </c>
      <c r="AG430" s="1" t="s">
        <v>1217</v>
      </c>
      <c r="AH430" s="1">
        <v>10.0</v>
      </c>
      <c r="AI430" s="1">
        <v>2013.0</v>
      </c>
      <c r="AJ430" s="1">
        <v>2013.0</v>
      </c>
      <c r="AK430" s="1" t="s">
        <v>229</v>
      </c>
    </row>
    <row r="431">
      <c r="A431" s="1" t="s">
        <v>1218</v>
      </c>
      <c r="B431" s="1" t="s">
        <v>1218</v>
      </c>
      <c r="C431" s="1" t="s">
        <v>224</v>
      </c>
      <c r="E431" s="1">
        <v>179765.0</v>
      </c>
      <c r="F431" s="2">
        <v>41523.0</v>
      </c>
      <c r="G431" s="1" t="s">
        <v>1159</v>
      </c>
      <c r="I431" s="1" t="s">
        <v>1159</v>
      </c>
      <c r="L431" s="1" t="s">
        <v>151</v>
      </c>
      <c r="M431" s="1">
        <v>6900.0</v>
      </c>
      <c r="N431" s="1" t="s">
        <v>151</v>
      </c>
      <c r="O431" s="1">
        <v>9.63886101E8</v>
      </c>
      <c r="P431" s="1" t="s">
        <v>259</v>
      </c>
      <c r="R431" s="1" t="s">
        <v>260</v>
      </c>
      <c r="S431" s="1" t="s">
        <v>44</v>
      </c>
      <c r="T431" s="1" t="s">
        <v>45</v>
      </c>
      <c r="U431" s="1">
        <v>4.8226348E8</v>
      </c>
      <c r="W431" s="1" t="s">
        <v>46</v>
      </c>
      <c r="X431" s="1" t="s">
        <v>45</v>
      </c>
      <c r="Y431" s="1">
        <v>4.8226348E8</v>
      </c>
      <c r="Z431" s="1">
        <v>7.3134884E7</v>
      </c>
      <c r="AA431" s="1" t="s">
        <v>261</v>
      </c>
      <c r="AB431" s="1">
        <v>179765.29</v>
      </c>
      <c r="AC431" s="2">
        <v>41523.0</v>
      </c>
      <c r="AD431" s="1">
        <v>6900.0</v>
      </c>
      <c r="AE431" s="1" t="s">
        <v>151</v>
      </c>
      <c r="AF431" s="1">
        <v>1.0</v>
      </c>
      <c r="AG431" s="1" t="s">
        <v>1160</v>
      </c>
      <c r="AH431" s="1">
        <v>10.0</v>
      </c>
      <c r="AI431" s="1">
        <v>2013.0</v>
      </c>
      <c r="AJ431" s="1">
        <v>2013.0</v>
      </c>
      <c r="AK431" s="1" t="s">
        <v>229</v>
      </c>
    </row>
    <row r="432">
      <c r="A432" s="1" t="s">
        <v>1219</v>
      </c>
      <c r="B432" s="1" t="s">
        <v>1219</v>
      </c>
      <c r="C432" s="1" t="s">
        <v>224</v>
      </c>
      <c r="E432" s="1">
        <v>1577804.0</v>
      </c>
      <c r="F432" s="2">
        <v>41523.0</v>
      </c>
      <c r="G432" s="1" t="s">
        <v>1220</v>
      </c>
      <c r="I432" s="1" t="s">
        <v>1220</v>
      </c>
      <c r="L432" s="1" t="s">
        <v>151</v>
      </c>
      <c r="M432" s="1">
        <v>6900.0</v>
      </c>
      <c r="N432" s="1" t="s">
        <v>151</v>
      </c>
      <c r="O432" s="1">
        <v>9.63886101E8</v>
      </c>
      <c r="P432" s="1" t="s">
        <v>259</v>
      </c>
      <c r="R432" s="1" t="s">
        <v>260</v>
      </c>
      <c r="S432" s="1" t="s">
        <v>44</v>
      </c>
      <c r="T432" s="1" t="s">
        <v>45</v>
      </c>
      <c r="U432" s="1">
        <v>4.8226348E8</v>
      </c>
      <c r="W432" s="1" t="s">
        <v>46</v>
      </c>
      <c r="X432" s="1" t="s">
        <v>45</v>
      </c>
      <c r="Y432" s="1">
        <v>4.8226348E8</v>
      </c>
      <c r="Z432" s="1">
        <v>7.3134884E7</v>
      </c>
      <c r="AA432" s="1" t="s">
        <v>261</v>
      </c>
      <c r="AB432" s="1">
        <v>1577804.44</v>
      </c>
      <c r="AC432" s="2">
        <v>41523.0</v>
      </c>
      <c r="AD432" s="1">
        <v>6900.0</v>
      </c>
      <c r="AE432" s="1" t="s">
        <v>151</v>
      </c>
      <c r="AF432" s="1">
        <v>1.0</v>
      </c>
      <c r="AG432" s="1" t="s">
        <v>1221</v>
      </c>
      <c r="AH432" s="1">
        <v>10.0</v>
      </c>
      <c r="AI432" s="1">
        <v>2013.0</v>
      </c>
      <c r="AJ432" s="1">
        <v>2013.0</v>
      </c>
      <c r="AK432" s="1" t="s">
        <v>229</v>
      </c>
    </row>
    <row r="433">
      <c r="A433" s="1" t="s">
        <v>1222</v>
      </c>
      <c r="B433" s="1" t="s">
        <v>1222</v>
      </c>
      <c r="C433" s="1" t="s">
        <v>224</v>
      </c>
      <c r="E433" s="1">
        <v>1008516.0</v>
      </c>
      <c r="F433" s="2">
        <v>41527.0</v>
      </c>
      <c r="G433" s="1" t="s">
        <v>1162</v>
      </c>
      <c r="I433" s="1" t="s">
        <v>1162</v>
      </c>
      <c r="L433" s="1" t="s">
        <v>151</v>
      </c>
      <c r="M433" s="1">
        <v>6900.0</v>
      </c>
      <c r="N433" s="1" t="s">
        <v>151</v>
      </c>
      <c r="O433" s="1">
        <v>9.63886101E8</v>
      </c>
      <c r="P433" s="1" t="s">
        <v>259</v>
      </c>
      <c r="R433" s="1" t="s">
        <v>260</v>
      </c>
      <c r="S433" s="1" t="s">
        <v>44</v>
      </c>
      <c r="T433" s="1" t="s">
        <v>45</v>
      </c>
      <c r="U433" s="1">
        <v>4.8226348E8</v>
      </c>
      <c r="W433" s="1" t="s">
        <v>46</v>
      </c>
      <c r="X433" s="1" t="s">
        <v>45</v>
      </c>
      <c r="Y433" s="1">
        <v>4.8226348E8</v>
      </c>
      <c r="Z433" s="1">
        <v>7.3134884E7</v>
      </c>
      <c r="AA433" s="1" t="s">
        <v>261</v>
      </c>
      <c r="AB433" s="1">
        <v>1008516.36</v>
      </c>
      <c r="AC433" s="2">
        <v>41527.0</v>
      </c>
      <c r="AD433" s="1">
        <v>6900.0</v>
      </c>
      <c r="AE433" s="1" t="s">
        <v>151</v>
      </c>
      <c r="AF433" s="1">
        <v>1.0</v>
      </c>
      <c r="AG433" s="1" t="s">
        <v>1163</v>
      </c>
      <c r="AH433" s="1">
        <v>10.0</v>
      </c>
      <c r="AI433" s="1">
        <v>2013.0</v>
      </c>
      <c r="AJ433" s="1">
        <v>2013.0</v>
      </c>
      <c r="AK433" s="1" t="s">
        <v>229</v>
      </c>
    </row>
    <row r="434">
      <c r="A434" s="1" t="s">
        <v>1223</v>
      </c>
      <c r="B434" s="1" t="s">
        <v>1223</v>
      </c>
      <c r="C434" s="1" t="s">
        <v>224</v>
      </c>
      <c r="E434" s="1">
        <v>612203.0</v>
      </c>
      <c r="F434" s="2">
        <v>41432.0</v>
      </c>
      <c r="G434" s="1" t="s">
        <v>1224</v>
      </c>
      <c r="I434" s="1" t="s">
        <v>1224</v>
      </c>
      <c r="L434" s="1" t="s">
        <v>151</v>
      </c>
      <c r="M434" s="1">
        <v>6900.0</v>
      </c>
      <c r="N434" s="1" t="s">
        <v>151</v>
      </c>
      <c r="O434" s="1">
        <v>9.63886101E8</v>
      </c>
      <c r="P434" s="1" t="s">
        <v>259</v>
      </c>
      <c r="R434" s="1" t="s">
        <v>260</v>
      </c>
      <c r="S434" s="1" t="s">
        <v>44</v>
      </c>
      <c r="T434" s="1" t="s">
        <v>45</v>
      </c>
      <c r="U434" s="1">
        <v>4.8226348E8</v>
      </c>
      <c r="W434" s="1" t="s">
        <v>46</v>
      </c>
      <c r="X434" s="1" t="s">
        <v>45</v>
      </c>
      <c r="Y434" s="1">
        <v>4.8226348E8</v>
      </c>
      <c r="Z434" s="1">
        <v>7.3134884E7</v>
      </c>
      <c r="AA434" s="1" t="s">
        <v>261</v>
      </c>
      <c r="AB434" s="1">
        <v>612203.3</v>
      </c>
      <c r="AC434" s="2">
        <v>41432.0</v>
      </c>
      <c r="AD434" s="1">
        <v>6900.0</v>
      </c>
      <c r="AE434" s="1" t="s">
        <v>151</v>
      </c>
      <c r="AF434" s="1">
        <v>1.0</v>
      </c>
      <c r="AG434" s="1" t="s">
        <v>1225</v>
      </c>
      <c r="AH434" s="1">
        <v>7.0</v>
      </c>
      <c r="AI434" s="1">
        <v>2013.0</v>
      </c>
      <c r="AJ434" s="1">
        <v>2013.0</v>
      </c>
      <c r="AK434" s="1" t="s">
        <v>229</v>
      </c>
    </row>
    <row r="435">
      <c r="A435" s="1" t="s">
        <v>1226</v>
      </c>
      <c r="B435" s="1" t="s">
        <v>1226</v>
      </c>
      <c r="C435" s="1" t="s">
        <v>224</v>
      </c>
      <c r="E435" s="1">
        <v>93406.0</v>
      </c>
      <c r="F435" s="2">
        <v>41432.0</v>
      </c>
      <c r="G435" s="1" t="s">
        <v>1224</v>
      </c>
      <c r="I435" s="1" t="s">
        <v>1224</v>
      </c>
      <c r="L435" s="1" t="s">
        <v>151</v>
      </c>
      <c r="M435" s="1">
        <v>6900.0</v>
      </c>
      <c r="N435" s="1" t="s">
        <v>151</v>
      </c>
      <c r="O435" s="1">
        <v>9.63886101E8</v>
      </c>
      <c r="P435" s="1" t="s">
        <v>259</v>
      </c>
      <c r="R435" s="1" t="s">
        <v>260</v>
      </c>
      <c r="S435" s="1" t="s">
        <v>44</v>
      </c>
      <c r="T435" s="1" t="s">
        <v>45</v>
      </c>
      <c r="U435" s="1">
        <v>4.8226348E8</v>
      </c>
      <c r="W435" s="1" t="s">
        <v>46</v>
      </c>
      <c r="X435" s="1" t="s">
        <v>45</v>
      </c>
      <c r="Y435" s="1">
        <v>4.8226348E8</v>
      </c>
      <c r="Z435" s="1">
        <v>7.3134884E7</v>
      </c>
      <c r="AA435" s="1" t="s">
        <v>261</v>
      </c>
      <c r="AB435" s="1">
        <v>93406.11</v>
      </c>
      <c r="AC435" s="2">
        <v>41432.0</v>
      </c>
      <c r="AD435" s="1">
        <v>6900.0</v>
      </c>
      <c r="AE435" s="1" t="s">
        <v>151</v>
      </c>
      <c r="AF435" s="1">
        <v>1.0</v>
      </c>
      <c r="AG435" s="1" t="s">
        <v>1225</v>
      </c>
      <c r="AH435" s="1">
        <v>7.0</v>
      </c>
      <c r="AI435" s="1">
        <v>2013.0</v>
      </c>
      <c r="AJ435" s="1">
        <v>2013.0</v>
      </c>
      <c r="AK435" s="1" t="s">
        <v>229</v>
      </c>
    </row>
    <row r="436">
      <c r="A436" s="1" t="s">
        <v>1227</v>
      </c>
      <c r="B436" s="1" t="s">
        <v>1227</v>
      </c>
      <c r="C436" s="1" t="s">
        <v>194</v>
      </c>
      <c r="E436" s="1">
        <v>1.3965116E7</v>
      </c>
      <c r="F436" s="2">
        <v>41338.0</v>
      </c>
      <c r="G436" s="1" t="s">
        <v>1228</v>
      </c>
      <c r="I436" s="1" t="s">
        <v>1228</v>
      </c>
      <c r="L436" s="1" t="s">
        <v>194</v>
      </c>
      <c r="M436" s="1">
        <v>9100.0</v>
      </c>
      <c r="N436" s="1" t="s">
        <v>194</v>
      </c>
      <c r="O436" s="1">
        <v>6.13353846E8</v>
      </c>
      <c r="P436" s="1" t="s">
        <v>1229</v>
      </c>
      <c r="R436" s="1" t="s">
        <v>1230</v>
      </c>
      <c r="S436" s="1" t="s">
        <v>44</v>
      </c>
      <c r="T436" s="1" t="s">
        <v>45</v>
      </c>
      <c r="U436" s="1">
        <v>4.82013473E8</v>
      </c>
      <c r="W436" s="1" t="s">
        <v>44</v>
      </c>
      <c r="X436" s="1" t="s">
        <v>45</v>
      </c>
      <c r="Y436" s="1">
        <v>4.82013421E8</v>
      </c>
      <c r="AB436" s="1">
        <v>123000.0</v>
      </c>
      <c r="AC436" s="2">
        <v>41338.0</v>
      </c>
      <c r="AD436" s="1">
        <v>9100.0</v>
      </c>
      <c r="AE436" s="1" t="s">
        <v>194</v>
      </c>
      <c r="AF436" s="1" t="s">
        <v>1231</v>
      </c>
      <c r="AG436" s="1" t="s">
        <v>1232</v>
      </c>
      <c r="AH436" s="1">
        <v>8.0</v>
      </c>
      <c r="AI436" s="1">
        <v>2013.0</v>
      </c>
      <c r="AJ436" s="1">
        <v>2013.0</v>
      </c>
      <c r="AK436" s="1" t="s">
        <v>1233</v>
      </c>
    </row>
    <row r="437">
      <c r="A437" s="1" t="s">
        <v>1227</v>
      </c>
      <c r="B437" s="1" t="s">
        <v>1227</v>
      </c>
      <c r="C437" s="1" t="s">
        <v>194</v>
      </c>
      <c r="E437" s="1">
        <v>1.3965116E7</v>
      </c>
      <c r="F437" s="2">
        <v>41366.0</v>
      </c>
      <c r="G437" s="1" t="s">
        <v>1228</v>
      </c>
      <c r="I437" s="1" t="s">
        <v>1228</v>
      </c>
      <c r="L437" s="1" t="s">
        <v>194</v>
      </c>
      <c r="M437" s="1">
        <v>9100.0</v>
      </c>
      <c r="N437" s="1" t="s">
        <v>194</v>
      </c>
      <c r="O437" s="1">
        <v>1962224.0</v>
      </c>
      <c r="P437" s="1" t="s">
        <v>52</v>
      </c>
      <c r="R437" s="1" t="s">
        <v>53</v>
      </c>
      <c r="S437" s="1" t="s">
        <v>44</v>
      </c>
      <c r="T437" s="1" t="s">
        <v>45</v>
      </c>
      <c r="U437" s="1">
        <v>4.82023692E8</v>
      </c>
      <c r="W437" s="1" t="s">
        <v>44</v>
      </c>
      <c r="X437" s="1" t="s">
        <v>45</v>
      </c>
      <c r="Y437" s="1">
        <v>4.82023424E8</v>
      </c>
      <c r="Z437" s="1">
        <v>1962224.0</v>
      </c>
      <c r="AA437" s="1" t="s">
        <v>52</v>
      </c>
      <c r="AB437" s="1">
        <v>95000.0</v>
      </c>
      <c r="AC437" s="2">
        <v>41366.0</v>
      </c>
      <c r="AD437" s="1">
        <v>9100.0</v>
      </c>
      <c r="AE437" s="1" t="s">
        <v>194</v>
      </c>
      <c r="AF437" s="1" t="s">
        <v>1234</v>
      </c>
      <c r="AG437" s="1" t="s">
        <v>1232</v>
      </c>
      <c r="AH437" s="1">
        <v>8.0</v>
      </c>
      <c r="AI437" s="1">
        <v>2013.0</v>
      </c>
      <c r="AJ437" s="1">
        <v>2013.0</v>
      </c>
      <c r="AK437" s="1" t="s">
        <v>1233</v>
      </c>
    </row>
    <row r="438">
      <c r="A438" s="1" t="s">
        <v>1235</v>
      </c>
      <c r="B438" s="1" t="s">
        <v>1235</v>
      </c>
      <c r="C438" s="1" t="s">
        <v>194</v>
      </c>
      <c r="E438" s="1">
        <v>8860681.0</v>
      </c>
      <c r="F438" s="2">
        <v>41253.0</v>
      </c>
      <c r="G438" s="1" t="s">
        <v>1236</v>
      </c>
      <c r="I438" s="1" t="s">
        <v>1236</v>
      </c>
      <c r="L438" s="1" t="s">
        <v>194</v>
      </c>
      <c r="M438" s="1">
        <v>9100.0</v>
      </c>
      <c r="N438" s="1" t="s">
        <v>194</v>
      </c>
      <c r="O438" s="1">
        <v>7.6340843E7</v>
      </c>
      <c r="P438" s="1" t="s">
        <v>461</v>
      </c>
      <c r="Q438" s="1" t="s">
        <v>459</v>
      </c>
      <c r="R438" s="1" t="s">
        <v>524</v>
      </c>
      <c r="S438" s="1" t="s">
        <v>44</v>
      </c>
      <c r="T438" s="1" t="s">
        <v>45</v>
      </c>
      <c r="U438" s="1">
        <v>4.82023046E8</v>
      </c>
      <c r="W438" s="1" t="s">
        <v>44</v>
      </c>
      <c r="X438" s="1" t="s">
        <v>45</v>
      </c>
      <c r="Y438" s="1">
        <v>4.82023096E8</v>
      </c>
      <c r="Z438" s="1">
        <v>7.6340843E7</v>
      </c>
      <c r="AA438" s="1" t="s">
        <v>461</v>
      </c>
      <c r="AB438" s="1">
        <v>41122.0</v>
      </c>
      <c r="AC438" s="2">
        <v>41253.0</v>
      </c>
      <c r="AD438" s="1">
        <v>9100.0</v>
      </c>
      <c r="AE438" s="1" t="s">
        <v>194</v>
      </c>
      <c r="AF438" s="1" t="s">
        <v>1237</v>
      </c>
      <c r="AG438" s="1" t="s">
        <v>1238</v>
      </c>
      <c r="AH438" s="1">
        <v>8.0</v>
      </c>
      <c r="AI438" s="1">
        <v>2013.0</v>
      </c>
      <c r="AJ438" s="1">
        <v>2013.0</v>
      </c>
      <c r="AK438" s="1" t="s">
        <v>1239</v>
      </c>
    </row>
    <row r="439">
      <c r="A439" s="1" t="s">
        <v>1227</v>
      </c>
      <c r="B439" s="1" t="s">
        <v>1227</v>
      </c>
      <c r="C439" s="1" t="s">
        <v>194</v>
      </c>
      <c r="E439" s="1">
        <v>1.3965116E7</v>
      </c>
      <c r="F439" s="2">
        <v>41437.0</v>
      </c>
      <c r="G439" s="1" t="s">
        <v>1228</v>
      </c>
      <c r="I439" s="1" t="s">
        <v>1228</v>
      </c>
      <c r="L439" s="1" t="s">
        <v>194</v>
      </c>
      <c r="M439" s="1">
        <v>9100.0</v>
      </c>
      <c r="N439" s="1" t="s">
        <v>194</v>
      </c>
      <c r="O439" s="1">
        <v>3.9866801E7</v>
      </c>
      <c r="P439" s="1" t="s">
        <v>612</v>
      </c>
      <c r="R439" s="1" t="s">
        <v>613</v>
      </c>
      <c r="S439" s="1" t="s">
        <v>44</v>
      </c>
      <c r="T439" s="1" t="s">
        <v>45</v>
      </c>
      <c r="U439" s="1">
        <v>4.82123753E8</v>
      </c>
      <c r="W439" s="1" t="s">
        <v>607</v>
      </c>
      <c r="X439" s="1" t="s">
        <v>45</v>
      </c>
      <c r="Y439" s="1">
        <v>4.82120012E8</v>
      </c>
      <c r="Z439" s="1">
        <v>3.9866801E7</v>
      </c>
      <c r="AA439" s="1" t="s">
        <v>612</v>
      </c>
      <c r="AB439" s="1">
        <v>163000.0</v>
      </c>
      <c r="AC439" s="2">
        <v>41437.0</v>
      </c>
      <c r="AD439" s="1">
        <v>9100.0</v>
      </c>
      <c r="AE439" s="1" t="s">
        <v>194</v>
      </c>
      <c r="AF439" s="1" t="s">
        <v>1240</v>
      </c>
      <c r="AG439" s="1" t="s">
        <v>1232</v>
      </c>
      <c r="AH439" s="1">
        <v>8.0</v>
      </c>
      <c r="AI439" s="1">
        <v>2013.0</v>
      </c>
      <c r="AJ439" s="1">
        <v>2013.0</v>
      </c>
      <c r="AK439" s="1" t="s">
        <v>1233</v>
      </c>
    </row>
    <row r="440">
      <c r="A440" s="1" t="s">
        <v>1227</v>
      </c>
      <c r="B440" s="1" t="s">
        <v>1227</v>
      </c>
      <c r="C440" s="1" t="s">
        <v>194</v>
      </c>
      <c r="E440" s="1">
        <v>1.3965116E7</v>
      </c>
      <c r="F440" s="2">
        <v>41347.0</v>
      </c>
      <c r="G440" s="1" t="s">
        <v>1228</v>
      </c>
      <c r="I440" s="1" t="s">
        <v>1228</v>
      </c>
      <c r="L440" s="1" t="s">
        <v>194</v>
      </c>
      <c r="M440" s="1">
        <v>9100.0</v>
      </c>
      <c r="N440" s="1" t="s">
        <v>194</v>
      </c>
      <c r="O440" s="1">
        <v>7.6340843E7</v>
      </c>
      <c r="P440" s="1" t="s">
        <v>461</v>
      </c>
      <c r="Q440" s="1" t="s">
        <v>459</v>
      </c>
      <c r="R440" s="1" t="s">
        <v>524</v>
      </c>
      <c r="S440" s="1" t="s">
        <v>44</v>
      </c>
      <c r="T440" s="1" t="s">
        <v>45</v>
      </c>
      <c r="U440" s="1">
        <v>4.82023046E8</v>
      </c>
      <c r="W440" s="1" t="s">
        <v>44</v>
      </c>
      <c r="X440" s="1" t="s">
        <v>45</v>
      </c>
      <c r="Y440" s="1">
        <v>4.82023096E8</v>
      </c>
      <c r="Z440" s="1">
        <v>7.6340843E7</v>
      </c>
      <c r="AA440" s="1" t="s">
        <v>461</v>
      </c>
      <c r="AB440" s="1">
        <v>200000.0</v>
      </c>
      <c r="AC440" s="2">
        <v>41347.0</v>
      </c>
      <c r="AD440" s="1">
        <v>9100.0</v>
      </c>
      <c r="AE440" s="1" t="s">
        <v>194</v>
      </c>
      <c r="AF440" s="1" t="s">
        <v>1241</v>
      </c>
      <c r="AG440" s="1" t="s">
        <v>1232</v>
      </c>
      <c r="AH440" s="1">
        <v>8.0</v>
      </c>
      <c r="AI440" s="1">
        <v>2013.0</v>
      </c>
      <c r="AJ440" s="1">
        <v>2013.0</v>
      </c>
      <c r="AK440" s="1" t="s">
        <v>1233</v>
      </c>
    </row>
    <row r="441">
      <c r="A441" s="1" t="s">
        <v>1227</v>
      </c>
      <c r="B441" s="1" t="s">
        <v>1227</v>
      </c>
      <c r="C441" s="1" t="s">
        <v>194</v>
      </c>
      <c r="E441" s="1">
        <v>1.3965116E7</v>
      </c>
      <c r="F441" s="2">
        <v>41466.0</v>
      </c>
      <c r="G441" s="1" t="s">
        <v>1228</v>
      </c>
      <c r="I441" s="1" t="s">
        <v>1228</v>
      </c>
      <c r="L441" s="1" t="s">
        <v>194</v>
      </c>
      <c r="M441" s="1">
        <v>9100.0</v>
      </c>
      <c r="N441" s="1" t="s">
        <v>194</v>
      </c>
      <c r="O441" s="1">
        <v>7.6386556E7</v>
      </c>
      <c r="P441" s="1" t="s">
        <v>1242</v>
      </c>
      <c r="R441" s="1" t="s">
        <v>1243</v>
      </c>
      <c r="S441" s="1" t="s">
        <v>44</v>
      </c>
      <c r="T441" s="1" t="s">
        <v>45</v>
      </c>
      <c r="U441" s="1">
        <v>4.8226301E8</v>
      </c>
      <c r="W441" s="1" t="s">
        <v>44</v>
      </c>
      <c r="X441" s="1" t="s">
        <v>45</v>
      </c>
      <c r="Y441" s="1">
        <v>4.8226301E8</v>
      </c>
      <c r="Z441" s="1">
        <v>7.6386556E7</v>
      </c>
      <c r="AA441" s="1" t="s">
        <v>1242</v>
      </c>
      <c r="AB441" s="1">
        <v>203100.0</v>
      </c>
      <c r="AC441" s="2">
        <v>41466.0</v>
      </c>
      <c r="AD441" s="1">
        <v>9100.0</v>
      </c>
      <c r="AE441" s="1" t="s">
        <v>194</v>
      </c>
      <c r="AF441" s="1" t="s">
        <v>1244</v>
      </c>
      <c r="AG441" s="1" t="s">
        <v>1232</v>
      </c>
      <c r="AH441" s="1">
        <v>8.0</v>
      </c>
      <c r="AI441" s="1">
        <v>2013.0</v>
      </c>
      <c r="AJ441" s="1">
        <v>2013.0</v>
      </c>
      <c r="AK441" s="1" t="s">
        <v>1233</v>
      </c>
    </row>
    <row r="442">
      <c r="A442" s="1" t="s">
        <v>1227</v>
      </c>
      <c r="B442" s="1" t="s">
        <v>1227</v>
      </c>
      <c r="C442" s="1" t="s">
        <v>194</v>
      </c>
      <c r="E442" s="1">
        <v>1.3965116E7</v>
      </c>
      <c r="F442" s="2">
        <v>41437.0</v>
      </c>
      <c r="G442" s="1" t="s">
        <v>1228</v>
      </c>
      <c r="I442" s="1" t="s">
        <v>1228</v>
      </c>
      <c r="L442" s="1" t="s">
        <v>194</v>
      </c>
      <c r="M442" s="1">
        <v>9100.0</v>
      </c>
      <c r="N442" s="1" t="s">
        <v>194</v>
      </c>
      <c r="O442" s="1">
        <v>3.9866801E7</v>
      </c>
      <c r="P442" s="1" t="s">
        <v>612</v>
      </c>
      <c r="R442" s="1" t="s">
        <v>613</v>
      </c>
      <c r="S442" s="1" t="s">
        <v>44</v>
      </c>
      <c r="T442" s="1" t="s">
        <v>45</v>
      </c>
      <c r="U442" s="1">
        <v>4.82123753E8</v>
      </c>
      <c r="W442" s="1" t="s">
        <v>607</v>
      </c>
      <c r="X442" s="1" t="s">
        <v>45</v>
      </c>
      <c r="Y442" s="1">
        <v>4.82120012E8</v>
      </c>
      <c r="Z442" s="1">
        <v>3.9866801E7</v>
      </c>
      <c r="AA442" s="1" t="s">
        <v>612</v>
      </c>
      <c r="AB442" s="1">
        <v>55000.0</v>
      </c>
      <c r="AC442" s="2">
        <v>41437.0</v>
      </c>
      <c r="AD442" s="1">
        <v>9100.0</v>
      </c>
      <c r="AE442" s="1" t="s">
        <v>194</v>
      </c>
      <c r="AF442" s="1" t="s">
        <v>1245</v>
      </c>
      <c r="AG442" s="1" t="s">
        <v>1232</v>
      </c>
      <c r="AH442" s="1">
        <v>8.0</v>
      </c>
      <c r="AI442" s="1">
        <v>2013.0</v>
      </c>
      <c r="AJ442" s="1">
        <v>2013.0</v>
      </c>
      <c r="AK442" s="1" t="s">
        <v>1233</v>
      </c>
    </row>
    <row r="443">
      <c r="A443" s="1" t="s">
        <v>1227</v>
      </c>
      <c r="B443" s="1" t="s">
        <v>1227</v>
      </c>
      <c r="C443" s="1" t="s">
        <v>194</v>
      </c>
      <c r="E443" s="1">
        <v>1.3965116E7</v>
      </c>
      <c r="F443" s="2">
        <v>41338.0</v>
      </c>
      <c r="G443" s="1" t="s">
        <v>1228</v>
      </c>
      <c r="I443" s="1" t="s">
        <v>1228</v>
      </c>
      <c r="L443" s="1" t="s">
        <v>194</v>
      </c>
      <c r="M443" s="1">
        <v>9100.0</v>
      </c>
      <c r="N443" s="1" t="s">
        <v>194</v>
      </c>
      <c r="O443" s="1">
        <v>7840122.0</v>
      </c>
      <c r="P443" s="1" t="s">
        <v>1246</v>
      </c>
      <c r="R443" s="1" t="s">
        <v>1247</v>
      </c>
      <c r="S443" s="1" t="s">
        <v>44</v>
      </c>
      <c r="T443" s="1" t="s">
        <v>45</v>
      </c>
      <c r="U443" s="1">
        <v>4.8216194E8</v>
      </c>
      <c r="W443" s="1" t="s">
        <v>44</v>
      </c>
      <c r="X443" s="1" t="s">
        <v>45</v>
      </c>
      <c r="Y443" s="1">
        <v>4.8216194E8</v>
      </c>
      <c r="AB443" s="1">
        <v>95000.0</v>
      </c>
      <c r="AC443" s="2">
        <v>41338.0</v>
      </c>
      <c r="AD443" s="1">
        <v>9100.0</v>
      </c>
      <c r="AE443" s="1" t="s">
        <v>194</v>
      </c>
      <c r="AF443" s="1" t="s">
        <v>1248</v>
      </c>
      <c r="AG443" s="1" t="s">
        <v>1232</v>
      </c>
      <c r="AH443" s="1">
        <v>8.0</v>
      </c>
      <c r="AI443" s="1">
        <v>2013.0</v>
      </c>
      <c r="AJ443" s="1">
        <v>2013.0</v>
      </c>
      <c r="AK443" s="1" t="s">
        <v>1233</v>
      </c>
    </row>
    <row r="444">
      <c r="A444" s="1" t="s">
        <v>1227</v>
      </c>
      <c r="B444" s="1" t="s">
        <v>1227</v>
      </c>
      <c r="C444" s="1" t="s">
        <v>194</v>
      </c>
      <c r="E444" s="1">
        <v>1.3965116E7</v>
      </c>
      <c r="F444" s="2">
        <v>41404.0</v>
      </c>
      <c r="G444" s="1" t="s">
        <v>1228</v>
      </c>
      <c r="I444" s="1" t="s">
        <v>1228</v>
      </c>
      <c r="L444" s="1" t="s">
        <v>194</v>
      </c>
      <c r="M444" s="1">
        <v>9100.0</v>
      </c>
      <c r="N444" s="1" t="s">
        <v>194</v>
      </c>
      <c r="O444" s="1">
        <v>6.07770427E8</v>
      </c>
      <c r="P444" s="1" t="s">
        <v>1249</v>
      </c>
      <c r="R444" s="1" t="s">
        <v>1250</v>
      </c>
      <c r="S444" s="1" t="s">
        <v>44</v>
      </c>
      <c r="T444" s="1" t="s">
        <v>45</v>
      </c>
      <c r="U444" s="1">
        <v>4.82133364E8</v>
      </c>
      <c r="W444" s="1" t="s">
        <v>44</v>
      </c>
      <c r="X444" s="1" t="s">
        <v>45</v>
      </c>
      <c r="Y444" s="1">
        <v>4.82242517E8</v>
      </c>
      <c r="AB444" s="1">
        <v>921001.0</v>
      </c>
      <c r="AC444" s="2">
        <v>41404.0</v>
      </c>
      <c r="AD444" s="1">
        <v>9100.0</v>
      </c>
      <c r="AE444" s="1" t="s">
        <v>194</v>
      </c>
      <c r="AF444" s="1" t="s">
        <v>1251</v>
      </c>
      <c r="AG444" s="1" t="s">
        <v>1232</v>
      </c>
      <c r="AH444" s="1">
        <v>8.0</v>
      </c>
      <c r="AI444" s="1">
        <v>2013.0</v>
      </c>
      <c r="AJ444" s="1">
        <v>2013.0</v>
      </c>
      <c r="AK444" s="1" t="s">
        <v>1233</v>
      </c>
    </row>
    <row r="445">
      <c r="A445" s="1" t="s">
        <v>1227</v>
      </c>
      <c r="B445" s="1" t="s">
        <v>1227</v>
      </c>
      <c r="C445" s="1" t="s">
        <v>194</v>
      </c>
      <c r="E445" s="1">
        <v>1.3965116E7</v>
      </c>
      <c r="F445" s="2">
        <v>41450.0</v>
      </c>
      <c r="G445" s="1" t="s">
        <v>1228</v>
      </c>
      <c r="I445" s="1" t="s">
        <v>1228</v>
      </c>
      <c r="L445" s="1" t="s">
        <v>194</v>
      </c>
      <c r="M445" s="1">
        <v>9100.0</v>
      </c>
      <c r="N445" s="1" t="s">
        <v>194</v>
      </c>
      <c r="O445" s="1">
        <v>6.2962068E7</v>
      </c>
      <c r="P445" s="1" t="s">
        <v>1252</v>
      </c>
      <c r="R445" s="1" t="s">
        <v>1253</v>
      </c>
      <c r="S445" s="1" t="s">
        <v>44</v>
      </c>
      <c r="T445" s="1" t="s">
        <v>45</v>
      </c>
      <c r="U445" s="1">
        <v>4.82161917E8</v>
      </c>
      <c r="W445" s="1" t="s">
        <v>44</v>
      </c>
      <c r="X445" s="1" t="s">
        <v>45</v>
      </c>
      <c r="Y445" s="1">
        <v>4.82161917E8</v>
      </c>
      <c r="AB445" s="1">
        <v>63000.0</v>
      </c>
      <c r="AC445" s="2">
        <v>41450.0</v>
      </c>
      <c r="AD445" s="1">
        <v>9100.0</v>
      </c>
      <c r="AE445" s="1" t="s">
        <v>194</v>
      </c>
      <c r="AF445" s="1" t="s">
        <v>1254</v>
      </c>
      <c r="AG445" s="1" t="s">
        <v>1232</v>
      </c>
      <c r="AH445" s="1">
        <v>8.0</v>
      </c>
      <c r="AI445" s="1">
        <v>2013.0</v>
      </c>
      <c r="AJ445" s="1">
        <v>2013.0</v>
      </c>
      <c r="AK445" s="1" t="s">
        <v>1233</v>
      </c>
    </row>
    <row r="446">
      <c r="A446" s="1" t="s">
        <v>1255</v>
      </c>
      <c r="B446" s="1" t="s">
        <v>1255</v>
      </c>
      <c r="C446" s="1" t="s">
        <v>224</v>
      </c>
      <c r="E446" s="1">
        <v>1542080.0</v>
      </c>
      <c r="F446" s="2">
        <v>41649.0</v>
      </c>
      <c r="G446" s="1" t="s">
        <v>1256</v>
      </c>
      <c r="I446" s="1" t="s">
        <v>1256</v>
      </c>
      <c r="L446" s="1" t="s">
        <v>151</v>
      </c>
      <c r="M446" s="1">
        <v>6900.0</v>
      </c>
      <c r="N446" s="1" t="s">
        <v>151</v>
      </c>
      <c r="O446" s="1">
        <v>1.1855476E8</v>
      </c>
      <c r="P446" s="1" t="s">
        <v>983</v>
      </c>
      <c r="Q446" s="1" t="s">
        <v>984</v>
      </c>
      <c r="R446" s="1" t="s">
        <v>227</v>
      </c>
      <c r="S446" s="1" t="s">
        <v>44</v>
      </c>
      <c r="T446" s="1" t="s">
        <v>45</v>
      </c>
      <c r="U446" s="1">
        <v>4.82262886E8</v>
      </c>
      <c r="W446" s="1" t="s">
        <v>46</v>
      </c>
      <c r="X446" s="1" t="s">
        <v>45</v>
      </c>
      <c r="Y446" s="1">
        <v>4.82262886E8</v>
      </c>
      <c r="Z446" s="1">
        <v>6530661.0</v>
      </c>
      <c r="AA446" s="1" t="s">
        <v>76</v>
      </c>
      <c r="AB446" s="1">
        <v>1542080.71</v>
      </c>
      <c r="AC446" s="2">
        <v>41649.0</v>
      </c>
      <c r="AD446" s="1">
        <v>6900.0</v>
      </c>
      <c r="AE446" s="1" t="s">
        <v>151</v>
      </c>
      <c r="AF446" s="1">
        <v>1.0</v>
      </c>
      <c r="AG446" s="1" t="s">
        <v>1257</v>
      </c>
      <c r="AH446" s="1">
        <v>1.0</v>
      </c>
      <c r="AI446" s="1">
        <v>2014.0</v>
      </c>
      <c r="AJ446" s="1">
        <v>2014.0</v>
      </c>
      <c r="AK446" s="1" t="s">
        <v>229</v>
      </c>
    </row>
    <row r="447">
      <c r="A447" s="1" t="s">
        <v>1258</v>
      </c>
      <c r="B447" s="1" t="s">
        <v>1258</v>
      </c>
      <c r="C447" s="1" t="s">
        <v>224</v>
      </c>
      <c r="E447" s="1">
        <v>1436433.0</v>
      </c>
      <c r="F447" s="2">
        <v>41667.0</v>
      </c>
      <c r="G447" s="1" t="s">
        <v>1259</v>
      </c>
      <c r="I447" s="1" t="s">
        <v>1259</v>
      </c>
      <c r="L447" s="1" t="s">
        <v>151</v>
      </c>
      <c r="M447" s="1">
        <v>6900.0</v>
      </c>
      <c r="N447" s="1" t="s">
        <v>151</v>
      </c>
      <c r="O447" s="1">
        <v>7.84079899E8</v>
      </c>
      <c r="P447" s="1" t="s">
        <v>242</v>
      </c>
      <c r="Q447" s="1" t="s">
        <v>243</v>
      </c>
      <c r="R447" s="1" t="s">
        <v>244</v>
      </c>
      <c r="S447" s="1" t="s">
        <v>245</v>
      </c>
      <c r="T447" s="1" t="s">
        <v>45</v>
      </c>
      <c r="U447" s="1">
        <v>4.80211683E8</v>
      </c>
      <c r="W447" s="1" t="s">
        <v>245</v>
      </c>
      <c r="X447" s="1" t="s">
        <v>45</v>
      </c>
      <c r="Y447" s="1">
        <v>4.80211683E8</v>
      </c>
      <c r="Z447" s="1">
        <v>6.9831964E7</v>
      </c>
      <c r="AB447" s="1">
        <v>1436433.84</v>
      </c>
      <c r="AC447" s="2">
        <v>41667.0</v>
      </c>
      <c r="AD447" s="1">
        <v>6900.0</v>
      </c>
      <c r="AE447" s="1" t="s">
        <v>151</v>
      </c>
      <c r="AF447" s="1">
        <v>1.0</v>
      </c>
      <c r="AG447" s="1" t="s">
        <v>1260</v>
      </c>
      <c r="AH447" s="1">
        <v>1.0</v>
      </c>
      <c r="AI447" s="1">
        <v>2014.0</v>
      </c>
      <c r="AJ447" s="1">
        <v>2014.0</v>
      </c>
      <c r="AK447" s="1" t="s">
        <v>229</v>
      </c>
    </row>
    <row r="448">
      <c r="A448" s="1" t="s">
        <v>128</v>
      </c>
      <c r="B448" s="1" t="s">
        <v>128</v>
      </c>
      <c r="C448" s="1" t="s">
        <v>129</v>
      </c>
      <c r="E448" s="1">
        <v>1.66771E7</v>
      </c>
      <c r="F448" s="2">
        <v>41620.0</v>
      </c>
      <c r="G448" s="1" t="s">
        <v>1068</v>
      </c>
      <c r="I448" s="1" t="s">
        <v>1068</v>
      </c>
      <c r="L448" s="1" t="s">
        <v>40</v>
      </c>
      <c r="M448" s="1">
        <v>7500.0</v>
      </c>
      <c r="N448" s="1" t="s">
        <v>40</v>
      </c>
      <c r="O448" s="1">
        <v>6.9840817E7</v>
      </c>
      <c r="P448" s="1" t="s">
        <v>131</v>
      </c>
      <c r="R448" s="1" t="s">
        <v>132</v>
      </c>
      <c r="S448" s="1" t="s">
        <v>44</v>
      </c>
      <c r="T448" s="1" t="s">
        <v>45</v>
      </c>
      <c r="U448" s="1">
        <v>4.8214261E8</v>
      </c>
      <c r="W448" s="1" t="s">
        <v>133</v>
      </c>
      <c r="X448" s="1" t="s">
        <v>45</v>
      </c>
      <c r="Y448" s="1">
        <v>4.8214261E8</v>
      </c>
      <c r="Z448" s="1">
        <v>6.9840817E7</v>
      </c>
      <c r="AA448" s="1" t="s">
        <v>131</v>
      </c>
      <c r="AB448" s="1">
        <v>186200.0</v>
      </c>
      <c r="AC448" s="2">
        <v>41620.0</v>
      </c>
      <c r="AD448" s="1">
        <v>7500.0</v>
      </c>
      <c r="AE448" s="1" t="s">
        <v>40</v>
      </c>
      <c r="AF448" s="1" t="s">
        <v>1261</v>
      </c>
      <c r="AG448" s="1" t="s">
        <v>1262</v>
      </c>
      <c r="AH448" s="1">
        <v>1.0</v>
      </c>
      <c r="AI448" s="1">
        <v>2014.0</v>
      </c>
      <c r="AJ448" s="1">
        <v>2014.0</v>
      </c>
      <c r="AK448" s="1" t="s">
        <v>136</v>
      </c>
    </row>
    <row r="449">
      <c r="A449" s="1" t="s">
        <v>1263</v>
      </c>
      <c r="B449" s="1" t="s">
        <v>1263</v>
      </c>
      <c r="C449" s="1" t="s">
        <v>188</v>
      </c>
      <c r="E449" s="1">
        <v>1.6226899E7</v>
      </c>
      <c r="F449" s="2">
        <v>41677.0</v>
      </c>
      <c r="G449" s="1" t="s">
        <v>1264</v>
      </c>
      <c r="I449" s="1" t="s">
        <v>1264</v>
      </c>
      <c r="L449" s="1" t="s">
        <v>188</v>
      </c>
      <c r="M449" s="1">
        <v>1900.0</v>
      </c>
      <c r="N449" s="1" t="s">
        <v>188</v>
      </c>
      <c r="O449" s="1">
        <v>6.9840817E7</v>
      </c>
      <c r="P449" s="1" t="s">
        <v>131</v>
      </c>
      <c r="R449" s="1" t="s">
        <v>132</v>
      </c>
      <c r="S449" s="1" t="s">
        <v>44</v>
      </c>
      <c r="T449" s="1" t="s">
        <v>45</v>
      </c>
      <c r="U449" s="1">
        <v>4.8214261E8</v>
      </c>
      <c r="W449" s="1" t="s">
        <v>46</v>
      </c>
      <c r="X449" s="1" t="s">
        <v>45</v>
      </c>
      <c r="Y449" s="1">
        <v>4.8214261E8</v>
      </c>
      <c r="Z449" s="1">
        <v>6.9840817E7</v>
      </c>
      <c r="AA449" s="1" t="s">
        <v>131</v>
      </c>
      <c r="AB449" s="1">
        <v>396550.0</v>
      </c>
      <c r="AC449" s="2">
        <v>41677.0</v>
      </c>
      <c r="AD449" s="1">
        <v>1900.0</v>
      </c>
      <c r="AE449" s="1" t="s">
        <v>188</v>
      </c>
      <c r="AF449" s="1" t="s">
        <v>1265</v>
      </c>
      <c r="AG449" s="1" t="s">
        <v>1266</v>
      </c>
      <c r="AH449" s="1">
        <v>1.0</v>
      </c>
      <c r="AI449" s="1">
        <v>2014.0</v>
      </c>
      <c r="AJ449" s="1">
        <v>2014.0</v>
      </c>
      <c r="AK449" s="1" t="s">
        <v>192</v>
      </c>
    </row>
    <row r="450">
      <c r="A450" s="1" t="s">
        <v>1267</v>
      </c>
      <c r="B450" s="1" t="s">
        <v>1267</v>
      </c>
      <c r="C450" s="1" t="s">
        <v>224</v>
      </c>
      <c r="E450" s="1">
        <v>233237.0</v>
      </c>
      <c r="F450" s="2">
        <v>41649.0</v>
      </c>
      <c r="G450" s="1" t="s">
        <v>1256</v>
      </c>
      <c r="I450" s="1" t="s">
        <v>1256</v>
      </c>
      <c r="L450" s="1" t="s">
        <v>151</v>
      </c>
      <c r="M450" s="1">
        <v>6900.0</v>
      </c>
      <c r="N450" s="1" t="s">
        <v>151</v>
      </c>
      <c r="O450" s="1">
        <v>1.1855476E8</v>
      </c>
      <c r="P450" s="1" t="s">
        <v>983</v>
      </c>
      <c r="Q450" s="1" t="s">
        <v>984</v>
      </c>
      <c r="R450" s="1" t="s">
        <v>227</v>
      </c>
      <c r="S450" s="1" t="s">
        <v>44</v>
      </c>
      <c r="T450" s="1" t="s">
        <v>45</v>
      </c>
      <c r="U450" s="1">
        <v>4.82262886E8</v>
      </c>
      <c r="W450" s="1" t="s">
        <v>46</v>
      </c>
      <c r="X450" s="1" t="s">
        <v>45</v>
      </c>
      <c r="Y450" s="1">
        <v>4.82262886E8</v>
      </c>
      <c r="Z450" s="1">
        <v>6530661.0</v>
      </c>
      <c r="AA450" s="1" t="s">
        <v>76</v>
      </c>
      <c r="AB450" s="1">
        <v>233237.11</v>
      </c>
      <c r="AC450" s="2">
        <v>41649.0</v>
      </c>
      <c r="AD450" s="1">
        <v>6900.0</v>
      </c>
      <c r="AE450" s="1" t="s">
        <v>151</v>
      </c>
      <c r="AF450" s="1">
        <v>1.0</v>
      </c>
      <c r="AG450" s="1" t="s">
        <v>1256</v>
      </c>
      <c r="AH450" s="1">
        <v>1.0</v>
      </c>
      <c r="AI450" s="1">
        <v>2014.0</v>
      </c>
      <c r="AJ450" s="1">
        <v>2014.0</v>
      </c>
      <c r="AK450" s="1" t="s">
        <v>229</v>
      </c>
    </row>
    <row r="451">
      <c r="A451" s="1" t="s">
        <v>1268</v>
      </c>
      <c r="B451" s="1" t="s">
        <v>1268</v>
      </c>
      <c r="C451" s="1" t="s">
        <v>224</v>
      </c>
      <c r="E451" s="1">
        <v>352671.0</v>
      </c>
      <c r="F451" s="2">
        <v>41222.0</v>
      </c>
      <c r="G451" s="1" t="s">
        <v>1269</v>
      </c>
      <c r="I451" s="1" t="s">
        <v>1269</v>
      </c>
      <c r="L451" s="1" t="s">
        <v>151</v>
      </c>
      <c r="M451" s="1">
        <v>6900.0</v>
      </c>
      <c r="N451" s="1" t="s">
        <v>151</v>
      </c>
      <c r="O451" s="1">
        <v>9.63886101E8</v>
      </c>
      <c r="P451" s="1" t="s">
        <v>259</v>
      </c>
      <c r="R451" s="1" t="s">
        <v>260</v>
      </c>
      <c r="S451" s="1" t="s">
        <v>44</v>
      </c>
      <c r="T451" s="1" t="s">
        <v>45</v>
      </c>
      <c r="U451" s="1">
        <v>4.8226348E8</v>
      </c>
      <c r="W451" s="1" t="s">
        <v>46</v>
      </c>
      <c r="X451" s="1" t="s">
        <v>45</v>
      </c>
      <c r="Y451" s="1">
        <v>4.8226348E8</v>
      </c>
      <c r="Z451" s="1">
        <v>7.3134884E7</v>
      </c>
      <c r="AA451" s="1" t="s">
        <v>261</v>
      </c>
      <c r="AB451" s="1">
        <v>352670.92</v>
      </c>
      <c r="AC451" s="2">
        <v>41222.0</v>
      </c>
      <c r="AD451" s="1">
        <v>6900.0</v>
      </c>
      <c r="AE451" s="1" t="s">
        <v>151</v>
      </c>
      <c r="AF451" s="1">
        <v>1.0</v>
      </c>
      <c r="AG451" s="1" t="s">
        <v>1270</v>
      </c>
      <c r="AH451" s="1">
        <v>12.0</v>
      </c>
      <c r="AI451" s="1">
        <v>2012.0</v>
      </c>
      <c r="AJ451" s="1">
        <v>2013.0</v>
      </c>
      <c r="AK451" s="1" t="s">
        <v>229</v>
      </c>
    </row>
    <row r="452">
      <c r="A452" s="1" t="s">
        <v>1271</v>
      </c>
      <c r="B452" s="1" t="s">
        <v>1271</v>
      </c>
      <c r="C452" s="1" t="s">
        <v>129</v>
      </c>
      <c r="E452" s="1">
        <v>1.4377838E7</v>
      </c>
      <c r="F452" s="2">
        <v>41548.0</v>
      </c>
      <c r="G452" s="1" t="s">
        <v>1272</v>
      </c>
      <c r="I452" s="1" t="s">
        <v>1272</v>
      </c>
      <c r="L452" s="1" t="s">
        <v>40</v>
      </c>
      <c r="M452" s="1">
        <v>7500.0</v>
      </c>
      <c r="N452" s="1" t="s">
        <v>40</v>
      </c>
      <c r="O452" s="1">
        <v>2.0830303E7</v>
      </c>
      <c r="P452" s="1" t="s">
        <v>424</v>
      </c>
      <c r="Q452" s="1" t="s">
        <v>425</v>
      </c>
      <c r="R452" s="1" t="s">
        <v>426</v>
      </c>
      <c r="S452" s="1" t="s">
        <v>44</v>
      </c>
      <c r="T452" s="1" t="s">
        <v>45</v>
      </c>
      <c r="U452" s="1">
        <v>4.82012002E8</v>
      </c>
      <c r="W452" s="1" t="s">
        <v>44</v>
      </c>
      <c r="X452" s="1" t="s">
        <v>45</v>
      </c>
      <c r="Y452" s="1">
        <v>4.82012002E8</v>
      </c>
      <c r="Z452" s="1">
        <v>2.0830303E7</v>
      </c>
      <c r="AA452" s="1" t="s">
        <v>424</v>
      </c>
      <c r="AB452" s="1">
        <v>375015.0</v>
      </c>
      <c r="AC452" s="2">
        <v>41548.0</v>
      </c>
      <c r="AD452" s="1">
        <v>7500.0</v>
      </c>
      <c r="AE452" s="1" t="s">
        <v>40</v>
      </c>
      <c r="AF452" s="1" t="s">
        <v>1273</v>
      </c>
      <c r="AG452" s="1" t="s">
        <v>1274</v>
      </c>
      <c r="AH452" s="1">
        <v>10.0</v>
      </c>
      <c r="AI452" s="1">
        <v>2013.0</v>
      </c>
      <c r="AJ452" s="1">
        <v>2014.0</v>
      </c>
      <c r="AK452" s="1" t="s">
        <v>1275</v>
      </c>
    </row>
    <row r="453">
      <c r="A453" s="1" t="s">
        <v>1271</v>
      </c>
      <c r="B453" s="1" t="s">
        <v>1271</v>
      </c>
      <c r="C453" s="1" t="s">
        <v>129</v>
      </c>
      <c r="E453" s="1">
        <v>1.4377838E7</v>
      </c>
      <c r="F453" s="2">
        <v>41548.0</v>
      </c>
      <c r="G453" s="1" t="s">
        <v>1272</v>
      </c>
      <c r="I453" s="1" t="s">
        <v>1272</v>
      </c>
      <c r="L453" s="1" t="s">
        <v>40</v>
      </c>
      <c r="M453" s="1">
        <v>7500.0</v>
      </c>
      <c r="N453" s="1" t="s">
        <v>40</v>
      </c>
      <c r="O453" s="1">
        <v>2.0830303E7</v>
      </c>
      <c r="P453" s="1" t="s">
        <v>424</v>
      </c>
      <c r="Q453" s="1" t="s">
        <v>425</v>
      </c>
      <c r="R453" s="1" t="s">
        <v>426</v>
      </c>
      <c r="S453" s="1" t="s">
        <v>44</v>
      </c>
      <c r="T453" s="1" t="s">
        <v>45</v>
      </c>
      <c r="U453" s="1">
        <v>4.82012002E8</v>
      </c>
      <c r="W453" s="1" t="s">
        <v>44</v>
      </c>
      <c r="X453" s="1" t="s">
        <v>45</v>
      </c>
      <c r="Y453" s="1">
        <v>4.82012002E8</v>
      </c>
      <c r="Z453" s="1">
        <v>2.0830303E7</v>
      </c>
      <c r="AA453" s="1" t="s">
        <v>424</v>
      </c>
      <c r="AB453" s="1">
        <v>178657.19</v>
      </c>
      <c r="AC453" s="2">
        <v>41548.0</v>
      </c>
      <c r="AD453" s="1">
        <v>7500.0</v>
      </c>
      <c r="AE453" s="1" t="s">
        <v>40</v>
      </c>
      <c r="AF453" s="1" t="s">
        <v>1273</v>
      </c>
      <c r="AG453" s="1" t="s">
        <v>1274</v>
      </c>
      <c r="AH453" s="1">
        <v>10.0</v>
      </c>
      <c r="AI453" s="1">
        <v>2013.0</v>
      </c>
      <c r="AJ453" s="1">
        <v>2014.0</v>
      </c>
      <c r="AK453" s="1" t="s">
        <v>1275</v>
      </c>
    </row>
    <row r="454">
      <c r="A454" s="1" t="s">
        <v>1276</v>
      </c>
      <c r="B454" s="1" t="s">
        <v>1276</v>
      </c>
      <c r="C454" s="1" t="s">
        <v>63</v>
      </c>
      <c r="E454" s="1">
        <v>3254999.0</v>
      </c>
      <c r="F454" s="2">
        <v>41511.0</v>
      </c>
      <c r="G454" s="1" t="s">
        <v>1277</v>
      </c>
      <c r="I454" s="1" t="s">
        <v>1277</v>
      </c>
      <c r="L454" s="1" t="s">
        <v>40</v>
      </c>
      <c r="M454" s="1">
        <v>7500.0</v>
      </c>
      <c r="N454" s="1" t="s">
        <v>40</v>
      </c>
      <c r="O454" s="1">
        <v>7.3134603E7</v>
      </c>
      <c r="P454" s="1" t="s">
        <v>41</v>
      </c>
      <c r="Q454" s="1" t="s">
        <v>252</v>
      </c>
      <c r="R454" s="1" t="s">
        <v>253</v>
      </c>
      <c r="S454" s="1" t="s">
        <v>44</v>
      </c>
      <c r="T454" s="1" t="s">
        <v>45</v>
      </c>
      <c r="U454" s="1">
        <v>4.8202345E8</v>
      </c>
      <c r="W454" s="1" t="s">
        <v>903</v>
      </c>
      <c r="X454" s="1" t="s">
        <v>45</v>
      </c>
      <c r="Y454" s="1">
        <v>4.82022689E8</v>
      </c>
      <c r="Z454" s="1">
        <v>7.3134603E7</v>
      </c>
      <c r="AA454" s="1" t="s">
        <v>41</v>
      </c>
      <c r="AB454" s="1">
        <v>157262.0</v>
      </c>
      <c r="AC454" s="2">
        <v>41511.0</v>
      </c>
      <c r="AD454" s="1">
        <v>7500.0</v>
      </c>
      <c r="AE454" s="1" t="s">
        <v>40</v>
      </c>
      <c r="AF454" s="1">
        <v>3.002147799E9</v>
      </c>
      <c r="AG454" s="1" t="s">
        <v>1278</v>
      </c>
      <c r="AH454" s="1">
        <v>8.0</v>
      </c>
      <c r="AI454" s="1">
        <v>2013.0</v>
      </c>
      <c r="AJ454" s="1">
        <v>2013.0</v>
      </c>
      <c r="AK454" s="1" t="s">
        <v>1279</v>
      </c>
    </row>
    <row r="455">
      <c r="A455" s="1" t="s">
        <v>1280</v>
      </c>
      <c r="B455" s="1" t="s">
        <v>1280</v>
      </c>
      <c r="C455" s="1" t="s">
        <v>1281</v>
      </c>
      <c r="E455" s="1">
        <v>6000000.0</v>
      </c>
      <c r="F455" s="2">
        <v>41518.0</v>
      </c>
      <c r="G455" s="1" t="s">
        <v>1282</v>
      </c>
      <c r="I455" s="1" t="s">
        <v>1282</v>
      </c>
      <c r="L455" s="1" t="s">
        <v>1281</v>
      </c>
      <c r="M455" s="1">
        <v>9577.0</v>
      </c>
      <c r="N455" s="1" t="s">
        <v>1281</v>
      </c>
      <c r="O455" s="1">
        <v>1.45406612E8</v>
      </c>
      <c r="P455" s="1" t="s">
        <v>327</v>
      </c>
      <c r="R455" s="1" t="s">
        <v>328</v>
      </c>
      <c r="S455" s="1" t="s">
        <v>44</v>
      </c>
      <c r="T455" s="1" t="s">
        <v>45</v>
      </c>
      <c r="U455" s="1">
        <v>4.82112003E8</v>
      </c>
      <c r="W455" s="1" t="s">
        <v>46</v>
      </c>
      <c r="X455" s="1" t="s">
        <v>45</v>
      </c>
      <c r="Y455" s="1">
        <v>4.82112003E8</v>
      </c>
      <c r="AB455" s="1">
        <v>200000.0</v>
      </c>
      <c r="AC455" s="2">
        <v>41518.0</v>
      </c>
      <c r="AD455" s="1">
        <v>9577.0</v>
      </c>
      <c r="AE455" s="1" t="s">
        <v>1281</v>
      </c>
      <c r="AF455" s="1">
        <v>11.0</v>
      </c>
      <c r="AG455" s="1" t="s">
        <v>1283</v>
      </c>
      <c r="AH455" s="1">
        <v>12.0</v>
      </c>
      <c r="AI455" s="1">
        <v>2013.0</v>
      </c>
      <c r="AJ455" s="1">
        <v>2013.0</v>
      </c>
      <c r="AK455" s="1" t="s">
        <v>1284</v>
      </c>
    </row>
    <row r="456">
      <c r="A456" s="1" t="s">
        <v>1285</v>
      </c>
      <c r="B456" s="1" t="s">
        <v>1285</v>
      </c>
      <c r="C456" s="1" t="s">
        <v>224</v>
      </c>
      <c r="E456" s="1">
        <v>774620.0</v>
      </c>
      <c r="F456" s="2">
        <v>41227.0</v>
      </c>
      <c r="G456" s="1" t="s">
        <v>1286</v>
      </c>
      <c r="I456" s="1" t="s">
        <v>1286</v>
      </c>
      <c r="L456" s="1" t="s">
        <v>151</v>
      </c>
      <c r="M456" s="1">
        <v>6900.0</v>
      </c>
      <c r="N456" s="1" t="s">
        <v>151</v>
      </c>
      <c r="O456" s="1">
        <v>9.63886101E8</v>
      </c>
      <c r="P456" s="1" t="s">
        <v>259</v>
      </c>
      <c r="R456" s="1" t="s">
        <v>260</v>
      </c>
      <c r="S456" s="1" t="s">
        <v>44</v>
      </c>
      <c r="T456" s="1" t="s">
        <v>45</v>
      </c>
      <c r="U456" s="1">
        <v>4.8226348E8</v>
      </c>
      <c r="W456" s="1" t="s">
        <v>46</v>
      </c>
      <c r="X456" s="1" t="s">
        <v>45</v>
      </c>
      <c r="Y456" s="1">
        <v>4.8226348E8</v>
      </c>
      <c r="Z456" s="1">
        <v>7.3134884E7</v>
      </c>
      <c r="AA456" s="1" t="s">
        <v>261</v>
      </c>
      <c r="AB456" s="1">
        <v>774620.0</v>
      </c>
      <c r="AC456" s="2">
        <v>41227.0</v>
      </c>
      <c r="AD456" s="1">
        <v>6900.0</v>
      </c>
      <c r="AE456" s="1" t="s">
        <v>151</v>
      </c>
      <c r="AF456" s="1">
        <v>1.0</v>
      </c>
      <c r="AG456" s="1" t="s">
        <v>1287</v>
      </c>
      <c r="AH456" s="1">
        <v>11.0</v>
      </c>
      <c r="AI456" s="1">
        <v>2013.0</v>
      </c>
      <c r="AJ456" s="1">
        <v>2013.0</v>
      </c>
      <c r="AK456" s="1" t="s">
        <v>229</v>
      </c>
    </row>
    <row r="457">
      <c r="A457" s="1" t="s">
        <v>1280</v>
      </c>
      <c r="B457" s="1" t="s">
        <v>1280</v>
      </c>
      <c r="C457" s="1" t="s">
        <v>1281</v>
      </c>
      <c r="E457" s="1">
        <v>6000000.0</v>
      </c>
      <c r="F457" s="2">
        <v>41518.0</v>
      </c>
      <c r="G457" s="1" t="s">
        <v>1282</v>
      </c>
      <c r="I457" s="1" t="s">
        <v>1282</v>
      </c>
      <c r="L457" s="1" t="s">
        <v>1281</v>
      </c>
      <c r="M457" s="1">
        <v>9577.0</v>
      </c>
      <c r="N457" s="1" t="s">
        <v>1281</v>
      </c>
      <c r="O457" s="1">
        <v>1.49048154E8</v>
      </c>
      <c r="P457" s="1" t="s">
        <v>1288</v>
      </c>
      <c r="R457" s="1" t="s">
        <v>1289</v>
      </c>
      <c r="S457" s="1" t="s">
        <v>44</v>
      </c>
      <c r="T457" s="1" t="s">
        <v>45</v>
      </c>
      <c r="U457" s="1">
        <v>4.82091434E8</v>
      </c>
      <c r="W457" s="1" t="s">
        <v>46</v>
      </c>
      <c r="X457" s="1" t="s">
        <v>45</v>
      </c>
      <c r="Y457" s="1">
        <v>4.82091434E8</v>
      </c>
      <c r="AB457" s="1">
        <v>107413.18</v>
      </c>
      <c r="AC457" s="2">
        <v>41518.0</v>
      </c>
      <c r="AD457" s="1">
        <v>9577.0</v>
      </c>
      <c r="AE457" s="1" t="s">
        <v>1281</v>
      </c>
      <c r="AF457" s="1">
        <v>5.0</v>
      </c>
      <c r="AG457" s="1" t="s">
        <v>1290</v>
      </c>
      <c r="AH457" s="1">
        <v>12.0</v>
      </c>
      <c r="AI457" s="1">
        <v>2013.0</v>
      </c>
      <c r="AJ457" s="1">
        <v>2013.0</v>
      </c>
      <c r="AK457" s="1" t="s">
        <v>1284</v>
      </c>
    </row>
    <row r="458">
      <c r="A458" s="1" t="s">
        <v>360</v>
      </c>
      <c r="B458" s="1" t="s">
        <v>360</v>
      </c>
      <c r="C458" s="1" t="s">
        <v>100</v>
      </c>
      <c r="E458" s="1">
        <v>5199118.0</v>
      </c>
      <c r="F458" s="2">
        <v>41206.0</v>
      </c>
      <c r="G458" s="1" t="s">
        <v>361</v>
      </c>
      <c r="I458" s="1" t="s">
        <v>361</v>
      </c>
      <c r="L458" s="1" t="s">
        <v>102</v>
      </c>
      <c r="M458" s="1">
        <v>8600.0</v>
      </c>
      <c r="N458" s="1" t="s">
        <v>102</v>
      </c>
      <c r="O458" s="1">
        <v>1.54693043E8</v>
      </c>
      <c r="P458" s="1" t="s">
        <v>362</v>
      </c>
      <c r="Q458" s="1" t="s">
        <v>363</v>
      </c>
      <c r="R458" s="1" t="s">
        <v>364</v>
      </c>
      <c r="S458" s="1" t="s">
        <v>44</v>
      </c>
      <c r="T458" s="1" t="s">
        <v>45</v>
      </c>
      <c r="U458" s="1">
        <v>4.82161936E8</v>
      </c>
      <c r="W458" s="1" t="s">
        <v>46</v>
      </c>
      <c r="X458" s="1" t="s">
        <v>45</v>
      </c>
      <c r="Y458" s="1">
        <v>4.82161936E8</v>
      </c>
      <c r="AB458" s="1">
        <v>416169.0</v>
      </c>
      <c r="AC458" s="2">
        <v>41206.0</v>
      </c>
      <c r="AD458" s="1">
        <v>8600.0</v>
      </c>
      <c r="AE458" s="1" t="s">
        <v>102</v>
      </c>
      <c r="AF458" s="1" t="s">
        <v>365</v>
      </c>
      <c r="AG458" s="1" t="s">
        <v>366</v>
      </c>
      <c r="AH458" s="1">
        <v>1.0</v>
      </c>
      <c r="AI458" s="1">
        <v>2014.0</v>
      </c>
      <c r="AJ458" s="1">
        <v>2013.0</v>
      </c>
      <c r="AK458" s="1" t="s">
        <v>367</v>
      </c>
    </row>
    <row r="459">
      <c r="A459" s="1" t="s">
        <v>360</v>
      </c>
      <c r="B459" s="1" t="s">
        <v>360</v>
      </c>
      <c r="C459" s="1" t="s">
        <v>100</v>
      </c>
      <c r="E459" s="1">
        <v>5199118.0</v>
      </c>
      <c r="F459" s="2">
        <v>41206.0</v>
      </c>
      <c r="G459" s="1" t="s">
        <v>361</v>
      </c>
      <c r="I459" s="1" t="s">
        <v>361</v>
      </c>
      <c r="L459" s="1" t="s">
        <v>102</v>
      </c>
      <c r="M459" s="1">
        <v>8600.0</v>
      </c>
      <c r="N459" s="1" t="s">
        <v>102</v>
      </c>
      <c r="O459" s="1">
        <v>1.54693043E8</v>
      </c>
      <c r="P459" s="1" t="s">
        <v>362</v>
      </c>
      <c r="Q459" s="1" t="s">
        <v>363</v>
      </c>
      <c r="R459" s="1" t="s">
        <v>364</v>
      </c>
      <c r="S459" s="1" t="s">
        <v>44</v>
      </c>
      <c r="T459" s="1" t="s">
        <v>45</v>
      </c>
      <c r="U459" s="1">
        <v>4.82161936E8</v>
      </c>
      <c r="W459" s="1" t="s">
        <v>46</v>
      </c>
      <c r="X459" s="1" t="s">
        <v>45</v>
      </c>
      <c r="Y459" s="1">
        <v>4.82161936E8</v>
      </c>
      <c r="AB459" s="1">
        <v>416169.0</v>
      </c>
      <c r="AC459" s="2">
        <v>41206.0</v>
      </c>
      <c r="AD459" s="1">
        <v>8600.0</v>
      </c>
      <c r="AE459" s="1" t="s">
        <v>102</v>
      </c>
      <c r="AF459" s="1" t="s">
        <v>365</v>
      </c>
      <c r="AG459" s="1" t="s">
        <v>366</v>
      </c>
      <c r="AH459" s="1">
        <v>11.0</v>
      </c>
      <c r="AI459" s="1">
        <v>2012.0</v>
      </c>
      <c r="AJ459" s="1">
        <v>2013.0</v>
      </c>
      <c r="AK459" s="1" t="s">
        <v>367</v>
      </c>
    </row>
    <row r="460">
      <c r="A460" s="1" t="s">
        <v>654</v>
      </c>
      <c r="B460" s="1" t="s">
        <v>654</v>
      </c>
      <c r="C460" s="1" t="s">
        <v>38</v>
      </c>
      <c r="E460" s="1">
        <v>931200.0</v>
      </c>
      <c r="F460" s="2">
        <v>41631.0</v>
      </c>
      <c r="G460" s="1" t="s">
        <v>655</v>
      </c>
      <c r="I460" s="1" t="s">
        <v>655</v>
      </c>
      <c r="L460" s="1" t="s">
        <v>40</v>
      </c>
      <c r="M460" s="1">
        <v>7500.0</v>
      </c>
      <c r="N460" s="1" t="s">
        <v>40</v>
      </c>
      <c r="O460" s="1">
        <v>7.3134603E7</v>
      </c>
      <c r="P460" s="1" t="s">
        <v>41</v>
      </c>
      <c r="Q460" s="1" t="s">
        <v>252</v>
      </c>
      <c r="R460" s="1" t="s">
        <v>253</v>
      </c>
      <c r="S460" s="1" t="s">
        <v>44</v>
      </c>
      <c r="T460" s="1" t="s">
        <v>45</v>
      </c>
      <c r="U460" s="1">
        <v>4.8202345E8</v>
      </c>
      <c r="W460" s="1" t="s">
        <v>46</v>
      </c>
      <c r="X460" s="1" t="s">
        <v>45</v>
      </c>
      <c r="Y460" s="1">
        <v>4.82022689E8</v>
      </c>
      <c r="Z460" s="1">
        <v>7.3134603E7</v>
      </c>
      <c r="AA460" s="1" t="s">
        <v>41</v>
      </c>
      <c r="AB460" s="1">
        <v>25000.0</v>
      </c>
      <c r="AC460" s="2">
        <v>41631.0</v>
      </c>
      <c r="AD460" s="1">
        <v>7500.0</v>
      </c>
      <c r="AE460" s="1" t="s">
        <v>40</v>
      </c>
      <c r="AF460" s="1">
        <v>3.002735317E9</v>
      </c>
      <c r="AG460" s="1" t="s">
        <v>1291</v>
      </c>
      <c r="AH460" s="1">
        <v>12.0</v>
      </c>
      <c r="AI460" s="1">
        <v>2013.0</v>
      </c>
      <c r="AJ460" s="1">
        <v>2014.0</v>
      </c>
      <c r="AK460" s="1" t="s">
        <v>415</v>
      </c>
    </row>
    <row r="461">
      <c r="A461" s="1" t="s">
        <v>1280</v>
      </c>
      <c r="B461" s="1" t="s">
        <v>1280</v>
      </c>
      <c r="C461" s="1" t="s">
        <v>1281</v>
      </c>
      <c r="E461" s="1">
        <v>6000000.0</v>
      </c>
      <c r="F461" s="2">
        <v>41518.0</v>
      </c>
      <c r="G461" s="1" t="s">
        <v>1282</v>
      </c>
      <c r="I461" s="1" t="s">
        <v>1282</v>
      </c>
      <c r="L461" s="1" t="s">
        <v>1281</v>
      </c>
      <c r="M461" s="1">
        <v>9577.0</v>
      </c>
      <c r="N461" s="1" t="s">
        <v>1281</v>
      </c>
      <c r="O461" s="1">
        <v>1.5900083E8</v>
      </c>
      <c r="P461" s="1" t="s">
        <v>1292</v>
      </c>
      <c r="R461" s="1" t="s">
        <v>1293</v>
      </c>
      <c r="S461" s="1" t="s">
        <v>44</v>
      </c>
      <c r="T461" s="1" t="s">
        <v>45</v>
      </c>
      <c r="U461" s="1">
        <v>4.82022715E8</v>
      </c>
      <c r="W461" s="1" t="s">
        <v>46</v>
      </c>
      <c r="X461" s="1" t="s">
        <v>45</v>
      </c>
      <c r="Y461" s="1">
        <v>4.82022715E8</v>
      </c>
      <c r="AB461" s="1">
        <v>217891.0</v>
      </c>
      <c r="AC461" s="2">
        <v>41518.0</v>
      </c>
      <c r="AD461" s="1">
        <v>9577.0</v>
      </c>
      <c r="AE461" s="1" t="s">
        <v>1281</v>
      </c>
      <c r="AF461" s="1">
        <v>2.0</v>
      </c>
      <c r="AG461" s="1" t="s">
        <v>1294</v>
      </c>
      <c r="AH461" s="1">
        <v>12.0</v>
      </c>
      <c r="AI461" s="1">
        <v>2013.0</v>
      </c>
      <c r="AJ461" s="1">
        <v>2013.0</v>
      </c>
      <c r="AK461" s="1" t="s">
        <v>1284</v>
      </c>
    </row>
    <row r="462">
      <c r="A462" s="1" t="s">
        <v>1280</v>
      </c>
      <c r="B462" s="1" t="s">
        <v>1280</v>
      </c>
      <c r="C462" s="1" t="s">
        <v>1281</v>
      </c>
      <c r="E462" s="1">
        <v>6000000.0</v>
      </c>
      <c r="F462" s="2">
        <v>41518.0</v>
      </c>
      <c r="G462" s="1" t="s">
        <v>1282</v>
      </c>
      <c r="I462" s="1" t="s">
        <v>1282</v>
      </c>
      <c r="L462" s="1" t="s">
        <v>1281</v>
      </c>
      <c r="M462" s="1">
        <v>9577.0</v>
      </c>
      <c r="N462" s="1" t="s">
        <v>1281</v>
      </c>
      <c r="O462" s="1">
        <v>2.0830303E7</v>
      </c>
      <c r="P462" s="1" t="s">
        <v>424</v>
      </c>
      <c r="Q462" s="1" t="s">
        <v>425</v>
      </c>
      <c r="R462" s="1" t="s">
        <v>426</v>
      </c>
      <c r="S462" s="1" t="s">
        <v>44</v>
      </c>
      <c r="T462" s="1" t="s">
        <v>45</v>
      </c>
      <c r="U462" s="1">
        <v>4.82012002E8</v>
      </c>
      <c r="W462" s="1" t="s">
        <v>46</v>
      </c>
      <c r="X462" s="1" t="s">
        <v>45</v>
      </c>
      <c r="Y462" s="1">
        <v>4.82012002E8</v>
      </c>
      <c r="Z462" s="1">
        <v>2.0830303E7</v>
      </c>
      <c r="AA462" s="1" t="s">
        <v>424</v>
      </c>
      <c r="AB462" s="1">
        <v>190990.0</v>
      </c>
      <c r="AC462" s="2">
        <v>41518.0</v>
      </c>
      <c r="AD462" s="1">
        <v>9577.0</v>
      </c>
      <c r="AE462" s="1" t="s">
        <v>1281</v>
      </c>
      <c r="AF462" s="1">
        <v>7.0</v>
      </c>
      <c r="AG462" s="1" t="s">
        <v>1295</v>
      </c>
      <c r="AH462" s="1">
        <v>12.0</v>
      </c>
      <c r="AI462" s="1">
        <v>2013.0</v>
      </c>
      <c r="AJ462" s="1">
        <v>2013.0</v>
      </c>
      <c r="AK462" s="1" t="s">
        <v>1284</v>
      </c>
    </row>
    <row r="463">
      <c r="A463" s="1" t="s">
        <v>1280</v>
      </c>
      <c r="B463" s="1" t="s">
        <v>1280</v>
      </c>
      <c r="C463" s="1" t="s">
        <v>1281</v>
      </c>
      <c r="E463" s="1">
        <v>6000000.0</v>
      </c>
      <c r="F463" s="2">
        <v>41518.0</v>
      </c>
      <c r="G463" s="1" t="s">
        <v>1282</v>
      </c>
      <c r="I463" s="1" t="s">
        <v>1282</v>
      </c>
      <c r="L463" s="1" t="s">
        <v>1281</v>
      </c>
      <c r="M463" s="1">
        <v>9577.0</v>
      </c>
      <c r="N463" s="1" t="s">
        <v>1281</v>
      </c>
      <c r="O463" s="1">
        <v>7.6385699E7</v>
      </c>
      <c r="P463" s="1" t="s">
        <v>106</v>
      </c>
      <c r="Q463" s="1" t="s">
        <v>1005</v>
      </c>
      <c r="R463" s="1" t="s">
        <v>1006</v>
      </c>
      <c r="S463" s="1" t="s">
        <v>44</v>
      </c>
      <c r="T463" s="1" t="s">
        <v>45</v>
      </c>
      <c r="U463" s="1">
        <v>4.82092022E8</v>
      </c>
      <c r="W463" s="1" t="s">
        <v>46</v>
      </c>
      <c r="X463" s="1" t="s">
        <v>45</v>
      </c>
      <c r="Y463" s="1">
        <v>4.82092022E8</v>
      </c>
      <c r="Z463" s="1">
        <v>7.6385699E7</v>
      </c>
      <c r="AA463" s="1" t="s">
        <v>106</v>
      </c>
      <c r="AB463" s="1">
        <v>212470.0</v>
      </c>
      <c r="AC463" s="2">
        <v>41518.0</v>
      </c>
      <c r="AD463" s="1">
        <v>9577.0</v>
      </c>
      <c r="AE463" s="1" t="s">
        <v>1281</v>
      </c>
      <c r="AF463" s="1">
        <v>9.0</v>
      </c>
      <c r="AG463" s="1" t="s">
        <v>1296</v>
      </c>
      <c r="AH463" s="1">
        <v>12.0</v>
      </c>
      <c r="AI463" s="1">
        <v>2013.0</v>
      </c>
      <c r="AJ463" s="1">
        <v>2013.0</v>
      </c>
      <c r="AK463" s="1" t="s">
        <v>1284</v>
      </c>
    </row>
    <row r="464">
      <c r="A464" s="1" t="s">
        <v>1297</v>
      </c>
      <c r="B464" s="1" t="s">
        <v>1297</v>
      </c>
      <c r="C464" s="1" t="s">
        <v>1281</v>
      </c>
      <c r="E464" s="1">
        <v>2399848.0</v>
      </c>
      <c r="F464" s="2">
        <v>41548.0</v>
      </c>
      <c r="G464" s="1" t="s">
        <v>1298</v>
      </c>
      <c r="I464" s="1" t="s">
        <v>1298</v>
      </c>
      <c r="L464" s="1" t="s">
        <v>1281</v>
      </c>
      <c r="M464" s="1">
        <v>9577.0</v>
      </c>
      <c r="N464" s="1" t="s">
        <v>1281</v>
      </c>
      <c r="O464" s="1">
        <v>1962224.0</v>
      </c>
      <c r="P464" s="1" t="s">
        <v>52</v>
      </c>
      <c r="R464" s="1" t="s">
        <v>53</v>
      </c>
      <c r="S464" s="1" t="s">
        <v>44</v>
      </c>
      <c r="T464" s="1" t="s">
        <v>45</v>
      </c>
      <c r="U464" s="1">
        <v>4.82023692E8</v>
      </c>
      <c r="W464" s="1" t="s">
        <v>44</v>
      </c>
      <c r="X464" s="1" t="s">
        <v>45</v>
      </c>
      <c r="Y464" s="1">
        <v>4.8202405E8</v>
      </c>
      <c r="Z464" s="1">
        <v>1962224.0</v>
      </c>
      <c r="AA464" s="1" t="s">
        <v>52</v>
      </c>
      <c r="AB464" s="1">
        <v>374927.0</v>
      </c>
      <c r="AC464" s="2">
        <v>41548.0</v>
      </c>
      <c r="AD464" s="1">
        <v>9577.0</v>
      </c>
      <c r="AE464" s="1" t="s">
        <v>1281</v>
      </c>
      <c r="AF464" s="1" t="s">
        <v>1299</v>
      </c>
      <c r="AG464" s="1" t="s">
        <v>1300</v>
      </c>
      <c r="AH464" s="1">
        <v>10.0</v>
      </c>
      <c r="AI464" s="1">
        <v>2013.0</v>
      </c>
      <c r="AJ464" s="1">
        <v>2014.0</v>
      </c>
      <c r="AK464" s="1" t="s">
        <v>1301</v>
      </c>
    </row>
    <row r="465">
      <c r="A465" s="1" t="s">
        <v>1302</v>
      </c>
      <c r="B465" s="1" t="s">
        <v>1302</v>
      </c>
      <c r="C465" s="1" t="s">
        <v>1303</v>
      </c>
      <c r="E465" s="1">
        <v>6480415.0</v>
      </c>
      <c r="F465" s="2">
        <v>41379.0</v>
      </c>
      <c r="G465" s="1" t="s">
        <v>1304</v>
      </c>
      <c r="I465" s="1" t="s">
        <v>1304</v>
      </c>
      <c r="L465" s="1" t="s">
        <v>1305</v>
      </c>
      <c r="M465" s="1">
        <v>1300.0</v>
      </c>
      <c r="N465" s="1" t="s">
        <v>1305</v>
      </c>
      <c r="O465" s="1">
        <v>1962224.0</v>
      </c>
      <c r="P465" s="1" t="s">
        <v>52</v>
      </c>
      <c r="R465" s="1" t="s">
        <v>53</v>
      </c>
      <c r="S465" s="1" t="s">
        <v>44</v>
      </c>
      <c r="T465" s="1" t="s">
        <v>45</v>
      </c>
      <c r="U465" s="1">
        <v>4.82023692E8</v>
      </c>
      <c r="W465" s="1" t="s">
        <v>44</v>
      </c>
      <c r="X465" s="1" t="s">
        <v>45</v>
      </c>
      <c r="Y465" s="1">
        <v>4.82023692E8</v>
      </c>
      <c r="Z465" s="1">
        <v>1962224.0</v>
      </c>
      <c r="AA465" s="1" t="s">
        <v>52</v>
      </c>
      <c r="AB465" s="1">
        <v>30000.0</v>
      </c>
      <c r="AC465" s="2">
        <v>41379.0</v>
      </c>
      <c r="AD465" s="1">
        <v>1300.0</v>
      </c>
      <c r="AE465" s="1" t="s">
        <v>1305</v>
      </c>
      <c r="AF465" s="1">
        <v>3.002503276E9</v>
      </c>
      <c r="AG465" s="1" t="s">
        <v>1306</v>
      </c>
      <c r="AH465" s="1">
        <v>4.0</v>
      </c>
      <c r="AI465" s="1">
        <v>2013.0</v>
      </c>
      <c r="AJ465" s="1">
        <v>2013.0</v>
      </c>
      <c r="AK465" s="1" t="s">
        <v>1307</v>
      </c>
    </row>
    <row r="466">
      <c r="A466" s="1" t="s">
        <v>1308</v>
      </c>
      <c r="B466" s="1" t="s">
        <v>1308</v>
      </c>
      <c r="C466" s="1" t="s">
        <v>129</v>
      </c>
      <c r="E466" s="1">
        <v>2265546.0</v>
      </c>
      <c r="F466" s="2">
        <v>41548.0</v>
      </c>
      <c r="G466" s="1" t="s">
        <v>876</v>
      </c>
      <c r="I466" s="1" t="s">
        <v>876</v>
      </c>
      <c r="L466" s="1" t="s">
        <v>40</v>
      </c>
      <c r="M466" s="1">
        <v>7500.0</v>
      </c>
      <c r="N466" s="1" t="s">
        <v>40</v>
      </c>
      <c r="O466" s="1">
        <v>1.21516199E8</v>
      </c>
      <c r="P466" s="1" t="s">
        <v>380</v>
      </c>
      <c r="Q466" s="1" t="s">
        <v>381</v>
      </c>
      <c r="R466" s="1" t="s">
        <v>382</v>
      </c>
      <c r="S466" s="1" t="s">
        <v>44</v>
      </c>
      <c r="T466" s="1" t="s">
        <v>45</v>
      </c>
      <c r="U466" s="1">
        <v>4.82073156E8</v>
      </c>
      <c r="W466" s="1" t="s">
        <v>44</v>
      </c>
      <c r="X466" s="1" t="s">
        <v>45</v>
      </c>
      <c r="Y466" s="1">
        <v>4.82073127E8</v>
      </c>
      <c r="Z466" s="1">
        <v>1.21516199E8</v>
      </c>
      <c r="AA466" s="1" t="s">
        <v>380</v>
      </c>
      <c r="AB466" s="1">
        <v>200941.83</v>
      </c>
      <c r="AC466" s="2">
        <v>41548.0</v>
      </c>
      <c r="AD466" s="1">
        <v>7500.0</v>
      </c>
      <c r="AE466" s="1" t="s">
        <v>40</v>
      </c>
      <c r="AF466" s="1" t="s">
        <v>1309</v>
      </c>
      <c r="AG466" s="1" t="s">
        <v>1310</v>
      </c>
      <c r="AH466" s="1">
        <v>10.0</v>
      </c>
      <c r="AI466" s="1">
        <v>2013.0</v>
      </c>
      <c r="AJ466" s="1">
        <v>2014.0</v>
      </c>
      <c r="AK466" s="1" t="s">
        <v>1311</v>
      </c>
    </row>
    <row r="467">
      <c r="A467" s="1" t="s">
        <v>49</v>
      </c>
      <c r="B467" s="1" t="s">
        <v>49</v>
      </c>
      <c r="C467" s="1" t="s">
        <v>50</v>
      </c>
      <c r="E467" s="1">
        <v>1532243.0</v>
      </c>
      <c r="F467" s="2">
        <v>41661.0</v>
      </c>
      <c r="G467" s="1" t="s">
        <v>51</v>
      </c>
      <c r="I467" s="1" t="s">
        <v>51</v>
      </c>
      <c r="L467" s="1" t="s">
        <v>50</v>
      </c>
      <c r="M467" s="1">
        <v>8900.0</v>
      </c>
      <c r="N467" s="1" t="s">
        <v>50</v>
      </c>
      <c r="O467" s="1">
        <v>1962224.0</v>
      </c>
      <c r="P467" s="1" t="s">
        <v>52</v>
      </c>
      <c r="R467" s="1" t="s">
        <v>53</v>
      </c>
      <c r="S467" s="1" t="s">
        <v>44</v>
      </c>
      <c r="T467" s="1" t="s">
        <v>45</v>
      </c>
      <c r="U467" s="1">
        <v>4.82023692E8</v>
      </c>
      <c r="W467" s="1" t="s">
        <v>46</v>
      </c>
      <c r="X467" s="1" t="s">
        <v>45</v>
      </c>
      <c r="Y467" s="1">
        <v>4.8202405E8</v>
      </c>
      <c r="Z467" s="1">
        <v>1962224.0</v>
      </c>
      <c r="AA467" s="1" t="s">
        <v>52</v>
      </c>
      <c r="AB467" s="1">
        <v>37921.0</v>
      </c>
      <c r="AC467" s="2">
        <v>41661.0</v>
      </c>
      <c r="AD467" s="1">
        <v>8900.0</v>
      </c>
      <c r="AE467" s="1" t="s">
        <v>50</v>
      </c>
      <c r="AF467" s="1" t="s">
        <v>1312</v>
      </c>
      <c r="AG467" s="1" t="s">
        <v>1313</v>
      </c>
      <c r="AH467" s="1">
        <v>2.0</v>
      </c>
      <c r="AI467" s="1">
        <v>2014.0</v>
      </c>
      <c r="AJ467" s="1">
        <v>2014.0</v>
      </c>
      <c r="AK467" s="1" t="s">
        <v>56</v>
      </c>
    </row>
    <row r="468">
      <c r="A468" s="1" t="s">
        <v>1314</v>
      </c>
      <c r="B468" s="1" t="s">
        <v>1314</v>
      </c>
      <c r="C468" s="1" t="s">
        <v>70</v>
      </c>
      <c r="E468" s="1">
        <v>3726339.0</v>
      </c>
      <c r="F468" s="2">
        <v>41548.0</v>
      </c>
      <c r="G468" s="1" t="s">
        <v>1315</v>
      </c>
      <c r="I468" s="1" t="s">
        <v>1315</v>
      </c>
      <c r="L468" s="1" t="s">
        <v>72</v>
      </c>
      <c r="M468" s="1">
        <v>1500.0</v>
      </c>
      <c r="N468" s="1" t="s">
        <v>72</v>
      </c>
      <c r="O468" s="1">
        <v>1.58142448E8</v>
      </c>
      <c r="P468" s="1" t="s">
        <v>1316</v>
      </c>
      <c r="Q468" s="1" t="s">
        <v>1317</v>
      </c>
      <c r="R468" s="1" t="s">
        <v>1318</v>
      </c>
      <c r="S468" s="1" t="s">
        <v>44</v>
      </c>
      <c r="T468" s="1" t="s">
        <v>45</v>
      </c>
      <c r="U468" s="1">
        <v>4.82093154E8</v>
      </c>
      <c r="W468" s="1" t="s">
        <v>46</v>
      </c>
      <c r="X468" s="1" t="s">
        <v>45</v>
      </c>
      <c r="Y468" s="1">
        <v>4.82093154E8</v>
      </c>
      <c r="Z468" s="1">
        <v>1.58142448E8</v>
      </c>
      <c r="AA468" s="1" t="s">
        <v>1316</v>
      </c>
      <c r="AB468" s="1">
        <v>119951.0</v>
      </c>
      <c r="AC468" s="2">
        <v>41548.0</v>
      </c>
      <c r="AD468" s="1">
        <v>1500.0</v>
      </c>
      <c r="AE468" s="1" t="s">
        <v>72</v>
      </c>
      <c r="AF468" s="1" t="s">
        <v>1319</v>
      </c>
      <c r="AG468" s="1" t="s">
        <v>1320</v>
      </c>
      <c r="AH468" s="1">
        <v>10.0</v>
      </c>
      <c r="AI468" s="1">
        <v>2013.0</v>
      </c>
      <c r="AJ468" s="1">
        <v>2014.0</v>
      </c>
      <c r="AK468" s="1" t="s">
        <v>1321</v>
      </c>
    </row>
    <row r="469">
      <c r="A469" s="1" t="s">
        <v>1314</v>
      </c>
      <c r="B469" s="1" t="s">
        <v>1314</v>
      </c>
      <c r="C469" s="1" t="s">
        <v>70</v>
      </c>
      <c r="E469" s="1">
        <v>3726339.0</v>
      </c>
      <c r="F469" s="2">
        <v>41548.0</v>
      </c>
      <c r="G469" s="1" t="s">
        <v>1315</v>
      </c>
      <c r="I469" s="1" t="s">
        <v>1315</v>
      </c>
      <c r="L469" s="1" t="s">
        <v>72</v>
      </c>
      <c r="M469" s="1">
        <v>1500.0</v>
      </c>
      <c r="N469" s="1" t="s">
        <v>72</v>
      </c>
      <c r="O469" s="1">
        <v>7.89629859E8</v>
      </c>
      <c r="P469" s="1" t="s">
        <v>416</v>
      </c>
      <c r="R469" s="1" t="s">
        <v>417</v>
      </c>
      <c r="S469" s="1" t="s">
        <v>44</v>
      </c>
      <c r="T469" s="1" t="s">
        <v>45</v>
      </c>
      <c r="U469" s="1">
        <v>4.82343241E8</v>
      </c>
      <c r="W469" s="1" t="s">
        <v>44</v>
      </c>
      <c r="X469" s="1" t="s">
        <v>45</v>
      </c>
      <c r="Y469" s="1">
        <v>4.80673241E8</v>
      </c>
      <c r="AB469" s="1">
        <v>100000.0</v>
      </c>
      <c r="AC469" s="2">
        <v>41548.0</v>
      </c>
      <c r="AD469" s="1">
        <v>1500.0</v>
      </c>
      <c r="AE469" s="1" t="s">
        <v>72</v>
      </c>
      <c r="AF469" s="1" t="s">
        <v>1322</v>
      </c>
      <c r="AG469" s="1" t="s">
        <v>1323</v>
      </c>
      <c r="AH469" s="1">
        <v>10.0</v>
      </c>
      <c r="AI469" s="1">
        <v>2013.0</v>
      </c>
      <c r="AJ469" s="1">
        <v>2014.0</v>
      </c>
      <c r="AK469" s="1" t="s">
        <v>1321</v>
      </c>
    </row>
    <row r="470">
      <c r="A470" s="1" t="s">
        <v>1314</v>
      </c>
      <c r="B470" s="1" t="s">
        <v>1314</v>
      </c>
      <c r="C470" s="1" t="s">
        <v>70</v>
      </c>
      <c r="E470" s="1">
        <v>3726339.0</v>
      </c>
      <c r="F470" s="2">
        <v>41548.0</v>
      </c>
      <c r="G470" s="1" t="s">
        <v>1315</v>
      </c>
      <c r="I470" s="1" t="s">
        <v>1315</v>
      </c>
      <c r="L470" s="1" t="s">
        <v>72</v>
      </c>
      <c r="M470" s="1">
        <v>1500.0</v>
      </c>
      <c r="N470" s="1" t="s">
        <v>72</v>
      </c>
      <c r="O470" s="1">
        <v>1.21516199E8</v>
      </c>
      <c r="P470" s="1" t="s">
        <v>380</v>
      </c>
      <c r="Q470" s="1" t="s">
        <v>381</v>
      </c>
      <c r="R470" s="1" t="s">
        <v>382</v>
      </c>
      <c r="S470" s="1" t="s">
        <v>44</v>
      </c>
      <c r="T470" s="1" t="s">
        <v>45</v>
      </c>
      <c r="U470" s="1">
        <v>4.82073156E8</v>
      </c>
      <c r="W470" s="1" t="s">
        <v>44</v>
      </c>
      <c r="X470" s="1" t="s">
        <v>45</v>
      </c>
      <c r="Y470" s="1">
        <v>4.82073156E8</v>
      </c>
      <c r="Z470" s="1">
        <v>1.21516199E8</v>
      </c>
      <c r="AA470" s="1" t="s">
        <v>380</v>
      </c>
      <c r="AB470" s="1">
        <v>105765.0</v>
      </c>
      <c r="AC470" s="2">
        <v>41548.0</v>
      </c>
      <c r="AD470" s="1">
        <v>1500.0</v>
      </c>
      <c r="AE470" s="1" t="s">
        <v>72</v>
      </c>
      <c r="AF470" s="1" t="s">
        <v>1324</v>
      </c>
      <c r="AG470" s="1" t="s">
        <v>1323</v>
      </c>
      <c r="AH470" s="1">
        <v>10.0</v>
      </c>
      <c r="AI470" s="1">
        <v>2013.0</v>
      </c>
      <c r="AJ470" s="1">
        <v>2014.0</v>
      </c>
      <c r="AK470" s="1" t="s">
        <v>1321</v>
      </c>
    </row>
    <row r="471">
      <c r="A471" s="1" t="s">
        <v>1325</v>
      </c>
      <c r="B471" s="1" t="s">
        <v>1325</v>
      </c>
      <c r="C471" s="1" t="s">
        <v>129</v>
      </c>
      <c r="E471" s="1">
        <v>3.93293408E8</v>
      </c>
      <c r="F471" s="2">
        <v>41548.0</v>
      </c>
      <c r="G471" s="1" t="s">
        <v>1326</v>
      </c>
      <c r="I471" s="1" t="s">
        <v>1326</v>
      </c>
      <c r="L471" s="1" t="s">
        <v>40</v>
      </c>
      <c r="M471" s="1">
        <v>7500.0</v>
      </c>
      <c r="N471" s="1" t="s">
        <v>40</v>
      </c>
      <c r="O471" s="1">
        <v>7.8074923E8</v>
      </c>
      <c r="P471" s="1" t="s">
        <v>419</v>
      </c>
      <c r="R471" s="1" t="s">
        <v>420</v>
      </c>
      <c r="S471" s="1" t="s">
        <v>44</v>
      </c>
      <c r="T471" s="1" t="s">
        <v>45</v>
      </c>
      <c r="U471" s="1">
        <v>4.82082365E8</v>
      </c>
      <c r="W471" s="1" t="s">
        <v>44</v>
      </c>
      <c r="X471" s="1" t="s">
        <v>45</v>
      </c>
      <c r="Y471" s="1">
        <v>4.82082365E8</v>
      </c>
      <c r="AB471" s="1">
        <v>198499.1</v>
      </c>
      <c r="AC471" s="2">
        <v>41548.0</v>
      </c>
      <c r="AD471" s="1">
        <v>7500.0</v>
      </c>
      <c r="AE471" s="1" t="s">
        <v>40</v>
      </c>
      <c r="AF471" s="1" t="s">
        <v>1327</v>
      </c>
      <c r="AG471" s="1" t="s">
        <v>1274</v>
      </c>
      <c r="AH471" s="1">
        <v>11.0</v>
      </c>
      <c r="AI471" s="1">
        <v>2013.0</v>
      </c>
      <c r="AJ471" s="1">
        <v>2014.0</v>
      </c>
      <c r="AK471" s="1" t="s">
        <v>385</v>
      </c>
    </row>
    <row r="472">
      <c r="A472" s="1" t="s">
        <v>1325</v>
      </c>
      <c r="B472" s="1" t="s">
        <v>1325</v>
      </c>
      <c r="C472" s="1" t="s">
        <v>129</v>
      </c>
      <c r="E472" s="1">
        <v>3.93293408E8</v>
      </c>
      <c r="F472" s="2">
        <v>41548.0</v>
      </c>
      <c r="G472" s="1" t="s">
        <v>1326</v>
      </c>
      <c r="I472" s="1" t="s">
        <v>1326</v>
      </c>
      <c r="L472" s="1" t="s">
        <v>40</v>
      </c>
      <c r="M472" s="1">
        <v>7500.0</v>
      </c>
      <c r="N472" s="1" t="s">
        <v>40</v>
      </c>
      <c r="O472" s="1">
        <v>6.9840817E7</v>
      </c>
      <c r="P472" s="1" t="s">
        <v>131</v>
      </c>
      <c r="R472" s="1" t="s">
        <v>132</v>
      </c>
      <c r="S472" s="1" t="s">
        <v>44</v>
      </c>
      <c r="T472" s="1" t="s">
        <v>45</v>
      </c>
      <c r="U472" s="1">
        <v>4.8214261E8</v>
      </c>
      <c r="W472" s="1" t="s">
        <v>44</v>
      </c>
      <c r="X472" s="1" t="s">
        <v>45</v>
      </c>
      <c r="Y472" s="1">
        <v>4.8214261E8</v>
      </c>
      <c r="Z472" s="1">
        <v>6.9840817E7</v>
      </c>
      <c r="AA472" s="1" t="s">
        <v>131</v>
      </c>
      <c r="AB472" s="1">
        <v>457342.0</v>
      </c>
      <c r="AC472" s="2">
        <v>41548.0</v>
      </c>
      <c r="AD472" s="1">
        <v>7500.0</v>
      </c>
      <c r="AE472" s="1" t="s">
        <v>40</v>
      </c>
      <c r="AF472" s="1" t="s">
        <v>1328</v>
      </c>
      <c r="AG472" s="1" t="s">
        <v>1329</v>
      </c>
      <c r="AH472" s="1">
        <v>11.0</v>
      </c>
      <c r="AI472" s="1">
        <v>2013.0</v>
      </c>
      <c r="AJ472" s="1">
        <v>2014.0</v>
      </c>
      <c r="AK472" s="1" t="s">
        <v>385</v>
      </c>
    </row>
    <row r="473">
      <c r="A473" s="1" t="s">
        <v>1325</v>
      </c>
      <c r="B473" s="1" t="s">
        <v>1325</v>
      </c>
      <c r="C473" s="1" t="s">
        <v>129</v>
      </c>
      <c r="E473" s="1">
        <v>3.93293408E8</v>
      </c>
      <c r="F473" s="2">
        <v>41548.0</v>
      </c>
      <c r="G473" s="1" t="s">
        <v>1326</v>
      </c>
      <c r="I473" s="1" t="s">
        <v>1326</v>
      </c>
      <c r="L473" s="1" t="s">
        <v>40</v>
      </c>
      <c r="M473" s="1">
        <v>7500.0</v>
      </c>
      <c r="N473" s="1" t="s">
        <v>40</v>
      </c>
      <c r="O473" s="1">
        <v>2.0830303E7</v>
      </c>
      <c r="P473" s="1" t="s">
        <v>424</v>
      </c>
      <c r="Q473" s="1" t="s">
        <v>425</v>
      </c>
      <c r="R473" s="1" t="s">
        <v>426</v>
      </c>
      <c r="S473" s="1" t="s">
        <v>44</v>
      </c>
      <c r="T473" s="1" t="s">
        <v>45</v>
      </c>
      <c r="U473" s="1">
        <v>4.82012002E8</v>
      </c>
      <c r="W473" s="1" t="s">
        <v>44</v>
      </c>
      <c r="X473" s="1" t="s">
        <v>45</v>
      </c>
      <c r="Y473" s="1">
        <v>4.82012002E8</v>
      </c>
      <c r="Z473" s="1">
        <v>2.0830303E7</v>
      </c>
      <c r="AA473" s="1" t="s">
        <v>424</v>
      </c>
      <c r="AB473" s="1">
        <v>332938.25</v>
      </c>
      <c r="AC473" s="2">
        <v>41548.0</v>
      </c>
      <c r="AD473" s="1">
        <v>7500.0</v>
      </c>
      <c r="AE473" s="1" t="s">
        <v>40</v>
      </c>
      <c r="AF473" s="1" t="s">
        <v>1273</v>
      </c>
      <c r="AG473" s="1" t="s">
        <v>1274</v>
      </c>
      <c r="AH473" s="1">
        <v>11.0</v>
      </c>
      <c r="AI473" s="1">
        <v>2013.0</v>
      </c>
      <c r="AJ473" s="1">
        <v>2014.0</v>
      </c>
      <c r="AK473" s="1" t="s">
        <v>385</v>
      </c>
    </row>
    <row r="474">
      <c r="A474" s="1" t="s">
        <v>1325</v>
      </c>
      <c r="B474" s="1" t="s">
        <v>1325</v>
      </c>
      <c r="C474" s="1" t="s">
        <v>129</v>
      </c>
      <c r="E474" s="1">
        <v>3.93293408E8</v>
      </c>
      <c r="F474" s="2">
        <v>41548.0</v>
      </c>
      <c r="G474" s="1" t="s">
        <v>1326</v>
      </c>
      <c r="I474" s="1" t="s">
        <v>1326</v>
      </c>
      <c r="L474" s="1" t="s">
        <v>40</v>
      </c>
      <c r="M474" s="1">
        <v>7500.0</v>
      </c>
      <c r="N474" s="1" t="s">
        <v>40</v>
      </c>
      <c r="O474" s="1">
        <v>1.93540515E8</v>
      </c>
      <c r="P474" s="1" t="s">
        <v>1022</v>
      </c>
      <c r="Q474" s="1" t="s">
        <v>1330</v>
      </c>
      <c r="R474" s="1" t="s">
        <v>1023</v>
      </c>
      <c r="S474" s="1" t="s">
        <v>44</v>
      </c>
      <c r="T474" s="1" t="s">
        <v>45</v>
      </c>
      <c r="U474" s="1">
        <v>4.82193653E8</v>
      </c>
      <c r="W474" s="1" t="s">
        <v>44</v>
      </c>
      <c r="X474" s="1" t="s">
        <v>45</v>
      </c>
      <c r="Y474" s="1">
        <v>4.82193165E8</v>
      </c>
      <c r="Z474" s="1">
        <v>1.93540515E8</v>
      </c>
      <c r="AA474" s="1" t="s">
        <v>1022</v>
      </c>
      <c r="AB474" s="1">
        <v>249761.0</v>
      </c>
      <c r="AC474" s="2">
        <v>41548.0</v>
      </c>
      <c r="AD474" s="1">
        <v>7500.0</v>
      </c>
      <c r="AE474" s="1" t="s">
        <v>40</v>
      </c>
      <c r="AF474" s="1" t="s">
        <v>1331</v>
      </c>
      <c r="AG474" s="1" t="s">
        <v>1332</v>
      </c>
      <c r="AH474" s="1">
        <v>11.0</v>
      </c>
      <c r="AI474" s="1">
        <v>2013.0</v>
      </c>
      <c r="AJ474" s="1">
        <v>2014.0</v>
      </c>
      <c r="AK474" s="1" t="s">
        <v>385</v>
      </c>
    </row>
    <row r="475">
      <c r="A475" s="1" t="s">
        <v>1325</v>
      </c>
      <c r="B475" s="1" t="s">
        <v>1325</v>
      </c>
      <c r="C475" s="1" t="s">
        <v>129</v>
      </c>
      <c r="E475" s="1">
        <v>3.93293408E8</v>
      </c>
      <c r="F475" s="2">
        <v>41548.0</v>
      </c>
      <c r="G475" s="1" t="s">
        <v>1326</v>
      </c>
      <c r="I475" s="1" t="s">
        <v>1326</v>
      </c>
      <c r="L475" s="1" t="s">
        <v>40</v>
      </c>
      <c r="M475" s="1">
        <v>7500.0</v>
      </c>
      <c r="N475" s="1" t="s">
        <v>40</v>
      </c>
      <c r="O475" s="1">
        <v>1.95614664E8</v>
      </c>
      <c r="P475" s="1" t="s">
        <v>1333</v>
      </c>
      <c r="R475" s="1" t="s">
        <v>1334</v>
      </c>
      <c r="S475" s="1" t="s">
        <v>44</v>
      </c>
      <c r="T475" s="1" t="s">
        <v>45</v>
      </c>
      <c r="U475" s="1">
        <v>4.82023133E8</v>
      </c>
      <c r="W475" s="1" t="s">
        <v>44</v>
      </c>
      <c r="X475" s="1" t="s">
        <v>45</v>
      </c>
      <c r="Y475" s="1">
        <v>4.82023133E8</v>
      </c>
      <c r="Z475" s="1">
        <v>1.95614664E8</v>
      </c>
      <c r="AA475" s="1" t="s">
        <v>1333</v>
      </c>
      <c r="AB475" s="1">
        <v>807364.0</v>
      </c>
      <c r="AC475" s="2">
        <v>41548.0</v>
      </c>
      <c r="AD475" s="1">
        <v>7500.0</v>
      </c>
      <c r="AE475" s="1" t="s">
        <v>40</v>
      </c>
      <c r="AF475" s="1" t="s">
        <v>1335</v>
      </c>
      <c r="AG475" s="1" t="s">
        <v>1329</v>
      </c>
      <c r="AH475" s="1">
        <v>11.0</v>
      </c>
      <c r="AI475" s="1">
        <v>2013.0</v>
      </c>
      <c r="AJ475" s="1">
        <v>2014.0</v>
      </c>
      <c r="AK475" s="1" t="s">
        <v>385</v>
      </c>
    </row>
    <row r="476">
      <c r="A476" s="1" t="s">
        <v>1325</v>
      </c>
      <c r="B476" s="1" t="s">
        <v>1325</v>
      </c>
      <c r="C476" s="1" t="s">
        <v>129</v>
      </c>
      <c r="E476" s="1">
        <v>3.93293408E8</v>
      </c>
      <c r="F476" s="2">
        <v>41548.0</v>
      </c>
      <c r="G476" s="1" t="s">
        <v>1326</v>
      </c>
      <c r="I476" s="1" t="s">
        <v>1326</v>
      </c>
      <c r="L476" s="1" t="s">
        <v>40</v>
      </c>
      <c r="M476" s="1">
        <v>7500.0</v>
      </c>
      <c r="N476" s="1" t="s">
        <v>40</v>
      </c>
      <c r="O476" s="1">
        <v>6.9840817E7</v>
      </c>
      <c r="P476" s="1" t="s">
        <v>131</v>
      </c>
      <c r="R476" s="1" t="s">
        <v>132</v>
      </c>
      <c r="S476" s="1" t="s">
        <v>44</v>
      </c>
      <c r="T476" s="1" t="s">
        <v>45</v>
      </c>
      <c r="U476" s="1">
        <v>4.8214261E8</v>
      </c>
      <c r="W476" s="1" t="s">
        <v>46</v>
      </c>
      <c r="X476" s="1" t="s">
        <v>45</v>
      </c>
      <c r="Y476" s="1">
        <v>4.8214261E8</v>
      </c>
      <c r="Z476" s="1">
        <v>6.9840817E7</v>
      </c>
      <c r="AA476" s="1" t="s">
        <v>131</v>
      </c>
      <c r="AB476" s="1">
        <v>456590.0</v>
      </c>
      <c r="AC476" s="2">
        <v>41548.0</v>
      </c>
      <c r="AD476" s="1">
        <v>7500.0</v>
      </c>
      <c r="AE476" s="1" t="s">
        <v>40</v>
      </c>
      <c r="AF476" s="1" t="s">
        <v>1336</v>
      </c>
      <c r="AG476" s="1" t="s">
        <v>1329</v>
      </c>
      <c r="AH476" s="1">
        <v>11.0</v>
      </c>
      <c r="AI476" s="1">
        <v>2013.0</v>
      </c>
      <c r="AJ476" s="1">
        <v>2014.0</v>
      </c>
      <c r="AK476" s="1" t="s">
        <v>385</v>
      </c>
    </row>
    <row r="477">
      <c r="A477" s="1" t="s">
        <v>1325</v>
      </c>
      <c r="B477" s="1" t="s">
        <v>1325</v>
      </c>
      <c r="C477" s="1" t="s">
        <v>129</v>
      </c>
      <c r="E477" s="1">
        <v>3.93293408E8</v>
      </c>
      <c r="F477" s="2">
        <v>41548.0</v>
      </c>
      <c r="G477" s="1" t="s">
        <v>1326</v>
      </c>
      <c r="I477" s="1" t="s">
        <v>1326</v>
      </c>
      <c r="L477" s="1" t="s">
        <v>40</v>
      </c>
      <c r="M477" s="1">
        <v>7500.0</v>
      </c>
      <c r="N477" s="1" t="s">
        <v>40</v>
      </c>
      <c r="O477" s="1">
        <v>1.21516199E8</v>
      </c>
      <c r="P477" s="1" t="s">
        <v>380</v>
      </c>
      <c r="Q477" s="1" t="s">
        <v>381</v>
      </c>
      <c r="R477" s="1" t="s">
        <v>382</v>
      </c>
      <c r="S477" s="1" t="s">
        <v>44</v>
      </c>
      <c r="T477" s="1" t="s">
        <v>45</v>
      </c>
      <c r="U477" s="1">
        <v>4.82073156E8</v>
      </c>
      <c r="W477" s="1" t="s">
        <v>44</v>
      </c>
      <c r="X477" s="1" t="s">
        <v>45</v>
      </c>
      <c r="Y477" s="1">
        <v>4.82073127E8</v>
      </c>
      <c r="Z477" s="1">
        <v>1.21516199E8</v>
      </c>
      <c r="AA477" s="1" t="s">
        <v>380</v>
      </c>
      <c r="AB477" s="1">
        <v>233094.58</v>
      </c>
      <c r="AC477" s="2">
        <v>41548.0</v>
      </c>
      <c r="AD477" s="1">
        <v>7500.0</v>
      </c>
      <c r="AE477" s="1" t="s">
        <v>40</v>
      </c>
      <c r="AF477" s="1" t="s">
        <v>1309</v>
      </c>
      <c r="AG477" s="1" t="s">
        <v>1310</v>
      </c>
      <c r="AH477" s="1">
        <v>11.0</v>
      </c>
      <c r="AI477" s="1">
        <v>2013.0</v>
      </c>
      <c r="AJ477" s="1">
        <v>2014.0</v>
      </c>
      <c r="AK477" s="1" t="s">
        <v>385</v>
      </c>
    </row>
    <row r="478">
      <c r="A478" s="1" t="s">
        <v>1337</v>
      </c>
      <c r="B478" s="1" t="s">
        <v>1337</v>
      </c>
      <c r="C478" s="1" t="s">
        <v>1281</v>
      </c>
      <c r="E478" s="1">
        <v>262500.0</v>
      </c>
      <c r="F478" s="2">
        <v>41609.0</v>
      </c>
      <c r="G478" s="1" t="s">
        <v>1338</v>
      </c>
      <c r="I478" s="1" t="s">
        <v>1338</v>
      </c>
      <c r="L478" s="1" t="s">
        <v>1281</v>
      </c>
      <c r="M478" s="1">
        <v>9577.0</v>
      </c>
      <c r="N478" s="1" t="s">
        <v>1281</v>
      </c>
      <c r="O478" s="1">
        <v>8.59555054E8</v>
      </c>
      <c r="P478" s="1" t="s">
        <v>1339</v>
      </c>
      <c r="Q478" s="1" t="s">
        <v>1340</v>
      </c>
      <c r="R478" s="1" t="s">
        <v>1341</v>
      </c>
      <c r="S478" s="1" t="s">
        <v>44</v>
      </c>
      <c r="T478" s="1" t="s">
        <v>45</v>
      </c>
      <c r="U478" s="1">
        <v>4.82261656E8</v>
      </c>
      <c r="W478" s="1" t="s">
        <v>44</v>
      </c>
      <c r="X478" s="1" t="s">
        <v>45</v>
      </c>
      <c r="Y478" s="1">
        <v>4.82241506E8</v>
      </c>
      <c r="AB478" s="1">
        <v>55000.0</v>
      </c>
      <c r="AC478" s="2">
        <v>41609.0</v>
      </c>
      <c r="AD478" s="1">
        <v>9577.0</v>
      </c>
      <c r="AE478" s="1" t="s">
        <v>1281</v>
      </c>
      <c r="AF478" s="1" t="s">
        <v>1342</v>
      </c>
      <c r="AG478" s="1" t="s">
        <v>1343</v>
      </c>
      <c r="AH478" s="1">
        <v>12.0</v>
      </c>
      <c r="AI478" s="1">
        <v>2013.0</v>
      </c>
      <c r="AJ478" s="1">
        <v>2014.0</v>
      </c>
      <c r="AK478" s="1" t="s">
        <v>1344</v>
      </c>
    </row>
    <row r="479">
      <c r="A479" s="1" t="s">
        <v>1345</v>
      </c>
      <c r="B479" s="1" t="s">
        <v>1345</v>
      </c>
      <c r="C479" s="1" t="s">
        <v>159</v>
      </c>
      <c r="E479" s="1">
        <v>3893069.0</v>
      </c>
      <c r="F479" s="2">
        <v>41522.0</v>
      </c>
      <c r="G479" s="1" t="s">
        <v>1346</v>
      </c>
      <c r="I479" s="1" t="s">
        <v>1346</v>
      </c>
      <c r="L479" s="1" t="s">
        <v>40</v>
      </c>
      <c r="M479" s="1">
        <v>7500.0</v>
      </c>
      <c r="N479" s="1" t="s">
        <v>40</v>
      </c>
      <c r="O479" s="1">
        <v>1962224.0</v>
      </c>
      <c r="P479" s="1" t="s">
        <v>52</v>
      </c>
      <c r="R479" s="1" t="s">
        <v>53</v>
      </c>
      <c r="S479" s="1" t="s">
        <v>44</v>
      </c>
      <c r="T479" s="1" t="s">
        <v>45</v>
      </c>
      <c r="U479" s="1">
        <v>4.82023692E8</v>
      </c>
      <c r="W479" s="1" t="s">
        <v>46</v>
      </c>
      <c r="X479" s="1" t="s">
        <v>45</v>
      </c>
      <c r="Y479" s="1">
        <v>4.8202405E8</v>
      </c>
      <c r="Z479" s="1">
        <v>1962224.0</v>
      </c>
      <c r="AA479" s="1" t="s">
        <v>52</v>
      </c>
      <c r="AB479" s="1">
        <v>136923.0</v>
      </c>
      <c r="AC479" s="2">
        <v>41522.0</v>
      </c>
      <c r="AD479" s="1">
        <v>7500.0</v>
      </c>
      <c r="AE479" s="1" t="s">
        <v>40</v>
      </c>
      <c r="AF479" s="1">
        <v>3.002120343E9</v>
      </c>
      <c r="AG479" s="1" t="s">
        <v>1347</v>
      </c>
      <c r="AH479" s="1">
        <v>9.0</v>
      </c>
      <c r="AI479" s="1">
        <v>2013.0</v>
      </c>
      <c r="AJ479" s="1">
        <v>2013.0</v>
      </c>
      <c r="AK479" s="1" t="s">
        <v>1348</v>
      </c>
    </row>
    <row r="480">
      <c r="A480" s="1" t="s">
        <v>1349</v>
      </c>
      <c r="B480" s="1" t="s">
        <v>1349</v>
      </c>
      <c r="C480" s="1" t="s">
        <v>389</v>
      </c>
      <c r="E480" s="1">
        <v>2.8721584E7</v>
      </c>
      <c r="F480" s="2">
        <v>41466.0</v>
      </c>
      <c r="G480" s="1" t="s">
        <v>397</v>
      </c>
      <c r="I480" s="1" t="s">
        <v>397</v>
      </c>
      <c r="L480" s="1" t="s">
        <v>391</v>
      </c>
      <c r="M480" s="1">
        <v>1600.0</v>
      </c>
      <c r="N480" s="1" t="s">
        <v>391</v>
      </c>
      <c r="O480" s="1">
        <v>9.68755756E8</v>
      </c>
      <c r="P480" s="1" t="s">
        <v>1350</v>
      </c>
      <c r="R480" s="1" t="s">
        <v>1351</v>
      </c>
      <c r="S480" s="1" t="s">
        <v>44</v>
      </c>
      <c r="T480" s="1" t="s">
        <v>45</v>
      </c>
      <c r="U480" s="1">
        <v>4.82022943E8</v>
      </c>
      <c r="W480" s="1" t="s">
        <v>46</v>
      </c>
      <c r="X480" s="1" t="s">
        <v>45</v>
      </c>
      <c r="Y480" s="1">
        <v>4.82022943E8</v>
      </c>
      <c r="AB480" s="1">
        <v>337211.0</v>
      </c>
      <c r="AC480" s="2">
        <v>41466.0</v>
      </c>
      <c r="AD480" s="1">
        <v>1600.0</v>
      </c>
      <c r="AE480" s="1" t="s">
        <v>391</v>
      </c>
      <c r="AF480" s="1" t="s">
        <v>1352</v>
      </c>
      <c r="AG480" s="1" t="s">
        <v>1353</v>
      </c>
      <c r="AH480" s="1">
        <v>2.0</v>
      </c>
      <c r="AI480" s="1">
        <v>2014.0</v>
      </c>
      <c r="AJ480" s="1">
        <v>2013.0</v>
      </c>
      <c r="AK480" s="1" t="s">
        <v>1354</v>
      </c>
    </row>
    <row r="481">
      <c r="A481" s="1" t="s">
        <v>1355</v>
      </c>
      <c r="B481" s="1" t="s">
        <v>1355</v>
      </c>
      <c r="C481" s="1" t="s">
        <v>129</v>
      </c>
      <c r="E481" s="1">
        <v>5.0849296E7</v>
      </c>
      <c r="F481" s="2">
        <v>41276.0</v>
      </c>
      <c r="G481" s="1" t="s">
        <v>1356</v>
      </c>
      <c r="I481" s="1" t="s">
        <v>1356</v>
      </c>
      <c r="L481" s="1" t="s">
        <v>40</v>
      </c>
      <c r="M481" s="1">
        <v>7500.0</v>
      </c>
      <c r="N481" s="1" t="s">
        <v>40</v>
      </c>
      <c r="O481" s="1">
        <v>7.8074923E8</v>
      </c>
      <c r="P481" s="1" t="s">
        <v>419</v>
      </c>
      <c r="R481" s="1" t="s">
        <v>420</v>
      </c>
      <c r="S481" s="1" t="s">
        <v>44</v>
      </c>
      <c r="T481" s="1" t="s">
        <v>45</v>
      </c>
      <c r="U481" s="1">
        <v>4.82082365E8</v>
      </c>
      <c r="W481" s="1" t="s">
        <v>46</v>
      </c>
      <c r="X481" s="1" t="s">
        <v>45</v>
      </c>
      <c r="Y481" s="1">
        <v>4.82082365E8</v>
      </c>
      <c r="AB481" s="1">
        <v>37178.0</v>
      </c>
      <c r="AC481" s="2">
        <v>41276.0</v>
      </c>
      <c r="AD481" s="1">
        <v>7500.0</v>
      </c>
      <c r="AE481" s="1" t="s">
        <v>40</v>
      </c>
      <c r="AF481" s="1" t="s">
        <v>422</v>
      </c>
      <c r="AG481" s="1" t="s">
        <v>428</v>
      </c>
      <c r="AH481" s="1">
        <v>1.0</v>
      </c>
      <c r="AI481" s="1">
        <v>2013.0</v>
      </c>
      <c r="AJ481" s="1">
        <v>2013.0</v>
      </c>
      <c r="AK481" s="1" t="s">
        <v>1275</v>
      </c>
    </row>
    <row r="482">
      <c r="A482" s="1" t="s">
        <v>1355</v>
      </c>
      <c r="B482" s="1" t="s">
        <v>1355</v>
      </c>
      <c r="C482" s="1" t="s">
        <v>129</v>
      </c>
      <c r="E482" s="1">
        <v>5.0849296E7</v>
      </c>
      <c r="F482" s="2">
        <v>41276.0</v>
      </c>
      <c r="G482" s="1" t="s">
        <v>1356</v>
      </c>
      <c r="I482" s="1" t="s">
        <v>1356</v>
      </c>
      <c r="L482" s="1" t="s">
        <v>40</v>
      </c>
      <c r="M482" s="1">
        <v>7500.0</v>
      </c>
      <c r="N482" s="1" t="s">
        <v>40</v>
      </c>
      <c r="O482" s="1">
        <v>7.8074923E8</v>
      </c>
      <c r="P482" s="1" t="s">
        <v>419</v>
      </c>
      <c r="R482" s="1" t="s">
        <v>420</v>
      </c>
      <c r="S482" s="1" t="s">
        <v>44</v>
      </c>
      <c r="T482" s="1" t="s">
        <v>45</v>
      </c>
      <c r="U482" s="1">
        <v>4.82082365E8</v>
      </c>
      <c r="W482" s="1" t="s">
        <v>46</v>
      </c>
      <c r="X482" s="1" t="s">
        <v>45</v>
      </c>
      <c r="Y482" s="1">
        <v>4.82082365E8</v>
      </c>
      <c r="AB482" s="1">
        <v>225350.43</v>
      </c>
      <c r="AC482" s="2">
        <v>41276.0</v>
      </c>
      <c r="AD482" s="1">
        <v>7500.0</v>
      </c>
      <c r="AE482" s="1" t="s">
        <v>40</v>
      </c>
      <c r="AF482" s="1" t="s">
        <v>449</v>
      </c>
      <c r="AG482" s="1" t="s">
        <v>450</v>
      </c>
      <c r="AH482" s="1">
        <v>1.0</v>
      </c>
      <c r="AI482" s="1">
        <v>2013.0</v>
      </c>
      <c r="AJ482" s="1">
        <v>2013.0</v>
      </c>
      <c r="AK482" s="1" t="s">
        <v>1275</v>
      </c>
    </row>
    <row r="483">
      <c r="A483" s="1" t="s">
        <v>1355</v>
      </c>
      <c r="B483" s="1" t="s">
        <v>1355</v>
      </c>
      <c r="C483" s="1" t="s">
        <v>129</v>
      </c>
      <c r="E483" s="1">
        <v>5.0849296E7</v>
      </c>
      <c r="F483" s="2">
        <v>41276.0</v>
      </c>
      <c r="G483" s="1" t="s">
        <v>1356</v>
      </c>
      <c r="I483" s="1" t="s">
        <v>1356</v>
      </c>
      <c r="L483" s="1" t="s">
        <v>40</v>
      </c>
      <c r="M483" s="1">
        <v>7500.0</v>
      </c>
      <c r="N483" s="1" t="s">
        <v>40</v>
      </c>
      <c r="O483" s="1">
        <v>2.0830303E7</v>
      </c>
      <c r="P483" s="1" t="s">
        <v>424</v>
      </c>
      <c r="Q483" s="1" t="s">
        <v>425</v>
      </c>
      <c r="R483" s="1" t="s">
        <v>426</v>
      </c>
      <c r="S483" s="1" t="s">
        <v>44</v>
      </c>
      <c r="T483" s="1" t="s">
        <v>45</v>
      </c>
      <c r="U483" s="1">
        <v>4.82012002E8</v>
      </c>
      <c r="W483" s="1" t="s">
        <v>46</v>
      </c>
      <c r="X483" s="1" t="s">
        <v>45</v>
      </c>
      <c r="Y483" s="1">
        <v>4.82012002E8</v>
      </c>
      <c r="Z483" s="1">
        <v>2.0830303E7</v>
      </c>
      <c r="AA483" s="1" t="s">
        <v>424</v>
      </c>
      <c r="AB483" s="1">
        <v>32759.0</v>
      </c>
      <c r="AC483" s="2">
        <v>41276.0</v>
      </c>
      <c r="AD483" s="1">
        <v>7500.0</v>
      </c>
      <c r="AE483" s="1" t="s">
        <v>40</v>
      </c>
      <c r="AF483" s="1" t="s">
        <v>427</v>
      </c>
      <c r="AG483" s="1" t="s">
        <v>428</v>
      </c>
      <c r="AH483" s="1">
        <v>1.0</v>
      </c>
      <c r="AI483" s="1">
        <v>2013.0</v>
      </c>
      <c r="AJ483" s="1">
        <v>2013.0</v>
      </c>
      <c r="AK483" s="1" t="s">
        <v>1275</v>
      </c>
    </row>
    <row r="484">
      <c r="A484" s="1" t="s">
        <v>1355</v>
      </c>
      <c r="B484" s="1" t="s">
        <v>1355</v>
      </c>
      <c r="C484" s="1" t="s">
        <v>129</v>
      </c>
      <c r="E484" s="1">
        <v>5.0849296E7</v>
      </c>
      <c r="F484" s="2">
        <v>41276.0</v>
      </c>
      <c r="G484" s="1" t="s">
        <v>1356</v>
      </c>
      <c r="I484" s="1" t="s">
        <v>1356</v>
      </c>
      <c r="L484" s="1" t="s">
        <v>40</v>
      </c>
      <c r="M484" s="1">
        <v>7500.0</v>
      </c>
      <c r="N484" s="1" t="s">
        <v>40</v>
      </c>
      <c r="O484" s="1">
        <v>2.0830303E7</v>
      </c>
      <c r="P484" s="1" t="s">
        <v>424</v>
      </c>
      <c r="Q484" s="1" t="s">
        <v>425</v>
      </c>
      <c r="R484" s="1" t="s">
        <v>426</v>
      </c>
      <c r="S484" s="1" t="s">
        <v>44</v>
      </c>
      <c r="T484" s="1" t="s">
        <v>45</v>
      </c>
      <c r="U484" s="1">
        <v>4.82012002E8</v>
      </c>
      <c r="W484" s="1" t="s">
        <v>46</v>
      </c>
      <c r="X484" s="1" t="s">
        <v>45</v>
      </c>
      <c r="Y484" s="1">
        <v>4.82012002E8</v>
      </c>
      <c r="Z484" s="1">
        <v>2.0830303E7</v>
      </c>
      <c r="AA484" s="1" t="s">
        <v>424</v>
      </c>
      <c r="AB484" s="1">
        <v>173452.83</v>
      </c>
      <c r="AC484" s="2">
        <v>41276.0</v>
      </c>
      <c r="AD484" s="1">
        <v>7500.0</v>
      </c>
      <c r="AE484" s="1" t="s">
        <v>40</v>
      </c>
      <c r="AF484" s="1" t="s">
        <v>456</v>
      </c>
      <c r="AG484" s="1" t="s">
        <v>450</v>
      </c>
      <c r="AH484" s="1">
        <v>1.0</v>
      </c>
      <c r="AI484" s="1">
        <v>2013.0</v>
      </c>
      <c r="AJ484" s="1">
        <v>2013.0</v>
      </c>
      <c r="AK484" s="1" t="s">
        <v>1275</v>
      </c>
    </row>
    <row r="485">
      <c r="A485" s="1" t="s">
        <v>1357</v>
      </c>
      <c r="B485" s="1" t="s">
        <v>1357</v>
      </c>
      <c r="C485" s="1" t="s">
        <v>85</v>
      </c>
      <c r="E485" s="1">
        <v>5.4410712E7</v>
      </c>
      <c r="F485" s="2">
        <v>41183.0</v>
      </c>
      <c r="G485" s="1" t="s">
        <v>1358</v>
      </c>
      <c r="I485" s="1" t="s">
        <v>1358</v>
      </c>
      <c r="L485" s="1" t="s">
        <v>40</v>
      </c>
      <c r="M485" s="1">
        <v>7500.0</v>
      </c>
      <c r="N485" s="1" t="s">
        <v>40</v>
      </c>
      <c r="O485" s="1">
        <v>7.8583404E7</v>
      </c>
      <c r="P485" s="1" t="s">
        <v>65</v>
      </c>
      <c r="R485" s="1" t="s">
        <v>66</v>
      </c>
      <c r="S485" s="1" t="s">
        <v>44</v>
      </c>
      <c r="T485" s="1" t="s">
        <v>45</v>
      </c>
      <c r="U485" s="1">
        <v>4.82021732E8</v>
      </c>
      <c r="W485" s="1" t="s">
        <v>46</v>
      </c>
      <c r="X485" s="1" t="s">
        <v>45</v>
      </c>
      <c r="Y485" s="1">
        <v>4.82021732E8</v>
      </c>
      <c r="AB485" s="1">
        <v>1.0289342E7</v>
      </c>
      <c r="AC485" s="2">
        <v>41183.0</v>
      </c>
      <c r="AD485" s="1">
        <v>7500.0</v>
      </c>
      <c r="AE485" s="1" t="s">
        <v>40</v>
      </c>
      <c r="AF485" s="1">
        <v>2.0130787E7</v>
      </c>
      <c r="AG485" s="1" t="s">
        <v>1359</v>
      </c>
      <c r="AH485" s="1">
        <v>10.0</v>
      </c>
      <c r="AI485" s="1">
        <v>2012.0</v>
      </c>
      <c r="AJ485" s="1">
        <v>2013.0</v>
      </c>
      <c r="AK485" s="1" t="s">
        <v>1360</v>
      </c>
    </row>
    <row r="486">
      <c r="A486" s="1" t="s">
        <v>1361</v>
      </c>
      <c r="B486" s="1" t="s">
        <v>1361</v>
      </c>
      <c r="C486" s="1" t="s">
        <v>100</v>
      </c>
      <c r="E486" s="1">
        <v>1000500.0</v>
      </c>
      <c r="F486" s="2">
        <v>41183.0</v>
      </c>
      <c r="G486" s="1" t="s">
        <v>1362</v>
      </c>
      <c r="I486" s="1" t="s">
        <v>1362</v>
      </c>
      <c r="L486" s="1" t="s">
        <v>102</v>
      </c>
      <c r="M486" s="1">
        <v>8600.0</v>
      </c>
      <c r="N486" s="1" t="s">
        <v>102</v>
      </c>
      <c r="O486" s="1">
        <v>4.3419399E7</v>
      </c>
      <c r="P486" s="1" t="s">
        <v>979</v>
      </c>
      <c r="R486" s="1" t="s">
        <v>980</v>
      </c>
      <c r="S486" s="1" t="s">
        <v>44</v>
      </c>
      <c r="T486" s="1" t="s">
        <v>45</v>
      </c>
      <c r="U486" s="1">
        <v>4.82261412E8</v>
      </c>
      <c r="W486" s="1" t="s">
        <v>46</v>
      </c>
      <c r="X486" s="1" t="s">
        <v>45</v>
      </c>
      <c r="Y486" s="1">
        <v>4.82261412E8</v>
      </c>
      <c r="Z486" s="1">
        <v>4.3419399E7</v>
      </c>
      <c r="AA486" s="1" t="s">
        <v>979</v>
      </c>
      <c r="AB486" s="1">
        <v>200100.0</v>
      </c>
      <c r="AC486" s="2">
        <v>41183.0</v>
      </c>
      <c r="AD486" s="1">
        <v>8600.0</v>
      </c>
      <c r="AE486" s="1" t="s">
        <v>102</v>
      </c>
      <c r="AF486" s="1">
        <v>2.0131022E7</v>
      </c>
      <c r="AG486" s="1" t="s">
        <v>1363</v>
      </c>
      <c r="AH486" s="1">
        <v>10.0</v>
      </c>
      <c r="AI486" s="1">
        <v>2012.0</v>
      </c>
      <c r="AJ486" s="1">
        <v>2013.0</v>
      </c>
      <c r="AK486" s="1" t="s">
        <v>108</v>
      </c>
    </row>
    <row r="487">
      <c r="A487" s="1" t="s">
        <v>1364</v>
      </c>
      <c r="B487" s="1" t="s">
        <v>1364</v>
      </c>
      <c r="C487" s="1" t="s">
        <v>38</v>
      </c>
      <c r="E487" s="1">
        <v>418830.0</v>
      </c>
      <c r="F487" s="2">
        <v>41585.0</v>
      </c>
      <c r="G487" s="1" t="s">
        <v>1365</v>
      </c>
      <c r="I487" s="1" t="s">
        <v>1365</v>
      </c>
      <c r="L487" s="1" t="s">
        <v>40</v>
      </c>
      <c r="M487" s="1">
        <v>7500.0</v>
      </c>
      <c r="N487" s="1" t="s">
        <v>40</v>
      </c>
      <c r="O487" s="1">
        <v>1962224.0</v>
      </c>
      <c r="P487" s="1" t="s">
        <v>52</v>
      </c>
      <c r="R487" s="1" t="s">
        <v>53</v>
      </c>
      <c r="S487" s="1" t="s">
        <v>44</v>
      </c>
      <c r="T487" s="1" t="s">
        <v>45</v>
      </c>
      <c r="U487" s="1">
        <v>4.82023692E8</v>
      </c>
      <c r="W487" s="1" t="s">
        <v>1366</v>
      </c>
      <c r="X487" s="1" t="s">
        <v>45</v>
      </c>
      <c r="Y487" s="1">
        <v>4.8202405E8</v>
      </c>
      <c r="Z487" s="1">
        <v>1962224.0</v>
      </c>
      <c r="AA487" s="1" t="s">
        <v>52</v>
      </c>
      <c r="AB487" s="1">
        <v>117106.0</v>
      </c>
      <c r="AC487" s="2">
        <v>41585.0</v>
      </c>
      <c r="AD487" s="1">
        <v>7500.0</v>
      </c>
      <c r="AE487" s="1" t="s">
        <v>40</v>
      </c>
      <c r="AF487" s="1" t="s">
        <v>1367</v>
      </c>
      <c r="AG487" s="1" t="s">
        <v>1368</v>
      </c>
      <c r="AH487" s="1">
        <v>12.0</v>
      </c>
      <c r="AI487" s="1">
        <v>2013.0</v>
      </c>
      <c r="AJ487" s="1">
        <v>2014.0</v>
      </c>
      <c r="AK487" s="1" t="s">
        <v>338</v>
      </c>
    </row>
    <row r="488">
      <c r="A488" s="1" t="s">
        <v>1369</v>
      </c>
      <c r="B488" s="1" t="s">
        <v>1369</v>
      </c>
      <c r="C488" s="1" t="s">
        <v>38</v>
      </c>
      <c r="E488" s="1">
        <v>1582052.0</v>
      </c>
      <c r="F488" s="2">
        <v>41614.0</v>
      </c>
      <c r="G488" s="1" t="s">
        <v>1370</v>
      </c>
      <c r="I488" s="1" t="s">
        <v>1370</v>
      </c>
      <c r="L488" s="1" t="s">
        <v>40</v>
      </c>
      <c r="M488" s="1">
        <v>7500.0</v>
      </c>
      <c r="N488" s="1" t="s">
        <v>40</v>
      </c>
      <c r="O488" s="1">
        <v>1962224.0</v>
      </c>
      <c r="P488" s="1" t="s">
        <v>52</v>
      </c>
      <c r="R488" s="1" t="s">
        <v>53</v>
      </c>
      <c r="S488" s="1" t="s">
        <v>44</v>
      </c>
      <c r="T488" s="1" t="s">
        <v>45</v>
      </c>
      <c r="U488" s="1">
        <v>4.82023692E8</v>
      </c>
      <c r="W488" s="1" t="s">
        <v>46</v>
      </c>
      <c r="X488" s="1" t="s">
        <v>45</v>
      </c>
      <c r="Y488" s="1">
        <v>4.8202405E8</v>
      </c>
      <c r="Z488" s="1">
        <v>1962224.0</v>
      </c>
      <c r="AA488" s="1" t="s">
        <v>52</v>
      </c>
      <c r="AB488" s="1">
        <v>30609.0</v>
      </c>
      <c r="AC488" s="2">
        <v>41614.0</v>
      </c>
      <c r="AD488" s="1">
        <v>7500.0</v>
      </c>
      <c r="AE488" s="1" t="s">
        <v>40</v>
      </c>
      <c r="AF488" s="1" t="s">
        <v>1371</v>
      </c>
      <c r="AG488" s="1" t="s">
        <v>1372</v>
      </c>
      <c r="AH488" s="1">
        <v>12.0</v>
      </c>
      <c r="AI488" s="1">
        <v>2013.0</v>
      </c>
      <c r="AJ488" s="1">
        <v>2014.0</v>
      </c>
      <c r="AK488" s="1" t="s">
        <v>973</v>
      </c>
    </row>
    <row r="489">
      <c r="A489" s="1" t="s">
        <v>1373</v>
      </c>
      <c r="B489" s="1" t="s">
        <v>1373</v>
      </c>
      <c r="C489" s="1" t="s">
        <v>38</v>
      </c>
      <c r="E489" s="1">
        <v>2209384.0</v>
      </c>
      <c r="F489" s="2">
        <v>41605.0</v>
      </c>
      <c r="G489" s="1" t="s">
        <v>1374</v>
      </c>
      <c r="I489" s="1" t="s">
        <v>1374</v>
      </c>
      <c r="L489" s="1" t="s">
        <v>40</v>
      </c>
      <c r="M489" s="1">
        <v>7500.0</v>
      </c>
      <c r="N489" s="1" t="s">
        <v>40</v>
      </c>
      <c r="O489" s="1">
        <v>1962224.0</v>
      </c>
      <c r="P489" s="1" t="s">
        <v>52</v>
      </c>
      <c r="R489" s="1" t="s">
        <v>53</v>
      </c>
      <c r="S489" s="1" t="s">
        <v>44</v>
      </c>
      <c r="T489" s="1" t="s">
        <v>45</v>
      </c>
      <c r="U489" s="1">
        <v>4.82023692E8</v>
      </c>
      <c r="W489" s="1" t="s">
        <v>46</v>
      </c>
      <c r="X489" s="1" t="s">
        <v>45</v>
      </c>
      <c r="Y489" s="1">
        <v>4.82012153E8</v>
      </c>
      <c r="Z489" s="1">
        <v>1962224.0</v>
      </c>
      <c r="AA489" s="1" t="s">
        <v>52</v>
      </c>
      <c r="AB489" s="1">
        <v>137806.0</v>
      </c>
      <c r="AC489" s="2">
        <v>41605.0</v>
      </c>
      <c r="AD489" s="1">
        <v>7500.0</v>
      </c>
      <c r="AE489" s="1" t="s">
        <v>40</v>
      </c>
      <c r="AF489" s="1">
        <v>532256.0</v>
      </c>
      <c r="AG489" s="1" t="s">
        <v>1375</v>
      </c>
      <c r="AH489" s="1">
        <v>11.0</v>
      </c>
      <c r="AI489" s="1">
        <v>2013.0</v>
      </c>
      <c r="AJ489" s="1">
        <v>2014.0</v>
      </c>
      <c r="AK489" s="1" t="s">
        <v>372</v>
      </c>
    </row>
    <row r="490">
      <c r="A490" s="1">
        <v>1120923.0</v>
      </c>
      <c r="B490" s="1">
        <v>1120923.0</v>
      </c>
      <c r="C490" s="1" t="s">
        <v>109</v>
      </c>
      <c r="E490" s="1">
        <v>9645000.0</v>
      </c>
      <c r="F490" s="2">
        <v>41533.0</v>
      </c>
      <c r="G490" s="1" t="s">
        <v>1376</v>
      </c>
      <c r="I490" s="1" t="s">
        <v>1376</v>
      </c>
      <c r="L490" s="1" t="s">
        <v>109</v>
      </c>
      <c r="M490" s="1">
        <v>4900.0</v>
      </c>
      <c r="N490" s="1" t="s">
        <v>109</v>
      </c>
      <c r="O490" s="1">
        <v>1962224.0</v>
      </c>
      <c r="P490" s="1" t="s">
        <v>52</v>
      </c>
      <c r="R490" s="1" t="s">
        <v>53</v>
      </c>
      <c r="S490" s="1" t="s">
        <v>44</v>
      </c>
      <c r="T490" s="1" t="s">
        <v>45</v>
      </c>
      <c r="U490" s="1">
        <v>4.82023692E8</v>
      </c>
      <c r="W490" s="1" t="s">
        <v>46</v>
      </c>
      <c r="X490" s="1" t="s">
        <v>45</v>
      </c>
      <c r="Y490" s="1">
        <v>4.8202405E8</v>
      </c>
      <c r="Z490" s="1">
        <v>1962224.0</v>
      </c>
      <c r="AA490" s="1" t="s">
        <v>52</v>
      </c>
      <c r="AB490" s="1">
        <v>35000.0</v>
      </c>
      <c r="AC490" s="2">
        <v>41533.0</v>
      </c>
      <c r="AD490" s="1">
        <v>4900.0</v>
      </c>
      <c r="AE490" s="1" t="s">
        <v>109</v>
      </c>
      <c r="AF490" s="1">
        <v>3.002109091E9</v>
      </c>
      <c r="AG490" s="1" t="s">
        <v>1377</v>
      </c>
      <c r="AH490" s="1">
        <v>9.0</v>
      </c>
      <c r="AI490" s="1">
        <v>2013.0</v>
      </c>
      <c r="AJ490" s="1">
        <v>2013.0</v>
      </c>
      <c r="AK490" s="1" t="s">
        <v>1378</v>
      </c>
    </row>
    <row r="491">
      <c r="A491" s="1" t="s">
        <v>1379</v>
      </c>
      <c r="B491" s="1" t="s">
        <v>1379</v>
      </c>
      <c r="C491" s="1" t="s">
        <v>194</v>
      </c>
      <c r="E491" s="1">
        <v>3.8708044E7</v>
      </c>
      <c r="F491" s="2">
        <v>41232.0</v>
      </c>
      <c r="G491" s="1" t="s">
        <v>1380</v>
      </c>
      <c r="I491" s="1" t="s">
        <v>1380</v>
      </c>
      <c r="L491" s="1" t="s">
        <v>194</v>
      </c>
      <c r="M491" s="1">
        <v>9100.0</v>
      </c>
      <c r="N491" s="1" t="s">
        <v>194</v>
      </c>
      <c r="O491" s="1">
        <v>7.6340843E7</v>
      </c>
      <c r="P491" s="1" t="s">
        <v>461</v>
      </c>
      <c r="Q491" s="1" t="s">
        <v>459</v>
      </c>
      <c r="R491" s="1" t="s">
        <v>524</v>
      </c>
      <c r="S491" s="1" t="s">
        <v>44</v>
      </c>
      <c r="T491" s="1" t="s">
        <v>45</v>
      </c>
      <c r="U491" s="1">
        <v>4.82023046E8</v>
      </c>
      <c r="W491" s="1" t="s">
        <v>44</v>
      </c>
      <c r="X491" s="1" t="s">
        <v>45</v>
      </c>
      <c r="Y491" s="1">
        <v>4.82023096E8</v>
      </c>
      <c r="Z491" s="1">
        <v>7.6340843E7</v>
      </c>
      <c r="AA491" s="1" t="s">
        <v>461</v>
      </c>
      <c r="AB491" s="1">
        <v>3286636.0</v>
      </c>
      <c r="AC491" s="2">
        <v>41232.0</v>
      </c>
      <c r="AD491" s="1">
        <v>9100.0</v>
      </c>
      <c r="AE491" s="1" t="s">
        <v>194</v>
      </c>
      <c r="AF491" s="1" t="s">
        <v>1381</v>
      </c>
      <c r="AG491" s="1" t="s">
        <v>1382</v>
      </c>
      <c r="AH491" s="1">
        <v>12.0</v>
      </c>
      <c r="AI491" s="1">
        <v>2013.0</v>
      </c>
      <c r="AJ491" s="1">
        <v>2013.0</v>
      </c>
      <c r="AK491" s="1" t="s">
        <v>1383</v>
      </c>
    </row>
    <row r="492">
      <c r="A492" s="1" t="s">
        <v>1379</v>
      </c>
      <c r="B492" s="1" t="s">
        <v>1379</v>
      </c>
      <c r="C492" s="1" t="s">
        <v>194</v>
      </c>
      <c r="E492" s="1">
        <v>3.8708044E7</v>
      </c>
      <c r="F492" s="2">
        <v>41597.0</v>
      </c>
      <c r="G492" s="1" t="s">
        <v>1380</v>
      </c>
      <c r="I492" s="1" t="s">
        <v>1380</v>
      </c>
      <c r="L492" s="1" t="s">
        <v>194</v>
      </c>
      <c r="M492" s="1">
        <v>9100.0</v>
      </c>
      <c r="N492" s="1" t="s">
        <v>194</v>
      </c>
      <c r="O492" s="1">
        <v>7.6386556E7</v>
      </c>
      <c r="P492" s="1" t="s">
        <v>1242</v>
      </c>
      <c r="R492" s="1" t="s">
        <v>1243</v>
      </c>
      <c r="S492" s="1" t="s">
        <v>44</v>
      </c>
      <c r="T492" s="1" t="s">
        <v>45</v>
      </c>
      <c r="U492" s="1">
        <v>4.8226301E8</v>
      </c>
      <c r="W492" s="1" t="s">
        <v>44</v>
      </c>
      <c r="X492" s="1" t="s">
        <v>45</v>
      </c>
      <c r="Y492" s="1">
        <v>4.8226301E8</v>
      </c>
      <c r="Z492" s="1">
        <v>7.6386556E7</v>
      </c>
      <c r="AA492" s="1" t="s">
        <v>1242</v>
      </c>
      <c r="AB492" s="1">
        <v>1485463.0</v>
      </c>
      <c r="AC492" s="2">
        <v>41597.0</v>
      </c>
      <c r="AD492" s="1">
        <v>9100.0</v>
      </c>
      <c r="AE492" s="1" t="s">
        <v>194</v>
      </c>
      <c r="AF492" s="1" t="s">
        <v>1384</v>
      </c>
      <c r="AG492" s="1" t="s">
        <v>1382</v>
      </c>
      <c r="AH492" s="1">
        <v>12.0</v>
      </c>
      <c r="AI492" s="1">
        <v>2013.0</v>
      </c>
      <c r="AJ492" s="1">
        <v>2014.0</v>
      </c>
      <c r="AK492" s="1" t="s">
        <v>1383</v>
      </c>
    </row>
    <row r="493">
      <c r="A493" s="1" t="s">
        <v>1385</v>
      </c>
      <c r="B493" s="1" t="s">
        <v>1385</v>
      </c>
      <c r="C493" s="1" t="s">
        <v>1386</v>
      </c>
      <c r="E493" s="1">
        <v>5920240.0</v>
      </c>
      <c r="F493" s="2">
        <v>41554.0</v>
      </c>
      <c r="G493" s="1" t="s">
        <v>1387</v>
      </c>
      <c r="I493" s="1" t="s">
        <v>1387</v>
      </c>
      <c r="L493" s="1" t="s">
        <v>40</v>
      </c>
      <c r="M493" s="1">
        <v>7500.0</v>
      </c>
      <c r="N493" s="1" t="s">
        <v>40</v>
      </c>
      <c r="O493" s="1">
        <v>1962224.0</v>
      </c>
      <c r="P493" s="1" t="s">
        <v>52</v>
      </c>
      <c r="R493" s="1" t="s">
        <v>53</v>
      </c>
      <c r="S493" s="1" t="s">
        <v>44</v>
      </c>
      <c r="T493" s="1" t="s">
        <v>45</v>
      </c>
      <c r="U493" s="1">
        <v>4.82023692E8</v>
      </c>
      <c r="W493" s="1" t="s">
        <v>46</v>
      </c>
      <c r="X493" s="1" t="s">
        <v>45</v>
      </c>
      <c r="Y493" s="1">
        <v>4.8202405E8</v>
      </c>
      <c r="Z493" s="1">
        <v>1962224.0</v>
      </c>
      <c r="AA493" s="1" t="s">
        <v>52</v>
      </c>
      <c r="AB493" s="1">
        <v>68283.0</v>
      </c>
      <c r="AC493" s="2">
        <v>41554.0</v>
      </c>
      <c r="AD493" s="1">
        <v>7500.0</v>
      </c>
      <c r="AE493" s="1" t="s">
        <v>40</v>
      </c>
      <c r="AF493" s="1">
        <v>3.002803546E9</v>
      </c>
      <c r="AG493" s="1" t="s">
        <v>1388</v>
      </c>
      <c r="AH493" s="1">
        <v>11.0</v>
      </c>
      <c r="AI493" s="1">
        <v>2013.0</v>
      </c>
      <c r="AJ493" s="1">
        <v>2014.0</v>
      </c>
      <c r="AK493" s="1" t="s">
        <v>1389</v>
      </c>
    </row>
    <row r="494">
      <c r="A494" s="1" t="s">
        <v>1390</v>
      </c>
      <c r="B494" s="1" t="s">
        <v>1390</v>
      </c>
      <c r="C494" s="1" t="s">
        <v>159</v>
      </c>
      <c r="E494" s="1">
        <v>999188.0</v>
      </c>
      <c r="F494" s="2">
        <v>41426.0</v>
      </c>
      <c r="G494" s="1" t="s">
        <v>1391</v>
      </c>
      <c r="I494" s="1" t="s">
        <v>1391</v>
      </c>
      <c r="L494" s="1" t="s">
        <v>40</v>
      </c>
      <c r="M494" s="1">
        <v>7500.0</v>
      </c>
      <c r="N494" s="1" t="s">
        <v>40</v>
      </c>
      <c r="O494" s="1">
        <v>6.8835099E7</v>
      </c>
      <c r="P494" s="1" t="s">
        <v>1392</v>
      </c>
      <c r="Q494" s="1" t="s">
        <v>1393</v>
      </c>
      <c r="R494" s="1" t="s">
        <v>1394</v>
      </c>
      <c r="S494" s="1" t="s">
        <v>44</v>
      </c>
      <c r="T494" s="1" t="s">
        <v>45</v>
      </c>
      <c r="U494" s="1">
        <v>4.82011312E8</v>
      </c>
      <c r="W494" s="1" t="s">
        <v>46</v>
      </c>
      <c r="X494" s="1" t="s">
        <v>45</v>
      </c>
      <c r="Y494" s="1">
        <v>4.82011312E8</v>
      </c>
      <c r="Z494" s="1">
        <v>6.8835099E7</v>
      </c>
      <c r="AA494" s="1" t="s">
        <v>1392</v>
      </c>
      <c r="AB494" s="1">
        <v>13000.0</v>
      </c>
      <c r="AC494" s="2">
        <v>41426.0</v>
      </c>
      <c r="AD494" s="1">
        <v>7500.0</v>
      </c>
      <c r="AE494" s="1" t="s">
        <v>40</v>
      </c>
      <c r="AF494" s="1">
        <v>445.0</v>
      </c>
      <c r="AG494" s="1" t="s">
        <v>1395</v>
      </c>
      <c r="AH494" s="1">
        <v>12.0</v>
      </c>
      <c r="AI494" s="1">
        <v>2013.0</v>
      </c>
      <c r="AJ494" s="1">
        <v>2013.0</v>
      </c>
      <c r="AK494" s="1" t="s">
        <v>162</v>
      </c>
    </row>
    <row r="495">
      <c r="A495" s="1" t="s">
        <v>1390</v>
      </c>
      <c r="B495" s="1" t="s">
        <v>1390</v>
      </c>
      <c r="C495" s="1" t="s">
        <v>159</v>
      </c>
      <c r="E495" s="1">
        <v>999188.0</v>
      </c>
      <c r="F495" s="2">
        <v>41426.0</v>
      </c>
      <c r="G495" s="1" t="s">
        <v>1391</v>
      </c>
      <c r="I495" s="1" t="s">
        <v>1391</v>
      </c>
      <c r="L495" s="1" t="s">
        <v>40</v>
      </c>
      <c r="M495" s="1">
        <v>7500.0</v>
      </c>
      <c r="N495" s="1" t="s">
        <v>40</v>
      </c>
      <c r="O495" s="1">
        <v>6.09376637E8</v>
      </c>
      <c r="P495" s="1" t="s">
        <v>1396</v>
      </c>
      <c r="R495" s="1" t="s">
        <v>1397</v>
      </c>
      <c r="S495" s="1" t="s">
        <v>44</v>
      </c>
      <c r="T495" s="1" t="s">
        <v>45</v>
      </c>
      <c r="U495" s="1">
        <v>4.82012119E8</v>
      </c>
      <c r="W495" s="1" t="s">
        <v>46</v>
      </c>
      <c r="X495" s="1" t="s">
        <v>45</v>
      </c>
      <c r="Y495" s="1">
        <v>4.82012119E8</v>
      </c>
      <c r="AB495" s="1">
        <v>35000.0</v>
      </c>
      <c r="AC495" s="2">
        <v>41426.0</v>
      </c>
      <c r="AD495" s="1">
        <v>7500.0</v>
      </c>
      <c r="AE495" s="1" t="s">
        <v>40</v>
      </c>
      <c r="AF495" s="1">
        <v>21.0</v>
      </c>
      <c r="AG495" s="1" t="s">
        <v>1395</v>
      </c>
      <c r="AH495" s="1">
        <v>12.0</v>
      </c>
      <c r="AI495" s="1">
        <v>2013.0</v>
      </c>
      <c r="AJ495" s="1">
        <v>2013.0</v>
      </c>
      <c r="AK495" s="1" t="s">
        <v>162</v>
      </c>
    </row>
    <row r="496">
      <c r="A496" s="1" t="s">
        <v>1361</v>
      </c>
      <c r="B496" s="1" t="s">
        <v>1361</v>
      </c>
      <c r="C496" s="1" t="s">
        <v>100</v>
      </c>
      <c r="E496" s="1">
        <v>1000500.0</v>
      </c>
      <c r="F496" s="2">
        <v>41548.0</v>
      </c>
      <c r="G496" s="1" t="s">
        <v>1362</v>
      </c>
      <c r="I496" s="1" t="s">
        <v>1362</v>
      </c>
      <c r="L496" s="1" t="s">
        <v>102</v>
      </c>
      <c r="M496" s="1">
        <v>8600.0</v>
      </c>
      <c r="N496" s="1" t="s">
        <v>102</v>
      </c>
      <c r="O496" s="1">
        <v>4.3419399E7</v>
      </c>
      <c r="P496" s="1" t="s">
        <v>979</v>
      </c>
      <c r="R496" s="1" t="s">
        <v>980</v>
      </c>
      <c r="S496" s="1" t="s">
        <v>44</v>
      </c>
      <c r="T496" s="1" t="s">
        <v>45</v>
      </c>
      <c r="U496" s="1">
        <v>4.82261412E8</v>
      </c>
      <c r="W496" s="1" t="s">
        <v>46</v>
      </c>
      <c r="X496" s="1" t="s">
        <v>45</v>
      </c>
      <c r="Y496" s="1">
        <v>4.82261412E8</v>
      </c>
      <c r="Z496" s="1">
        <v>4.3419399E7</v>
      </c>
      <c r="AA496" s="1" t="s">
        <v>979</v>
      </c>
      <c r="AB496" s="1">
        <v>200100.0</v>
      </c>
      <c r="AC496" s="2">
        <v>41548.0</v>
      </c>
      <c r="AD496" s="1">
        <v>8600.0</v>
      </c>
      <c r="AE496" s="1" t="s">
        <v>102</v>
      </c>
      <c r="AF496" s="1">
        <v>2.0141497E7</v>
      </c>
      <c r="AG496" s="1" t="s">
        <v>1363</v>
      </c>
      <c r="AH496" s="1">
        <v>10.0</v>
      </c>
      <c r="AI496" s="1">
        <v>2012.0</v>
      </c>
      <c r="AJ496" s="1">
        <v>2014.0</v>
      </c>
      <c r="AK496" s="1" t="s">
        <v>108</v>
      </c>
    </row>
    <row r="497">
      <c r="A497" s="1" t="s">
        <v>1390</v>
      </c>
      <c r="B497" s="1" t="s">
        <v>1390</v>
      </c>
      <c r="C497" s="1" t="s">
        <v>159</v>
      </c>
      <c r="E497" s="1">
        <v>999188.0</v>
      </c>
      <c r="F497" s="2">
        <v>41426.0</v>
      </c>
      <c r="G497" s="1" t="s">
        <v>1391</v>
      </c>
      <c r="I497" s="1" t="s">
        <v>1391</v>
      </c>
      <c r="L497" s="1" t="s">
        <v>40</v>
      </c>
      <c r="M497" s="1">
        <v>7500.0</v>
      </c>
      <c r="N497" s="1" t="s">
        <v>40</v>
      </c>
      <c r="O497" s="1">
        <v>7.3134603E7</v>
      </c>
      <c r="P497" s="1" t="s">
        <v>41</v>
      </c>
      <c r="Q497" s="1" t="s">
        <v>252</v>
      </c>
      <c r="R497" s="1" t="s">
        <v>253</v>
      </c>
      <c r="S497" s="1" t="s">
        <v>44</v>
      </c>
      <c r="T497" s="1" t="s">
        <v>45</v>
      </c>
      <c r="U497" s="1">
        <v>4.8202345E8</v>
      </c>
      <c r="W497" s="1" t="s">
        <v>46</v>
      </c>
      <c r="X497" s="1" t="s">
        <v>45</v>
      </c>
      <c r="Y497" s="1">
        <v>4.8202345E8</v>
      </c>
      <c r="Z497" s="1">
        <v>7.3134603E7</v>
      </c>
      <c r="AA497" s="1" t="s">
        <v>41</v>
      </c>
      <c r="AB497" s="1">
        <v>18000.0</v>
      </c>
      <c r="AC497" s="2">
        <v>41426.0</v>
      </c>
      <c r="AD497" s="1">
        <v>7500.0</v>
      </c>
      <c r="AE497" s="1" t="s">
        <v>40</v>
      </c>
      <c r="AF497" s="1">
        <v>424.0</v>
      </c>
      <c r="AG497" s="1" t="s">
        <v>1395</v>
      </c>
      <c r="AH497" s="1">
        <v>12.0</v>
      </c>
      <c r="AI497" s="1">
        <v>2013.0</v>
      </c>
      <c r="AJ497" s="1">
        <v>2013.0</v>
      </c>
      <c r="AK497" s="1" t="s">
        <v>162</v>
      </c>
    </row>
    <row r="498">
      <c r="A498" s="1" t="s">
        <v>1398</v>
      </c>
      <c r="B498" s="1" t="s">
        <v>1398</v>
      </c>
      <c r="C498" s="1" t="s">
        <v>38</v>
      </c>
      <c r="E498" s="1">
        <v>361657.0</v>
      </c>
      <c r="F498" s="2">
        <v>41596.0</v>
      </c>
      <c r="G498" s="1" t="s">
        <v>1399</v>
      </c>
      <c r="I498" s="1" t="s">
        <v>1399</v>
      </c>
      <c r="L498" s="1" t="s">
        <v>40</v>
      </c>
      <c r="M498" s="1">
        <v>7500.0</v>
      </c>
      <c r="N498" s="1" t="s">
        <v>40</v>
      </c>
      <c r="O498" s="1">
        <v>1962224.0</v>
      </c>
      <c r="P498" s="1" t="s">
        <v>52</v>
      </c>
      <c r="R498" s="1" t="s">
        <v>53</v>
      </c>
      <c r="S498" s="1" t="s">
        <v>44</v>
      </c>
      <c r="T498" s="1" t="s">
        <v>45</v>
      </c>
      <c r="U498" s="1">
        <v>4.82023692E8</v>
      </c>
      <c r="W498" s="1" t="s">
        <v>46</v>
      </c>
      <c r="X498" s="1" t="s">
        <v>45</v>
      </c>
      <c r="Y498" s="1">
        <v>4.8202405E8</v>
      </c>
      <c r="Z498" s="1">
        <v>1962224.0</v>
      </c>
      <c r="AA498" s="1" t="s">
        <v>52</v>
      </c>
      <c r="AB498" s="1">
        <v>29747.0</v>
      </c>
      <c r="AC498" s="2">
        <v>41596.0</v>
      </c>
      <c r="AD498" s="1">
        <v>7500.0</v>
      </c>
      <c r="AE498" s="1" t="s">
        <v>40</v>
      </c>
      <c r="AF498" s="1">
        <v>3.002736018E9</v>
      </c>
      <c r="AG498" s="1" t="s">
        <v>1400</v>
      </c>
      <c r="AH498" s="1">
        <v>12.0</v>
      </c>
      <c r="AI498" s="1">
        <v>2013.0</v>
      </c>
      <c r="AJ498" s="1">
        <v>2014.0</v>
      </c>
      <c r="AK498" s="1" t="s">
        <v>1021</v>
      </c>
    </row>
    <row r="499">
      <c r="A499" s="1" t="s">
        <v>1401</v>
      </c>
      <c r="B499" s="1" t="s">
        <v>1401</v>
      </c>
      <c r="C499" s="1" t="s">
        <v>159</v>
      </c>
      <c r="E499" s="1">
        <v>454232.0</v>
      </c>
      <c r="F499" s="2">
        <v>41591.0</v>
      </c>
      <c r="G499" s="1" t="s">
        <v>1402</v>
      </c>
      <c r="I499" s="1" t="s">
        <v>1402</v>
      </c>
      <c r="L499" s="1" t="s">
        <v>40</v>
      </c>
      <c r="M499" s="1">
        <v>7500.0</v>
      </c>
      <c r="N499" s="1" t="s">
        <v>40</v>
      </c>
      <c r="O499" s="1">
        <v>7.3134603E7</v>
      </c>
      <c r="P499" s="1" t="s">
        <v>41</v>
      </c>
      <c r="Q499" s="1" t="s">
        <v>252</v>
      </c>
      <c r="R499" s="1" t="s">
        <v>253</v>
      </c>
      <c r="S499" s="1" t="s">
        <v>44</v>
      </c>
      <c r="T499" s="1" t="s">
        <v>45</v>
      </c>
      <c r="U499" s="1">
        <v>4.8202345E8</v>
      </c>
      <c r="W499" s="1" t="s">
        <v>46</v>
      </c>
      <c r="X499" s="1" t="s">
        <v>45</v>
      </c>
      <c r="Y499" s="1">
        <v>4.8202345E8</v>
      </c>
      <c r="Z499" s="1">
        <v>7.3134603E7</v>
      </c>
      <c r="AA499" s="1" t="s">
        <v>41</v>
      </c>
      <c r="AB499" s="1">
        <v>35156.0</v>
      </c>
      <c r="AC499" s="2">
        <v>41591.0</v>
      </c>
      <c r="AD499" s="1">
        <v>7500.0</v>
      </c>
      <c r="AE499" s="1" t="s">
        <v>40</v>
      </c>
      <c r="AF499" s="1" t="s">
        <v>1403</v>
      </c>
      <c r="AG499" s="1" t="s">
        <v>1404</v>
      </c>
      <c r="AH499" s="1">
        <v>11.0</v>
      </c>
      <c r="AI499" s="1">
        <v>2013.0</v>
      </c>
      <c r="AJ499" s="1">
        <v>2014.0</v>
      </c>
      <c r="AK499" s="1" t="s">
        <v>1405</v>
      </c>
    </row>
    <row r="500">
      <c r="A500" s="1" t="s">
        <v>1406</v>
      </c>
      <c r="B500" s="1" t="s">
        <v>1406</v>
      </c>
      <c r="C500" s="1" t="s">
        <v>63</v>
      </c>
      <c r="E500" s="1">
        <v>544500.0</v>
      </c>
      <c r="F500" s="2">
        <v>41183.0</v>
      </c>
      <c r="G500" s="1" t="s">
        <v>1407</v>
      </c>
      <c r="I500" s="1" t="s">
        <v>1407</v>
      </c>
      <c r="L500" s="1" t="s">
        <v>40</v>
      </c>
      <c r="M500" s="1">
        <v>7500.0</v>
      </c>
      <c r="N500" s="1" t="s">
        <v>40</v>
      </c>
      <c r="O500" s="1">
        <v>1962224.0</v>
      </c>
      <c r="P500" s="1" t="s">
        <v>52</v>
      </c>
      <c r="Q500" s="1" t="s">
        <v>1408</v>
      </c>
      <c r="R500" s="1" t="s">
        <v>53</v>
      </c>
      <c r="S500" s="1" t="s">
        <v>44</v>
      </c>
      <c r="T500" s="1" t="s">
        <v>45</v>
      </c>
      <c r="U500" s="1">
        <v>4.82023692E8</v>
      </c>
      <c r="W500" s="1" t="s">
        <v>46</v>
      </c>
      <c r="X500" s="1" t="s">
        <v>45</v>
      </c>
      <c r="Y500" s="1">
        <v>4.82023692E8</v>
      </c>
      <c r="Z500" s="1">
        <v>1962224.0</v>
      </c>
      <c r="AA500" s="1" t="s">
        <v>52</v>
      </c>
      <c r="AB500" s="1">
        <v>27970.0</v>
      </c>
      <c r="AC500" s="2">
        <v>41183.0</v>
      </c>
      <c r="AD500" s="1">
        <v>7500.0</v>
      </c>
      <c r="AE500" s="1" t="s">
        <v>40</v>
      </c>
      <c r="AF500" s="1">
        <v>2.0131609E7</v>
      </c>
      <c r="AG500" s="1" t="s">
        <v>1409</v>
      </c>
      <c r="AH500" s="1">
        <v>10.0</v>
      </c>
      <c r="AI500" s="1">
        <v>2011.0</v>
      </c>
      <c r="AJ500" s="1">
        <v>2013.0</v>
      </c>
      <c r="AK500" s="1" t="s">
        <v>1410</v>
      </c>
    </row>
    <row r="501">
      <c r="A501" s="1" t="s">
        <v>1411</v>
      </c>
      <c r="B501" s="1" t="s">
        <v>1411</v>
      </c>
      <c r="C501" s="1" t="s">
        <v>63</v>
      </c>
      <c r="E501" s="1">
        <v>607352.0</v>
      </c>
      <c r="F501" s="2">
        <v>41183.0</v>
      </c>
      <c r="G501" s="1" t="s">
        <v>1412</v>
      </c>
      <c r="I501" s="1" t="s">
        <v>1412</v>
      </c>
      <c r="L501" s="1" t="s">
        <v>40</v>
      </c>
      <c r="M501" s="1">
        <v>7500.0</v>
      </c>
      <c r="N501" s="1" t="s">
        <v>40</v>
      </c>
      <c r="O501" s="1">
        <v>1962224.0</v>
      </c>
      <c r="P501" s="1" t="s">
        <v>52</v>
      </c>
      <c r="R501" s="1" t="s">
        <v>53</v>
      </c>
      <c r="S501" s="1" t="s">
        <v>44</v>
      </c>
      <c r="T501" s="1" t="s">
        <v>45</v>
      </c>
      <c r="U501" s="1">
        <v>4.82023692E8</v>
      </c>
      <c r="W501" s="1" t="s">
        <v>46</v>
      </c>
      <c r="X501" s="1" t="s">
        <v>45</v>
      </c>
      <c r="Y501" s="1">
        <v>4.82023692E8</v>
      </c>
      <c r="Z501" s="1">
        <v>1962224.0</v>
      </c>
      <c r="AA501" s="1" t="s">
        <v>52</v>
      </c>
      <c r="AB501" s="1">
        <v>82450.0</v>
      </c>
      <c r="AC501" s="2">
        <v>41183.0</v>
      </c>
      <c r="AD501" s="1">
        <v>7500.0</v>
      </c>
      <c r="AE501" s="1" t="s">
        <v>40</v>
      </c>
      <c r="AF501" s="1">
        <v>2.0131061E7</v>
      </c>
      <c r="AG501" s="1" t="s">
        <v>161</v>
      </c>
      <c r="AH501" s="1">
        <v>10.0</v>
      </c>
      <c r="AI501" s="1">
        <v>2012.0</v>
      </c>
      <c r="AJ501" s="1">
        <v>2013.0</v>
      </c>
      <c r="AK501" s="1" t="s">
        <v>1413</v>
      </c>
    </row>
    <row r="502">
      <c r="A502" s="1" t="s">
        <v>1122</v>
      </c>
      <c r="B502" s="1" t="s">
        <v>1122</v>
      </c>
      <c r="C502" s="1" t="s">
        <v>100</v>
      </c>
      <c r="E502" s="1">
        <v>1.9727792E7</v>
      </c>
      <c r="F502" s="2">
        <v>41487.0</v>
      </c>
      <c r="G502" s="1" t="s">
        <v>122</v>
      </c>
      <c r="I502" s="1" t="s">
        <v>122</v>
      </c>
      <c r="L502" s="1" t="s">
        <v>102</v>
      </c>
      <c r="M502" s="1">
        <v>8600.0</v>
      </c>
      <c r="N502" s="1" t="s">
        <v>102</v>
      </c>
      <c r="O502" s="1">
        <v>8.09867554E8</v>
      </c>
      <c r="P502" s="1" t="s">
        <v>1414</v>
      </c>
      <c r="R502" s="1" t="s">
        <v>1415</v>
      </c>
      <c r="S502" s="1" t="s">
        <v>44</v>
      </c>
      <c r="T502" s="1" t="s">
        <v>45</v>
      </c>
      <c r="U502" s="1">
        <v>4.82074826E8</v>
      </c>
      <c r="W502" s="1" t="s">
        <v>46</v>
      </c>
      <c r="X502" s="1" t="s">
        <v>45</v>
      </c>
      <c r="Y502" s="1">
        <v>4.82074826E8</v>
      </c>
      <c r="AB502" s="1">
        <v>45000.0</v>
      </c>
      <c r="AC502" s="2">
        <v>41487.0</v>
      </c>
      <c r="AD502" s="1">
        <v>8600.0</v>
      </c>
      <c r="AE502" s="1" t="s">
        <v>102</v>
      </c>
      <c r="AF502" s="1" t="s">
        <v>1416</v>
      </c>
      <c r="AG502" s="1" t="s">
        <v>1417</v>
      </c>
      <c r="AH502" s="1">
        <v>11.0</v>
      </c>
      <c r="AI502" s="1">
        <v>2013.0</v>
      </c>
      <c r="AJ502" s="1">
        <v>2013.0</v>
      </c>
      <c r="AK502" s="1" t="s">
        <v>127</v>
      </c>
    </row>
    <row r="503">
      <c r="A503" s="1" t="s">
        <v>1418</v>
      </c>
      <c r="B503" s="1" t="s">
        <v>1418</v>
      </c>
      <c r="C503" s="1" t="s">
        <v>70</v>
      </c>
      <c r="E503" s="1">
        <v>1.1529408E7</v>
      </c>
      <c r="F503" s="2">
        <v>41183.0</v>
      </c>
      <c r="G503" s="1" t="s">
        <v>1419</v>
      </c>
      <c r="I503" s="1" t="s">
        <v>1419</v>
      </c>
      <c r="L503" s="1" t="s">
        <v>72</v>
      </c>
      <c r="M503" s="1">
        <v>1500.0</v>
      </c>
      <c r="N503" s="1" t="s">
        <v>72</v>
      </c>
      <c r="O503" s="1">
        <v>7.89629859E8</v>
      </c>
      <c r="P503" s="1" t="s">
        <v>416</v>
      </c>
      <c r="Q503" s="1" t="s">
        <v>1420</v>
      </c>
      <c r="R503" s="1" t="s">
        <v>417</v>
      </c>
      <c r="S503" s="1" t="s">
        <v>44</v>
      </c>
      <c r="T503" s="1" t="s">
        <v>45</v>
      </c>
      <c r="U503" s="1">
        <v>4.82343241E8</v>
      </c>
      <c r="W503" s="1" t="s">
        <v>46</v>
      </c>
      <c r="X503" s="1" t="s">
        <v>45</v>
      </c>
      <c r="Y503" s="1">
        <v>4.82343241E8</v>
      </c>
      <c r="Z503" s="1">
        <v>5.3343976E7</v>
      </c>
      <c r="AA503" s="1" t="s">
        <v>1421</v>
      </c>
      <c r="AB503" s="1">
        <v>46445.0</v>
      </c>
      <c r="AC503" s="2">
        <v>41183.0</v>
      </c>
      <c r="AD503" s="1">
        <v>1500.0</v>
      </c>
      <c r="AE503" s="1" t="s">
        <v>72</v>
      </c>
      <c r="AF503" s="1">
        <v>2.0130687E7</v>
      </c>
      <c r="AG503" s="1" t="s">
        <v>1422</v>
      </c>
      <c r="AH503" s="1">
        <v>10.0</v>
      </c>
      <c r="AI503" s="1">
        <v>2011.0</v>
      </c>
      <c r="AJ503" s="1">
        <v>2013.0</v>
      </c>
      <c r="AK503" s="1" t="s">
        <v>1130</v>
      </c>
    </row>
    <row r="504">
      <c r="A504" s="1" t="s">
        <v>1418</v>
      </c>
      <c r="B504" s="1" t="s">
        <v>1418</v>
      </c>
      <c r="C504" s="1" t="s">
        <v>70</v>
      </c>
      <c r="E504" s="1">
        <v>1.1529408E7</v>
      </c>
      <c r="F504" s="2">
        <v>41183.0</v>
      </c>
      <c r="G504" s="1" t="s">
        <v>1419</v>
      </c>
      <c r="I504" s="1" t="s">
        <v>1419</v>
      </c>
      <c r="L504" s="1" t="s">
        <v>72</v>
      </c>
      <c r="M504" s="1">
        <v>1500.0</v>
      </c>
      <c r="N504" s="1" t="s">
        <v>72</v>
      </c>
      <c r="O504" s="1">
        <v>8.29087865E8</v>
      </c>
      <c r="P504" s="1" t="s">
        <v>1423</v>
      </c>
      <c r="Q504" s="1" t="s">
        <v>1424</v>
      </c>
      <c r="R504" s="1" t="s">
        <v>1425</v>
      </c>
      <c r="S504" s="1" t="s">
        <v>44</v>
      </c>
      <c r="T504" s="1" t="s">
        <v>45</v>
      </c>
      <c r="U504" s="1">
        <v>4.82192721E8</v>
      </c>
      <c r="W504" s="1" t="s">
        <v>46</v>
      </c>
      <c r="X504" s="1" t="s">
        <v>45</v>
      </c>
      <c r="Y504" s="1">
        <v>4.82192721E8</v>
      </c>
      <c r="AB504" s="1">
        <v>105506.0</v>
      </c>
      <c r="AC504" s="2">
        <v>41183.0</v>
      </c>
      <c r="AD504" s="1">
        <v>1500.0</v>
      </c>
      <c r="AE504" s="1" t="s">
        <v>72</v>
      </c>
      <c r="AF504" s="1">
        <v>2.0130691E7</v>
      </c>
      <c r="AG504" s="1" t="s">
        <v>1422</v>
      </c>
      <c r="AH504" s="1">
        <v>10.0</v>
      </c>
      <c r="AI504" s="1">
        <v>2011.0</v>
      </c>
      <c r="AJ504" s="1">
        <v>2013.0</v>
      </c>
      <c r="AK504" s="1" t="s">
        <v>1130</v>
      </c>
    </row>
    <row r="505">
      <c r="A505" s="1" t="s">
        <v>1418</v>
      </c>
      <c r="B505" s="1" t="s">
        <v>1418</v>
      </c>
      <c r="C505" s="1" t="s">
        <v>70</v>
      </c>
      <c r="E505" s="1">
        <v>1.1529408E7</v>
      </c>
      <c r="F505" s="2">
        <v>41548.0</v>
      </c>
      <c r="G505" s="1" t="s">
        <v>1419</v>
      </c>
      <c r="I505" s="1" t="s">
        <v>1419</v>
      </c>
      <c r="L505" s="1" t="s">
        <v>72</v>
      </c>
      <c r="M505" s="1">
        <v>1500.0</v>
      </c>
      <c r="N505" s="1" t="s">
        <v>72</v>
      </c>
      <c r="O505" s="1">
        <v>8.5464519E7</v>
      </c>
      <c r="P505" s="1" t="s">
        <v>704</v>
      </c>
      <c r="Q505" s="1" t="s">
        <v>705</v>
      </c>
      <c r="R505" s="1" t="s">
        <v>706</v>
      </c>
      <c r="S505" s="1" t="s">
        <v>44</v>
      </c>
      <c r="T505" s="1" t="s">
        <v>45</v>
      </c>
      <c r="U505" s="1">
        <v>4.82012015E8</v>
      </c>
      <c r="W505" s="1" t="s">
        <v>46</v>
      </c>
      <c r="X505" s="1" t="s">
        <v>45</v>
      </c>
      <c r="Y505" s="1">
        <v>4.82012015E8</v>
      </c>
      <c r="AB505" s="1">
        <v>166759.0</v>
      </c>
      <c r="AC505" s="2">
        <v>41548.0</v>
      </c>
      <c r="AD505" s="1">
        <v>1500.0</v>
      </c>
      <c r="AE505" s="1" t="s">
        <v>72</v>
      </c>
      <c r="AF505" s="1">
        <v>2.0141058E7</v>
      </c>
      <c r="AG505" s="1" t="s">
        <v>1422</v>
      </c>
      <c r="AH505" s="1">
        <v>10.0</v>
      </c>
      <c r="AI505" s="1">
        <v>2011.0</v>
      </c>
      <c r="AJ505" s="1">
        <v>2014.0</v>
      </c>
      <c r="AK505" s="1" t="s">
        <v>1130</v>
      </c>
    </row>
    <row r="506">
      <c r="A506" s="1" t="s">
        <v>1426</v>
      </c>
      <c r="B506" s="1" t="s">
        <v>1426</v>
      </c>
      <c r="C506" s="1" t="s">
        <v>129</v>
      </c>
      <c r="E506" s="1">
        <v>1728394.0</v>
      </c>
      <c r="F506" s="2">
        <v>41183.0</v>
      </c>
      <c r="G506" s="1" t="s">
        <v>1427</v>
      </c>
      <c r="I506" s="1" t="s">
        <v>1427</v>
      </c>
      <c r="L506" s="1" t="s">
        <v>40</v>
      </c>
      <c r="M506" s="1">
        <v>7500.0</v>
      </c>
      <c r="N506" s="1" t="s">
        <v>40</v>
      </c>
      <c r="O506" s="1">
        <v>2.2026893E7</v>
      </c>
      <c r="P506" s="1" t="s">
        <v>1428</v>
      </c>
      <c r="R506" s="1" t="s">
        <v>1429</v>
      </c>
      <c r="S506" s="1" t="s">
        <v>44</v>
      </c>
      <c r="T506" s="1" t="s">
        <v>45</v>
      </c>
      <c r="U506" s="1">
        <v>4.82193941E8</v>
      </c>
      <c r="W506" s="1" t="s">
        <v>46</v>
      </c>
      <c r="X506" s="1" t="s">
        <v>45</v>
      </c>
      <c r="Y506" s="1">
        <v>4.82193941E8</v>
      </c>
      <c r="AB506" s="1">
        <v>78757.04</v>
      </c>
      <c r="AC506" s="2">
        <v>41183.0</v>
      </c>
      <c r="AD506" s="1">
        <v>7500.0</v>
      </c>
      <c r="AE506" s="1" t="s">
        <v>40</v>
      </c>
      <c r="AF506" s="1">
        <v>2.0130248E7</v>
      </c>
      <c r="AG506" s="1" t="s">
        <v>1430</v>
      </c>
      <c r="AH506" s="1">
        <v>10.0</v>
      </c>
      <c r="AI506" s="1">
        <v>2010.0</v>
      </c>
      <c r="AJ506" s="1">
        <v>2013.0</v>
      </c>
      <c r="AK506" s="1" t="s">
        <v>1431</v>
      </c>
    </row>
    <row r="507">
      <c r="A507" s="1" t="s">
        <v>1426</v>
      </c>
      <c r="B507" s="1" t="s">
        <v>1426</v>
      </c>
      <c r="C507" s="1" t="s">
        <v>129</v>
      </c>
      <c r="E507" s="1">
        <v>1728394.0</v>
      </c>
      <c r="F507" s="2">
        <v>41183.0</v>
      </c>
      <c r="G507" s="1" t="s">
        <v>1427</v>
      </c>
      <c r="I507" s="1" t="s">
        <v>1427</v>
      </c>
      <c r="L507" s="1" t="s">
        <v>40</v>
      </c>
      <c r="M507" s="1">
        <v>7500.0</v>
      </c>
      <c r="N507" s="1" t="s">
        <v>40</v>
      </c>
      <c r="O507" s="1">
        <v>7.8074923E8</v>
      </c>
      <c r="P507" s="1" t="s">
        <v>419</v>
      </c>
      <c r="R507" s="1" t="s">
        <v>420</v>
      </c>
      <c r="S507" s="1" t="s">
        <v>44</v>
      </c>
      <c r="T507" s="1" t="s">
        <v>45</v>
      </c>
      <c r="U507" s="1">
        <v>4.82082365E8</v>
      </c>
      <c r="W507" s="1" t="s">
        <v>46</v>
      </c>
      <c r="X507" s="1" t="s">
        <v>45</v>
      </c>
      <c r="Y507" s="1">
        <v>4.82082365E8</v>
      </c>
      <c r="AB507" s="1">
        <v>100000.0</v>
      </c>
      <c r="AC507" s="2">
        <v>41183.0</v>
      </c>
      <c r="AD507" s="1">
        <v>7500.0</v>
      </c>
      <c r="AE507" s="1" t="s">
        <v>40</v>
      </c>
      <c r="AF507" s="1">
        <v>2.0130242E7</v>
      </c>
      <c r="AG507" s="1" t="s">
        <v>1430</v>
      </c>
      <c r="AH507" s="1">
        <v>10.0</v>
      </c>
      <c r="AI507" s="1">
        <v>2010.0</v>
      </c>
      <c r="AJ507" s="1">
        <v>2013.0</v>
      </c>
      <c r="AK507" s="1" t="s">
        <v>1431</v>
      </c>
    </row>
    <row r="508">
      <c r="A508" s="1" t="s">
        <v>1418</v>
      </c>
      <c r="B508" s="1" t="s">
        <v>1418</v>
      </c>
      <c r="C508" s="1" t="s">
        <v>70</v>
      </c>
      <c r="E508" s="1">
        <v>1.1529408E7</v>
      </c>
      <c r="F508" s="2">
        <v>41183.0</v>
      </c>
      <c r="G508" s="1" t="s">
        <v>1419</v>
      </c>
      <c r="I508" s="1" t="s">
        <v>1419</v>
      </c>
      <c r="L508" s="1" t="s">
        <v>72</v>
      </c>
      <c r="M508" s="1">
        <v>1500.0</v>
      </c>
      <c r="N508" s="1" t="s">
        <v>72</v>
      </c>
      <c r="O508" s="1">
        <v>1.97862014E8</v>
      </c>
      <c r="P508" s="1" t="s">
        <v>1056</v>
      </c>
      <c r="Q508" s="1" t="s">
        <v>1057</v>
      </c>
      <c r="R508" s="1" t="s">
        <v>1058</v>
      </c>
      <c r="S508" s="1" t="s">
        <v>44</v>
      </c>
      <c r="T508" s="1" t="s">
        <v>45</v>
      </c>
      <c r="U508" s="1">
        <v>4.82023165E8</v>
      </c>
      <c r="W508" s="1" t="s">
        <v>46</v>
      </c>
      <c r="X508" s="1" t="s">
        <v>45</v>
      </c>
      <c r="Y508" s="1">
        <v>4.82262982E8</v>
      </c>
      <c r="Z508" s="1">
        <v>1.97862014E8</v>
      </c>
      <c r="AA508" s="1" t="s">
        <v>1056</v>
      </c>
      <c r="AB508" s="1">
        <v>165378.0</v>
      </c>
      <c r="AC508" s="2">
        <v>41183.0</v>
      </c>
      <c r="AD508" s="1">
        <v>1500.0</v>
      </c>
      <c r="AE508" s="1" t="s">
        <v>72</v>
      </c>
      <c r="AF508" s="1">
        <v>2.0130663E7</v>
      </c>
      <c r="AG508" s="1" t="s">
        <v>1422</v>
      </c>
      <c r="AH508" s="1">
        <v>10.0</v>
      </c>
      <c r="AI508" s="1">
        <v>2011.0</v>
      </c>
      <c r="AJ508" s="1">
        <v>2013.0</v>
      </c>
      <c r="AK508" s="1" t="s">
        <v>1130</v>
      </c>
    </row>
    <row r="509">
      <c r="A509" s="1" t="s">
        <v>1432</v>
      </c>
      <c r="B509" s="1" t="s">
        <v>1432</v>
      </c>
      <c r="C509" s="1" t="s">
        <v>100</v>
      </c>
      <c r="E509" s="1">
        <v>3820532.0</v>
      </c>
      <c r="F509" s="2">
        <v>41556.0</v>
      </c>
      <c r="G509" s="1" t="s">
        <v>1433</v>
      </c>
      <c r="I509" s="1" t="s">
        <v>1433</v>
      </c>
      <c r="L509" s="1" t="s">
        <v>102</v>
      </c>
      <c r="M509" s="1">
        <v>8600.0</v>
      </c>
      <c r="N509" s="1" t="s">
        <v>102</v>
      </c>
      <c r="O509" s="1">
        <v>1.54693043E8</v>
      </c>
      <c r="P509" s="1" t="s">
        <v>362</v>
      </c>
      <c r="Q509" s="1" t="s">
        <v>363</v>
      </c>
      <c r="R509" s="1" t="s">
        <v>364</v>
      </c>
      <c r="S509" s="1" t="s">
        <v>44</v>
      </c>
      <c r="T509" s="1" t="s">
        <v>45</v>
      </c>
      <c r="U509" s="1">
        <v>4.82161936E8</v>
      </c>
      <c r="W509" s="1" t="s">
        <v>46</v>
      </c>
      <c r="X509" s="1" t="s">
        <v>45</v>
      </c>
      <c r="Y509" s="1">
        <v>4.82161936E8</v>
      </c>
      <c r="AB509" s="1">
        <v>426169.0</v>
      </c>
      <c r="AC509" s="2">
        <v>41556.0</v>
      </c>
      <c r="AD509" s="1">
        <v>8600.0</v>
      </c>
      <c r="AE509" s="1" t="s">
        <v>102</v>
      </c>
      <c r="AF509" s="1" t="s">
        <v>1434</v>
      </c>
      <c r="AG509" s="1" t="s">
        <v>1435</v>
      </c>
      <c r="AH509" s="1">
        <v>11.0</v>
      </c>
      <c r="AI509" s="1">
        <v>2013.0</v>
      </c>
      <c r="AJ509" s="1">
        <v>2014.0</v>
      </c>
      <c r="AK509" s="1" t="s">
        <v>367</v>
      </c>
    </row>
    <row r="510">
      <c r="A510" s="1" t="s">
        <v>1436</v>
      </c>
      <c r="B510" s="1" t="s">
        <v>1436</v>
      </c>
      <c r="C510" s="1" t="s">
        <v>964</v>
      </c>
      <c r="E510" s="1">
        <v>419998.0</v>
      </c>
      <c r="F510" s="2">
        <v>41183.0</v>
      </c>
      <c r="G510" s="1" t="s">
        <v>1437</v>
      </c>
      <c r="I510" s="1" t="s">
        <v>1437</v>
      </c>
      <c r="L510" s="1" t="s">
        <v>40</v>
      </c>
      <c r="M510" s="1">
        <v>7500.0</v>
      </c>
      <c r="N510" s="1" t="s">
        <v>40</v>
      </c>
      <c r="O510" s="1">
        <v>3.8775243E7</v>
      </c>
      <c r="P510" s="1" t="s">
        <v>209</v>
      </c>
      <c r="Q510" s="1" t="s">
        <v>210</v>
      </c>
      <c r="R510" s="1" t="s">
        <v>211</v>
      </c>
      <c r="S510" s="1" t="s">
        <v>44</v>
      </c>
      <c r="T510" s="1" t="s">
        <v>45</v>
      </c>
      <c r="U510" s="1">
        <v>4.82023068E8</v>
      </c>
      <c r="W510" s="1" t="s">
        <v>46</v>
      </c>
      <c r="X510" s="1" t="s">
        <v>45</v>
      </c>
      <c r="Y510" s="1">
        <v>4.82023068E8</v>
      </c>
      <c r="Z510" s="1">
        <v>3.8775243E7</v>
      </c>
      <c r="AA510" s="1" t="s">
        <v>209</v>
      </c>
      <c r="AB510" s="1">
        <v>136435.82</v>
      </c>
      <c r="AC510" s="2">
        <v>41183.0</v>
      </c>
      <c r="AD510" s="1">
        <v>7500.0</v>
      </c>
      <c r="AE510" s="1" t="s">
        <v>40</v>
      </c>
      <c r="AF510" s="1">
        <v>2.0131223E7</v>
      </c>
      <c r="AG510" s="1" t="s">
        <v>1438</v>
      </c>
      <c r="AH510" s="1">
        <v>10.0</v>
      </c>
      <c r="AI510" s="1">
        <v>2010.0</v>
      </c>
      <c r="AJ510" s="1">
        <v>2013.0</v>
      </c>
      <c r="AK510" s="1" t="s">
        <v>1439</v>
      </c>
    </row>
    <row r="511">
      <c r="A511" s="1" t="s">
        <v>1440</v>
      </c>
      <c r="B511" s="1" t="s">
        <v>1440</v>
      </c>
      <c r="C511" s="1" t="s">
        <v>38</v>
      </c>
      <c r="E511" s="1">
        <v>1597822.0</v>
      </c>
      <c r="F511" s="2">
        <v>41333.0</v>
      </c>
      <c r="G511" s="1" t="s">
        <v>1441</v>
      </c>
      <c r="I511" s="1" t="s">
        <v>1441</v>
      </c>
      <c r="L511" s="1" t="s">
        <v>40</v>
      </c>
      <c r="M511" s="1">
        <v>7500.0</v>
      </c>
      <c r="N511" s="1" t="s">
        <v>40</v>
      </c>
      <c r="O511" s="1">
        <v>7.3134603E7</v>
      </c>
      <c r="P511" s="1" t="s">
        <v>41</v>
      </c>
      <c r="Q511" s="1" t="s">
        <v>252</v>
      </c>
      <c r="R511" s="1" t="s">
        <v>253</v>
      </c>
      <c r="S511" s="1" t="s">
        <v>44</v>
      </c>
      <c r="T511" s="1" t="s">
        <v>45</v>
      </c>
      <c r="U511" s="1">
        <v>4.8202345E8</v>
      </c>
      <c r="W511" s="1" t="s">
        <v>46</v>
      </c>
      <c r="X511" s="1" t="s">
        <v>45</v>
      </c>
      <c r="Y511" s="1">
        <v>4.82022689E8</v>
      </c>
      <c r="Z511" s="1">
        <v>7.3134603E7</v>
      </c>
      <c r="AA511" s="1" t="s">
        <v>41</v>
      </c>
      <c r="AB511" s="1">
        <v>99986.0</v>
      </c>
      <c r="AC511" s="2">
        <v>41333.0</v>
      </c>
      <c r="AD511" s="1">
        <v>7500.0</v>
      </c>
      <c r="AE511" s="1" t="s">
        <v>40</v>
      </c>
      <c r="AF511" s="1">
        <v>16199.0</v>
      </c>
      <c r="AG511" s="1" t="s">
        <v>1442</v>
      </c>
      <c r="AH511" s="1">
        <v>5.0</v>
      </c>
      <c r="AI511" s="1">
        <v>2013.0</v>
      </c>
      <c r="AJ511" s="1">
        <v>2013.0</v>
      </c>
      <c r="AK511" s="1" t="s">
        <v>1443</v>
      </c>
    </row>
    <row r="512">
      <c r="A512" s="1" t="s">
        <v>137</v>
      </c>
      <c r="B512" s="1" t="s">
        <v>137</v>
      </c>
      <c r="C512" s="1" t="s">
        <v>129</v>
      </c>
      <c r="E512" s="1">
        <v>2.4074844E7</v>
      </c>
      <c r="F512" s="2">
        <v>41544.0</v>
      </c>
      <c r="G512" s="1" t="s">
        <v>138</v>
      </c>
      <c r="I512" s="1" t="s">
        <v>138</v>
      </c>
      <c r="L512" s="1" t="s">
        <v>40</v>
      </c>
      <c r="M512" s="1">
        <v>7500.0</v>
      </c>
      <c r="N512" s="1" t="s">
        <v>40</v>
      </c>
      <c r="O512" s="1">
        <v>6.9840817E7</v>
      </c>
      <c r="P512" s="1" t="s">
        <v>131</v>
      </c>
      <c r="R512" s="1" t="s">
        <v>132</v>
      </c>
      <c r="S512" s="1" t="s">
        <v>44</v>
      </c>
      <c r="T512" s="1" t="s">
        <v>45</v>
      </c>
      <c r="U512" s="1">
        <v>4.8214261E8</v>
      </c>
      <c r="W512" s="1" t="s">
        <v>46</v>
      </c>
      <c r="X512" s="1" t="s">
        <v>45</v>
      </c>
      <c r="Y512" s="1">
        <v>4.8214261E8</v>
      </c>
      <c r="Z512" s="1">
        <v>6.9840817E7</v>
      </c>
      <c r="AA512" s="1" t="s">
        <v>131</v>
      </c>
      <c r="AB512" s="1">
        <v>441454.0</v>
      </c>
      <c r="AC512" s="2">
        <v>41544.0</v>
      </c>
      <c r="AD512" s="1">
        <v>7500.0</v>
      </c>
      <c r="AE512" s="1" t="s">
        <v>40</v>
      </c>
      <c r="AF512" s="1" t="s">
        <v>1444</v>
      </c>
      <c r="AG512" s="1" t="s">
        <v>140</v>
      </c>
      <c r="AH512" s="1">
        <v>9.0</v>
      </c>
      <c r="AI512" s="1">
        <v>2013.0</v>
      </c>
      <c r="AJ512" s="1">
        <v>2013.0</v>
      </c>
      <c r="AK512" s="1" t="s">
        <v>141</v>
      </c>
    </row>
    <row r="513">
      <c r="A513" s="1" t="s">
        <v>1445</v>
      </c>
      <c r="B513" s="1" t="s">
        <v>1445</v>
      </c>
      <c r="C513" s="1" t="s">
        <v>1446</v>
      </c>
      <c r="E513" s="1">
        <v>485375.0</v>
      </c>
      <c r="F513" s="2">
        <v>41556.0</v>
      </c>
      <c r="G513" s="1" t="s">
        <v>1447</v>
      </c>
      <c r="I513" s="1" t="s">
        <v>1447</v>
      </c>
      <c r="L513" s="1" t="s">
        <v>1079</v>
      </c>
      <c r="M513" s="1">
        <v>7000.0</v>
      </c>
      <c r="N513" s="1" t="s">
        <v>1079</v>
      </c>
      <c r="O513" s="1">
        <v>1.31421091E8</v>
      </c>
      <c r="P513" s="1" t="s">
        <v>41</v>
      </c>
      <c r="Q513" s="1" t="s">
        <v>1448</v>
      </c>
      <c r="R513" s="1" t="s">
        <v>1449</v>
      </c>
      <c r="S513" s="1" t="s">
        <v>44</v>
      </c>
      <c r="T513" s="1" t="s">
        <v>45</v>
      </c>
      <c r="U513" s="1">
        <v>4.82022689E8</v>
      </c>
      <c r="W513" s="1" t="s">
        <v>46</v>
      </c>
      <c r="X513" s="1" t="s">
        <v>45</v>
      </c>
      <c r="Y513" s="1">
        <v>4.82022689E8</v>
      </c>
      <c r="Z513" s="1">
        <v>7.3134603E7</v>
      </c>
      <c r="AA513" s="1" t="s">
        <v>41</v>
      </c>
      <c r="AB513" s="1">
        <v>71250.0</v>
      </c>
      <c r="AC513" s="2">
        <v>41556.0</v>
      </c>
      <c r="AD513" s="1">
        <v>7000.0</v>
      </c>
      <c r="AE513" s="1" t="s">
        <v>1079</v>
      </c>
      <c r="AF513" s="1" t="s">
        <v>1450</v>
      </c>
      <c r="AG513" s="1" t="s">
        <v>1450</v>
      </c>
      <c r="AH513" s="1">
        <v>12.0</v>
      </c>
      <c r="AI513" s="1">
        <v>2013.0</v>
      </c>
      <c r="AJ513" s="1">
        <v>2014.0</v>
      </c>
      <c r="AK513" s="1" t="s">
        <v>1451</v>
      </c>
    </row>
    <row r="514">
      <c r="A514" s="1" t="s">
        <v>1452</v>
      </c>
      <c r="B514" s="1" t="s">
        <v>1452</v>
      </c>
      <c r="C514" s="1" t="s">
        <v>129</v>
      </c>
      <c r="E514" s="1">
        <v>1649300.0</v>
      </c>
      <c r="F514" s="2">
        <v>41183.0</v>
      </c>
      <c r="G514" s="1" t="s">
        <v>1453</v>
      </c>
      <c r="I514" s="1" t="s">
        <v>1453</v>
      </c>
      <c r="L514" s="1" t="s">
        <v>40</v>
      </c>
      <c r="M514" s="1">
        <v>7500.0</v>
      </c>
      <c r="N514" s="1" t="s">
        <v>40</v>
      </c>
      <c r="O514" s="1">
        <v>1.41947783E8</v>
      </c>
      <c r="P514" s="1" t="s">
        <v>144</v>
      </c>
      <c r="R514" s="1" t="s">
        <v>145</v>
      </c>
      <c r="S514" s="1" t="s">
        <v>44</v>
      </c>
      <c r="T514" s="1" t="s">
        <v>45</v>
      </c>
      <c r="U514" s="1">
        <v>4.82362148E8</v>
      </c>
      <c r="W514" s="1" t="s">
        <v>46</v>
      </c>
      <c r="X514" s="1" t="s">
        <v>45</v>
      </c>
      <c r="Y514" s="1">
        <v>4.82362148E8</v>
      </c>
      <c r="AB514" s="1">
        <v>100000.0</v>
      </c>
      <c r="AC514" s="2">
        <v>41183.0</v>
      </c>
      <c r="AD514" s="1">
        <v>7500.0</v>
      </c>
      <c r="AE514" s="1" t="s">
        <v>40</v>
      </c>
      <c r="AF514" s="1">
        <v>2.0130452E7</v>
      </c>
      <c r="AG514" s="1" t="s">
        <v>146</v>
      </c>
      <c r="AH514" s="1">
        <v>10.0</v>
      </c>
      <c r="AI514" s="1">
        <v>2011.0</v>
      </c>
      <c r="AJ514" s="1">
        <v>2013.0</v>
      </c>
      <c r="AK514" s="1" t="s">
        <v>147</v>
      </c>
    </row>
    <row r="515">
      <c r="A515" s="1" t="s">
        <v>1418</v>
      </c>
      <c r="B515" s="1" t="s">
        <v>1418</v>
      </c>
      <c r="C515" s="1" t="s">
        <v>70</v>
      </c>
      <c r="E515" s="1">
        <v>1.1529408E7</v>
      </c>
      <c r="F515" s="2">
        <v>41548.0</v>
      </c>
      <c r="G515" s="1" t="s">
        <v>1419</v>
      </c>
      <c r="I515" s="1" t="s">
        <v>1419</v>
      </c>
      <c r="L515" s="1" t="s">
        <v>72</v>
      </c>
      <c r="M515" s="1">
        <v>1500.0</v>
      </c>
      <c r="N515" s="1" t="s">
        <v>72</v>
      </c>
      <c r="O515" s="1">
        <v>7.3134884E7</v>
      </c>
      <c r="P515" s="1" t="s">
        <v>259</v>
      </c>
      <c r="R515" s="1" t="s">
        <v>286</v>
      </c>
      <c r="S515" s="1" t="s">
        <v>44</v>
      </c>
      <c r="T515" s="1" t="s">
        <v>45</v>
      </c>
      <c r="U515" s="1">
        <v>4.82262841E8</v>
      </c>
      <c r="W515" s="1" t="s">
        <v>46</v>
      </c>
      <c r="X515" s="1" t="s">
        <v>45</v>
      </c>
      <c r="Y515" s="1">
        <v>4.8226348E8</v>
      </c>
      <c r="Z515" s="1">
        <v>7.3134884E7</v>
      </c>
      <c r="AA515" s="1" t="s">
        <v>261</v>
      </c>
      <c r="AB515" s="1">
        <v>349020.0</v>
      </c>
      <c r="AC515" s="2">
        <v>41548.0</v>
      </c>
      <c r="AD515" s="1">
        <v>1500.0</v>
      </c>
      <c r="AE515" s="1" t="s">
        <v>72</v>
      </c>
      <c r="AF515" s="1">
        <v>2.0141068E7</v>
      </c>
      <c r="AG515" s="1" t="s">
        <v>1422</v>
      </c>
      <c r="AH515" s="1">
        <v>10.0</v>
      </c>
      <c r="AI515" s="1">
        <v>2011.0</v>
      </c>
      <c r="AJ515" s="1">
        <v>2014.0</v>
      </c>
      <c r="AK515" s="1" t="s">
        <v>1130</v>
      </c>
    </row>
    <row r="516">
      <c r="A516" s="1" t="s">
        <v>1418</v>
      </c>
      <c r="B516" s="1" t="s">
        <v>1418</v>
      </c>
      <c r="C516" s="1" t="s">
        <v>70</v>
      </c>
      <c r="E516" s="1">
        <v>1.1529408E7</v>
      </c>
      <c r="F516" s="2">
        <v>41183.0</v>
      </c>
      <c r="G516" s="1" t="s">
        <v>1419</v>
      </c>
      <c r="I516" s="1" t="s">
        <v>1419</v>
      </c>
      <c r="L516" s="1" t="s">
        <v>72</v>
      </c>
      <c r="M516" s="1">
        <v>1500.0</v>
      </c>
      <c r="N516" s="1" t="s">
        <v>72</v>
      </c>
      <c r="O516" s="1">
        <v>1.41947783E8</v>
      </c>
      <c r="P516" s="1" t="s">
        <v>144</v>
      </c>
      <c r="R516" s="1" t="s">
        <v>145</v>
      </c>
      <c r="S516" s="1" t="s">
        <v>44</v>
      </c>
      <c r="T516" s="1" t="s">
        <v>45</v>
      </c>
      <c r="U516" s="1">
        <v>4.82362148E8</v>
      </c>
      <c r="W516" s="1" t="s">
        <v>1454</v>
      </c>
      <c r="X516" s="1" t="s">
        <v>45</v>
      </c>
      <c r="Y516" s="1">
        <v>4.80922468E8</v>
      </c>
      <c r="AB516" s="1">
        <v>176220.0</v>
      </c>
      <c r="AC516" s="2">
        <v>41183.0</v>
      </c>
      <c r="AD516" s="1">
        <v>1500.0</v>
      </c>
      <c r="AE516" s="1" t="s">
        <v>72</v>
      </c>
      <c r="AF516" s="1">
        <v>2.0130692E7</v>
      </c>
      <c r="AG516" s="1" t="s">
        <v>1422</v>
      </c>
      <c r="AH516" s="1">
        <v>10.0</v>
      </c>
      <c r="AI516" s="1">
        <v>2011.0</v>
      </c>
      <c r="AJ516" s="1">
        <v>2013.0</v>
      </c>
      <c r="AK516" s="1" t="s">
        <v>1130</v>
      </c>
    </row>
    <row r="517">
      <c r="A517" s="1" t="s">
        <v>1418</v>
      </c>
      <c r="B517" s="1" t="s">
        <v>1418</v>
      </c>
      <c r="C517" s="1" t="s">
        <v>70</v>
      </c>
      <c r="E517" s="1">
        <v>1.1529408E7</v>
      </c>
      <c r="F517" s="2">
        <v>41183.0</v>
      </c>
      <c r="G517" s="1" t="s">
        <v>1419</v>
      </c>
      <c r="I517" s="1" t="s">
        <v>1419</v>
      </c>
      <c r="L517" s="1" t="s">
        <v>72</v>
      </c>
      <c r="M517" s="1">
        <v>1500.0</v>
      </c>
      <c r="N517" s="1" t="s">
        <v>72</v>
      </c>
      <c r="O517" s="1">
        <v>1.37199266E8</v>
      </c>
      <c r="P517" s="1" t="s">
        <v>73</v>
      </c>
      <c r="Q517" s="1" t="s">
        <v>74</v>
      </c>
      <c r="R517" s="1" t="s">
        <v>75</v>
      </c>
      <c r="S517" s="1" t="s">
        <v>44</v>
      </c>
      <c r="T517" s="1" t="s">
        <v>45</v>
      </c>
      <c r="U517" s="1">
        <v>4.82262308E8</v>
      </c>
      <c r="W517" s="1" t="s">
        <v>46</v>
      </c>
      <c r="X517" s="1" t="s">
        <v>45</v>
      </c>
      <c r="Y517" s="1">
        <v>4.82262308E8</v>
      </c>
      <c r="Z517" s="1">
        <v>6530661.0</v>
      </c>
      <c r="AA517" s="1" t="s">
        <v>76</v>
      </c>
      <c r="AB517" s="1">
        <v>718481.0</v>
      </c>
      <c r="AC517" s="2">
        <v>41183.0</v>
      </c>
      <c r="AD517" s="1">
        <v>1500.0</v>
      </c>
      <c r="AE517" s="1" t="s">
        <v>72</v>
      </c>
      <c r="AF517" s="1">
        <v>2.013065E7</v>
      </c>
      <c r="AG517" s="1" t="s">
        <v>1422</v>
      </c>
      <c r="AH517" s="1">
        <v>10.0</v>
      </c>
      <c r="AI517" s="1">
        <v>2011.0</v>
      </c>
      <c r="AJ517" s="1">
        <v>2013.0</v>
      </c>
      <c r="AK517" s="1" t="s">
        <v>1130</v>
      </c>
    </row>
    <row r="518">
      <c r="A518" s="1" t="s">
        <v>1418</v>
      </c>
      <c r="B518" s="1" t="s">
        <v>1418</v>
      </c>
      <c r="C518" s="1" t="s">
        <v>70</v>
      </c>
      <c r="E518" s="1">
        <v>1.1529408E7</v>
      </c>
      <c r="F518" s="2">
        <v>41548.0</v>
      </c>
      <c r="G518" s="1" t="s">
        <v>1419</v>
      </c>
      <c r="I518" s="1" t="s">
        <v>1419</v>
      </c>
      <c r="L518" s="1" t="s">
        <v>72</v>
      </c>
      <c r="M518" s="1">
        <v>1500.0</v>
      </c>
      <c r="N518" s="1" t="s">
        <v>72</v>
      </c>
      <c r="O518" s="1">
        <v>7.89629859E8</v>
      </c>
      <c r="P518" s="1" t="s">
        <v>416</v>
      </c>
      <c r="R518" s="1" t="s">
        <v>417</v>
      </c>
      <c r="S518" s="1" t="s">
        <v>44</v>
      </c>
      <c r="T518" s="1" t="s">
        <v>45</v>
      </c>
      <c r="U518" s="1">
        <v>4.82343241E8</v>
      </c>
      <c r="W518" s="1" t="s">
        <v>46</v>
      </c>
      <c r="X518" s="1" t="s">
        <v>45</v>
      </c>
      <c r="Y518" s="1">
        <v>4.82343241E8</v>
      </c>
      <c r="AB518" s="1">
        <v>43315.0</v>
      </c>
      <c r="AC518" s="2">
        <v>41548.0</v>
      </c>
      <c r="AD518" s="1">
        <v>1500.0</v>
      </c>
      <c r="AE518" s="1" t="s">
        <v>72</v>
      </c>
      <c r="AF518" s="1">
        <v>2.0141069E7</v>
      </c>
      <c r="AG518" s="1" t="s">
        <v>1422</v>
      </c>
      <c r="AH518" s="1">
        <v>10.0</v>
      </c>
      <c r="AI518" s="1">
        <v>2011.0</v>
      </c>
      <c r="AJ518" s="1">
        <v>2014.0</v>
      </c>
      <c r="AK518" s="1" t="s">
        <v>1130</v>
      </c>
    </row>
    <row r="519">
      <c r="A519" s="1" t="s">
        <v>1455</v>
      </c>
      <c r="B519" s="1" t="s">
        <v>1455</v>
      </c>
      <c r="C519" s="1" t="s">
        <v>1446</v>
      </c>
      <c r="E519" s="1">
        <v>8690824.0</v>
      </c>
      <c r="F519" s="2">
        <v>41523.0</v>
      </c>
      <c r="G519" s="1" t="s">
        <v>1456</v>
      </c>
      <c r="I519" s="1" t="s">
        <v>1456</v>
      </c>
      <c r="L519" s="1" t="s">
        <v>1079</v>
      </c>
      <c r="M519" s="1">
        <v>7000.0</v>
      </c>
      <c r="N519" s="1" t="s">
        <v>1079</v>
      </c>
      <c r="O519" s="1">
        <v>7.3134884E7</v>
      </c>
      <c r="P519" s="1" t="s">
        <v>259</v>
      </c>
      <c r="R519" s="1" t="s">
        <v>286</v>
      </c>
      <c r="S519" s="1" t="s">
        <v>44</v>
      </c>
      <c r="T519" s="1" t="s">
        <v>45</v>
      </c>
      <c r="U519" s="1">
        <v>4.82262841E8</v>
      </c>
      <c r="W519" s="1" t="s">
        <v>46</v>
      </c>
      <c r="X519" s="1" t="s">
        <v>45</v>
      </c>
      <c r="Y519" s="1">
        <v>4.82262841E8</v>
      </c>
      <c r="Z519" s="1">
        <v>7.3134884E7</v>
      </c>
      <c r="AA519" s="1" t="s">
        <v>261</v>
      </c>
      <c r="AB519" s="1">
        <v>65933.0</v>
      </c>
      <c r="AC519" s="2">
        <v>41523.0</v>
      </c>
      <c r="AD519" s="1">
        <v>7000.0</v>
      </c>
      <c r="AE519" s="1" t="s">
        <v>1079</v>
      </c>
      <c r="AF519" s="1" t="s">
        <v>1457</v>
      </c>
      <c r="AG519" s="1" t="s">
        <v>1457</v>
      </c>
      <c r="AH519" s="1">
        <v>10.0</v>
      </c>
      <c r="AI519" s="1">
        <v>2013.0</v>
      </c>
      <c r="AJ519" s="1">
        <v>2013.0</v>
      </c>
      <c r="AK519" s="1" t="s">
        <v>1458</v>
      </c>
    </row>
    <row r="520">
      <c r="A520" s="1" t="s">
        <v>1455</v>
      </c>
      <c r="B520" s="1" t="s">
        <v>1455</v>
      </c>
      <c r="C520" s="1" t="s">
        <v>1446</v>
      </c>
      <c r="E520" s="1">
        <v>8690824.0</v>
      </c>
      <c r="F520" s="2">
        <v>41523.0</v>
      </c>
      <c r="G520" s="1" t="s">
        <v>1456</v>
      </c>
      <c r="I520" s="1" t="s">
        <v>1456</v>
      </c>
      <c r="L520" s="1" t="s">
        <v>1079</v>
      </c>
      <c r="M520" s="1">
        <v>7000.0</v>
      </c>
      <c r="N520" s="1" t="s">
        <v>1079</v>
      </c>
      <c r="O520" s="1">
        <v>6530661.0</v>
      </c>
      <c r="P520" s="1" t="s">
        <v>73</v>
      </c>
      <c r="Q520" s="1" t="s">
        <v>323</v>
      </c>
      <c r="R520" s="1" t="s">
        <v>324</v>
      </c>
      <c r="S520" s="1" t="s">
        <v>44</v>
      </c>
      <c r="T520" s="1" t="s">
        <v>45</v>
      </c>
      <c r="U520" s="1">
        <v>4.8226E8</v>
      </c>
      <c r="W520" s="1" t="s">
        <v>46</v>
      </c>
      <c r="X520" s="1" t="s">
        <v>45</v>
      </c>
      <c r="Y520" s="1">
        <v>48226.0</v>
      </c>
      <c r="Z520" s="1">
        <v>6530661.0</v>
      </c>
      <c r="AA520" s="1" t="s">
        <v>76</v>
      </c>
      <c r="AB520" s="1">
        <v>43422.0</v>
      </c>
      <c r="AC520" s="2">
        <v>41523.0</v>
      </c>
      <c r="AD520" s="1">
        <v>7000.0</v>
      </c>
      <c r="AE520" s="1" t="s">
        <v>1079</v>
      </c>
      <c r="AF520" s="1" t="s">
        <v>1459</v>
      </c>
      <c r="AG520" s="1" t="s">
        <v>1459</v>
      </c>
      <c r="AH520" s="1">
        <v>10.0</v>
      </c>
      <c r="AI520" s="1">
        <v>2013.0</v>
      </c>
      <c r="AJ520" s="1">
        <v>2013.0</v>
      </c>
      <c r="AK520" s="1" t="s">
        <v>1458</v>
      </c>
    </row>
    <row r="521">
      <c r="A521" s="1" t="s">
        <v>1122</v>
      </c>
      <c r="B521" s="1" t="s">
        <v>1122</v>
      </c>
      <c r="C521" s="1" t="s">
        <v>100</v>
      </c>
      <c r="E521" s="1">
        <v>1.9727792E7</v>
      </c>
      <c r="F521" s="2">
        <v>41487.0</v>
      </c>
      <c r="G521" s="1" t="s">
        <v>122</v>
      </c>
      <c r="I521" s="1" t="s">
        <v>122</v>
      </c>
      <c r="L521" s="1" t="s">
        <v>102</v>
      </c>
      <c r="M521" s="1">
        <v>8600.0</v>
      </c>
      <c r="N521" s="1" t="s">
        <v>102</v>
      </c>
      <c r="O521" s="1">
        <v>3.9632237E7</v>
      </c>
      <c r="P521" s="1" t="s">
        <v>1460</v>
      </c>
      <c r="Q521" s="1" t="s">
        <v>1461</v>
      </c>
      <c r="R521" s="1" t="s">
        <v>1462</v>
      </c>
      <c r="S521" s="1" t="s">
        <v>44</v>
      </c>
      <c r="T521" s="1" t="s">
        <v>45</v>
      </c>
      <c r="U521" s="1">
        <v>4.82012009E8</v>
      </c>
      <c r="W521" s="1" t="s">
        <v>46</v>
      </c>
      <c r="X521" s="1" t="s">
        <v>45</v>
      </c>
      <c r="Y521" s="1">
        <v>4.82012009E8</v>
      </c>
      <c r="AB521" s="1">
        <v>45000.0</v>
      </c>
      <c r="AC521" s="2">
        <v>41487.0</v>
      </c>
      <c r="AD521" s="1">
        <v>8600.0</v>
      </c>
      <c r="AE521" s="1" t="s">
        <v>102</v>
      </c>
      <c r="AF521" s="1" t="s">
        <v>1463</v>
      </c>
      <c r="AG521" s="1" t="s">
        <v>1464</v>
      </c>
      <c r="AH521" s="1">
        <v>2.0</v>
      </c>
      <c r="AI521" s="1">
        <v>2014.0</v>
      </c>
      <c r="AJ521" s="1">
        <v>2013.0</v>
      </c>
      <c r="AK521" s="1" t="s">
        <v>127</v>
      </c>
    </row>
    <row r="522">
      <c r="A522" s="1" t="s">
        <v>1465</v>
      </c>
      <c r="B522" s="1" t="s">
        <v>1465</v>
      </c>
      <c r="C522" s="1" t="s">
        <v>38</v>
      </c>
      <c r="E522" s="1">
        <v>455332.0</v>
      </c>
      <c r="F522" s="2">
        <v>41670.0</v>
      </c>
      <c r="G522" s="1" t="s">
        <v>1466</v>
      </c>
      <c r="I522" s="1" t="s">
        <v>1466</v>
      </c>
      <c r="L522" s="1" t="s">
        <v>40</v>
      </c>
      <c r="M522" s="1">
        <v>7500.0</v>
      </c>
      <c r="N522" s="1" t="s">
        <v>40</v>
      </c>
      <c r="O522" s="1">
        <v>1962224.0</v>
      </c>
      <c r="P522" s="1" t="s">
        <v>52</v>
      </c>
      <c r="R522" s="1" t="s">
        <v>53</v>
      </c>
      <c r="S522" s="1" t="s">
        <v>44</v>
      </c>
      <c r="T522" s="1" t="s">
        <v>45</v>
      </c>
      <c r="U522" s="1">
        <v>4.82023692E8</v>
      </c>
      <c r="W522" s="1" t="s">
        <v>46</v>
      </c>
      <c r="X522" s="1" t="s">
        <v>45</v>
      </c>
      <c r="Y522" s="1">
        <v>4.8202405E8</v>
      </c>
      <c r="Z522" s="1">
        <v>1962224.0</v>
      </c>
      <c r="AA522" s="1" t="s">
        <v>52</v>
      </c>
      <c r="AB522" s="1">
        <v>34673.0</v>
      </c>
      <c r="AC522" s="2">
        <v>41670.0</v>
      </c>
      <c r="AD522" s="1">
        <v>7500.0</v>
      </c>
      <c r="AE522" s="1" t="s">
        <v>40</v>
      </c>
      <c r="AF522" s="1" t="s">
        <v>1467</v>
      </c>
      <c r="AG522" s="1" t="s">
        <v>1468</v>
      </c>
      <c r="AH522" s="1">
        <v>2.0</v>
      </c>
      <c r="AI522" s="1">
        <v>2014.0</v>
      </c>
      <c r="AJ522" s="1">
        <v>2014.0</v>
      </c>
      <c r="AK522" s="1" t="s">
        <v>338</v>
      </c>
    </row>
    <row r="523">
      <c r="A523" s="1" t="s">
        <v>214</v>
      </c>
      <c r="B523" s="1" t="s">
        <v>214</v>
      </c>
      <c r="C523" s="1" t="s">
        <v>50</v>
      </c>
      <c r="E523" s="1">
        <v>4500000.0</v>
      </c>
      <c r="F523" s="2">
        <v>41677.0</v>
      </c>
      <c r="G523" s="1" t="s">
        <v>215</v>
      </c>
      <c r="I523" s="1" t="s">
        <v>215</v>
      </c>
      <c r="L523" s="1" t="s">
        <v>50</v>
      </c>
      <c r="M523" s="1">
        <v>8900.0</v>
      </c>
      <c r="N523" s="1" t="s">
        <v>50</v>
      </c>
      <c r="O523" s="1">
        <v>6957872.0</v>
      </c>
      <c r="P523" s="1" t="s">
        <v>216</v>
      </c>
      <c r="Q523" s="1" t="s">
        <v>217</v>
      </c>
      <c r="R523" s="1" t="s">
        <v>218</v>
      </c>
      <c r="S523" s="1" t="s">
        <v>44</v>
      </c>
      <c r="T523" s="1" t="s">
        <v>45</v>
      </c>
      <c r="U523" s="1">
        <v>4.82261203E8</v>
      </c>
      <c r="W523" s="1" t="s">
        <v>46</v>
      </c>
      <c r="X523" s="1" t="s">
        <v>45</v>
      </c>
      <c r="Y523" s="1">
        <v>4.82261203E8</v>
      </c>
      <c r="Z523" s="1">
        <v>8.39329158E8</v>
      </c>
      <c r="AA523" s="1" t="s">
        <v>219</v>
      </c>
      <c r="AB523" s="1">
        <v>89395.0</v>
      </c>
      <c r="AC523" s="2">
        <v>41677.0</v>
      </c>
      <c r="AD523" s="1">
        <v>8900.0</v>
      </c>
      <c r="AE523" s="1" t="s">
        <v>50</v>
      </c>
      <c r="AF523" s="1">
        <v>1.0001146E7</v>
      </c>
      <c r="AG523" s="1" t="s">
        <v>1469</v>
      </c>
      <c r="AH523" s="1">
        <v>3.0</v>
      </c>
      <c r="AI523" s="1">
        <v>2014.0</v>
      </c>
      <c r="AJ523" s="1">
        <v>2014.0</v>
      </c>
      <c r="AK523" s="1" t="s">
        <v>222</v>
      </c>
    </row>
    <row r="524">
      <c r="A524" s="1" t="s">
        <v>1470</v>
      </c>
      <c r="B524" s="1" t="s">
        <v>1470</v>
      </c>
      <c r="C524" s="1" t="s">
        <v>1281</v>
      </c>
      <c r="E524" s="1">
        <v>5652841.0</v>
      </c>
      <c r="F524" s="2">
        <v>41518.0</v>
      </c>
      <c r="G524" s="1" t="s">
        <v>1298</v>
      </c>
      <c r="I524" s="1" t="s">
        <v>1298</v>
      </c>
      <c r="L524" s="1" t="s">
        <v>1281</v>
      </c>
      <c r="M524" s="1">
        <v>9577.0</v>
      </c>
      <c r="N524" s="1" t="s">
        <v>1281</v>
      </c>
      <c r="O524" s="1">
        <v>1.81595232E8</v>
      </c>
      <c r="P524" s="1" t="s">
        <v>1471</v>
      </c>
      <c r="R524" s="1" t="s">
        <v>1472</v>
      </c>
      <c r="S524" s="1" t="s">
        <v>44</v>
      </c>
      <c r="T524" s="1" t="s">
        <v>45</v>
      </c>
      <c r="U524" s="1">
        <v>4.82103249E8</v>
      </c>
      <c r="W524" s="1" t="s">
        <v>44</v>
      </c>
      <c r="X524" s="1" t="s">
        <v>45</v>
      </c>
      <c r="Y524" s="1">
        <v>4.82103249E8</v>
      </c>
      <c r="Z524" s="1">
        <v>1.81595232E8</v>
      </c>
      <c r="AA524" s="1" t="s">
        <v>1471</v>
      </c>
      <c r="AB524" s="1">
        <v>221969.0</v>
      </c>
      <c r="AC524" s="2">
        <v>41518.0</v>
      </c>
      <c r="AD524" s="1">
        <v>9577.0</v>
      </c>
      <c r="AE524" s="1" t="s">
        <v>1281</v>
      </c>
      <c r="AF524" s="1" t="s">
        <v>1473</v>
      </c>
      <c r="AG524" s="1" t="s">
        <v>1300</v>
      </c>
      <c r="AH524" s="1">
        <v>9.0</v>
      </c>
      <c r="AI524" s="1">
        <v>2013.0</v>
      </c>
      <c r="AJ524" s="1">
        <v>2013.0</v>
      </c>
      <c r="AK524" s="1" t="s">
        <v>1301</v>
      </c>
    </row>
    <row r="525">
      <c r="A525" s="1" t="s">
        <v>1474</v>
      </c>
      <c r="B525" s="1" t="s">
        <v>1474</v>
      </c>
      <c r="C525" s="1" t="s">
        <v>129</v>
      </c>
      <c r="E525" s="1">
        <v>7600000.0</v>
      </c>
      <c r="F525" s="2">
        <v>41548.0</v>
      </c>
      <c r="G525" s="1" t="s">
        <v>1475</v>
      </c>
      <c r="I525" s="1" t="s">
        <v>1475</v>
      </c>
      <c r="L525" s="1" t="s">
        <v>40</v>
      </c>
      <c r="M525" s="1">
        <v>7500.0</v>
      </c>
      <c r="N525" s="1" t="s">
        <v>40</v>
      </c>
      <c r="O525" s="1">
        <v>6.9840817E7</v>
      </c>
      <c r="P525" s="1" t="s">
        <v>131</v>
      </c>
      <c r="R525" s="1" t="s">
        <v>132</v>
      </c>
      <c r="S525" s="1" t="s">
        <v>44</v>
      </c>
      <c r="T525" s="1" t="s">
        <v>45</v>
      </c>
      <c r="U525" s="1">
        <v>4.8214261E8</v>
      </c>
      <c r="W525" s="1" t="s">
        <v>44</v>
      </c>
      <c r="X525" s="1" t="s">
        <v>45</v>
      </c>
      <c r="Y525" s="1">
        <v>4.8214261E8</v>
      </c>
      <c r="Z525" s="1">
        <v>6.9840817E7</v>
      </c>
      <c r="AA525" s="1" t="s">
        <v>131</v>
      </c>
      <c r="AB525" s="1">
        <v>120000.0</v>
      </c>
      <c r="AC525" s="2">
        <v>41548.0</v>
      </c>
      <c r="AD525" s="1">
        <v>7500.0</v>
      </c>
      <c r="AE525" s="1" t="s">
        <v>40</v>
      </c>
      <c r="AF525" s="1" t="s">
        <v>1476</v>
      </c>
      <c r="AG525" s="1" t="s">
        <v>1477</v>
      </c>
      <c r="AH525" s="1">
        <v>10.0</v>
      </c>
      <c r="AI525" s="1">
        <v>2013.0</v>
      </c>
      <c r="AJ525" s="1">
        <v>2014.0</v>
      </c>
      <c r="AK525" s="1" t="s">
        <v>398</v>
      </c>
    </row>
    <row r="526">
      <c r="A526" s="1" t="s">
        <v>1474</v>
      </c>
      <c r="B526" s="1" t="s">
        <v>1474</v>
      </c>
      <c r="C526" s="1" t="s">
        <v>129</v>
      </c>
      <c r="E526" s="1">
        <v>7600000.0</v>
      </c>
      <c r="F526" s="2">
        <v>41548.0</v>
      </c>
      <c r="G526" s="1" t="s">
        <v>1475</v>
      </c>
      <c r="I526" s="1" t="s">
        <v>1475</v>
      </c>
      <c r="L526" s="1" t="s">
        <v>40</v>
      </c>
      <c r="M526" s="1">
        <v>7500.0</v>
      </c>
      <c r="N526" s="1" t="s">
        <v>40</v>
      </c>
      <c r="O526" s="1">
        <v>6.9840817E7</v>
      </c>
      <c r="P526" s="1" t="s">
        <v>131</v>
      </c>
      <c r="R526" s="1" t="s">
        <v>132</v>
      </c>
      <c r="S526" s="1" t="s">
        <v>44</v>
      </c>
      <c r="T526" s="1" t="s">
        <v>45</v>
      </c>
      <c r="U526" s="1">
        <v>4.8214261E8</v>
      </c>
      <c r="W526" s="1" t="s">
        <v>44</v>
      </c>
      <c r="X526" s="1" t="s">
        <v>45</v>
      </c>
      <c r="Y526" s="1">
        <v>4.8214261E8</v>
      </c>
      <c r="Z526" s="1">
        <v>6.9840817E7</v>
      </c>
      <c r="AA526" s="1" t="s">
        <v>131</v>
      </c>
      <c r="AB526" s="1">
        <v>545000.0</v>
      </c>
      <c r="AC526" s="2">
        <v>41548.0</v>
      </c>
      <c r="AD526" s="1">
        <v>7500.0</v>
      </c>
      <c r="AE526" s="1" t="s">
        <v>40</v>
      </c>
      <c r="AF526" s="1" t="s">
        <v>1478</v>
      </c>
      <c r="AG526" s="1" t="s">
        <v>1479</v>
      </c>
      <c r="AH526" s="1">
        <v>10.0</v>
      </c>
      <c r="AI526" s="1">
        <v>2013.0</v>
      </c>
      <c r="AJ526" s="1">
        <v>2014.0</v>
      </c>
      <c r="AK526" s="1" t="s">
        <v>398</v>
      </c>
    </row>
    <row r="527">
      <c r="A527" s="1" t="s">
        <v>1474</v>
      </c>
      <c r="B527" s="1" t="s">
        <v>1474</v>
      </c>
      <c r="C527" s="1" t="s">
        <v>129</v>
      </c>
      <c r="E527" s="1">
        <v>7600000.0</v>
      </c>
      <c r="F527" s="2">
        <v>41548.0</v>
      </c>
      <c r="G527" s="1" t="s">
        <v>1475</v>
      </c>
      <c r="I527" s="1" t="s">
        <v>1475</v>
      </c>
      <c r="L527" s="1" t="s">
        <v>40</v>
      </c>
      <c r="M527" s="1">
        <v>7500.0</v>
      </c>
      <c r="N527" s="1" t="s">
        <v>40</v>
      </c>
      <c r="O527" s="1">
        <v>6.9840817E7</v>
      </c>
      <c r="P527" s="1" t="s">
        <v>131</v>
      </c>
      <c r="R527" s="1" t="s">
        <v>132</v>
      </c>
      <c r="S527" s="1" t="s">
        <v>44</v>
      </c>
      <c r="T527" s="1" t="s">
        <v>45</v>
      </c>
      <c r="U527" s="1">
        <v>4.8214261E8</v>
      </c>
      <c r="W527" s="1" t="s">
        <v>44</v>
      </c>
      <c r="X527" s="1" t="s">
        <v>45</v>
      </c>
      <c r="Y527" s="1">
        <v>4.8214261E8</v>
      </c>
      <c r="Z527" s="1">
        <v>6.9840817E7</v>
      </c>
      <c r="AA527" s="1" t="s">
        <v>131</v>
      </c>
      <c r="AB527" s="1">
        <v>120000.0</v>
      </c>
      <c r="AC527" s="2">
        <v>41548.0</v>
      </c>
      <c r="AD527" s="1">
        <v>7500.0</v>
      </c>
      <c r="AE527" s="1" t="s">
        <v>40</v>
      </c>
      <c r="AF527" s="1" t="s">
        <v>1480</v>
      </c>
      <c r="AG527" s="1" t="s">
        <v>1477</v>
      </c>
      <c r="AH527" s="1">
        <v>10.0</v>
      </c>
      <c r="AI527" s="1">
        <v>2013.0</v>
      </c>
      <c r="AJ527" s="1">
        <v>2014.0</v>
      </c>
      <c r="AK527" s="1" t="s">
        <v>398</v>
      </c>
    </row>
    <row r="528">
      <c r="A528" s="1" t="s">
        <v>1481</v>
      </c>
      <c r="B528" s="1" t="s">
        <v>1481</v>
      </c>
      <c r="C528" s="1" t="s">
        <v>1482</v>
      </c>
      <c r="E528" s="1">
        <v>522792.0</v>
      </c>
      <c r="F528" s="2">
        <v>41682.0</v>
      </c>
      <c r="G528" s="1" t="s">
        <v>1483</v>
      </c>
      <c r="I528" s="1" t="s">
        <v>1483</v>
      </c>
      <c r="L528" s="1" t="s">
        <v>431</v>
      </c>
      <c r="M528" s="1">
        <v>9700.0</v>
      </c>
      <c r="N528" s="1" t="s">
        <v>431</v>
      </c>
      <c r="O528" s="1">
        <v>7.4217316E7</v>
      </c>
      <c r="P528" s="1" t="s">
        <v>1484</v>
      </c>
      <c r="R528" s="1" t="s">
        <v>1485</v>
      </c>
      <c r="S528" s="1" t="s">
        <v>44</v>
      </c>
      <c r="T528" s="1" t="s">
        <v>45</v>
      </c>
      <c r="U528" s="1">
        <v>4.82012417E8</v>
      </c>
      <c r="W528" s="1" t="s">
        <v>46</v>
      </c>
      <c r="X528" s="1" t="s">
        <v>45</v>
      </c>
      <c r="Y528" s="1">
        <v>4.82012417E8</v>
      </c>
      <c r="Z528" s="1">
        <v>5.3866661E7</v>
      </c>
      <c r="AB528" s="1">
        <v>34398.0</v>
      </c>
      <c r="AC528" s="2">
        <v>41682.0</v>
      </c>
      <c r="AD528" s="1">
        <v>9700.0</v>
      </c>
      <c r="AE528" s="1" t="s">
        <v>431</v>
      </c>
      <c r="AF528" s="1">
        <v>3.002641509E9</v>
      </c>
      <c r="AG528" s="1" t="s">
        <v>1486</v>
      </c>
      <c r="AH528" s="1">
        <v>2.0</v>
      </c>
      <c r="AI528" s="1">
        <v>2014.0</v>
      </c>
      <c r="AJ528" s="1">
        <v>2014.0</v>
      </c>
      <c r="AK528" s="1" t="s">
        <v>435</v>
      </c>
    </row>
    <row r="529">
      <c r="A529" s="1" t="s">
        <v>1314</v>
      </c>
      <c r="B529" s="1" t="s">
        <v>1314</v>
      </c>
      <c r="C529" s="1" t="s">
        <v>70</v>
      </c>
      <c r="E529" s="1">
        <v>3726339.0</v>
      </c>
      <c r="F529" s="2">
        <v>41548.0</v>
      </c>
      <c r="G529" s="1" t="s">
        <v>1315</v>
      </c>
      <c r="I529" s="1" t="s">
        <v>1315</v>
      </c>
      <c r="L529" s="1" t="s">
        <v>72</v>
      </c>
      <c r="M529" s="1">
        <v>1500.0</v>
      </c>
      <c r="N529" s="1" t="s">
        <v>72</v>
      </c>
      <c r="O529" s="1">
        <v>1.21516199E8</v>
      </c>
      <c r="P529" s="1" t="s">
        <v>380</v>
      </c>
      <c r="Q529" s="1" t="s">
        <v>381</v>
      </c>
      <c r="R529" s="1" t="s">
        <v>382</v>
      </c>
      <c r="S529" s="1" t="s">
        <v>44</v>
      </c>
      <c r="T529" s="1" t="s">
        <v>45</v>
      </c>
      <c r="U529" s="1">
        <v>4.82073156E8</v>
      </c>
      <c r="W529" s="1" t="s">
        <v>44</v>
      </c>
      <c r="X529" s="1" t="s">
        <v>45</v>
      </c>
      <c r="Y529" s="1">
        <v>4.82073156E8</v>
      </c>
      <c r="Z529" s="1">
        <v>1.21516199E8</v>
      </c>
      <c r="AA529" s="1" t="s">
        <v>380</v>
      </c>
      <c r="AB529" s="1">
        <v>105765.0</v>
      </c>
      <c r="AC529" s="2">
        <v>41548.0</v>
      </c>
      <c r="AD529" s="1">
        <v>1500.0</v>
      </c>
      <c r="AE529" s="1" t="s">
        <v>72</v>
      </c>
      <c r="AF529" s="1" t="s">
        <v>1324</v>
      </c>
      <c r="AG529" s="1" t="s">
        <v>1323</v>
      </c>
      <c r="AH529" s="1">
        <v>3.0</v>
      </c>
      <c r="AI529" s="1">
        <v>2014.0</v>
      </c>
      <c r="AJ529" s="1">
        <v>2014.0</v>
      </c>
      <c r="AK529" s="1" t="s">
        <v>1321</v>
      </c>
    </row>
    <row r="530">
      <c r="A530" s="1" t="s">
        <v>1487</v>
      </c>
      <c r="B530" s="1" t="s">
        <v>1487</v>
      </c>
      <c r="C530" s="1" t="s">
        <v>129</v>
      </c>
      <c r="E530" s="1">
        <v>1789109.0</v>
      </c>
      <c r="F530" s="2">
        <v>41548.0</v>
      </c>
      <c r="G530" s="1" t="s">
        <v>1488</v>
      </c>
      <c r="I530" s="1" t="s">
        <v>1488</v>
      </c>
      <c r="L530" s="1" t="s">
        <v>40</v>
      </c>
      <c r="M530" s="1">
        <v>7500.0</v>
      </c>
      <c r="N530" s="1" t="s">
        <v>40</v>
      </c>
      <c r="O530" s="1">
        <v>6.9840817E7</v>
      </c>
      <c r="P530" s="1" t="s">
        <v>131</v>
      </c>
      <c r="R530" s="1" t="s">
        <v>132</v>
      </c>
      <c r="S530" s="1" t="s">
        <v>44</v>
      </c>
      <c r="T530" s="1" t="s">
        <v>45</v>
      </c>
      <c r="U530" s="1">
        <v>4.8214261E8</v>
      </c>
      <c r="W530" s="1" t="s">
        <v>1489</v>
      </c>
      <c r="X530" s="1" t="s">
        <v>45</v>
      </c>
      <c r="Y530" s="1">
        <v>4.92012394E8</v>
      </c>
      <c r="Z530" s="1">
        <v>6.9840817E7</v>
      </c>
      <c r="AA530" s="1" t="s">
        <v>131</v>
      </c>
      <c r="AB530" s="1">
        <v>1840000.0</v>
      </c>
      <c r="AC530" s="2">
        <v>41548.0</v>
      </c>
      <c r="AD530" s="1">
        <v>7500.0</v>
      </c>
      <c r="AE530" s="1" t="s">
        <v>40</v>
      </c>
      <c r="AF530" s="1" t="s">
        <v>1490</v>
      </c>
      <c r="AG530" s="1" t="s">
        <v>1491</v>
      </c>
      <c r="AH530" s="1">
        <v>10.0</v>
      </c>
      <c r="AI530" s="1">
        <v>2013.0</v>
      </c>
      <c r="AJ530" s="1">
        <v>2014.0</v>
      </c>
      <c r="AK530" s="1" t="s">
        <v>1492</v>
      </c>
    </row>
    <row r="531">
      <c r="A531" s="1" t="s">
        <v>1474</v>
      </c>
      <c r="B531" s="1" t="s">
        <v>1474</v>
      </c>
      <c r="C531" s="1" t="s">
        <v>129</v>
      </c>
      <c r="E531" s="1">
        <v>7600000.0</v>
      </c>
      <c r="F531" s="2">
        <v>41548.0</v>
      </c>
      <c r="G531" s="1" t="s">
        <v>1475</v>
      </c>
      <c r="I531" s="1" t="s">
        <v>1475</v>
      </c>
      <c r="L531" s="1" t="s">
        <v>40</v>
      </c>
      <c r="M531" s="1">
        <v>7500.0</v>
      </c>
      <c r="N531" s="1" t="s">
        <v>40</v>
      </c>
      <c r="O531" s="1">
        <v>6.9840817E7</v>
      </c>
      <c r="P531" s="1" t="s">
        <v>131</v>
      </c>
      <c r="R531" s="1" t="s">
        <v>132</v>
      </c>
      <c r="S531" s="1" t="s">
        <v>44</v>
      </c>
      <c r="T531" s="1" t="s">
        <v>45</v>
      </c>
      <c r="U531" s="1">
        <v>4.8214261E8</v>
      </c>
      <c r="W531" s="1" t="s">
        <v>44</v>
      </c>
      <c r="X531" s="1" t="s">
        <v>45</v>
      </c>
      <c r="Y531" s="1">
        <v>4.8214261E8</v>
      </c>
      <c r="Z531" s="1">
        <v>6.9840817E7</v>
      </c>
      <c r="AA531" s="1" t="s">
        <v>131</v>
      </c>
      <c r="AB531" s="1">
        <v>120000.0</v>
      </c>
      <c r="AC531" s="2">
        <v>41548.0</v>
      </c>
      <c r="AD531" s="1">
        <v>7500.0</v>
      </c>
      <c r="AE531" s="1" t="s">
        <v>40</v>
      </c>
      <c r="AF531" s="1" t="s">
        <v>1493</v>
      </c>
      <c r="AG531" s="1" t="s">
        <v>1479</v>
      </c>
      <c r="AH531" s="1">
        <v>10.0</v>
      </c>
      <c r="AI531" s="1">
        <v>2013.0</v>
      </c>
      <c r="AJ531" s="1">
        <v>2014.0</v>
      </c>
      <c r="AK531" s="1" t="s">
        <v>398</v>
      </c>
    </row>
    <row r="532">
      <c r="A532" s="1" t="s">
        <v>1474</v>
      </c>
      <c r="B532" s="1" t="s">
        <v>1474</v>
      </c>
      <c r="C532" s="1" t="s">
        <v>129</v>
      </c>
      <c r="E532" s="1">
        <v>7600000.0</v>
      </c>
      <c r="F532" s="2">
        <v>41548.0</v>
      </c>
      <c r="G532" s="1" t="s">
        <v>1475</v>
      </c>
      <c r="I532" s="1" t="s">
        <v>1475</v>
      </c>
      <c r="L532" s="1" t="s">
        <v>40</v>
      </c>
      <c r="M532" s="1">
        <v>7500.0</v>
      </c>
      <c r="N532" s="1" t="s">
        <v>40</v>
      </c>
      <c r="O532" s="1">
        <v>6.9840817E7</v>
      </c>
      <c r="P532" s="1" t="s">
        <v>131</v>
      </c>
      <c r="R532" s="1" t="s">
        <v>132</v>
      </c>
      <c r="S532" s="1" t="s">
        <v>44</v>
      </c>
      <c r="T532" s="1" t="s">
        <v>45</v>
      </c>
      <c r="U532" s="1">
        <v>4.8214261E8</v>
      </c>
      <c r="W532" s="1" t="s">
        <v>44</v>
      </c>
      <c r="X532" s="1" t="s">
        <v>45</v>
      </c>
      <c r="Y532" s="1">
        <v>4.8214261E8</v>
      </c>
      <c r="Z532" s="1">
        <v>6.9840817E7</v>
      </c>
      <c r="AA532" s="1" t="s">
        <v>131</v>
      </c>
      <c r="AB532" s="1">
        <v>730141.0</v>
      </c>
      <c r="AC532" s="2">
        <v>41548.0</v>
      </c>
      <c r="AD532" s="1">
        <v>7500.0</v>
      </c>
      <c r="AE532" s="1" t="s">
        <v>40</v>
      </c>
      <c r="AF532" s="1" t="s">
        <v>1494</v>
      </c>
      <c r="AG532" s="1" t="s">
        <v>1477</v>
      </c>
      <c r="AH532" s="1">
        <v>10.0</v>
      </c>
      <c r="AI532" s="1">
        <v>2013.0</v>
      </c>
      <c r="AJ532" s="1">
        <v>2014.0</v>
      </c>
      <c r="AK532" s="1" t="s">
        <v>398</v>
      </c>
    </row>
    <row r="533">
      <c r="A533" s="1" t="s">
        <v>1474</v>
      </c>
      <c r="B533" s="1" t="s">
        <v>1474</v>
      </c>
      <c r="C533" s="1" t="s">
        <v>129</v>
      </c>
      <c r="E533" s="1">
        <v>7600000.0</v>
      </c>
      <c r="F533" s="2">
        <v>41548.0</v>
      </c>
      <c r="G533" s="1" t="s">
        <v>1475</v>
      </c>
      <c r="I533" s="1" t="s">
        <v>1475</v>
      </c>
      <c r="L533" s="1" t="s">
        <v>40</v>
      </c>
      <c r="M533" s="1">
        <v>7500.0</v>
      </c>
      <c r="N533" s="1" t="s">
        <v>40</v>
      </c>
      <c r="O533" s="1">
        <v>6.9840817E7</v>
      </c>
      <c r="P533" s="1" t="s">
        <v>131</v>
      </c>
      <c r="R533" s="1" t="s">
        <v>132</v>
      </c>
      <c r="S533" s="1" t="s">
        <v>44</v>
      </c>
      <c r="T533" s="1" t="s">
        <v>45</v>
      </c>
      <c r="U533" s="1">
        <v>4.8214261E8</v>
      </c>
      <c r="W533" s="1" t="s">
        <v>44</v>
      </c>
      <c r="X533" s="1" t="s">
        <v>45</v>
      </c>
      <c r="Y533" s="1">
        <v>4.8214261E8</v>
      </c>
      <c r="Z533" s="1">
        <v>6.9840817E7</v>
      </c>
      <c r="AA533" s="1" t="s">
        <v>131</v>
      </c>
      <c r="AB533" s="1">
        <v>333851.0</v>
      </c>
      <c r="AC533" s="2">
        <v>41548.0</v>
      </c>
      <c r="AD533" s="1">
        <v>7500.0</v>
      </c>
      <c r="AE533" s="1" t="s">
        <v>40</v>
      </c>
      <c r="AF533" s="1" t="s">
        <v>1495</v>
      </c>
      <c r="AG533" s="1" t="s">
        <v>1477</v>
      </c>
      <c r="AH533" s="1">
        <v>10.0</v>
      </c>
      <c r="AI533" s="1">
        <v>2013.0</v>
      </c>
      <c r="AJ533" s="1">
        <v>2014.0</v>
      </c>
      <c r="AK533" s="1" t="s">
        <v>398</v>
      </c>
    </row>
    <row r="534">
      <c r="A534" s="1" t="s">
        <v>1474</v>
      </c>
      <c r="B534" s="1" t="s">
        <v>1474</v>
      </c>
      <c r="C534" s="1" t="s">
        <v>129</v>
      </c>
      <c r="E534" s="1">
        <v>7600000.0</v>
      </c>
      <c r="F534" s="2">
        <v>41548.0</v>
      </c>
      <c r="G534" s="1" t="s">
        <v>1475</v>
      </c>
      <c r="I534" s="1" t="s">
        <v>1475</v>
      </c>
      <c r="L534" s="1" t="s">
        <v>40</v>
      </c>
      <c r="M534" s="1">
        <v>7500.0</v>
      </c>
      <c r="N534" s="1" t="s">
        <v>40</v>
      </c>
      <c r="O534" s="1">
        <v>6.9840817E7</v>
      </c>
      <c r="P534" s="1" t="s">
        <v>131</v>
      </c>
      <c r="R534" s="1" t="s">
        <v>132</v>
      </c>
      <c r="S534" s="1" t="s">
        <v>44</v>
      </c>
      <c r="T534" s="1" t="s">
        <v>45</v>
      </c>
      <c r="U534" s="1">
        <v>4.8214261E8</v>
      </c>
      <c r="W534" s="1" t="s">
        <v>44</v>
      </c>
      <c r="X534" s="1" t="s">
        <v>45</v>
      </c>
      <c r="Y534" s="1">
        <v>4.8214261E8</v>
      </c>
      <c r="Z534" s="1">
        <v>6.9840817E7</v>
      </c>
      <c r="AA534" s="1" t="s">
        <v>131</v>
      </c>
      <c r="AB534" s="1">
        <v>1273221.0</v>
      </c>
      <c r="AC534" s="2">
        <v>41548.0</v>
      </c>
      <c r="AD534" s="1">
        <v>7500.0</v>
      </c>
      <c r="AE534" s="1" t="s">
        <v>40</v>
      </c>
      <c r="AF534" s="1" t="s">
        <v>1496</v>
      </c>
      <c r="AG534" s="1" t="s">
        <v>1477</v>
      </c>
      <c r="AH534" s="1">
        <v>10.0</v>
      </c>
      <c r="AI534" s="1">
        <v>2013.0</v>
      </c>
      <c r="AJ534" s="1">
        <v>2014.0</v>
      </c>
      <c r="AK534" s="1" t="s">
        <v>398</v>
      </c>
    </row>
    <row r="535">
      <c r="A535" s="1" t="s">
        <v>1497</v>
      </c>
      <c r="B535" s="1" t="s">
        <v>1497</v>
      </c>
      <c r="C535" s="1" t="s">
        <v>70</v>
      </c>
      <c r="E535" s="1">
        <v>338611.0</v>
      </c>
      <c r="F535" s="2">
        <v>41671.0</v>
      </c>
      <c r="G535" s="1" t="s">
        <v>1498</v>
      </c>
      <c r="I535" s="1" t="s">
        <v>1498</v>
      </c>
      <c r="L535" s="1" t="s">
        <v>72</v>
      </c>
      <c r="M535" s="1">
        <v>1500.0</v>
      </c>
      <c r="N535" s="1" t="s">
        <v>72</v>
      </c>
      <c r="O535" s="1">
        <v>1.58142448E8</v>
      </c>
      <c r="P535" s="1" t="s">
        <v>1316</v>
      </c>
      <c r="Q535" s="1" t="s">
        <v>1317</v>
      </c>
      <c r="R535" s="1" t="s">
        <v>1318</v>
      </c>
      <c r="S535" s="1" t="s">
        <v>44</v>
      </c>
      <c r="T535" s="1" t="s">
        <v>45</v>
      </c>
      <c r="U535" s="1">
        <v>4.82093154E8</v>
      </c>
      <c r="W535" s="1" t="s">
        <v>44</v>
      </c>
      <c r="X535" s="1" t="s">
        <v>45</v>
      </c>
      <c r="Y535" s="1">
        <v>4.82093154E8</v>
      </c>
      <c r="Z535" s="1">
        <v>1.58142448E8</v>
      </c>
      <c r="AA535" s="1" t="s">
        <v>1316</v>
      </c>
      <c r="AB535" s="1">
        <v>55497.0</v>
      </c>
      <c r="AC535" s="2">
        <v>41671.0</v>
      </c>
      <c r="AD535" s="1">
        <v>1500.0</v>
      </c>
      <c r="AE535" s="1" t="s">
        <v>72</v>
      </c>
      <c r="AF535" s="1" t="s">
        <v>1499</v>
      </c>
      <c r="AG535" s="1" t="s">
        <v>1500</v>
      </c>
      <c r="AH535" s="1">
        <v>3.0</v>
      </c>
      <c r="AI535" s="1">
        <v>2014.0</v>
      </c>
      <c r="AJ535" s="1">
        <v>2014.0</v>
      </c>
      <c r="AK535" s="1" t="s">
        <v>1501</v>
      </c>
    </row>
    <row r="536">
      <c r="A536" s="1" t="s">
        <v>1308</v>
      </c>
      <c r="B536" s="1" t="s">
        <v>1308</v>
      </c>
      <c r="C536" s="1" t="s">
        <v>129</v>
      </c>
      <c r="E536" s="1">
        <v>2265546.0</v>
      </c>
      <c r="F536" s="2">
        <v>41548.0</v>
      </c>
      <c r="G536" s="1" t="s">
        <v>876</v>
      </c>
      <c r="I536" s="1" t="s">
        <v>876</v>
      </c>
      <c r="L536" s="1" t="s">
        <v>40</v>
      </c>
      <c r="M536" s="1">
        <v>7500.0</v>
      </c>
      <c r="N536" s="1" t="s">
        <v>40</v>
      </c>
      <c r="O536" s="1">
        <v>1.21516199E8</v>
      </c>
      <c r="P536" s="1" t="s">
        <v>380</v>
      </c>
      <c r="Q536" s="1" t="s">
        <v>381</v>
      </c>
      <c r="R536" s="1" t="s">
        <v>382</v>
      </c>
      <c r="S536" s="1" t="s">
        <v>44</v>
      </c>
      <c r="T536" s="1" t="s">
        <v>45</v>
      </c>
      <c r="U536" s="1">
        <v>4.82073156E8</v>
      </c>
      <c r="W536" s="1" t="s">
        <v>44</v>
      </c>
      <c r="X536" s="1" t="s">
        <v>45</v>
      </c>
      <c r="Y536" s="1">
        <v>4.82073127E8</v>
      </c>
      <c r="Z536" s="1">
        <v>1.21516199E8</v>
      </c>
      <c r="AA536" s="1" t="s">
        <v>380</v>
      </c>
      <c r="AB536" s="1">
        <v>200941.83</v>
      </c>
      <c r="AC536" s="2">
        <v>41548.0</v>
      </c>
      <c r="AD536" s="1">
        <v>7500.0</v>
      </c>
      <c r="AE536" s="1" t="s">
        <v>40</v>
      </c>
      <c r="AF536" s="1" t="s">
        <v>1309</v>
      </c>
      <c r="AG536" s="1" t="s">
        <v>1310</v>
      </c>
      <c r="AH536" s="1">
        <v>3.0</v>
      </c>
      <c r="AI536" s="1">
        <v>2014.0</v>
      </c>
      <c r="AJ536" s="1">
        <v>2014.0</v>
      </c>
      <c r="AK536" s="1" t="s">
        <v>1311</v>
      </c>
    </row>
    <row r="537">
      <c r="A537" s="1" t="s">
        <v>1314</v>
      </c>
      <c r="B537" s="1" t="s">
        <v>1314</v>
      </c>
      <c r="C537" s="1" t="s">
        <v>70</v>
      </c>
      <c r="E537" s="1">
        <v>3726339.0</v>
      </c>
      <c r="F537" s="2">
        <v>41548.0</v>
      </c>
      <c r="G537" s="1" t="s">
        <v>1315</v>
      </c>
      <c r="I537" s="1" t="s">
        <v>1315</v>
      </c>
      <c r="L537" s="1" t="s">
        <v>72</v>
      </c>
      <c r="M537" s="1">
        <v>1500.0</v>
      </c>
      <c r="N537" s="1" t="s">
        <v>72</v>
      </c>
      <c r="O537" s="1">
        <v>7.89629859E8</v>
      </c>
      <c r="P537" s="1" t="s">
        <v>416</v>
      </c>
      <c r="R537" s="1" t="s">
        <v>417</v>
      </c>
      <c r="S537" s="1" t="s">
        <v>44</v>
      </c>
      <c r="T537" s="1" t="s">
        <v>45</v>
      </c>
      <c r="U537" s="1">
        <v>4.82343241E8</v>
      </c>
      <c r="W537" s="1" t="s">
        <v>44</v>
      </c>
      <c r="X537" s="1" t="s">
        <v>45</v>
      </c>
      <c r="Y537" s="1">
        <v>4.80673241E8</v>
      </c>
      <c r="AB537" s="1">
        <v>100000.0</v>
      </c>
      <c r="AC537" s="2">
        <v>41548.0</v>
      </c>
      <c r="AD537" s="1">
        <v>1500.0</v>
      </c>
      <c r="AE537" s="1" t="s">
        <v>72</v>
      </c>
      <c r="AF537" s="1" t="s">
        <v>1322</v>
      </c>
      <c r="AG537" s="1" t="s">
        <v>1323</v>
      </c>
      <c r="AH537" s="1">
        <v>3.0</v>
      </c>
      <c r="AI537" s="1">
        <v>2014.0</v>
      </c>
      <c r="AJ537" s="1">
        <v>2014.0</v>
      </c>
      <c r="AK537" s="1" t="s">
        <v>1321</v>
      </c>
    </row>
    <row r="538">
      <c r="A538" s="1" t="s">
        <v>1314</v>
      </c>
      <c r="B538" s="1" t="s">
        <v>1314</v>
      </c>
      <c r="C538" s="1" t="s">
        <v>70</v>
      </c>
      <c r="E538" s="1">
        <v>3726339.0</v>
      </c>
      <c r="F538" s="2">
        <v>41548.0</v>
      </c>
      <c r="G538" s="1" t="s">
        <v>1315</v>
      </c>
      <c r="I538" s="1" t="s">
        <v>1315</v>
      </c>
      <c r="L538" s="1" t="s">
        <v>72</v>
      </c>
      <c r="M538" s="1">
        <v>1500.0</v>
      </c>
      <c r="N538" s="1" t="s">
        <v>72</v>
      </c>
      <c r="O538" s="1">
        <v>1.58142448E8</v>
      </c>
      <c r="P538" s="1" t="s">
        <v>1316</v>
      </c>
      <c r="Q538" s="1" t="s">
        <v>1317</v>
      </c>
      <c r="R538" s="1" t="s">
        <v>1318</v>
      </c>
      <c r="S538" s="1" t="s">
        <v>44</v>
      </c>
      <c r="T538" s="1" t="s">
        <v>45</v>
      </c>
      <c r="U538" s="1">
        <v>4.82093154E8</v>
      </c>
      <c r="W538" s="1" t="s">
        <v>46</v>
      </c>
      <c r="X538" s="1" t="s">
        <v>45</v>
      </c>
      <c r="Y538" s="1">
        <v>4.82093154E8</v>
      </c>
      <c r="Z538" s="1">
        <v>1.58142448E8</v>
      </c>
      <c r="AA538" s="1" t="s">
        <v>1316</v>
      </c>
      <c r="AB538" s="1">
        <v>119951.0</v>
      </c>
      <c r="AC538" s="2">
        <v>41548.0</v>
      </c>
      <c r="AD538" s="1">
        <v>1500.0</v>
      </c>
      <c r="AE538" s="1" t="s">
        <v>72</v>
      </c>
      <c r="AF538" s="1" t="s">
        <v>1319</v>
      </c>
      <c r="AG538" s="1" t="s">
        <v>1320</v>
      </c>
      <c r="AH538" s="1">
        <v>3.0</v>
      </c>
      <c r="AI538" s="1">
        <v>2014.0</v>
      </c>
      <c r="AJ538" s="1">
        <v>2014.0</v>
      </c>
      <c r="AK538" s="1" t="s">
        <v>1321</v>
      </c>
    </row>
    <row r="539">
      <c r="A539" s="1" t="s">
        <v>1297</v>
      </c>
      <c r="B539" s="1" t="s">
        <v>1297</v>
      </c>
      <c r="C539" s="1" t="s">
        <v>1281</v>
      </c>
      <c r="E539" s="1">
        <v>2399848.0</v>
      </c>
      <c r="F539" s="2">
        <v>41548.0</v>
      </c>
      <c r="G539" s="1" t="s">
        <v>1298</v>
      </c>
      <c r="I539" s="1" t="s">
        <v>1298</v>
      </c>
      <c r="L539" s="1" t="s">
        <v>1281</v>
      </c>
      <c r="M539" s="1">
        <v>9577.0</v>
      </c>
      <c r="N539" s="1" t="s">
        <v>1281</v>
      </c>
      <c r="O539" s="1">
        <v>1962224.0</v>
      </c>
      <c r="P539" s="1" t="s">
        <v>52</v>
      </c>
      <c r="R539" s="1" t="s">
        <v>53</v>
      </c>
      <c r="S539" s="1" t="s">
        <v>44</v>
      </c>
      <c r="T539" s="1" t="s">
        <v>45</v>
      </c>
      <c r="U539" s="1">
        <v>4.82023692E8</v>
      </c>
      <c r="W539" s="1" t="s">
        <v>44</v>
      </c>
      <c r="X539" s="1" t="s">
        <v>45</v>
      </c>
      <c r="Y539" s="1">
        <v>4.8202405E8</v>
      </c>
      <c r="Z539" s="1">
        <v>1962224.0</v>
      </c>
      <c r="AA539" s="1" t="s">
        <v>52</v>
      </c>
      <c r="AB539" s="1">
        <v>374927.0</v>
      </c>
      <c r="AC539" s="2">
        <v>41548.0</v>
      </c>
      <c r="AD539" s="1">
        <v>9577.0</v>
      </c>
      <c r="AE539" s="1" t="s">
        <v>1281</v>
      </c>
      <c r="AF539" s="1" t="s">
        <v>1299</v>
      </c>
      <c r="AG539" s="1" t="s">
        <v>1300</v>
      </c>
      <c r="AH539" s="1">
        <v>3.0</v>
      </c>
      <c r="AI539" s="1">
        <v>2014.0</v>
      </c>
      <c r="AJ539" s="1">
        <v>2014.0</v>
      </c>
      <c r="AK539" s="1" t="s">
        <v>1301</v>
      </c>
    </row>
    <row r="540">
      <c r="A540" s="1" t="s">
        <v>203</v>
      </c>
      <c r="B540" s="1" t="s">
        <v>203</v>
      </c>
      <c r="C540" s="1" t="s">
        <v>100</v>
      </c>
      <c r="E540" s="1">
        <v>2.2173386E7</v>
      </c>
      <c r="F540" s="2">
        <v>41625.0</v>
      </c>
      <c r="G540" s="1" t="s">
        <v>122</v>
      </c>
      <c r="I540" s="1" t="s">
        <v>122</v>
      </c>
      <c r="L540" s="1" t="s">
        <v>102</v>
      </c>
      <c r="M540" s="1">
        <v>8600.0</v>
      </c>
      <c r="N540" s="1" t="s">
        <v>102</v>
      </c>
      <c r="O540" s="1">
        <v>8.8386649E7</v>
      </c>
      <c r="P540" s="1" t="s">
        <v>1502</v>
      </c>
      <c r="Q540" s="1" t="s">
        <v>1503</v>
      </c>
      <c r="R540" s="1" t="s">
        <v>1504</v>
      </c>
      <c r="S540" s="1" t="s">
        <v>44</v>
      </c>
      <c r="T540" s="1" t="s">
        <v>45</v>
      </c>
      <c r="U540" s="1">
        <v>4.82021769E8</v>
      </c>
      <c r="W540" s="1" t="s">
        <v>1366</v>
      </c>
      <c r="X540" s="1" t="s">
        <v>45</v>
      </c>
      <c r="Y540" s="1">
        <v>4.80221789E8</v>
      </c>
      <c r="AB540" s="1">
        <v>45000.0</v>
      </c>
      <c r="AC540" s="2">
        <v>41625.0</v>
      </c>
      <c r="AD540" s="1">
        <v>8600.0</v>
      </c>
      <c r="AE540" s="1" t="s">
        <v>102</v>
      </c>
      <c r="AF540" s="1" t="s">
        <v>1505</v>
      </c>
      <c r="AG540" s="1" t="s">
        <v>1506</v>
      </c>
      <c r="AH540" s="1">
        <v>12.0</v>
      </c>
      <c r="AI540" s="1">
        <v>2013.0</v>
      </c>
      <c r="AJ540" s="1">
        <v>2014.0</v>
      </c>
      <c r="AK540" s="1" t="s">
        <v>127</v>
      </c>
    </row>
    <row r="541">
      <c r="A541" s="1" t="s">
        <v>203</v>
      </c>
      <c r="B541" s="1" t="s">
        <v>203</v>
      </c>
      <c r="C541" s="1" t="s">
        <v>100</v>
      </c>
      <c r="E541" s="1">
        <v>2.2173386E7</v>
      </c>
      <c r="F541" s="2">
        <v>41627.0</v>
      </c>
      <c r="G541" s="1" t="s">
        <v>122</v>
      </c>
      <c r="I541" s="1" t="s">
        <v>122</v>
      </c>
      <c r="L541" s="1" t="s">
        <v>102</v>
      </c>
      <c r="M541" s="1">
        <v>8600.0</v>
      </c>
      <c r="N541" s="1" t="s">
        <v>102</v>
      </c>
      <c r="O541" s="1">
        <v>8.44806708E8</v>
      </c>
      <c r="P541" s="1" t="s">
        <v>103</v>
      </c>
      <c r="Q541" s="1" t="s">
        <v>1507</v>
      </c>
      <c r="R541" s="1" t="s">
        <v>1006</v>
      </c>
      <c r="S541" s="1" t="s">
        <v>44</v>
      </c>
      <c r="T541" s="1" t="s">
        <v>45</v>
      </c>
      <c r="U541" s="1">
        <v>4.82092022E8</v>
      </c>
      <c r="W541" s="1" t="s">
        <v>1366</v>
      </c>
      <c r="X541" s="1" t="s">
        <v>45</v>
      </c>
      <c r="Y541" s="1">
        <v>4.8216E8</v>
      </c>
      <c r="Z541" s="1">
        <v>7.6385699E7</v>
      </c>
      <c r="AB541" s="1">
        <v>25000.0</v>
      </c>
      <c r="AC541" s="2">
        <v>41627.0</v>
      </c>
      <c r="AD541" s="1">
        <v>8600.0</v>
      </c>
      <c r="AE541" s="1" t="s">
        <v>102</v>
      </c>
      <c r="AF541" s="1" t="s">
        <v>1508</v>
      </c>
      <c r="AG541" s="1" t="s">
        <v>1509</v>
      </c>
      <c r="AH541" s="1">
        <v>12.0</v>
      </c>
      <c r="AI541" s="1">
        <v>2013.0</v>
      </c>
      <c r="AJ541" s="1">
        <v>2014.0</v>
      </c>
      <c r="AK541" s="1" t="s">
        <v>127</v>
      </c>
    </row>
    <row r="542">
      <c r="A542" s="1" t="s">
        <v>1510</v>
      </c>
      <c r="B542" s="1" t="s">
        <v>1510</v>
      </c>
      <c r="C542" s="1" t="s">
        <v>645</v>
      </c>
      <c r="E542" s="1">
        <v>875989.0</v>
      </c>
      <c r="F542" s="2">
        <v>41564.0</v>
      </c>
      <c r="G542" s="1" t="s">
        <v>646</v>
      </c>
      <c r="I542" s="1" t="s">
        <v>646</v>
      </c>
      <c r="L542" s="1" t="s">
        <v>647</v>
      </c>
      <c r="M542" s="1">
        <v>1200.0</v>
      </c>
      <c r="N542" s="1" t="s">
        <v>647</v>
      </c>
      <c r="O542" s="1">
        <v>7.3134884E7</v>
      </c>
      <c r="P542" s="1" t="s">
        <v>259</v>
      </c>
      <c r="R542" s="1" t="s">
        <v>286</v>
      </c>
      <c r="S542" s="1" t="s">
        <v>44</v>
      </c>
      <c r="T542" s="1" t="s">
        <v>45</v>
      </c>
      <c r="U542" s="1">
        <v>4.82262841E8</v>
      </c>
      <c r="W542" s="1" t="s">
        <v>648</v>
      </c>
      <c r="X542" s="1" t="s">
        <v>45</v>
      </c>
      <c r="Y542" s="1">
        <v>4.81865305E8</v>
      </c>
      <c r="Z542" s="1">
        <v>7.3134884E7</v>
      </c>
      <c r="AA542" s="1" t="s">
        <v>261</v>
      </c>
      <c r="AB542" s="1">
        <v>49457.0</v>
      </c>
      <c r="AC542" s="2">
        <v>41564.0</v>
      </c>
      <c r="AD542" s="1">
        <v>1200.0</v>
      </c>
      <c r="AE542" s="1" t="s">
        <v>647</v>
      </c>
      <c r="AF542" s="1" t="s">
        <v>1511</v>
      </c>
      <c r="AG542" s="1" t="s">
        <v>1512</v>
      </c>
      <c r="AH542" s="1">
        <v>1.0</v>
      </c>
      <c r="AI542" s="1">
        <v>2014.0</v>
      </c>
      <c r="AJ542" s="1">
        <v>2014.0</v>
      </c>
      <c r="AK542" s="1" t="s">
        <v>651</v>
      </c>
    </row>
    <row r="543">
      <c r="A543" s="1" t="s">
        <v>1513</v>
      </c>
      <c r="B543" s="1" t="s">
        <v>1513</v>
      </c>
      <c r="C543" s="1" t="s">
        <v>194</v>
      </c>
      <c r="E543" s="1">
        <v>199790.0</v>
      </c>
      <c r="F543" s="2">
        <v>41656.0</v>
      </c>
      <c r="G543" s="1" t="s">
        <v>195</v>
      </c>
      <c r="I543" s="1" t="s">
        <v>195</v>
      </c>
      <c r="L543" s="1" t="s">
        <v>194</v>
      </c>
      <c r="M543" s="1">
        <v>9100.0</v>
      </c>
      <c r="N543" s="1" t="s">
        <v>194</v>
      </c>
      <c r="O543" s="1">
        <v>1962224.0</v>
      </c>
      <c r="P543" s="1" t="s">
        <v>52</v>
      </c>
      <c r="R543" s="1" t="s">
        <v>53</v>
      </c>
      <c r="S543" s="1" t="s">
        <v>44</v>
      </c>
      <c r="T543" s="1" t="s">
        <v>45</v>
      </c>
      <c r="U543" s="1">
        <v>4.82023692E8</v>
      </c>
      <c r="W543" s="1" t="s">
        <v>46</v>
      </c>
      <c r="X543" s="1" t="s">
        <v>45</v>
      </c>
      <c r="Y543" s="1">
        <v>4.8202405E8</v>
      </c>
      <c r="Z543" s="1">
        <v>1962224.0</v>
      </c>
      <c r="AB543" s="1">
        <v>77115.0</v>
      </c>
      <c r="AC543" s="2">
        <v>41656.0</v>
      </c>
      <c r="AD543" s="1">
        <v>9100.0</v>
      </c>
      <c r="AE543" s="1" t="s">
        <v>194</v>
      </c>
      <c r="AF543" s="1">
        <v>3.002891343E9</v>
      </c>
      <c r="AG543" s="1" t="s">
        <v>1514</v>
      </c>
      <c r="AH543" s="1">
        <v>1.0</v>
      </c>
      <c r="AI543" s="1">
        <v>2014.0</v>
      </c>
      <c r="AJ543" s="1">
        <v>2014.0</v>
      </c>
      <c r="AK543" s="1" t="s">
        <v>197</v>
      </c>
    </row>
    <row r="544">
      <c r="A544" s="1" t="s">
        <v>1515</v>
      </c>
      <c r="B544" s="1" t="s">
        <v>1515</v>
      </c>
      <c r="C544" s="1" t="s">
        <v>38</v>
      </c>
      <c r="E544" s="1">
        <v>1675804.0</v>
      </c>
      <c r="F544" s="2">
        <v>41617.0</v>
      </c>
      <c r="G544" s="1" t="s">
        <v>1516</v>
      </c>
      <c r="I544" s="1" t="s">
        <v>1516</v>
      </c>
      <c r="L544" s="1" t="s">
        <v>40</v>
      </c>
      <c r="M544" s="1">
        <v>7500.0</v>
      </c>
      <c r="N544" s="1" t="s">
        <v>40</v>
      </c>
      <c r="O544" s="1">
        <v>7.3134603E7</v>
      </c>
      <c r="P544" s="1" t="s">
        <v>41</v>
      </c>
      <c r="Q544" s="1" t="s">
        <v>252</v>
      </c>
      <c r="R544" s="1" t="s">
        <v>253</v>
      </c>
      <c r="S544" s="1" t="s">
        <v>44</v>
      </c>
      <c r="T544" s="1" t="s">
        <v>45</v>
      </c>
      <c r="U544" s="1">
        <v>4.8202345E8</v>
      </c>
      <c r="W544" s="1" t="s">
        <v>903</v>
      </c>
      <c r="X544" s="1" t="s">
        <v>45</v>
      </c>
      <c r="Y544" s="1">
        <v>4.8202345E8</v>
      </c>
      <c r="Z544" s="1">
        <v>7.3134603E7</v>
      </c>
      <c r="AA544" s="1" t="s">
        <v>41</v>
      </c>
      <c r="AB544" s="1">
        <v>36325.0</v>
      </c>
      <c r="AC544" s="2">
        <v>41617.0</v>
      </c>
      <c r="AD544" s="1">
        <v>7500.0</v>
      </c>
      <c r="AE544" s="1" t="s">
        <v>40</v>
      </c>
      <c r="AF544" s="1">
        <v>3.002246114E9</v>
      </c>
      <c r="AG544" s="1" t="s">
        <v>1517</v>
      </c>
      <c r="AH544" s="1">
        <v>12.0</v>
      </c>
      <c r="AI544" s="1">
        <v>2013.0</v>
      </c>
      <c r="AJ544" s="1">
        <v>2014.0</v>
      </c>
      <c r="AK544" s="1" t="s">
        <v>415</v>
      </c>
    </row>
    <row r="545">
      <c r="A545" s="1" t="s">
        <v>1518</v>
      </c>
      <c r="B545" s="1" t="s">
        <v>1518</v>
      </c>
      <c r="C545" s="1" t="s">
        <v>129</v>
      </c>
      <c r="E545" s="1">
        <v>437400.0</v>
      </c>
      <c r="F545" s="2">
        <v>41589.0</v>
      </c>
      <c r="G545" s="1" t="s">
        <v>1519</v>
      </c>
      <c r="I545" s="1" t="s">
        <v>1519</v>
      </c>
      <c r="L545" s="1" t="s">
        <v>40</v>
      </c>
      <c r="M545" s="1">
        <v>7500.0</v>
      </c>
      <c r="N545" s="1" t="s">
        <v>40</v>
      </c>
      <c r="O545" s="1">
        <v>6.9840817E7</v>
      </c>
      <c r="P545" s="1" t="s">
        <v>131</v>
      </c>
      <c r="R545" s="1" t="s">
        <v>132</v>
      </c>
      <c r="S545" s="1" t="s">
        <v>44</v>
      </c>
      <c r="T545" s="1" t="s">
        <v>45</v>
      </c>
      <c r="U545" s="1">
        <v>4.8214261E8</v>
      </c>
      <c r="W545" s="1" t="s">
        <v>46</v>
      </c>
      <c r="X545" s="1" t="s">
        <v>45</v>
      </c>
      <c r="Y545" s="1">
        <v>4.8214261E8</v>
      </c>
      <c r="Z545" s="1">
        <v>6.9840817E7</v>
      </c>
      <c r="AA545" s="1" t="s">
        <v>131</v>
      </c>
      <c r="AB545" s="1">
        <v>134762.0</v>
      </c>
      <c r="AC545" s="2">
        <v>41589.0</v>
      </c>
      <c r="AD545" s="1">
        <v>7500.0</v>
      </c>
      <c r="AE545" s="1" t="s">
        <v>40</v>
      </c>
      <c r="AF545" s="1" t="s">
        <v>1520</v>
      </c>
      <c r="AG545" s="1" t="s">
        <v>1521</v>
      </c>
      <c r="AH545" s="1">
        <v>1.0</v>
      </c>
      <c r="AI545" s="1">
        <v>2014.0</v>
      </c>
      <c r="AJ545" s="1">
        <v>2014.0</v>
      </c>
      <c r="AK545" s="1" t="s">
        <v>455</v>
      </c>
    </row>
    <row r="546">
      <c r="A546" s="1" t="s">
        <v>1522</v>
      </c>
      <c r="B546" s="1" t="s">
        <v>1522</v>
      </c>
      <c r="C546" s="1" t="s">
        <v>129</v>
      </c>
      <c r="E546" s="1">
        <v>3804839.0</v>
      </c>
      <c r="F546" s="2">
        <v>41624.0</v>
      </c>
      <c r="G546" s="1" t="s">
        <v>1523</v>
      </c>
      <c r="I546" s="1" t="s">
        <v>1523</v>
      </c>
      <c r="L546" s="1" t="s">
        <v>40</v>
      </c>
      <c r="M546" s="1">
        <v>7500.0</v>
      </c>
      <c r="N546" s="1" t="s">
        <v>40</v>
      </c>
      <c r="O546" s="1">
        <v>6.9840817E7</v>
      </c>
      <c r="P546" s="1" t="s">
        <v>131</v>
      </c>
      <c r="R546" s="1" t="s">
        <v>132</v>
      </c>
      <c r="S546" s="1" t="s">
        <v>44</v>
      </c>
      <c r="T546" s="1" t="s">
        <v>45</v>
      </c>
      <c r="U546" s="1">
        <v>4.8214261E8</v>
      </c>
      <c r="W546" s="1" t="s">
        <v>46</v>
      </c>
      <c r="X546" s="1" t="s">
        <v>1524</v>
      </c>
      <c r="Y546" s="1">
        <v>4.8214261E8</v>
      </c>
      <c r="Z546" s="1">
        <v>6.9840817E7</v>
      </c>
      <c r="AA546" s="1" t="s">
        <v>131</v>
      </c>
      <c r="AB546" s="1">
        <v>302418.0</v>
      </c>
      <c r="AC546" s="2">
        <v>41624.0</v>
      </c>
      <c r="AD546" s="1">
        <v>7500.0</v>
      </c>
      <c r="AE546" s="1" t="s">
        <v>40</v>
      </c>
      <c r="AF546" s="1" t="s">
        <v>1525</v>
      </c>
      <c r="AG546" s="1" t="s">
        <v>1526</v>
      </c>
      <c r="AH546" s="1">
        <v>1.0</v>
      </c>
      <c r="AI546" s="1">
        <v>2014.0</v>
      </c>
      <c r="AJ546" s="1">
        <v>2014.0</v>
      </c>
      <c r="AK546" s="1" t="s">
        <v>141</v>
      </c>
    </row>
    <row r="547">
      <c r="A547" s="1" t="s">
        <v>198</v>
      </c>
      <c r="B547" s="1" t="s">
        <v>198</v>
      </c>
      <c r="C547" s="1" t="s">
        <v>38</v>
      </c>
      <c r="E547" s="1">
        <v>6303696.0</v>
      </c>
      <c r="F547" s="2">
        <v>41668.0</v>
      </c>
      <c r="G547" s="1" t="s">
        <v>199</v>
      </c>
      <c r="I547" s="1" t="s">
        <v>199</v>
      </c>
      <c r="L547" s="1" t="s">
        <v>40</v>
      </c>
      <c r="M547" s="1">
        <v>7500.0</v>
      </c>
      <c r="N547" s="1" t="s">
        <v>40</v>
      </c>
      <c r="O547" s="1">
        <v>7.3134603E7</v>
      </c>
      <c r="P547" s="1" t="s">
        <v>41</v>
      </c>
      <c r="Q547" s="1" t="s">
        <v>252</v>
      </c>
      <c r="R547" s="1" t="s">
        <v>253</v>
      </c>
      <c r="S547" s="1" t="s">
        <v>44</v>
      </c>
      <c r="T547" s="1" t="s">
        <v>45</v>
      </c>
      <c r="U547" s="1">
        <v>4.8202345E8</v>
      </c>
      <c r="W547" s="1" t="s">
        <v>46</v>
      </c>
      <c r="X547" s="1" t="s">
        <v>45</v>
      </c>
      <c r="Y547" s="1">
        <v>4.8202345E8</v>
      </c>
      <c r="Z547" s="1">
        <v>7.3134603E7</v>
      </c>
      <c r="AA547" s="1" t="s">
        <v>41</v>
      </c>
      <c r="AB547" s="1">
        <v>92975.0</v>
      </c>
      <c r="AC547" s="2">
        <v>41668.0</v>
      </c>
      <c r="AD547" s="1">
        <v>7500.0</v>
      </c>
      <c r="AE547" s="1" t="s">
        <v>40</v>
      </c>
      <c r="AF547" s="1" t="s">
        <v>1527</v>
      </c>
      <c r="AG547" s="1" t="s">
        <v>1528</v>
      </c>
      <c r="AH547" s="1">
        <v>2.0</v>
      </c>
      <c r="AI547" s="1">
        <v>2014.0</v>
      </c>
      <c r="AJ547" s="1">
        <v>2014.0</v>
      </c>
      <c r="AK547" s="1" t="s">
        <v>202</v>
      </c>
    </row>
    <row r="548">
      <c r="A548" s="1" t="s">
        <v>1529</v>
      </c>
      <c r="B548" s="1" t="s">
        <v>1529</v>
      </c>
      <c r="C548" s="1" t="s">
        <v>224</v>
      </c>
      <c r="E548" s="1">
        <v>435283.0</v>
      </c>
      <c r="F548" s="2">
        <v>41404.0</v>
      </c>
      <c r="G548" s="1" t="s">
        <v>1530</v>
      </c>
      <c r="I548" s="1" t="s">
        <v>1530</v>
      </c>
      <c r="L548" s="1" t="s">
        <v>151</v>
      </c>
      <c r="M548" s="1">
        <v>6900.0</v>
      </c>
      <c r="N548" s="1" t="s">
        <v>151</v>
      </c>
      <c r="O548" s="1">
        <v>1.1855476E8</v>
      </c>
      <c r="P548" s="1" t="s">
        <v>73</v>
      </c>
      <c r="Q548" s="1" t="s">
        <v>226</v>
      </c>
      <c r="R548" s="1" t="s">
        <v>227</v>
      </c>
      <c r="S548" s="1" t="s">
        <v>44</v>
      </c>
      <c r="T548" s="1" t="s">
        <v>45</v>
      </c>
      <c r="U548" s="1">
        <v>4.82262886E8</v>
      </c>
      <c r="W548" s="1" t="s">
        <v>46</v>
      </c>
      <c r="X548" s="1" t="s">
        <v>45</v>
      </c>
      <c r="Y548" s="1">
        <v>4.82262886E8</v>
      </c>
      <c r="Z548" s="1">
        <v>6530661.0</v>
      </c>
      <c r="AA548" s="1" t="s">
        <v>76</v>
      </c>
      <c r="AB548" s="1">
        <v>435283.0</v>
      </c>
      <c r="AC548" s="2">
        <v>41404.0</v>
      </c>
      <c r="AD548" s="1">
        <v>6900.0</v>
      </c>
      <c r="AE548" s="1" t="s">
        <v>151</v>
      </c>
      <c r="AF548" s="1">
        <v>1.0</v>
      </c>
      <c r="AG548" s="1" t="s">
        <v>1531</v>
      </c>
      <c r="AH548" s="1">
        <v>6.0</v>
      </c>
      <c r="AI548" s="1">
        <v>2013.0</v>
      </c>
      <c r="AJ548" s="1">
        <v>2013.0</v>
      </c>
      <c r="AK548" s="1" t="s">
        <v>229</v>
      </c>
    </row>
    <row r="549">
      <c r="A549" s="1" t="s">
        <v>1532</v>
      </c>
      <c r="B549" s="1" t="s">
        <v>1532</v>
      </c>
      <c r="C549" s="1" t="s">
        <v>224</v>
      </c>
      <c r="E549" s="1">
        <v>162820.0</v>
      </c>
      <c r="F549" s="2">
        <v>41409.0</v>
      </c>
      <c r="G549" s="1" t="s">
        <v>1533</v>
      </c>
      <c r="I549" s="1" t="s">
        <v>1533</v>
      </c>
      <c r="L549" s="1" t="s">
        <v>151</v>
      </c>
      <c r="M549" s="1">
        <v>6900.0</v>
      </c>
      <c r="N549" s="1" t="s">
        <v>151</v>
      </c>
      <c r="O549" s="1">
        <v>9.63886101E8</v>
      </c>
      <c r="P549" s="1" t="s">
        <v>259</v>
      </c>
      <c r="R549" s="1" t="s">
        <v>260</v>
      </c>
      <c r="S549" s="1" t="s">
        <v>44</v>
      </c>
      <c r="T549" s="1" t="s">
        <v>45</v>
      </c>
      <c r="U549" s="1">
        <v>4.8226348E8</v>
      </c>
      <c r="W549" s="1" t="s">
        <v>46</v>
      </c>
      <c r="X549" s="1" t="s">
        <v>45</v>
      </c>
      <c r="Y549" s="1">
        <v>4.8226348E8</v>
      </c>
      <c r="Z549" s="1">
        <v>7.3134884E7</v>
      </c>
      <c r="AA549" s="1" t="s">
        <v>261</v>
      </c>
      <c r="AB549" s="1">
        <v>162820.03</v>
      </c>
      <c r="AC549" s="2">
        <v>41409.0</v>
      </c>
      <c r="AD549" s="1">
        <v>6900.0</v>
      </c>
      <c r="AE549" s="1" t="s">
        <v>151</v>
      </c>
      <c r="AF549" s="1">
        <v>1.0</v>
      </c>
      <c r="AG549" s="1" t="s">
        <v>1534</v>
      </c>
      <c r="AH549" s="1">
        <v>6.0</v>
      </c>
      <c r="AI549" s="1">
        <v>2013.0</v>
      </c>
      <c r="AJ549" s="1">
        <v>2013.0</v>
      </c>
      <c r="AK549" s="1" t="s">
        <v>229</v>
      </c>
    </row>
    <row r="550">
      <c r="A550" s="1" t="s">
        <v>1535</v>
      </c>
      <c r="B550" s="1" t="s">
        <v>1535</v>
      </c>
      <c r="C550" s="1" t="s">
        <v>224</v>
      </c>
      <c r="E550" s="1">
        <v>1174805.0</v>
      </c>
      <c r="F550" s="2">
        <v>41425.0</v>
      </c>
      <c r="G550" s="1" t="s">
        <v>1536</v>
      </c>
      <c r="I550" s="1" t="s">
        <v>1536</v>
      </c>
      <c r="L550" s="1" t="s">
        <v>151</v>
      </c>
      <c r="M550" s="1">
        <v>6900.0</v>
      </c>
      <c r="N550" s="1" t="s">
        <v>151</v>
      </c>
      <c r="O550" s="1">
        <v>9.63886101E8</v>
      </c>
      <c r="P550" s="1" t="s">
        <v>259</v>
      </c>
      <c r="R550" s="1" t="s">
        <v>260</v>
      </c>
      <c r="S550" s="1" t="s">
        <v>44</v>
      </c>
      <c r="T550" s="1" t="s">
        <v>45</v>
      </c>
      <c r="U550" s="1">
        <v>4.8226348E8</v>
      </c>
      <c r="W550" s="1" t="s">
        <v>46</v>
      </c>
      <c r="X550" s="1" t="s">
        <v>45</v>
      </c>
      <c r="Y550" s="1">
        <v>4.8226348E8</v>
      </c>
      <c r="Z550" s="1">
        <v>7.3134884E7</v>
      </c>
      <c r="AA550" s="1" t="s">
        <v>261</v>
      </c>
      <c r="AB550" s="1">
        <v>1174805.16</v>
      </c>
      <c r="AC550" s="2">
        <v>41425.0</v>
      </c>
      <c r="AD550" s="1">
        <v>6900.0</v>
      </c>
      <c r="AE550" s="1" t="s">
        <v>151</v>
      </c>
      <c r="AF550" s="1">
        <v>1.0</v>
      </c>
      <c r="AG550" s="1" t="s">
        <v>1537</v>
      </c>
      <c r="AH550" s="1">
        <v>6.0</v>
      </c>
      <c r="AI550" s="1">
        <v>2013.0</v>
      </c>
      <c r="AJ550" s="1">
        <v>2013.0</v>
      </c>
      <c r="AK550" s="1" t="s">
        <v>229</v>
      </c>
    </row>
    <row r="551">
      <c r="A551" s="1" t="s">
        <v>1538</v>
      </c>
      <c r="B551" s="1" t="s">
        <v>1538</v>
      </c>
      <c r="C551" s="1" t="s">
        <v>224</v>
      </c>
      <c r="E551" s="1">
        <v>67217.0</v>
      </c>
      <c r="F551" s="2">
        <v>41404.0</v>
      </c>
      <c r="G551" s="1" t="s">
        <v>1530</v>
      </c>
      <c r="I551" s="1" t="s">
        <v>1530</v>
      </c>
      <c r="L551" s="1" t="s">
        <v>151</v>
      </c>
      <c r="M551" s="1">
        <v>6900.0</v>
      </c>
      <c r="N551" s="1" t="s">
        <v>151</v>
      </c>
      <c r="O551" s="1">
        <v>1.1855476E8</v>
      </c>
      <c r="P551" s="1" t="s">
        <v>73</v>
      </c>
      <c r="Q551" s="1" t="s">
        <v>226</v>
      </c>
      <c r="R551" s="1" t="s">
        <v>227</v>
      </c>
      <c r="S551" s="1" t="s">
        <v>44</v>
      </c>
      <c r="T551" s="1" t="s">
        <v>45</v>
      </c>
      <c r="U551" s="1">
        <v>4.82262886E8</v>
      </c>
      <c r="W551" s="1" t="s">
        <v>46</v>
      </c>
      <c r="X551" s="1" t="s">
        <v>45</v>
      </c>
      <c r="Y551" s="1">
        <v>4.82262886E8</v>
      </c>
      <c r="Z551" s="1">
        <v>6530661.0</v>
      </c>
      <c r="AA551" s="1" t="s">
        <v>76</v>
      </c>
      <c r="AB551" s="1">
        <v>67217.45</v>
      </c>
      <c r="AC551" s="2">
        <v>41404.0</v>
      </c>
      <c r="AD551" s="1">
        <v>6900.0</v>
      </c>
      <c r="AE551" s="1" t="s">
        <v>151</v>
      </c>
      <c r="AF551" s="1">
        <v>1.0</v>
      </c>
      <c r="AG551" s="1" t="s">
        <v>1531</v>
      </c>
      <c r="AH551" s="1">
        <v>6.0</v>
      </c>
      <c r="AI551" s="1">
        <v>2013.0</v>
      </c>
      <c r="AJ551" s="1">
        <v>2013.0</v>
      </c>
      <c r="AK551" s="1" t="s">
        <v>229</v>
      </c>
    </row>
    <row r="552">
      <c r="A552" s="1" t="s">
        <v>1539</v>
      </c>
      <c r="B552" s="1" t="s">
        <v>1539</v>
      </c>
      <c r="C552" s="1" t="s">
        <v>224</v>
      </c>
      <c r="E552" s="1">
        <v>174413.0</v>
      </c>
      <c r="F552" s="2">
        <v>41404.0</v>
      </c>
      <c r="G552" s="1" t="s">
        <v>1540</v>
      </c>
      <c r="I552" s="1" t="s">
        <v>1540</v>
      </c>
      <c r="L552" s="1" t="s">
        <v>151</v>
      </c>
      <c r="M552" s="1">
        <v>6900.0</v>
      </c>
      <c r="N552" s="1" t="s">
        <v>151</v>
      </c>
      <c r="O552" s="1">
        <v>1.1855476E8</v>
      </c>
      <c r="P552" s="1" t="s">
        <v>73</v>
      </c>
      <c r="Q552" s="1" t="s">
        <v>226</v>
      </c>
      <c r="R552" s="1" t="s">
        <v>227</v>
      </c>
      <c r="S552" s="1" t="s">
        <v>44</v>
      </c>
      <c r="T552" s="1" t="s">
        <v>45</v>
      </c>
      <c r="U552" s="1">
        <v>4.82262886E8</v>
      </c>
      <c r="W552" s="1" t="s">
        <v>46</v>
      </c>
      <c r="X552" s="1" t="s">
        <v>45</v>
      </c>
      <c r="Y552" s="1">
        <v>4.82262886E8</v>
      </c>
      <c r="Z552" s="1">
        <v>6530661.0</v>
      </c>
      <c r="AA552" s="1" t="s">
        <v>76</v>
      </c>
      <c r="AB552" s="1">
        <v>174413.0</v>
      </c>
      <c r="AC552" s="2">
        <v>41404.0</v>
      </c>
      <c r="AD552" s="1">
        <v>6900.0</v>
      </c>
      <c r="AE552" s="1" t="s">
        <v>151</v>
      </c>
      <c r="AF552" s="1">
        <v>1.0</v>
      </c>
      <c r="AG552" s="1" t="s">
        <v>1540</v>
      </c>
      <c r="AH552" s="1">
        <v>6.0</v>
      </c>
      <c r="AI552" s="1">
        <v>2013.0</v>
      </c>
      <c r="AJ552" s="1">
        <v>2013.0</v>
      </c>
      <c r="AK552" s="1" t="s">
        <v>229</v>
      </c>
    </row>
    <row r="553">
      <c r="A553" s="1" t="s">
        <v>148</v>
      </c>
      <c r="B553" s="1" t="s">
        <v>148</v>
      </c>
      <c r="C553" s="1" t="s">
        <v>149</v>
      </c>
      <c r="E553" s="1">
        <v>6890600.0</v>
      </c>
      <c r="F553" s="2">
        <v>41416.0</v>
      </c>
      <c r="G553" s="1" t="s">
        <v>150</v>
      </c>
      <c r="I553" s="1" t="s">
        <v>150</v>
      </c>
      <c r="L553" s="1" t="s">
        <v>151</v>
      </c>
      <c r="M553" s="1">
        <v>6900.0</v>
      </c>
      <c r="N553" s="1" t="s">
        <v>151</v>
      </c>
      <c r="O553" s="1">
        <v>7.3135402E7</v>
      </c>
      <c r="P553" s="1" t="s">
        <v>152</v>
      </c>
      <c r="Q553" s="1" t="s">
        <v>153</v>
      </c>
      <c r="R553" s="1" t="s">
        <v>154</v>
      </c>
      <c r="S553" s="1" t="s">
        <v>44</v>
      </c>
      <c r="T553" s="1" t="s">
        <v>45</v>
      </c>
      <c r="U553" s="1">
        <v>4.82213038E8</v>
      </c>
      <c r="W553" s="1" t="s">
        <v>46</v>
      </c>
      <c r="X553" s="1" t="s">
        <v>45</v>
      </c>
      <c r="Y553" s="1">
        <v>4.82213038E8</v>
      </c>
      <c r="Z553" s="1">
        <v>7.3135402E7</v>
      </c>
      <c r="AA553" s="1" t="s">
        <v>152</v>
      </c>
      <c r="AB553" s="1">
        <v>232977.0</v>
      </c>
      <c r="AC553" s="2">
        <v>41416.0</v>
      </c>
      <c r="AD553" s="1">
        <v>6900.0</v>
      </c>
      <c r="AE553" s="1" t="s">
        <v>151</v>
      </c>
      <c r="AF553" s="1">
        <v>2.111005009E9</v>
      </c>
      <c r="AG553" s="1" t="s">
        <v>1541</v>
      </c>
      <c r="AH553" s="1">
        <v>6.0</v>
      </c>
      <c r="AI553" s="1">
        <v>2013.0</v>
      </c>
      <c r="AJ553" s="1">
        <v>2013.0</v>
      </c>
      <c r="AK553" s="1" t="s">
        <v>157</v>
      </c>
    </row>
    <row r="554">
      <c r="A554" s="1" t="s">
        <v>1542</v>
      </c>
      <c r="B554" s="1" t="s">
        <v>1542</v>
      </c>
      <c r="C554" s="1" t="s">
        <v>224</v>
      </c>
      <c r="E554" s="1">
        <v>636309.0</v>
      </c>
      <c r="F554" s="2">
        <v>41416.0</v>
      </c>
      <c r="G554" s="1" t="s">
        <v>1543</v>
      </c>
      <c r="I554" s="1" t="s">
        <v>1543</v>
      </c>
      <c r="L554" s="1" t="s">
        <v>151</v>
      </c>
      <c r="M554" s="1">
        <v>6900.0</v>
      </c>
      <c r="N554" s="1" t="s">
        <v>151</v>
      </c>
      <c r="O554" s="1">
        <v>1.1855476E8</v>
      </c>
      <c r="P554" s="1" t="s">
        <v>73</v>
      </c>
      <c r="Q554" s="1" t="s">
        <v>226</v>
      </c>
      <c r="R554" s="1" t="s">
        <v>227</v>
      </c>
      <c r="S554" s="1" t="s">
        <v>44</v>
      </c>
      <c r="T554" s="1" t="s">
        <v>45</v>
      </c>
      <c r="U554" s="1">
        <v>4.82262886E8</v>
      </c>
      <c r="W554" s="1" t="s">
        <v>46</v>
      </c>
      <c r="X554" s="1" t="s">
        <v>45</v>
      </c>
      <c r="Y554" s="1">
        <v>4.82262886E8</v>
      </c>
      <c r="Z554" s="1">
        <v>6530661.0</v>
      </c>
      <c r="AA554" s="1" t="s">
        <v>76</v>
      </c>
      <c r="AB554" s="1">
        <v>636309.6</v>
      </c>
      <c r="AC554" s="2">
        <v>41416.0</v>
      </c>
      <c r="AD554" s="1">
        <v>6900.0</v>
      </c>
      <c r="AE554" s="1" t="s">
        <v>151</v>
      </c>
      <c r="AF554" s="1">
        <v>1.0</v>
      </c>
      <c r="AG554" s="1" t="s">
        <v>1544</v>
      </c>
      <c r="AH554" s="1">
        <v>6.0</v>
      </c>
      <c r="AI554" s="1">
        <v>2013.0</v>
      </c>
      <c r="AJ554" s="1">
        <v>2013.0</v>
      </c>
      <c r="AK554" s="1" t="s">
        <v>229</v>
      </c>
    </row>
    <row r="555">
      <c r="A555" s="1" t="s">
        <v>1545</v>
      </c>
      <c r="B555" s="1" t="s">
        <v>1545</v>
      </c>
      <c r="C555" s="1" t="s">
        <v>224</v>
      </c>
      <c r="E555" s="1">
        <v>28086.0</v>
      </c>
      <c r="F555" s="2">
        <v>41404.0</v>
      </c>
      <c r="G555" s="1" t="s">
        <v>1540</v>
      </c>
      <c r="I555" s="1" t="s">
        <v>1540</v>
      </c>
      <c r="L555" s="1" t="s">
        <v>151</v>
      </c>
      <c r="M555" s="1">
        <v>6900.0</v>
      </c>
      <c r="N555" s="1" t="s">
        <v>151</v>
      </c>
      <c r="O555" s="1">
        <v>1.1855476E8</v>
      </c>
      <c r="P555" s="1" t="s">
        <v>73</v>
      </c>
      <c r="Q555" s="1" t="s">
        <v>226</v>
      </c>
      <c r="R555" s="1" t="s">
        <v>227</v>
      </c>
      <c r="S555" s="1" t="s">
        <v>44</v>
      </c>
      <c r="T555" s="1" t="s">
        <v>45</v>
      </c>
      <c r="U555" s="1">
        <v>4.82262886E8</v>
      </c>
      <c r="W555" s="1" t="s">
        <v>46</v>
      </c>
      <c r="X555" s="1" t="s">
        <v>45</v>
      </c>
      <c r="Y555" s="1">
        <v>4.82262886E8</v>
      </c>
      <c r="Z555" s="1">
        <v>6530661.0</v>
      </c>
      <c r="AA555" s="1" t="s">
        <v>76</v>
      </c>
      <c r="AB555" s="1">
        <v>28086.95</v>
      </c>
      <c r="AC555" s="2">
        <v>41404.0</v>
      </c>
      <c r="AD555" s="1">
        <v>6900.0</v>
      </c>
      <c r="AE555" s="1" t="s">
        <v>151</v>
      </c>
      <c r="AF555" s="1">
        <v>1.0</v>
      </c>
      <c r="AG555" s="1" t="s">
        <v>1540</v>
      </c>
      <c r="AH555" s="1">
        <v>6.0</v>
      </c>
      <c r="AI555" s="1">
        <v>2013.0</v>
      </c>
      <c r="AJ555" s="1">
        <v>2013.0</v>
      </c>
      <c r="AK555" s="1" t="s">
        <v>229</v>
      </c>
    </row>
    <row r="556">
      <c r="A556" s="1" t="s">
        <v>1546</v>
      </c>
      <c r="B556" s="1" t="s">
        <v>1546</v>
      </c>
      <c r="C556" s="1" t="s">
        <v>224</v>
      </c>
      <c r="E556" s="1">
        <v>613875.0</v>
      </c>
      <c r="F556" s="2">
        <v>41418.0</v>
      </c>
      <c r="G556" s="1" t="s">
        <v>1547</v>
      </c>
      <c r="I556" s="1" t="s">
        <v>1547</v>
      </c>
      <c r="L556" s="1" t="s">
        <v>151</v>
      </c>
      <c r="M556" s="1">
        <v>6900.0</v>
      </c>
      <c r="N556" s="1" t="s">
        <v>151</v>
      </c>
      <c r="O556" s="1">
        <v>1.1855476E8</v>
      </c>
      <c r="P556" s="1" t="s">
        <v>73</v>
      </c>
      <c r="Q556" s="1" t="s">
        <v>226</v>
      </c>
      <c r="R556" s="1" t="s">
        <v>227</v>
      </c>
      <c r="S556" s="1" t="s">
        <v>44</v>
      </c>
      <c r="T556" s="1" t="s">
        <v>45</v>
      </c>
      <c r="U556" s="1">
        <v>4.82262886E8</v>
      </c>
      <c r="W556" s="1" t="s">
        <v>46</v>
      </c>
      <c r="X556" s="1" t="s">
        <v>45</v>
      </c>
      <c r="Y556" s="1">
        <v>4.82262886E8</v>
      </c>
      <c r="Z556" s="1">
        <v>6530661.0</v>
      </c>
      <c r="AA556" s="1" t="s">
        <v>76</v>
      </c>
      <c r="AB556" s="1">
        <v>613875.0</v>
      </c>
      <c r="AC556" s="2">
        <v>41418.0</v>
      </c>
      <c r="AD556" s="1">
        <v>6900.0</v>
      </c>
      <c r="AE556" s="1" t="s">
        <v>151</v>
      </c>
      <c r="AF556" s="1">
        <v>1.0</v>
      </c>
      <c r="AG556" s="1" t="s">
        <v>1548</v>
      </c>
      <c r="AH556" s="1">
        <v>6.0</v>
      </c>
      <c r="AI556" s="1">
        <v>2013.0</v>
      </c>
      <c r="AJ556" s="1">
        <v>2013.0</v>
      </c>
      <c r="AK556" s="1" t="s">
        <v>229</v>
      </c>
    </row>
    <row r="557">
      <c r="A557" s="1" t="s">
        <v>1549</v>
      </c>
      <c r="B557" s="1" t="s">
        <v>1549</v>
      </c>
      <c r="C557" s="1" t="s">
        <v>224</v>
      </c>
      <c r="E557" s="1">
        <v>939489.0</v>
      </c>
      <c r="F557" s="2">
        <v>41425.0</v>
      </c>
      <c r="G557" s="1" t="s">
        <v>1550</v>
      </c>
      <c r="I557" s="1" t="s">
        <v>1550</v>
      </c>
      <c r="L557" s="1" t="s">
        <v>151</v>
      </c>
      <c r="M557" s="1">
        <v>6900.0</v>
      </c>
      <c r="N557" s="1" t="s">
        <v>151</v>
      </c>
      <c r="O557" s="1">
        <v>9.63886101E8</v>
      </c>
      <c r="P557" s="1" t="s">
        <v>259</v>
      </c>
      <c r="R557" s="1" t="s">
        <v>260</v>
      </c>
      <c r="S557" s="1" t="s">
        <v>44</v>
      </c>
      <c r="T557" s="1" t="s">
        <v>45</v>
      </c>
      <c r="U557" s="1">
        <v>4.8226348E8</v>
      </c>
      <c r="W557" s="1" t="s">
        <v>46</v>
      </c>
      <c r="X557" s="1" t="s">
        <v>45</v>
      </c>
      <c r="Y557" s="1">
        <v>4.8226348E8</v>
      </c>
      <c r="Z557" s="1">
        <v>7.3134884E7</v>
      </c>
      <c r="AA557" s="1" t="s">
        <v>261</v>
      </c>
      <c r="AB557" s="1">
        <v>939489.77</v>
      </c>
      <c r="AC557" s="2">
        <v>41425.0</v>
      </c>
      <c r="AD557" s="1">
        <v>6900.0</v>
      </c>
      <c r="AE557" s="1" t="s">
        <v>151</v>
      </c>
      <c r="AF557" s="1">
        <v>1.0</v>
      </c>
      <c r="AG557" s="1" t="s">
        <v>1551</v>
      </c>
      <c r="AH557" s="1">
        <v>6.0</v>
      </c>
      <c r="AI557" s="1">
        <v>2013.0</v>
      </c>
      <c r="AJ557" s="1">
        <v>2013.0</v>
      </c>
      <c r="AK557" s="1" t="s">
        <v>229</v>
      </c>
    </row>
    <row r="558">
      <c r="A558" s="1" t="s">
        <v>1552</v>
      </c>
      <c r="B558" s="1" t="s">
        <v>1552</v>
      </c>
      <c r="C558" s="1" t="s">
        <v>224</v>
      </c>
      <c r="E558" s="1">
        <v>177919.0</v>
      </c>
      <c r="F558" s="2">
        <v>41425.0</v>
      </c>
      <c r="G558" s="1" t="s">
        <v>1536</v>
      </c>
      <c r="I558" s="1" t="s">
        <v>1536</v>
      </c>
      <c r="L558" s="1" t="s">
        <v>151</v>
      </c>
      <c r="M558" s="1">
        <v>6900.0</v>
      </c>
      <c r="N558" s="1" t="s">
        <v>151</v>
      </c>
      <c r="O558" s="1">
        <v>9.63886101E8</v>
      </c>
      <c r="P558" s="1" t="s">
        <v>259</v>
      </c>
      <c r="R558" s="1" t="s">
        <v>260</v>
      </c>
      <c r="S558" s="1" t="s">
        <v>44</v>
      </c>
      <c r="T558" s="1" t="s">
        <v>45</v>
      </c>
      <c r="U558" s="1">
        <v>4.8226348E8</v>
      </c>
      <c r="W558" s="1" t="s">
        <v>46</v>
      </c>
      <c r="X558" s="1" t="s">
        <v>45</v>
      </c>
      <c r="Y558" s="1">
        <v>4.8226348E8</v>
      </c>
      <c r="Z558" s="1">
        <v>7.3134884E7</v>
      </c>
      <c r="AA558" s="1" t="s">
        <v>261</v>
      </c>
      <c r="AB558" s="1">
        <v>177919.16</v>
      </c>
      <c r="AC558" s="2">
        <v>41425.0</v>
      </c>
      <c r="AD558" s="1">
        <v>6900.0</v>
      </c>
      <c r="AE558" s="1" t="s">
        <v>151</v>
      </c>
      <c r="AF558" s="1">
        <v>1.0</v>
      </c>
      <c r="AG558" s="1" t="s">
        <v>1537</v>
      </c>
      <c r="AH558" s="1">
        <v>6.0</v>
      </c>
      <c r="AI558" s="1">
        <v>2013.0</v>
      </c>
      <c r="AJ558" s="1">
        <v>2013.0</v>
      </c>
      <c r="AK558" s="1" t="s">
        <v>229</v>
      </c>
    </row>
    <row r="559">
      <c r="A559" s="1" t="s">
        <v>1553</v>
      </c>
      <c r="B559" s="1" t="s">
        <v>1553</v>
      </c>
      <c r="C559" s="1" t="s">
        <v>224</v>
      </c>
      <c r="E559" s="1">
        <v>1074962.0</v>
      </c>
      <c r="F559" s="2">
        <v>41409.0</v>
      </c>
      <c r="G559" s="1" t="s">
        <v>1533</v>
      </c>
      <c r="I559" s="1" t="s">
        <v>1533</v>
      </c>
      <c r="L559" s="1" t="s">
        <v>151</v>
      </c>
      <c r="M559" s="1">
        <v>6900.0</v>
      </c>
      <c r="N559" s="1" t="s">
        <v>151</v>
      </c>
      <c r="O559" s="1">
        <v>9.63886101E8</v>
      </c>
      <c r="P559" s="1" t="s">
        <v>259</v>
      </c>
      <c r="R559" s="1" t="s">
        <v>260</v>
      </c>
      <c r="S559" s="1" t="s">
        <v>44</v>
      </c>
      <c r="T559" s="1" t="s">
        <v>45</v>
      </c>
      <c r="U559" s="1">
        <v>4.8226348E8</v>
      </c>
      <c r="W559" s="1" t="s">
        <v>46</v>
      </c>
      <c r="X559" s="1" t="s">
        <v>45</v>
      </c>
      <c r="Y559" s="1">
        <v>4.8226348E8</v>
      </c>
      <c r="Z559" s="1">
        <v>7.3134884E7</v>
      </c>
      <c r="AA559" s="1" t="s">
        <v>261</v>
      </c>
      <c r="AB559" s="1">
        <v>1074962.86</v>
      </c>
      <c r="AC559" s="2">
        <v>41409.0</v>
      </c>
      <c r="AD559" s="1">
        <v>6900.0</v>
      </c>
      <c r="AE559" s="1" t="s">
        <v>151</v>
      </c>
      <c r="AF559" s="1">
        <v>1.0</v>
      </c>
      <c r="AG559" s="1" t="s">
        <v>1534</v>
      </c>
      <c r="AH559" s="1">
        <v>6.0</v>
      </c>
      <c r="AI559" s="1">
        <v>2013.0</v>
      </c>
      <c r="AJ559" s="1">
        <v>2013.0</v>
      </c>
      <c r="AK559" s="1" t="s">
        <v>229</v>
      </c>
    </row>
    <row r="560">
      <c r="A560" s="1" t="s">
        <v>1554</v>
      </c>
      <c r="B560" s="1" t="s">
        <v>1554</v>
      </c>
      <c r="C560" s="1" t="s">
        <v>224</v>
      </c>
      <c r="E560" s="1">
        <v>142499.0</v>
      </c>
      <c r="F560" s="2">
        <v>41425.0</v>
      </c>
      <c r="G560" s="1" t="s">
        <v>1550</v>
      </c>
      <c r="I560" s="1" t="s">
        <v>1550</v>
      </c>
      <c r="L560" s="1" t="s">
        <v>151</v>
      </c>
      <c r="M560" s="1">
        <v>6900.0</v>
      </c>
      <c r="N560" s="1" t="s">
        <v>151</v>
      </c>
      <c r="O560" s="1">
        <v>9.63886101E8</v>
      </c>
      <c r="P560" s="1" t="s">
        <v>259</v>
      </c>
      <c r="R560" s="1" t="s">
        <v>260</v>
      </c>
      <c r="S560" s="1" t="s">
        <v>44</v>
      </c>
      <c r="T560" s="1" t="s">
        <v>45</v>
      </c>
      <c r="U560" s="1">
        <v>4.8226348E8</v>
      </c>
      <c r="W560" s="1" t="s">
        <v>46</v>
      </c>
      <c r="X560" s="1" t="s">
        <v>45</v>
      </c>
      <c r="Y560" s="1">
        <v>4.8226348E8</v>
      </c>
      <c r="Z560" s="1">
        <v>7.3134884E7</v>
      </c>
      <c r="AA560" s="1" t="s">
        <v>261</v>
      </c>
      <c r="AB560" s="1">
        <v>142499.07</v>
      </c>
      <c r="AC560" s="2">
        <v>41425.0</v>
      </c>
      <c r="AD560" s="1">
        <v>6900.0</v>
      </c>
      <c r="AE560" s="1" t="s">
        <v>151</v>
      </c>
      <c r="AF560" s="1">
        <v>1.0</v>
      </c>
      <c r="AG560" s="1" t="s">
        <v>1551</v>
      </c>
      <c r="AH560" s="1">
        <v>6.0</v>
      </c>
      <c r="AI560" s="1">
        <v>2013.0</v>
      </c>
      <c r="AJ560" s="1">
        <v>2013.0</v>
      </c>
      <c r="AK560" s="1" t="s">
        <v>229</v>
      </c>
    </row>
    <row r="561">
      <c r="A561" s="1" t="s">
        <v>1555</v>
      </c>
      <c r="B561" s="1" t="s">
        <v>1555</v>
      </c>
      <c r="C561" s="1" t="s">
        <v>38</v>
      </c>
      <c r="E561" s="1">
        <v>408188.0</v>
      </c>
      <c r="F561" s="2">
        <v>41435.0</v>
      </c>
      <c r="G561" s="1" t="s">
        <v>1556</v>
      </c>
      <c r="I561" s="1" t="s">
        <v>1556</v>
      </c>
      <c r="L561" s="1" t="s">
        <v>40</v>
      </c>
      <c r="M561" s="1">
        <v>7500.0</v>
      </c>
      <c r="N561" s="1" t="s">
        <v>40</v>
      </c>
      <c r="O561" s="1">
        <v>1962224.0</v>
      </c>
      <c r="P561" s="1" t="s">
        <v>52</v>
      </c>
      <c r="R561" s="1" t="s">
        <v>53</v>
      </c>
      <c r="S561" s="1" t="s">
        <v>44</v>
      </c>
      <c r="T561" s="1" t="s">
        <v>45</v>
      </c>
      <c r="U561" s="1">
        <v>4.82023692E8</v>
      </c>
      <c r="W561" s="1" t="s">
        <v>46</v>
      </c>
      <c r="X561" s="1" t="s">
        <v>45</v>
      </c>
      <c r="Y561" s="1">
        <v>4.8202405E8</v>
      </c>
      <c r="Z561" s="1">
        <v>1962224.0</v>
      </c>
      <c r="AA561" s="1" t="s">
        <v>52</v>
      </c>
      <c r="AB561" s="1">
        <v>28348.0</v>
      </c>
      <c r="AC561" s="2">
        <v>41435.0</v>
      </c>
      <c r="AD561" s="1">
        <v>7500.0</v>
      </c>
      <c r="AE561" s="1" t="s">
        <v>40</v>
      </c>
      <c r="AF561" s="1">
        <v>3.002274378E9</v>
      </c>
      <c r="AG561" s="1" t="s">
        <v>1557</v>
      </c>
      <c r="AH561" s="1">
        <v>6.0</v>
      </c>
      <c r="AI561" s="1">
        <v>2013.0</v>
      </c>
      <c r="AJ561" s="1">
        <v>2013.0</v>
      </c>
      <c r="AK561" s="1" t="s">
        <v>1558</v>
      </c>
    </row>
    <row r="562">
      <c r="A562" s="1" t="s">
        <v>250</v>
      </c>
      <c r="B562" s="1" t="s">
        <v>250</v>
      </c>
      <c r="C562" s="1" t="s">
        <v>38</v>
      </c>
      <c r="E562" s="1">
        <v>1483466.0</v>
      </c>
      <c r="F562" s="2">
        <v>41438.0</v>
      </c>
      <c r="G562" s="1" t="s">
        <v>251</v>
      </c>
      <c r="I562" s="1" t="s">
        <v>251</v>
      </c>
      <c r="L562" s="1" t="s">
        <v>40</v>
      </c>
      <c r="M562" s="1">
        <v>7500.0</v>
      </c>
      <c r="N562" s="1" t="s">
        <v>40</v>
      </c>
      <c r="O562" s="1">
        <v>7.3134603E7</v>
      </c>
      <c r="P562" s="1" t="s">
        <v>41</v>
      </c>
      <c r="Q562" s="1" t="s">
        <v>252</v>
      </c>
      <c r="R562" s="1" t="s">
        <v>253</v>
      </c>
      <c r="S562" s="1" t="s">
        <v>44</v>
      </c>
      <c r="T562" s="1" t="s">
        <v>45</v>
      </c>
      <c r="U562" s="1">
        <v>4.8202345E8</v>
      </c>
      <c r="W562" s="1" t="s">
        <v>46</v>
      </c>
      <c r="X562" s="1" t="s">
        <v>45</v>
      </c>
      <c r="Y562" s="1">
        <v>4.82022608E8</v>
      </c>
      <c r="Z562" s="1">
        <v>7.3134603E7</v>
      </c>
      <c r="AA562" s="1" t="s">
        <v>41</v>
      </c>
      <c r="AB562" s="1">
        <v>27500.0</v>
      </c>
      <c r="AC562" s="2">
        <v>41438.0</v>
      </c>
      <c r="AD562" s="1">
        <v>7500.0</v>
      </c>
      <c r="AE562" s="1" t="s">
        <v>40</v>
      </c>
      <c r="AF562" s="1" t="s">
        <v>1559</v>
      </c>
      <c r="AG562" s="1" t="s">
        <v>1560</v>
      </c>
      <c r="AH562" s="1">
        <v>6.0</v>
      </c>
      <c r="AI562" s="1">
        <v>2013.0</v>
      </c>
      <c r="AJ562" s="1">
        <v>2013.0</v>
      </c>
      <c r="AK562" s="1" t="s">
        <v>256</v>
      </c>
    </row>
    <row r="563">
      <c r="A563" s="1" t="s">
        <v>187</v>
      </c>
      <c r="B563" s="1" t="s">
        <v>187</v>
      </c>
      <c r="C563" s="1" t="s">
        <v>188</v>
      </c>
      <c r="E563" s="1">
        <v>2.2770804E7</v>
      </c>
      <c r="F563" s="2">
        <v>41453.0</v>
      </c>
      <c r="G563" s="1" t="s">
        <v>189</v>
      </c>
      <c r="I563" s="1" t="s">
        <v>189</v>
      </c>
      <c r="L563" s="1" t="s">
        <v>188</v>
      </c>
      <c r="M563" s="1">
        <v>1900.0</v>
      </c>
      <c r="N563" s="1" t="s">
        <v>188</v>
      </c>
      <c r="O563" s="1">
        <v>6.9840817E7</v>
      </c>
      <c r="P563" s="1" t="s">
        <v>131</v>
      </c>
      <c r="R563" s="1" t="s">
        <v>132</v>
      </c>
      <c r="S563" s="1" t="s">
        <v>44</v>
      </c>
      <c r="T563" s="1" t="s">
        <v>45</v>
      </c>
      <c r="U563" s="1">
        <v>4.8214261E8</v>
      </c>
      <c r="W563" s="1" t="s">
        <v>46</v>
      </c>
      <c r="X563" s="1" t="s">
        <v>45</v>
      </c>
      <c r="Y563" s="1">
        <v>4.8214261E8</v>
      </c>
      <c r="Z563" s="1">
        <v>6.9840817E7</v>
      </c>
      <c r="AA563" s="1" t="s">
        <v>131</v>
      </c>
      <c r="AB563" s="1">
        <v>483750.0</v>
      </c>
      <c r="AC563" s="2">
        <v>41453.0</v>
      </c>
      <c r="AD563" s="1">
        <v>1900.0</v>
      </c>
      <c r="AE563" s="1" t="s">
        <v>188</v>
      </c>
      <c r="AF563" s="1" t="s">
        <v>1561</v>
      </c>
      <c r="AG563" s="1" t="s">
        <v>191</v>
      </c>
      <c r="AH563" s="1">
        <v>6.0</v>
      </c>
      <c r="AI563" s="1">
        <v>2013.0</v>
      </c>
      <c r="AJ563" s="1">
        <v>2013.0</v>
      </c>
      <c r="AK563" s="1" t="s">
        <v>192</v>
      </c>
    </row>
    <row r="564">
      <c r="A564" s="1" t="s">
        <v>1122</v>
      </c>
      <c r="B564" s="1" t="s">
        <v>1122</v>
      </c>
      <c r="C564" s="1" t="s">
        <v>100</v>
      </c>
      <c r="E564" s="1">
        <v>1.9727792E7</v>
      </c>
      <c r="F564" s="2">
        <v>41275.0</v>
      </c>
      <c r="G564" s="1" t="s">
        <v>122</v>
      </c>
      <c r="I564" s="1" t="s">
        <v>122</v>
      </c>
      <c r="L564" s="1" t="s">
        <v>102</v>
      </c>
      <c r="M564" s="1">
        <v>8600.0</v>
      </c>
      <c r="N564" s="1" t="s">
        <v>102</v>
      </c>
      <c r="O564" s="1">
        <v>9.64523815E8</v>
      </c>
      <c r="P564" s="1" t="s">
        <v>123</v>
      </c>
      <c r="Q564" s="1" t="s">
        <v>124</v>
      </c>
      <c r="R564" s="1" t="s">
        <v>125</v>
      </c>
      <c r="S564" s="1" t="s">
        <v>44</v>
      </c>
      <c r="T564" s="1" t="s">
        <v>45</v>
      </c>
      <c r="U564" s="1">
        <v>4.82231227E8</v>
      </c>
      <c r="W564" s="1" t="s">
        <v>44</v>
      </c>
      <c r="X564" s="1" t="s">
        <v>45</v>
      </c>
      <c r="Y564" s="1">
        <v>4.82231227E8</v>
      </c>
      <c r="AB564" s="1">
        <v>40000.0</v>
      </c>
      <c r="AC564" s="2">
        <v>41275.0</v>
      </c>
      <c r="AD564" s="1">
        <v>8600.0</v>
      </c>
      <c r="AE564" s="1" t="s">
        <v>102</v>
      </c>
      <c r="AF564" s="1" t="s">
        <v>682</v>
      </c>
      <c r="AG564" s="1" t="s">
        <v>683</v>
      </c>
      <c r="AH564" s="1">
        <v>7.0</v>
      </c>
      <c r="AI564" s="1">
        <v>2013.0</v>
      </c>
      <c r="AJ564" s="1">
        <v>2013.0</v>
      </c>
      <c r="AK564" s="1" t="s">
        <v>127</v>
      </c>
    </row>
    <row r="565">
      <c r="A565" s="1" t="s">
        <v>1325</v>
      </c>
      <c r="B565" s="1" t="s">
        <v>1325</v>
      </c>
      <c r="C565" s="1" t="s">
        <v>129</v>
      </c>
      <c r="E565" s="1">
        <v>3.93293408E8</v>
      </c>
      <c r="F565" s="2">
        <v>41548.0</v>
      </c>
      <c r="G565" s="1" t="s">
        <v>1326</v>
      </c>
      <c r="I565" s="1" t="s">
        <v>1326</v>
      </c>
      <c r="L565" s="1" t="s">
        <v>40</v>
      </c>
      <c r="M565" s="1">
        <v>7500.0</v>
      </c>
      <c r="N565" s="1" t="s">
        <v>40</v>
      </c>
      <c r="O565" s="1">
        <v>1.21516199E8</v>
      </c>
      <c r="P565" s="1" t="s">
        <v>380</v>
      </c>
      <c r="Q565" s="1" t="s">
        <v>381</v>
      </c>
      <c r="R565" s="1" t="s">
        <v>382</v>
      </c>
      <c r="S565" s="1" t="s">
        <v>44</v>
      </c>
      <c r="T565" s="1" t="s">
        <v>45</v>
      </c>
      <c r="U565" s="1">
        <v>4.82073156E8</v>
      </c>
      <c r="W565" s="1" t="s">
        <v>44</v>
      </c>
      <c r="X565" s="1" t="s">
        <v>45</v>
      </c>
      <c r="Y565" s="1">
        <v>4.82073127E8</v>
      </c>
      <c r="Z565" s="1">
        <v>1.21516199E8</v>
      </c>
      <c r="AA565" s="1" t="s">
        <v>380</v>
      </c>
      <c r="AB565" s="1">
        <v>233094.58</v>
      </c>
      <c r="AC565" s="2">
        <v>41548.0</v>
      </c>
      <c r="AD565" s="1">
        <v>7500.0</v>
      </c>
      <c r="AE565" s="1" t="s">
        <v>40</v>
      </c>
      <c r="AF565" s="1" t="s">
        <v>1309</v>
      </c>
      <c r="AG565" s="1" t="s">
        <v>1310</v>
      </c>
      <c r="AH565" s="1">
        <v>3.0</v>
      </c>
      <c r="AI565" s="1">
        <v>2013.0</v>
      </c>
      <c r="AJ565" s="1">
        <v>2014.0</v>
      </c>
      <c r="AK565" s="1" t="s">
        <v>385</v>
      </c>
    </row>
    <row r="566">
      <c r="A566" s="1" t="s">
        <v>1325</v>
      </c>
      <c r="B566" s="1" t="s">
        <v>1325</v>
      </c>
      <c r="C566" s="1" t="s">
        <v>129</v>
      </c>
      <c r="E566" s="1">
        <v>3.93293408E8</v>
      </c>
      <c r="F566" s="2">
        <v>41548.0</v>
      </c>
      <c r="G566" s="1" t="s">
        <v>1326</v>
      </c>
      <c r="I566" s="1" t="s">
        <v>1326</v>
      </c>
      <c r="L566" s="1" t="s">
        <v>40</v>
      </c>
      <c r="M566" s="1">
        <v>7500.0</v>
      </c>
      <c r="N566" s="1" t="s">
        <v>40</v>
      </c>
      <c r="O566" s="1">
        <v>6.9840817E7</v>
      </c>
      <c r="P566" s="1" t="s">
        <v>131</v>
      </c>
      <c r="R566" s="1" t="s">
        <v>132</v>
      </c>
      <c r="S566" s="1" t="s">
        <v>44</v>
      </c>
      <c r="T566" s="1" t="s">
        <v>45</v>
      </c>
      <c r="U566" s="1">
        <v>4.8214261E8</v>
      </c>
      <c r="W566" s="1" t="s">
        <v>46</v>
      </c>
      <c r="X566" s="1" t="s">
        <v>45</v>
      </c>
      <c r="Y566" s="1">
        <v>4.8214261E8</v>
      </c>
      <c r="Z566" s="1">
        <v>6.9840817E7</v>
      </c>
      <c r="AA566" s="1" t="s">
        <v>131</v>
      </c>
      <c r="AB566" s="1">
        <v>456590.0</v>
      </c>
      <c r="AC566" s="2">
        <v>41548.0</v>
      </c>
      <c r="AD566" s="1">
        <v>7500.0</v>
      </c>
      <c r="AE566" s="1" t="s">
        <v>40</v>
      </c>
      <c r="AF566" s="1" t="s">
        <v>1336</v>
      </c>
      <c r="AG566" s="1" t="s">
        <v>1329</v>
      </c>
      <c r="AH566" s="1">
        <v>3.0</v>
      </c>
      <c r="AI566" s="1">
        <v>2013.0</v>
      </c>
      <c r="AJ566" s="1">
        <v>2014.0</v>
      </c>
      <c r="AK566" s="1" t="s">
        <v>385</v>
      </c>
    </row>
    <row r="567">
      <c r="A567" s="1" t="s">
        <v>1325</v>
      </c>
      <c r="B567" s="1" t="s">
        <v>1325</v>
      </c>
      <c r="C567" s="1" t="s">
        <v>129</v>
      </c>
      <c r="E567" s="1">
        <v>3.93293408E8</v>
      </c>
      <c r="F567" s="2">
        <v>41548.0</v>
      </c>
      <c r="G567" s="1" t="s">
        <v>1326</v>
      </c>
      <c r="I567" s="1" t="s">
        <v>1326</v>
      </c>
      <c r="L567" s="1" t="s">
        <v>40</v>
      </c>
      <c r="M567" s="1">
        <v>7500.0</v>
      </c>
      <c r="N567" s="1" t="s">
        <v>40</v>
      </c>
      <c r="O567" s="1">
        <v>6.9840817E7</v>
      </c>
      <c r="P567" s="1" t="s">
        <v>131</v>
      </c>
      <c r="R567" s="1" t="s">
        <v>132</v>
      </c>
      <c r="S567" s="1" t="s">
        <v>44</v>
      </c>
      <c r="T567" s="1" t="s">
        <v>45</v>
      </c>
      <c r="U567" s="1">
        <v>4.8214261E8</v>
      </c>
      <c r="W567" s="1" t="s">
        <v>44</v>
      </c>
      <c r="X567" s="1" t="s">
        <v>45</v>
      </c>
      <c r="Y567" s="1">
        <v>4.8214261E8</v>
      </c>
      <c r="Z567" s="1">
        <v>6.9840817E7</v>
      </c>
      <c r="AA567" s="1" t="s">
        <v>131</v>
      </c>
      <c r="AB567" s="1">
        <v>457342.0</v>
      </c>
      <c r="AC567" s="2">
        <v>41548.0</v>
      </c>
      <c r="AD567" s="1">
        <v>7500.0</v>
      </c>
      <c r="AE567" s="1" t="s">
        <v>40</v>
      </c>
      <c r="AF567" s="1" t="s">
        <v>1328</v>
      </c>
      <c r="AG567" s="1" t="s">
        <v>1329</v>
      </c>
      <c r="AH567" s="1">
        <v>3.0</v>
      </c>
      <c r="AI567" s="1">
        <v>2013.0</v>
      </c>
      <c r="AJ567" s="1">
        <v>2014.0</v>
      </c>
      <c r="AK567" s="1" t="s">
        <v>385</v>
      </c>
    </row>
    <row r="568">
      <c r="A568" s="1" t="s">
        <v>1325</v>
      </c>
      <c r="B568" s="1" t="s">
        <v>1325</v>
      </c>
      <c r="C568" s="1" t="s">
        <v>129</v>
      </c>
      <c r="E568" s="1">
        <v>3.93293408E8</v>
      </c>
      <c r="F568" s="2">
        <v>41548.0</v>
      </c>
      <c r="G568" s="1" t="s">
        <v>1326</v>
      </c>
      <c r="I568" s="1" t="s">
        <v>1326</v>
      </c>
      <c r="L568" s="1" t="s">
        <v>40</v>
      </c>
      <c r="M568" s="1">
        <v>7500.0</v>
      </c>
      <c r="N568" s="1" t="s">
        <v>40</v>
      </c>
      <c r="O568" s="1">
        <v>7.8074923E8</v>
      </c>
      <c r="P568" s="1" t="s">
        <v>419</v>
      </c>
      <c r="R568" s="1" t="s">
        <v>420</v>
      </c>
      <c r="S568" s="1" t="s">
        <v>44</v>
      </c>
      <c r="T568" s="1" t="s">
        <v>45</v>
      </c>
      <c r="U568" s="1">
        <v>4.82082365E8</v>
      </c>
      <c r="W568" s="1" t="s">
        <v>44</v>
      </c>
      <c r="X568" s="1" t="s">
        <v>45</v>
      </c>
      <c r="Y568" s="1">
        <v>4.82082365E8</v>
      </c>
      <c r="AB568" s="1">
        <v>198499.1</v>
      </c>
      <c r="AC568" s="2">
        <v>41548.0</v>
      </c>
      <c r="AD568" s="1">
        <v>7500.0</v>
      </c>
      <c r="AE568" s="1" t="s">
        <v>40</v>
      </c>
      <c r="AF568" s="1" t="s">
        <v>1327</v>
      </c>
      <c r="AG568" s="1" t="s">
        <v>1274</v>
      </c>
      <c r="AH568" s="1">
        <v>3.0</v>
      </c>
      <c r="AI568" s="1">
        <v>2013.0</v>
      </c>
      <c r="AJ568" s="1">
        <v>2014.0</v>
      </c>
      <c r="AK568" s="1" t="s">
        <v>385</v>
      </c>
    </row>
    <row r="569">
      <c r="A569" s="1" t="s">
        <v>1325</v>
      </c>
      <c r="B569" s="1" t="s">
        <v>1325</v>
      </c>
      <c r="C569" s="1" t="s">
        <v>129</v>
      </c>
      <c r="E569" s="1">
        <v>3.93293408E8</v>
      </c>
      <c r="F569" s="2">
        <v>41548.0</v>
      </c>
      <c r="G569" s="1" t="s">
        <v>1326</v>
      </c>
      <c r="I569" s="1" t="s">
        <v>1326</v>
      </c>
      <c r="L569" s="1" t="s">
        <v>40</v>
      </c>
      <c r="M569" s="1">
        <v>7500.0</v>
      </c>
      <c r="N569" s="1" t="s">
        <v>40</v>
      </c>
      <c r="O569" s="1">
        <v>2.0830303E7</v>
      </c>
      <c r="P569" s="1" t="s">
        <v>424</v>
      </c>
      <c r="Q569" s="1" t="s">
        <v>425</v>
      </c>
      <c r="R569" s="1" t="s">
        <v>426</v>
      </c>
      <c r="S569" s="1" t="s">
        <v>44</v>
      </c>
      <c r="T569" s="1" t="s">
        <v>45</v>
      </c>
      <c r="U569" s="1">
        <v>4.82012002E8</v>
      </c>
      <c r="W569" s="1" t="s">
        <v>44</v>
      </c>
      <c r="X569" s="1" t="s">
        <v>45</v>
      </c>
      <c r="Y569" s="1">
        <v>4.82012002E8</v>
      </c>
      <c r="Z569" s="1">
        <v>2.0830303E7</v>
      </c>
      <c r="AA569" s="1" t="s">
        <v>424</v>
      </c>
      <c r="AB569" s="1">
        <v>332938.25</v>
      </c>
      <c r="AC569" s="2">
        <v>41548.0</v>
      </c>
      <c r="AD569" s="1">
        <v>7500.0</v>
      </c>
      <c r="AE569" s="1" t="s">
        <v>40</v>
      </c>
      <c r="AF569" s="1" t="s">
        <v>1273</v>
      </c>
      <c r="AG569" s="1" t="s">
        <v>1274</v>
      </c>
      <c r="AH569" s="1">
        <v>3.0</v>
      </c>
      <c r="AI569" s="1">
        <v>2013.0</v>
      </c>
      <c r="AJ569" s="1">
        <v>2014.0</v>
      </c>
      <c r="AK569" s="1" t="s">
        <v>385</v>
      </c>
    </row>
    <row r="570">
      <c r="A570" s="1" t="s">
        <v>1325</v>
      </c>
      <c r="B570" s="1" t="s">
        <v>1325</v>
      </c>
      <c r="C570" s="1" t="s">
        <v>129</v>
      </c>
      <c r="E570" s="1">
        <v>3.93293408E8</v>
      </c>
      <c r="F570" s="2">
        <v>41548.0</v>
      </c>
      <c r="G570" s="1" t="s">
        <v>1326</v>
      </c>
      <c r="I570" s="1" t="s">
        <v>1326</v>
      </c>
      <c r="L570" s="1" t="s">
        <v>40</v>
      </c>
      <c r="M570" s="1">
        <v>7500.0</v>
      </c>
      <c r="N570" s="1" t="s">
        <v>40</v>
      </c>
      <c r="O570" s="1">
        <v>1.93540515E8</v>
      </c>
      <c r="P570" s="1" t="s">
        <v>1022</v>
      </c>
      <c r="Q570" s="1" t="s">
        <v>1330</v>
      </c>
      <c r="R570" s="1" t="s">
        <v>1023</v>
      </c>
      <c r="S570" s="1" t="s">
        <v>44</v>
      </c>
      <c r="T570" s="1" t="s">
        <v>45</v>
      </c>
      <c r="U570" s="1">
        <v>4.82193653E8</v>
      </c>
      <c r="W570" s="1" t="s">
        <v>44</v>
      </c>
      <c r="X570" s="1" t="s">
        <v>45</v>
      </c>
      <c r="Y570" s="1">
        <v>4.82193165E8</v>
      </c>
      <c r="Z570" s="1">
        <v>1.93540515E8</v>
      </c>
      <c r="AA570" s="1" t="s">
        <v>1022</v>
      </c>
      <c r="AB570" s="1">
        <v>249761.0</v>
      </c>
      <c r="AC570" s="2">
        <v>41548.0</v>
      </c>
      <c r="AD570" s="1">
        <v>7500.0</v>
      </c>
      <c r="AE570" s="1" t="s">
        <v>40</v>
      </c>
      <c r="AF570" s="1" t="s">
        <v>1331</v>
      </c>
      <c r="AG570" s="1" t="s">
        <v>1332</v>
      </c>
      <c r="AH570" s="1">
        <v>3.0</v>
      </c>
      <c r="AI570" s="1">
        <v>2013.0</v>
      </c>
      <c r="AJ570" s="1">
        <v>2014.0</v>
      </c>
      <c r="AK570" s="1" t="s">
        <v>385</v>
      </c>
    </row>
    <row r="571">
      <c r="A571" s="1" t="s">
        <v>1325</v>
      </c>
      <c r="B571" s="1" t="s">
        <v>1325</v>
      </c>
      <c r="C571" s="1" t="s">
        <v>129</v>
      </c>
      <c r="E571" s="1">
        <v>3.93293408E8</v>
      </c>
      <c r="F571" s="2">
        <v>41548.0</v>
      </c>
      <c r="G571" s="1" t="s">
        <v>1326</v>
      </c>
      <c r="I571" s="1" t="s">
        <v>1326</v>
      </c>
      <c r="L571" s="1" t="s">
        <v>40</v>
      </c>
      <c r="M571" s="1">
        <v>7500.0</v>
      </c>
      <c r="N571" s="1" t="s">
        <v>40</v>
      </c>
      <c r="O571" s="1">
        <v>1.95614664E8</v>
      </c>
      <c r="P571" s="1" t="s">
        <v>1333</v>
      </c>
      <c r="R571" s="1" t="s">
        <v>1334</v>
      </c>
      <c r="S571" s="1" t="s">
        <v>44</v>
      </c>
      <c r="T571" s="1" t="s">
        <v>45</v>
      </c>
      <c r="U571" s="1">
        <v>4.82023133E8</v>
      </c>
      <c r="W571" s="1" t="s">
        <v>44</v>
      </c>
      <c r="X571" s="1" t="s">
        <v>45</v>
      </c>
      <c r="Y571" s="1">
        <v>4.82023133E8</v>
      </c>
      <c r="Z571" s="1">
        <v>1.95614664E8</v>
      </c>
      <c r="AA571" s="1" t="s">
        <v>1333</v>
      </c>
      <c r="AB571" s="1">
        <v>807364.0</v>
      </c>
      <c r="AC571" s="2">
        <v>41548.0</v>
      </c>
      <c r="AD571" s="1">
        <v>7500.0</v>
      </c>
      <c r="AE571" s="1" t="s">
        <v>40</v>
      </c>
      <c r="AF571" s="1" t="s">
        <v>1335</v>
      </c>
      <c r="AG571" s="1" t="s">
        <v>1329</v>
      </c>
      <c r="AH571" s="1">
        <v>3.0</v>
      </c>
      <c r="AI571" s="1">
        <v>2013.0</v>
      </c>
      <c r="AJ571" s="1">
        <v>2014.0</v>
      </c>
      <c r="AK571" s="1" t="s">
        <v>385</v>
      </c>
    </row>
    <row r="572">
      <c r="A572" s="1" t="s">
        <v>911</v>
      </c>
      <c r="B572" s="1" t="s">
        <v>911</v>
      </c>
      <c r="C572" s="1" t="s">
        <v>38</v>
      </c>
      <c r="E572" s="1">
        <v>2853415.0</v>
      </c>
      <c r="F572" s="2">
        <v>41739.0</v>
      </c>
      <c r="G572" s="1" t="s">
        <v>1562</v>
      </c>
      <c r="I572" s="1" t="s">
        <v>1562</v>
      </c>
      <c r="L572" s="1" t="s">
        <v>40</v>
      </c>
      <c r="M572" s="1">
        <v>7500.0</v>
      </c>
      <c r="N572" s="1" t="s">
        <v>40</v>
      </c>
      <c r="O572" s="1">
        <v>7.3134603E7</v>
      </c>
      <c r="P572" s="1" t="s">
        <v>41</v>
      </c>
      <c r="Q572" s="1" t="s">
        <v>252</v>
      </c>
      <c r="R572" s="1" t="s">
        <v>253</v>
      </c>
      <c r="S572" s="1" t="s">
        <v>44</v>
      </c>
      <c r="T572" s="1" t="s">
        <v>45</v>
      </c>
      <c r="U572" s="1">
        <v>4.8202345E8</v>
      </c>
      <c r="W572" s="1" t="s">
        <v>46</v>
      </c>
      <c r="X572" s="1" t="s">
        <v>45</v>
      </c>
      <c r="Y572" s="1">
        <v>4.82022689E8</v>
      </c>
      <c r="Z572" s="1">
        <v>7.3134603E7</v>
      </c>
      <c r="AA572" s="1" t="s">
        <v>41</v>
      </c>
      <c r="AB572" s="1">
        <v>275889.0</v>
      </c>
      <c r="AC572" s="2">
        <v>41739.0</v>
      </c>
      <c r="AD572" s="1">
        <v>7500.0</v>
      </c>
      <c r="AE572" s="1" t="s">
        <v>40</v>
      </c>
      <c r="AF572" s="1" t="s">
        <v>1563</v>
      </c>
      <c r="AG572" s="1" t="s">
        <v>914</v>
      </c>
      <c r="AH572" s="1">
        <v>5.0</v>
      </c>
      <c r="AI572" s="1">
        <v>2014.0</v>
      </c>
      <c r="AJ572" s="1">
        <v>2014.0</v>
      </c>
      <c r="AK572" s="1" t="s">
        <v>256</v>
      </c>
    </row>
    <row r="573">
      <c r="A573" s="1" t="s">
        <v>1564</v>
      </c>
      <c r="B573" s="1" t="s">
        <v>1564</v>
      </c>
      <c r="C573" s="1" t="s">
        <v>63</v>
      </c>
      <c r="E573" s="1">
        <v>1470095.0</v>
      </c>
      <c r="F573" s="2">
        <v>41183.0</v>
      </c>
      <c r="G573" s="1" t="s">
        <v>1565</v>
      </c>
      <c r="I573" s="1" t="s">
        <v>1565</v>
      </c>
      <c r="L573" s="1" t="s">
        <v>40</v>
      </c>
      <c r="M573" s="1">
        <v>7500.0</v>
      </c>
      <c r="N573" s="1" t="s">
        <v>40</v>
      </c>
      <c r="O573" s="1">
        <v>1962224.0</v>
      </c>
      <c r="P573" s="1" t="s">
        <v>52</v>
      </c>
      <c r="Q573" s="1" t="s">
        <v>1566</v>
      </c>
      <c r="R573" s="1" t="s">
        <v>53</v>
      </c>
      <c r="S573" s="1" t="s">
        <v>44</v>
      </c>
      <c r="T573" s="1" t="s">
        <v>45</v>
      </c>
      <c r="U573" s="1">
        <v>4.82023692E8</v>
      </c>
      <c r="W573" s="1" t="s">
        <v>46</v>
      </c>
      <c r="X573" s="1" t="s">
        <v>45</v>
      </c>
      <c r="Y573" s="1">
        <v>4.82023692E8</v>
      </c>
      <c r="Z573" s="1">
        <v>1962224.0</v>
      </c>
      <c r="AA573" s="1" t="s">
        <v>52</v>
      </c>
      <c r="AB573" s="1">
        <v>122623.0</v>
      </c>
      <c r="AC573" s="2">
        <v>41183.0</v>
      </c>
      <c r="AD573" s="1">
        <v>7500.0</v>
      </c>
      <c r="AE573" s="1" t="s">
        <v>40</v>
      </c>
      <c r="AF573" s="1">
        <v>2.0131051E7</v>
      </c>
      <c r="AG573" s="1" t="s">
        <v>1567</v>
      </c>
      <c r="AH573" s="1">
        <v>10.0</v>
      </c>
      <c r="AI573" s="1">
        <v>2011.0</v>
      </c>
      <c r="AJ573" s="1">
        <v>2013.0</v>
      </c>
      <c r="AK573" s="1" t="s">
        <v>1568</v>
      </c>
    </row>
    <row r="574">
      <c r="A574" s="1" t="s">
        <v>1569</v>
      </c>
      <c r="B574" s="1" t="s">
        <v>1569</v>
      </c>
      <c r="C574" s="1" t="s">
        <v>63</v>
      </c>
      <c r="E574" s="1">
        <v>8096385.0</v>
      </c>
      <c r="F574" s="2">
        <v>41183.0</v>
      </c>
      <c r="G574" s="1" t="s">
        <v>1570</v>
      </c>
      <c r="I574" s="1" t="s">
        <v>1570</v>
      </c>
      <c r="L574" s="1" t="s">
        <v>40</v>
      </c>
      <c r="M574" s="1">
        <v>7500.0</v>
      </c>
      <c r="N574" s="1" t="s">
        <v>40</v>
      </c>
      <c r="O574" s="1">
        <v>3.8775243E7</v>
      </c>
      <c r="P574" s="1" t="s">
        <v>209</v>
      </c>
      <c r="Q574" s="1" t="s">
        <v>210</v>
      </c>
      <c r="R574" s="1" t="s">
        <v>211</v>
      </c>
      <c r="S574" s="1" t="s">
        <v>44</v>
      </c>
      <c r="T574" s="1" t="s">
        <v>45</v>
      </c>
      <c r="U574" s="1">
        <v>4.82023068E8</v>
      </c>
      <c r="W574" s="1" t="s">
        <v>46</v>
      </c>
      <c r="X574" s="1" t="s">
        <v>45</v>
      </c>
      <c r="Y574" s="1">
        <v>4.82023068E8</v>
      </c>
      <c r="Z574" s="1">
        <v>3.8775243E7</v>
      </c>
      <c r="AA574" s="1" t="s">
        <v>209</v>
      </c>
      <c r="AB574" s="1">
        <v>13842.02</v>
      </c>
      <c r="AC574" s="2">
        <v>41183.0</v>
      </c>
      <c r="AD574" s="1">
        <v>7500.0</v>
      </c>
      <c r="AE574" s="1" t="s">
        <v>40</v>
      </c>
      <c r="AF574" s="1">
        <v>2.0131231E7</v>
      </c>
      <c r="AG574" s="1" t="s">
        <v>1571</v>
      </c>
      <c r="AH574" s="1">
        <v>10.0</v>
      </c>
      <c r="AI574" s="1">
        <v>2010.0</v>
      </c>
      <c r="AJ574" s="1">
        <v>2013.0</v>
      </c>
      <c r="AK574" s="1" t="s">
        <v>1572</v>
      </c>
    </row>
    <row r="575">
      <c r="A575" s="1" t="s">
        <v>1569</v>
      </c>
      <c r="B575" s="1" t="s">
        <v>1569</v>
      </c>
      <c r="C575" s="1" t="s">
        <v>63</v>
      </c>
      <c r="E575" s="1">
        <v>8096385.0</v>
      </c>
      <c r="F575" s="2">
        <v>41183.0</v>
      </c>
      <c r="G575" s="1" t="s">
        <v>1570</v>
      </c>
      <c r="I575" s="1" t="s">
        <v>1570</v>
      </c>
      <c r="L575" s="1" t="s">
        <v>40</v>
      </c>
      <c r="M575" s="1">
        <v>7500.0</v>
      </c>
      <c r="N575" s="1" t="s">
        <v>40</v>
      </c>
      <c r="O575" s="1">
        <v>3.8775243E7</v>
      </c>
      <c r="P575" s="1" t="s">
        <v>209</v>
      </c>
      <c r="Q575" s="1" t="s">
        <v>210</v>
      </c>
      <c r="R575" s="1" t="s">
        <v>211</v>
      </c>
      <c r="S575" s="1" t="s">
        <v>44</v>
      </c>
      <c r="T575" s="1" t="s">
        <v>45</v>
      </c>
      <c r="U575" s="1">
        <v>4.82023068E8</v>
      </c>
      <c r="W575" s="1" t="s">
        <v>46</v>
      </c>
      <c r="X575" s="1" t="s">
        <v>45</v>
      </c>
      <c r="Y575" s="1">
        <v>4.82023068E8</v>
      </c>
      <c r="Z575" s="1">
        <v>3.8775243E7</v>
      </c>
      <c r="AA575" s="1" t="s">
        <v>209</v>
      </c>
      <c r="AB575" s="1">
        <v>35643.98</v>
      </c>
      <c r="AC575" s="2">
        <v>41183.0</v>
      </c>
      <c r="AD575" s="1">
        <v>7500.0</v>
      </c>
      <c r="AE575" s="1" t="s">
        <v>40</v>
      </c>
      <c r="AF575" s="1">
        <v>2.0131231E7</v>
      </c>
      <c r="AG575" s="1" t="s">
        <v>1571</v>
      </c>
      <c r="AH575" s="1">
        <v>10.0</v>
      </c>
      <c r="AI575" s="1">
        <v>2010.0</v>
      </c>
      <c r="AJ575" s="1">
        <v>2013.0</v>
      </c>
      <c r="AK575" s="1" t="s">
        <v>1572</v>
      </c>
    </row>
    <row r="576">
      <c r="A576" s="1" t="s">
        <v>1569</v>
      </c>
      <c r="B576" s="1" t="s">
        <v>1569</v>
      </c>
      <c r="C576" s="1" t="s">
        <v>63</v>
      </c>
      <c r="E576" s="1">
        <v>8096385.0</v>
      </c>
      <c r="F576" s="2">
        <v>41183.0</v>
      </c>
      <c r="G576" s="1" t="s">
        <v>1570</v>
      </c>
      <c r="I576" s="1" t="s">
        <v>1570</v>
      </c>
      <c r="L576" s="1" t="s">
        <v>40</v>
      </c>
      <c r="M576" s="1">
        <v>7500.0</v>
      </c>
      <c r="N576" s="1" t="s">
        <v>40</v>
      </c>
      <c r="O576" s="1">
        <v>3.8775243E7</v>
      </c>
      <c r="P576" s="1" t="s">
        <v>209</v>
      </c>
      <c r="Q576" s="1" t="s">
        <v>210</v>
      </c>
      <c r="R576" s="1" t="s">
        <v>211</v>
      </c>
      <c r="S576" s="1" t="s">
        <v>44</v>
      </c>
      <c r="T576" s="1" t="s">
        <v>45</v>
      </c>
      <c r="U576" s="1">
        <v>4.82023068E8</v>
      </c>
      <c r="W576" s="1" t="s">
        <v>46</v>
      </c>
      <c r="X576" s="1" t="s">
        <v>45</v>
      </c>
      <c r="Y576" s="1">
        <v>4.82023068E8</v>
      </c>
      <c r="Z576" s="1">
        <v>3.8775243E7</v>
      </c>
      <c r="AA576" s="1" t="s">
        <v>209</v>
      </c>
      <c r="AB576" s="1">
        <v>915684.0</v>
      </c>
      <c r="AC576" s="2">
        <v>41183.0</v>
      </c>
      <c r="AD576" s="1">
        <v>7500.0</v>
      </c>
      <c r="AE576" s="1" t="s">
        <v>40</v>
      </c>
      <c r="AF576" s="1">
        <v>2.0131256E7</v>
      </c>
      <c r="AG576" s="1" t="s">
        <v>1571</v>
      </c>
      <c r="AH576" s="1">
        <v>10.0</v>
      </c>
      <c r="AI576" s="1">
        <v>2010.0</v>
      </c>
      <c r="AJ576" s="1">
        <v>2013.0</v>
      </c>
      <c r="AK576" s="1" t="s">
        <v>1572</v>
      </c>
    </row>
    <row r="577">
      <c r="A577" s="1" t="s">
        <v>1569</v>
      </c>
      <c r="B577" s="1" t="s">
        <v>1569</v>
      </c>
      <c r="C577" s="1" t="s">
        <v>63</v>
      </c>
      <c r="E577" s="1">
        <v>8096385.0</v>
      </c>
      <c r="F577" s="2">
        <v>41183.0</v>
      </c>
      <c r="G577" s="1" t="s">
        <v>1570</v>
      </c>
      <c r="I577" s="1" t="s">
        <v>1570</v>
      </c>
      <c r="L577" s="1" t="s">
        <v>40</v>
      </c>
      <c r="M577" s="1">
        <v>7500.0</v>
      </c>
      <c r="N577" s="1" t="s">
        <v>40</v>
      </c>
      <c r="O577" s="1">
        <v>7.8583404E7</v>
      </c>
      <c r="P577" s="1" t="s">
        <v>65</v>
      </c>
      <c r="Q577" s="1" t="s">
        <v>210</v>
      </c>
      <c r="R577" s="1" t="s">
        <v>1573</v>
      </c>
      <c r="S577" s="1" t="s">
        <v>44</v>
      </c>
      <c r="T577" s="1" t="s">
        <v>45</v>
      </c>
      <c r="U577" s="1">
        <v>4.8207311E8</v>
      </c>
      <c r="W577" s="1" t="s">
        <v>46</v>
      </c>
      <c r="X577" s="1" t="s">
        <v>45</v>
      </c>
      <c r="Y577" s="1">
        <v>4.82021732E8</v>
      </c>
      <c r="Z577" s="1">
        <v>3.8775243E7</v>
      </c>
      <c r="AA577" s="1" t="s">
        <v>209</v>
      </c>
      <c r="AB577" s="1">
        <v>275400.0</v>
      </c>
      <c r="AC577" s="2">
        <v>41183.0</v>
      </c>
      <c r="AD577" s="1">
        <v>7500.0</v>
      </c>
      <c r="AE577" s="1" t="s">
        <v>40</v>
      </c>
      <c r="AF577" s="1">
        <v>2.01304E7</v>
      </c>
      <c r="AG577" s="1" t="s">
        <v>1571</v>
      </c>
      <c r="AH577" s="1">
        <v>10.0</v>
      </c>
      <c r="AI577" s="1">
        <v>2010.0</v>
      </c>
      <c r="AJ577" s="1">
        <v>2013.0</v>
      </c>
      <c r="AK577" s="1" t="s">
        <v>1572</v>
      </c>
    </row>
    <row r="578">
      <c r="A578" s="1" t="s">
        <v>1569</v>
      </c>
      <c r="B578" s="1" t="s">
        <v>1569</v>
      </c>
      <c r="C578" s="1" t="s">
        <v>63</v>
      </c>
      <c r="E578" s="1">
        <v>8096385.0</v>
      </c>
      <c r="F578" s="2">
        <v>41183.0</v>
      </c>
      <c r="G578" s="1" t="s">
        <v>1570</v>
      </c>
      <c r="I578" s="1" t="s">
        <v>1570</v>
      </c>
      <c r="L578" s="1" t="s">
        <v>40</v>
      </c>
      <c r="M578" s="1">
        <v>7500.0</v>
      </c>
      <c r="N578" s="1" t="s">
        <v>40</v>
      </c>
      <c r="O578" s="1">
        <v>3.8775243E7</v>
      </c>
      <c r="P578" s="1" t="s">
        <v>209</v>
      </c>
      <c r="Q578" s="1" t="s">
        <v>210</v>
      </c>
      <c r="R578" s="1" t="s">
        <v>211</v>
      </c>
      <c r="S578" s="1" t="s">
        <v>44</v>
      </c>
      <c r="T578" s="1" t="s">
        <v>45</v>
      </c>
      <c r="U578" s="1">
        <v>4.82023068E8</v>
      </c>
      <c r="W578" s="1" t="s">
        <v>46</v>
      </c>
      <c r="X578" s="1" t="s">
        <v>45</v>
      </c>
      <c r="Y578" s="1">
        <v>4.82023068E8</v>
      </c>
      <c r="Z578" s="1">
        <v>3.8775243E7</v>
      </c>
      <c r="AA578" s="1" t="s">
        <v>209</v>
      </c>
      <c r="AB578" s="1">
        <v>426379.0</v>
      </c>
      <c r="AC578" s="2">
        <v>41183.0</v>
      </c>
      <c r="AD578" s="1">
        <v>7500.0</v>
      </c>
      <c r="AE578" s="1" t="s">
        <v>40</v>
      </c>
      <c r="AF578" s="1">
        <v>2.0131256E7</v>
      </c>
      <c r="AG578" s="1" t="s">
        <v>1571</v>
      </c>
      <c r="AH578" s="1">
        <v>10.0</v>
      </c>
      <c r="AI578" s="1">
        <v>2010.0</v>
      </c>
      <c r="AJ578" s="1">
        <v>2013.0</v>
      </c>
      <c r="AK578" s="1" t="s">
        <v>1572</v>
      </c>
    </row>
    <row r="579">
      <c r="A579" s="1" t="s">
        <v>1569</v>
      </c>
      <c r="B579" s="1" t="s">
        <v>1569</v>
      </c>
      <c r="C579" s="1" t="s">
        <v>63</v>
      </c>
      <c r="E579" s="1">
        <v>8096385.0</v>
      </c>
      <c r="F579" s="2">
        <v>41548.0</v>
      </c>
      <c r="G579" s="1" t="s">
        <v>1570</v>
      </c>
      <c r="I579" s="1" t="s">
        <v>1570</v>
      </c>
      <c r="L579" s="1" t="s">
        <v>40</v>
      </c>
      <c r="M579" s="1">
        <v>7500.0</v>
      </c>
      <c r="N579" s="1" t="s">
        <v>40</v>
      </c>
      <c r="O579" s="1">
        <v>1962224.0</v>
      </c>
      <c r="P579" s="1" t="s">
        <v>52</v>
      </c>
      <c r="Q579" s="1" t="s">
        <v>1566</v>
      </c>
      <c r="R579" s="1" t="s">
        <v>53</v>
      </c>
      <c r="S579" s="1" t="s">
        <v>44</v>
      </c>
      <c r="T579" s="1" t="s">
        <v>45</v>
      </c>
      <c r="U579" s="1">
        <v>4.82023692E8</v>
      </c>
      <c r="W579" s="1" t="s">
        <v>46</v>
      </c>
      <c r="X579" s="1" t="s">
        <v>45</v>
      </c>
      <c r="Y579" s="1">
        <v>4.82023692E8</v>
      </c>
      <c r="Z579" s="1">
        <v>1962224.0</v>
      </c>
      <c r="AA579" s="1" t="s">
        <v>52</v>
      </c>
      <c r="AB579" s="1">
        <v>2083.65</v>
      </c>
      <c r="AC579" s="2">
        <v>41548.0</v>
      </c>
      <c r="AD579" s="1">
        <v>7500.0</v>
      </c>
      <c r="AE579" s="1" t="s">
        <v>40</v>
      </c>
      <c r="AF579" s="1">
        <v>2.0141501E7</v>
      </c>
      <c r="AG579" s="1" t="s">
        <v>1571</v>
      </c>
      <c r="AH579" s="1">
        <v>10.0</v>
      </c>
      <c r="AI579" s="1">
        <v>2010.0</v>
      </c>
      <c r="AJ579" s="1">
        <v>2014.0</v>
      </c>
      <c r="AK579" s="1" t="s">
        <v>1572</v>
      </c>
    </row>
    <row r="580">
      <c r="A580" s="1" t="s">
        <v>1569</v>
      </c>
      <c r="B580" s="1" t="s">
        <v>1569</v>
      </c>
      <c r="C580" s="1" t="s">
        <v>63</v>
      </c>
      <c r="E580" s="1">
        <v>8096385.0</v>
      </c>
      <c r="F580" s="2">
        <v>41183.0</v>
      </c>
      <c r="G580" s="1" t="s">
        <v>1570</v>
      </c>
      <c r="I580" s="1" t="s">
        <v>1570</v>
      </c>
      <c r="L580" s="1" t="s">
        <v>40</v>
      </c>
      <c r="M580" s="1">
        <v>7500.0</v>
      </c>
      <c r="N580" s="1" t="s">
        <v>40</v>
      </c>
      <c r="O580" s="1">
        <v>7.8583404E7</v>
      </c>
      <c r="P580" s="1" t="s">
        <v>65</v>
      </c>
      <c r="Q580" s="1" t="s">
        <v>1566</v>
      </c>
      <c r="R580" s="1" t="s">
        <v>1573</v>
      </c>
      <c r="S580" s="1" t="s">
        <v>44</v>
      </c>
      <c r="T580" s="1" t="s">
        <v>45</v>
      </c>
      <c r="U580" s="1">
        <v>4.8207311E8</v>
      </c>
      <c r="W580" s="1" t="s">
        <v>46</v>
      </c>
      <c r="X580" s="1" t="s">
        <v>45</v>
      </c>
      <c r="Y580" s="1">
        <v>4.82021732E8</v>
      </c>
      <c r="Z580" s="1">
        <v>1962224.0</v>
      </c>
      <c r="AA580" s="1" t="s">
        <v>52</v>
      </c>
      <c r="AB580" s="1">
        <v>91800.0</v>
      </c>
      <c r="AC580" s="2">
        <v>41183.0</v>
      </c>
      <c r="AD580" s="1">
        <v>7500.0</v>
      </c>
      <c r="AE580" s="1" t="s">
        <v>40</v>
      </c>
      <c r="AF580" s="1">
        <v>2.01304E7</v>
      </c>
      <c r="AG580" s="1" t="s">
        <v>1571</v>
      </c>
      <c r="AH580" s="1">
        <v>10.0</v>
      </c>
      <c r="AI580" s="1">
        <v>2010.0</v>
      </c>
      <c r="AJ580" s="1">
        <v>2013.0</v>
      </c>
      <c r="AK580" s="1" t="s">
        <v>1572</v>
      </c>
    </row>
    <row r="581">
      <c r="A581" s="1" t="s">
        <v>1569</v>
      </c>
      <c r="B581" s="1" t="s">
        <v>1569</v>
      </c>
      <c r="C581" s="1" t="s">
        <v>63</v>
      </c>
      <c r="E581" s="1">
        <v>8096385.0</v>
      </c>
      <c r="F581" s="2">
        <v>41548.0</v>
      </c>
      <c r="G581" s="1" t="s">
        <v>1570</v>
      </c>
      <c r="I581" s="1" t="s">
        <v>1570</v>
      </c>
      <c r="L581" s="1" t="s">
        <v>40</v>
      </c>
      <c r="M581" s="1">
        <v>7500.0</v>
      </c>
      <c r="N581" s="1" t="s">
        <v>40</v>
      </c>
      <c r="O581" s="1">
        <v>1.7406606E7</v>
      </c>
      <c r="P581" s="1" t="s">
        <v>1574</v>
      </c>
      <c r="Q581" s="1" t="s">
        <v>210</v>
      </c>
      <c r="R581" s="1" t="s">
        <v>1575</v>
      </c>
      <c r="S581" s="1" t="s">
        <v>44</v>
      </c>
      <c r="T581" s="1" t="s">
        <v>45</v>
      </c>
      <c r="U581" s="1">
        <v>4.82282826E8</v>
      </c>
      <c r="W581" s="1" t="s">
        <v>46</v>
      </c>
      <c r="X581" s="1" t="s">
        <v>45</v>
      </c>
      <c r="Y581" s="1">
        <v>4.82282826E8</v>
      </c>
      <c r="Z581" s="1">
        <v>3.8775243E7</v>
      </c>
      <c r="AA581" s="1" t="s">
        <v>209</v>
      </c>
      <c r="AB581" s="1">
        <v>91800.0</v>
      </c>
      <c r="AC581" s="2">
        <v>41548.0</v>
      </c>
      <c r="AD581" s="1">
        <v>7500.0</v>
      </c>
      <c r="AE581" s="1" t="s">
        <v>40</v>
      </c>
      <c r="AF581" s="1">
        <v>2.0141454E7</v>
      </c>
      <c r="AG581" s="1" t="s">
        <v>1571</v>
      </c>
      <c r="AH581" s="1">
        <v>10.0</v>
      </c>
      <c r="AI581" s="1">
        <v>2010.0</v>
      </c>
      <c r="AJ581" s="1">
        <v>2014.0</v>
      </c>
      <c r="AK581" s="1" t="s">
        <v>1572</v>
      </c>
    </row>
    <row r="582">
      <c r="A582" s="1" t="s">
        <v>1569</v>
      </c>
      <c r="B582" s="1" t="s">
        <v>1569</v>
      </c>
      <c r="C582" s="1" t="s">
        <v>63</v>
      </c>
      <c r="E582" s="1">
        <v>8096385.0</v>
      </c>
      <c r="F582" s="2">
        <v>41183.0</v>
      </c>
      <c r="G582" s="1" t="s">
        <v>1570</v>
      </c>
      <c r="I582" s="1" t="s">
        <v>1570</v>
      </c>
      <c r="L582" s="1" t="s">
        <v>40</v>
      </c>
      <c r="M582" s="1">
        <v>7500.0</v>
      </c>
      <c r="N582" s="1" t="s">
        <v>40</v>
      </c>
      <c r="O582" s="1">
        <v>1962224.0</v>
      </c>
      <c r="P582" s="1" t="s">
        <v>52</v>
      </c>
      <c r="Q582" s="1" t="s">
        <v>1566</v>
      </c>
      <c r="R582" s="1" t="s">
        <v>53</v>
      </c>
      <c r="S582" s="1" t="s">
        <v>44</v>
      </c>
      <c r="T582" s="1" t="s">
        <v>45</v>
      </c>
      <c r="U582" s="1">
        <v>4.82023692E8</v>
      </c>
      <c r="W582" s="1" t="s">
        <v>46</v>
      </c>
      <c r="X582" s="1" t="s">
        <v>45</v>
      </c>
      <c r="Y582" s="1">
        <v>4.82023692E8</v>
      </c>
      <c r="Z582" s="1">
        <v>1962224.0</v>
      </c>
      <c r="AA582" s="1" t="s">
        <v>52</v>
      </c>
      <c r="AB582" s="1">
        <v>3000.0</v>
      </c>
      <c r="AC582" s="2">
        <v>41183.0</v>
      </c>
      <c r="AD582" s="1">
        <v>7500.0</v>
      </c>
      <c r="AE582" s="1" t="s">
        <v>40</v>
      </c>
      <c r="AF582" s="1">
        <v>2.0131049E7</v>
      </c>
      <c r="AG582" s="1" t="s">
        <v>1571</v>
      </c>
      <c r="AH582" s="1">
        <v>10.0</v>
      </c>
      <c r="AI582" s="1">
        <v>2010.0</v>
      </c>
      <c r="AJ582" s="1">
        <v>2013.0</v>
      </c>
      <c r="AK582" s="1" t="s">
        <v>1572</v>
      </c>
    </row>
    <row r="583">
      <c r="A583" s="1" t="s">
        <v>1576</v>
      </c>
      <c r="B583" s="1" t="s">
        <v>1576</v>
      </c>
      <c r="C583" s="1" t="s">
        <v>645</v>
      </c>
      <c r="E583" s="1">
        <v>1430238.0</v>
      </c>
      <c r="F583" s="2">
        <v>41548.0</v>
      </c>
      <c r="G583" s="1" t="s">
        <v>1577</v>
      </c>
      <c r="I583" s="1" t="s">
        <v>1577</v>
      </c>
      <c r="L583" s="1" t="s">
        <v>647</v>
      </c>
      <c r="M583" s="1">
        <v>1200.0</v>
      </c>
      <c r="N583" s="1" t="s">
        <v>647</v>
      </c>
      <c r="O583" s="1">
        <v>7596352.0</v>
      </c>
      <c r="P583" s="1" t="s">
        <v>73</v>
      </c>
      <c r="Q583" s="1" t="s">
        <v>1408</v>
      </c>
      <c r="R583" s="1" t="s">
        <v>1578</v>
      </c>
      <c r="S583" s="1" t="s">
        <v>44</v>
      </c>
      <c r="T583" s="1" t="s">
        <v>45</v>
      </c>
      <c r="U583" s="1">
        <v>4.82263269E8</v>
      </c>
      <c r="W583" s="1" t="s">
        <v>46</v>
      </c>
      <c r="X583" s="1" t="s">
        <v>45</v>
      </c>
      <c r="Y583" s="1">
        <v>4.82263269E8</v>
      </c>
      <c r="Z583" s="1">
        <v>6530661.0</v>
      </c>
      <c r="AA583" s="1" t="s">
        <v>76</v>
      </c>
      <c r="AB583" s="1">
        <v>107250.0</v>
      </c>
      <c r="AC583" s="2">
        <v>41548.0</v>
      </c>
      <c r="AD583" s="1">
        <v>1200.0</v>
      </c>
      <c r="AE583" s="1" t="s">
        <v>647</v>
      </c>
      <c r="AF583" s="1">
        <v>2.0141454E7</v>
      </c>
      <c r="AG583" s="1" t="s">
        <v>1579</v>
      </c>
      <c r="AH583" s="1">
        <v>10.0</v>
      </c>
      <c r="AI583" s="1">
        <v>2012.0</v>
      </c>
      <c r="AJ583" s="1">
        <v>2014.0</v>
      </c>
      <c r="AK583" s="1" t="s">
        <v>1580</v>
      </c>
    </row>
    <row r="584">
      <c r="A584" s="1" t="s">
        <v>1569</v>
      </c>
      <c r="B584" s="1" t="s">
        <v>1569</v>
      </c>
      <c r="C584" s="1" t="s">
        <v>63</v>
      </c>
      <c r="E584" s="1">
        <v>8096385.0</v>
      </c>
      <c r="F584" s="2">
        <v>41548.0</v>
      </c>
      <c r="G584" s="1" t="s">
        <v>1570</v>
      </c>
      <c r="I584" s="1" t="s">
        <v>1570</v>
      </c>
      <c r="L584" s="1" t="s">
        <v>40</v>
      </c>
      <c r="M584" s="1">
        <v>7500.0</v>
      </c>
      <c r="N584" s="1" t="s">
        <v>40</v>
      </c>
      <c r="O584" s="1">
        <v>3.8775243E7</v>
      </c>
      <c r="P584" s="1" t="s">
        <v>209</v>
      </c>
      <c r="Q584" s="1" t="s">
        <v>210</v>
      </c>
      <c r="R584" s="1" t="s">
        <v>211</v>
      </c>
      <c r="S584" s="1" t="s">
        <v>44</v>
      </c>
      <c r="T584" s="1" t="s">
        <v>45</v>
      </c>
      <c r="U584" s="1">
        <v>4.82023068E8</v>
      </c>
      <c r="W584" s="1" t="s">
        <v>46</v>
      </c>
      <c r="X584" s="1" t="s">
        <v>45</v>
      </c>
      <c r="Y584" s="1">
        <v>4.82023068E8</v>
      </c>
      <c r="Z584" s="1">
        <v>3.8775243E7</v>
      </c>
      <c r="AA584" s="1" t="s">
        <v>209</v>
      </c>
      <c r="AB584" s="1">
        <v>340287.83</v>
      </c>
      <c r="AC584" s="2">
        <v>41548.0</v>
      </c>
      <c r="AD584" s="1">
        <v>7500.0</v>
      </c>
      <c r="AE584" s="1" t="s">
        <v>40</v>
      </c>
      <c r="AF584" s="1">
        <v>2.0140733E7</v>
      </c>
      <c r="AG584" s="1" t="s">
        <v>1571</v>
      </c>
      <c r="AH584" s="1">
        <v>10.0</v>
      </c>
      <c r="AI584" s="1">
        <v>2010.0</v>
      </c>
      <c r="AJ584" s="1">
        <v>2014.0</v>
      </c>
      <c r="AK584" s="1" t="s">
        <v>1572</v>
      </c>
    </row>
    <row r="585">
      <c r="A585" s="1" t="s">
        <v>1569</v>
      </c>
      <c r="B585" s="1" t="s">
        <v>1569</v>
      </c>
      <c r="C585" s="1" t="s">
        <v>63</v>
      </c>
      <c r="E585" s="1">
        <v>8096385.0</v>
      </c>
      <c r="F585" s="2">
        <v>41183.0</v>
      </c>
      <c r="G585" s="1" t="s">
        <v>1570</v>
      </c>
      <c r="I585" s="1" t="s">
        <v>1570</v>
      </c>
      <c r="L585" s="1" t="s">
        <v>40</v>
      </c>
      <c r="M585" s="1">
        <v>7500.0</v>
      </c>
      <c r="N585" s="1" t="s">
        <v>40</v>
      </c>
      <c r="O585" s="1">
        <v>1962224.0</v>
      </c>
      <c r="P585" s="1" t="s">
        <v>52</v>
      </c>
      <c r="Q585" s="1" t="s">
        <v>1566</v>
      </c>
      <c r="R585" s="1" t="s">
        <v>53</v>
      </c>
      <c r="S585" s="1" t="s">
        <v>44</v>
      </c>
      <c r="T585" s="1" t="s">
        <v>45</v>
      </c>
      <c r="U585" s="1">
        <v>4.82023692E8</v>
      </c>
      <c r="W585" s="1" t="s">
        <v>46</v>
      </c>
      <c r="X585" s="1" t="s">
        <v>45</v>
      </c>
      <c r="Y585" s="1">
        <v>4.82023692E8</v>
      </c>
      <c r="Z585" s="1">
        <v>1962224.0</v>
      </c>
      <c r="AA585" s="1" t="s">
        <v>52</v>
      </c>
      <c r="AB585" s="1">
        <v>9000.0</v>
      </c>
      <c r="AC585" s="2">
        <v>41183.0</v>
      </c>
      <c r="AD585" s="1">
        <v>7500.0</v>
      </c>
      <c r="AE585" s="1" t="s">
        <v>40</v>
      </c>
      <c r="AF585" s="1">
        <v>2.0131049E7</v>
      </c>
      <c r="AG585" s="1" t="s">
        <v>1571</v>
      </c>
      <c r="AH585" s="1">
        <v>10.0</v>
      </c>
      <c r="AI585" s="1">
        <v>2010.0</v>
      </c>
      <c r="AJ585" s="1">
        <v>2013.0</v>
      </c>
      <c r="AK585" s="1" t="s">
        <v>1572</v>
      </c>
    </row>
    <row r="586">
      <c r="A586" s="1" t="s">
        <v>1325</v>
      </c>
      <c r="B586" s="1" t="s">
        <v>1325</v>
      </c>
      <c r="C586" s="1" t="s">
        <v>129</v>
      </c>
      <c r="E586" s="1">
        <v>5.8106362E8</v>
      </c>
      <c r="F586" s="2">
        <v>41548.0</v>
      </c>
      <c r="G586" s="1" t="s">
        <v>1326</v>
      </c>
      <c r="I586" s="1" t="s">
        <v>1326</v>
      </c>
      <c r="L586" s="1" t="s">
        <v>40</v>
      </c>
      <c r="M586" s="1">
        <v>7500.0</v>
      </c>
      <c r="N586" s="1" t="s">
        <v>40</v>
      </c>
      <c r="O586" s="1">
        <v>6.9840817E7</v>
      </c>
      <c r="P586" s="1" t="s">
        <v>131</v>
      </c>
      <c r="R586" s="1" t="s">
        <v>132</v>
      </c>
      <c r="S586" s="1" t="s">
        <v>44</v>
      </c>
      <c r="T586" s="1" t="s">
        <v>45</v>
      </c>
      <c r="U586" s="1">
        <v>4.8214261E8</v>
      </c>
      <c r="W586" s="1" t="s">
        <v>46</v>
      </c>
      <c r="X586" s="1" t="s">
        <v>45</v>
      </c>
      <c r="Y586" s="1">
        <v>4.8214261E8</v>
      </c>
      <c r="Z586" s="1">
        <v>6.9840817E7</v>
      </c>
      <c r="AA586" s="1" t="s">
        <v>131</v>
      </c>
      <c r="AB586" s="1">
        <v>456590.0</v>
      </c>
      <c r="AC586" s="2">
        <v>41548.0</v>
      </c>
      <c r="AD586" s="1">
        <v>7500.0</v>
      </c>
      <c r="AE586" s="1" t="s">
        <v>40</v>
      </c>
      <c r="AF586" s="1" t="s">
        <v>1336</v>
      </c>
      <c r="AG586" s="1" t="s">
        <v>1329</v>
      </c>
      <c r="AH586" s="1">
        <v>4.0</v>
      </c>
      <c r="AI586" s="1">
        <v>2014.0</v>
      </c>
      <c r="AJ586" s="1">
        <v>2014.0</v>
      </c>
      <c r="AK586" s="1" t="s">
        <v>385</v>
      </c>
    </row>
    <row r="587">
      <c r="A587" s="1" t="s">
        <v>1325</v>
      </c>
      <c r="B587" s="1" t="s">
        <v>1325</v>
      </c>
      <c r="C587" s="1" t="s">
        <v>129</v>
      </c>
      <c r="E587" s="1">
        <v>5.8106362E8</v>
      </c>
      <c r="F587" s="2">
        <v>41548.0</v>
      </c>
      <c r="G587" s="1" t="s">
        <v>1326</v>
      </c>
      <c r="I587" s="1" t="s">
        <v>1326</v>
      </c>
      <c r="L587" s="1" t="s">
        <v>40</v>
      </c>
      <c r="M587" s="1">
        <v>7500.0</v>
      </c>
      <c r="N587" s="1" t="s">
        <v>40</v>
      </c>
      <c r="O587" s="1">
        <v>2.0830303E7</v>
      </c>
      <c r="P587" s="1" t="s">
        <v>424</v>
      </c>
      <c r="Q587" s="1" t="s">
        <v>425</v>
      </c>
      <c r="R587" s="1" t="s">
        <v>426</v>
      </c>
      <c r="S587" s="1" t="s">
        <v>44</v>
      </c>
      <c r="T587" s="1" t="s">
        <v>45</v>
      </c>
      <c r="U587" s="1">
        <v>4.82012002E8</v>
      </c>
      <c r="W587" s="1" t="s">
        <v>44</v>
      </c>
      <c r="X587" s="1" t="s">
        <v>45</v>
      </c>
      <c r="Y587" s="1">
        <v>4.82012002E8</v>
      </c>
      <c r="Z587" s="1">
        <v>2.0830303E7</v>
      </c>
      <c r="AA587" s="1" t="s">
        <v>424</v>
      </c>
      <c r="AB587" s="1">
        <v>332938.25</v>
      </c>
      <c r="AC587" s="2">
        <v>41548.0</v>
      </c>
      <c r="AD587" s="1">
        <v>7500.0</v>
      </c>
      <c r="AE587" s="1" t="s">
        <v>40</v>
      </c>
      <c r="AF587" s="1" t="s">
        <v>1273</v>
      </c>
      <c r="AG587" s="1" t="s">
        <v>1274</v>
      </c>
      <c r="AH587" s="1">
        <v>4.0</v>
      </c>
      <c r="AI587" s="1">
        <v>2014.0</v>
      </c>
      <c r="AJ587" s="1">
        <v>2014.0</v>
      </c>
      <c r="AK587" s="1" t="s">
        <v>385</v>
      </c>
    </row>
    <row r="588">
      <c r="A588" s="1" t="s">
        <v>1325</v>
      </c>
      <c r="B588" s="1" t="s">
        <v>1325</v>
      </c>
      <c r="C588" s="1" t="s">
        <v>129</v>
      </c>
      <c r="E588" s="1">
        <v>5.8106362E8</v>
      </c>
      <c r="F588" s="2">
        <v>41548.0</v>
      </c>
      <c r="G588" s="1" t="s">
        <v>1326</v>
      </c>
      <c r="I588" s="1" t="s">
        <v>1326</v>
      </c>
      <c r="L588" s="1" t="s">
        <v>40</v>
      </c>
      <c r="M588" s="1">
        <v>7500.0</v>
      </c>
      <c r="N588" s="1" t="s">
        <v>40</v>
      </c>
      <c r="O588" s="1">
        <v>7.8074923E8</v>
      </c>
      <c r="P588" s="1" t="s">
        <v>419</v>
      </c>
      <c r="R588" s="1" t="s">
        <v>420</v>
      </c>
      <c r="S588" s="1" t="s">
        <v>44</v>
      </c>
      <c r="T588" s="1" t="s">
        <v>45</v>
      </c>
      <c r="U588" s="1">
        <v>4.82082365E8</v>
      </c>
      <c r="W588" s="1" t="s">
        <v>44</v>
      </c>
      <c r="X588" s="1" t="s">
        <v>45</v>
      </c>
      <c r="Y588" s="1">
        <v>4.82082365E8</v>
      </c>
      <c r="AB588" s="1">
        <v>198499.1</v>
      </c>
      <c r="AC588" s="2">
        <v>41548.0</v>
      </c>
      <c r="AD588" s="1">
        <v>7500.0</v>
      </c>
      <c r="AE588" s="1" t="s">
        <v>40</v>
      </c>
      <c r="AF588" s="1" t="s">
        <v>1327</v>
      </c>
      <c r="AG588" s="1" t="s">
        <v>1274</v>
      </c>
      <c r="AH588" s="1">
        <v>4.0</v>
      </c>
      <c r="AI588" s="1">
        <v>2014.0</v>
      </c>
      <c r="AJ588" s="1">
        <v>2014.0</v>
      </c>
      <c r="AK588" s="1" t="s">
        <v>385</v>
      </c>
    </row>
    <row r="589">
      <c r="A589" s="1" t="s">
        <v>1325</v>
      </c>
      <c r="B589" s="1" t="s">
        <v>1325</v>
      </c>
      <c r="C589" s="1" t="s">
        <v>129</v>
      </c>
      <c r="E589" s="1">
        <v>5.8106362E8</v>
      </c>
      <c r="F589" s="2">
        <v>41548.0</v>
      </c>
      <c r="G589" s="1" t="s">
        <v>1326</v>
      </c>
      <c r="I589" s="1" t="s">
        <v>1326</v>
      </c>
      <c r="L589" s="1" t="s">
        <v>40</v>
      </c>
      <c r="M589" s="1">
        <v>7500.0</v>
      </c>
      <c r="N589" s="1" t="s">
        <v>40</v>
      </c>
      <c r="O589" s="1">
        <v>1.93540515E8</v>
      </c>
      <c r="P589" s="1" t="s">
        <v>1022</v>
      </c>
      <c r="Q589" s="1" t="s">
        <v>1330</v>
      </c>
      <c r="R589" s="1" t="s">
        <v>1023</v>
      </c>
      <c r="S589" s="1" t="s">
        <v>44</v>
      </c>
      <c r="T589" s="1" t="s">
        <v>45</v>
      </c>
      <c r="U589" s="1">
        <v>4.82193653E8</v>
      </c>
      <c r="W589" s="1" t="s">
        <v>44</v>
      </c>
      <c r="X589" s="1" t="s">
        <v>45</v>
      </c>
      <c r="Y589" s="1">
        <v>4.82193165E8</v>
      </c>
      <c r="Z589" s="1">
        <v>1.93540515E8</v>
      </c>
      <c r="AA589" s="1" t="s">
        <v>1022</v>
      </c>
      <c r="AB589" s="1">
        <v>249761.0</v>
      </c>
      <c r="AC589" s="2">
        <v>41548.0</v>
      </c>
      <c r="AD589" s="1">
        <v>7500.0</v>
      </c>
      <c r="AE589" s="1" t="s">
        <v>40</v>
      </c>
      <c r="AF589" s="1" t="s">
        <v>1331</v>
      </c>
      <c r="AG589" s="1" t="s">
        <v>1332</v>
      </c>
      <c r="AH589" s="1">
        <v>4.0</v>
      </c>
      <c r="AI589" s="1">
        <v>2014.0</v>
      </c>
      <c r="AJ589" s="1">
        <v>2014.0</v>
      </c>
      <c r="AK589" s="1" t="s">
        <v>385</v>
      </c>
    </row>
    <row r="590">
      <c r="A590" s="1" t="s">
        <v>1325</v>
      </c>
      <c r="B590" s="1" t="s">
        <v>1325</v>
      </c>
      <c r="C590" s="1" t="s">
        <v>129</v>
      </c>
      <c r="E590" s="1">
        <v>5.8106362E8</v>
      </c>
      <c r="F590" s="2">
        <v>41548.0</v>
      </c>
      <c r="G590" s="1" t="s">
        <v>1326</v>
      </c>
      <c r="I590" s="1" t="s">
        <v>1326</v>
      </c>
      <c r="L590" s="1" t="s">
        <v>40</v>
      </c>
      <c r="M590" s="1">
        <v>7500.0</v>
      </c>
      <c r="N590" s="1" t="s">
        <v>40</v>
      </c>
      <c r="O590" s="1">
        <v>1.21516199E8</v>
      </c>
      <c r="P590" s="1" t="s">
        <v>380</v>
      </c>
      <c r="Q590" s="1" t="s">
        <v>381</v>
      </c>
      <c r="R590" s="1" t="s">
        <v>382</v>
      </c>
      <c r="S590" s="1" t="s">
        <v>44</v>
      </c>
      <c r="T590" s="1" t="s">
        <v>45</v>
      </c>
      <c r="U590" s="1">
        <v>4.82073156E8</v>
      </c>
      <c r="W590" s="1" t="s">
        <v>44</v>
      </c>
      <c r="X590" s="1" t="s">
        <v>45</v>
      </c>
      <c r="Y590" s="1">
        <v>4.82073127E8</v>
      </c>
      <c r="Z590" s="1">
        <v>1.21516199E8</v>
      </c>
      <c r="AA590" s="1" t="s">
        <v>380</v>
      </c>
      <c r="AB590" s="1">
        <v>233094.58</v>
      </c>
      <c r="AC590" s="2">
        <v>41548.0</v>
      </c>
      <c r="AD590" s="1">
        <v>7500.0</v>
      </c>
      <c r="AE590" s="1" t="s">
        <v>40</v>
      </c>
      <c r="AF590" s="1" t="s">
        <v>1309</v>
      </c>
      <c r="AG590" s="1" t="s">
        <v>1310</v>
      </c>
      <c r="AH590" s="1">
        <v>4.0</v>
      </c>
      <c r="AI590" s="1">
        <v>2014.0</v>
      </c>
      <c r="AJ590" s="1">
        <v>2014.0</v>
      </c>
      <c r="AK590" s="1" t="s">
        <v>385</v>
      </c>
    </row>
    <row r="591">
      <c r="A591" s="1" t="s">
        <v>1325</v>
      </c>
      <c r="B591" s="1" t="s">
        <v>1325</v>
      </c>
      <c r="C591" s="1" t="s">
        <v>129</v>
      </c>
      <c r="E591" s="1">
        <v>5.8106362E8</v>
      </c>
      <c r="F591" s="2">
        <v>41548.0</v>
      </c>
      <c r="G591" s="1" t="s">
        <v>1326</v>
      </c>
      <c r="I591" s="1" t="s">
        <v>1326</v>
      </c>
      <c r="L591" s="1" t="s">
        <v>40</v>
      </c>
      <c r="M591" s="1">
        <v>7500.0</v>
      </c>
      <c r="N591" s="1" t="s">
        <v>40</v>
      </c>
      <c r="O591" s="1">
        <v>6.9840817E7</v>
      </c>
      <c r="P591" s="1" t="s">
        <v>131</v>
      </c>
      <c r="R591" s="1" t="s">
        <v>132</v>
      </c>
      <c r="S591" s="1" t="s">
        <v>44</v>
      </c>
      <c r="T591" s="1" t="s">
        <v>45</v>
      </c>
      <c r="U591" s="1">
        <v>4.8214261E8</v>
      </c>
      <c r="W591" s="1" t="s">
        <v>44</v>
      </c>
      <c r="X591" s="1" t="s">
        <v>45</v>
      </c>
      <c r="Y591" s="1">
        <v>4.8214261E8</v>
      </c>
      <c r="Z591" s="1">
        <v>6.9840817E7</v>
      </c>
      <c r="AA591" s="1" t="s">
        <v>131</v>
      </c>
      <c r="AB591" s="1">
        <v>457342.0</v>
      </c>
      <c r="AC591" s="2">
        <v>41548.0</v>
      </c>
      <c r="AD591" s="1">
        <v>7500.0</v>
      </c>
      <c r="AE591" s="1" t="s">
        <v>40</v>
      </c>
      <c r="AF591" s="1" t="s">
        <v>1328</v>
      </c>
      <c r="AG591" s="1" t="s">
        <v>1329</v>
      </c>
      <c r="AH591" s="1">
        <v>4.0</v>
      </c>
      <c r="AI591" s="1">
        <v>2014.0</v>
      </c>
      <c r="AJ591" s="1">
        <v>2014.0</v>
      </c>
      <c r="AK591" s="1" t="s">
        <v>385</v>
      </c>
    </row>
    <row r="592">
      <c r="A592" s="1" t="s">
        <v>1325</v>
      </c>
      <c r="B592" s="1" t="s">
        <v>1325</v>
      </c>
      <c r="C592" s="1" t="s">
        <v>129</v>
      </c>
      <c r="E592" s="1">
        <v>5.8106362E8</v>
      </c>
      <c r="F592" s="2">
        <v>41548.0</v>
      </c>
      <c r="G592" s="1" t="s">
        <v>1326</v>
      </c>
      <c r="I592" s="1" t="s">
        <v>1326</v>
      </c>
      <c r="L592" s="1" t="s">
        <v>40</v>
      </c>
      <c r="M592" s="1">
        <v>7500.0</v>
      </c>
      <c r="N592" s="1" t="s">
        <v>40</v>
      </c>
      <c r="O592" s="1">
        <v>1.95614664E8</v>
      </c>
      <c r="P592" s="1" t="s">
        <v>1333</v>
      </c>
      <c r="R592" s="1" t="s">
        <v>1334</v>
      </c>
      <c r="S592" s="1" t="s">
        <v>44</v>
      </c>
      <c r="T592" s="1" t="s">
        <v>45</v>
      </c>
      <c r="U592" s="1">
        <v>4.82023133E8</v>
      </c>
      <c r="W592" s="1" t="s">
        <v>44</v>
      </c>
      <c r="X592" s="1" t="s">
        <v>45</v>
      </c>
      <c r="Y592" s="1">
        <v>4.82023133E8</v>
      </c>
      <c r="Z592" s="1">
        <v>1.95614664E8</v>
      </c>
      <c r="AA592" s="1" t="s">
        <v>1333</v>
      </c>
      <c r="AB592" s="1">
        <v>807364.0</v>
      </c>
      <c r="AC592" s="2">
        <v>41548.0</v>
      </c>
      <c r="AD592" s="1">
        <v>7500.0</v>
      </c>
      <c r="AE592" s="1" t="s">
        <v>40</v>
      </c>
      <c r="AF592" s="1" t="s">
        <v>1335</v>
      </c>
      <c r="AG592" s="1" t="s">
        <v>1329</v>
      </c>
      <c r="AH592" s="1">
        <v>4.0</v>
      </c>
      <c r="AI592" s="1">
        <v>2014.0</v>
      </c>
      <c r="AJ592" s="1">
        <v>2014.0</v>
      </c>
      <c r="AK592" s="1" t="s">
        <v>385</v>
      </c>
    </row>
    <row r="593">
      <c r="A593" s="1" t="s">
        <v>1522</v>
      </c>
      <c r="B593" s="1" t="s">
        <v>1522</v>
      </c>
      <c r="C593" s="1" t="s">
        <v>129</v>
      </c>
      <c r="E593" s="1">
        <v>1.1414518E7</v>
      </c>
      <c r="F593" s="2">
        <v>41759.0</v>
      </c>
      <c r="G593" s="1" t="s">
        <v>1581</v>
      </c>
      <c r="I593" s="1" t="s">
        <v>1581</v>
      </c>
      <c r="L593" s="1" t="s">
        <v>40</v>
      </c>
      <c r="M593" s="1">
        <v>7500.0</v>
      </c>
      <c r="N593" s="1" t="s">
        <v>40</v>
      </c>
      <c r="O593" s="1">
        <v>6.9840817E7</v>
      </c>
      <c r="P593" s="1" t="s">
        <v>131</v>
      </c>
      <c r="R593" s="1" t="s">
        <v>132</v>
      </c>
      <c r="S593" s="1" t="s">
        <v>44</v>
      </c>
      <c r="T593" s="1" t="s">
        <v>45</v>
      </c>
      <c r="U593" s="1">
        <v>4.8214261E8</v>
      </c>
      <c r="W593" s="1" t="s">
        <v>46</v>
      </c>
      <c r="X593" s="1" t="s">
        <v>1524</v>
      </c>
      <c r="Y593" s="1">
        <v>4.8214261E8</v>
      </c>
      <c r="Z593" s="1">
        <v>6.9840817E7</v>
      </c>
      <c r="AA593" s="1" t="s">
        <v>131</v>
      </c>
      <c r="AB593" s="1">
        <v>280179.0</v>
      </c>
      <c r="AC593" s="2">
        <v>41759.0</v>
      </c>
      <c r="AD593" s="1">
        <v>7500.0</v>
      </c>
      <c r="AE593" s="1" t="s">
        <v>40</v>
      </c>
      <c r="AF593" s="1" t="s">
        <v>1582</v>
      </c>
      <c r="AG593" s="1" t="s">
        <v>1526</v>
      </c>
      <c r="AH593" s="1">
        <v>4.0</v>
      </c>
      <c r="AI593" s="1">
        <v>2014.0</v>
      </c>
      <c r="AJ593" s="1">
        <v>2014.0</v>
      </c>
      <c r="AK593" s="1" t="s">
        <v>141</v>
      </c>
    </row>
    <row r="594">
      <c r="A594" s="1" t="s">
        <v>1263</v>
      </c>
      <c r="B594" s="1" t="s">
        <v>1263</v>
      </c>
      <c r="C594" s="1" t="s">
        <v>188</v>
      </c>
      <c r="E594" s="1">
        <v>1.6226899E7</v>
      </c>
      <c r="F594" s="2">
        <v>41759.0</v>
      </c>
      <c r="G594" s="1" t="s">
        <v>1264</v>
      </c>
      <c r="I594" s="1" t="s">
        <v>1264</v>
      </c>
      <c r="L594" s="1" t="s">
        <v>188</v>
      </c>
      <c r="M594" s="1">
        <v>1900.0</v>
      </c>
      <c r="N594" s="1" t="s">
        <v>188</v>
      </c>
      <c r="O594" s="1">
        <v>6.9840817E7</v>
      </c>
      <c r="P594" s="1" t="s">
        <v>131</v>
      </c>
      <c r="R594" s="1" t="s">
        <v>132</v>
      </c>
      <c r="S594" s="1" t="s">
        <v>44</v>
      </c>
      <c r="T594" s="1" t="s">
        <v>45</v>
      </c>
      <c r="U594" s="1">
        <v>4.8214261E8</v>
      </c>
      <c r="W594" s="1" t="s">
        <v>46</v>
      </c>
      <c r="X594" s="1" t="s">
        <v>45</v>
      </c>
      <c r="Y594" s="1">
        <v>4.8214261E8</v>
      </c>
      <c r="Z594" s="1">
        <v>6.9840817E7</v>
      </c>
      <c r="AA594" s="1" t="s">
        <v>131</v>
      </c>
      <c r="AB594" s="1">
        <v>739200.0</v>
      </c>
      <c r="AC594" s="2">
        <v>41759.0</v>
      </c>
      <c r="AD594" s="1">
        <v>1900.0</v>
      </c>
      <c r="AE594" s="1" t="s">
        <v>188</v>
      </c>
      <c r="AF594" s="1" t="s">
        <v>1583</v>
      </c>
      <c r="AG594" s="1" t="s">
        <v>1266</v>
      </c>
      <c r="AH594" s="1">
        <v>4.0</v>
      </c>
      <c r="AI594" s="1">
        <v>2014.0</v>
      </c>
      <c r="AJ594" s="1">
        <v>2014.0</v>
      </c>
      <c r="AK594" s="1" t="s">
        <v>192</v>
      </c>
    </row>
    <row r="595">
      <c r="A595" s="1" t="s">
        <v>128</v>
      </c>
      <c r="B595" s="1" t="s">
        <v>128</v>
      </c>
      <c r="C595" s="1" t="s">
        <v>129</v>
      </c>
      <c r="E595" s="1">
        <v>2.23784E7</v>
      </c>
      <c r="F595" s="2">
        <v>41759.0</v>
      </c>
      <c r="G595" s="1" t="s">
        <v>1584</v>
      </c>
      <c r="I595" s="1" t="s">
        <v>1584</v>
      </c>
      <c r="L595" s="1" t="s">
        <v>40</v>
      </c>
      <c r="M595" s="1">
        <v>7500.0</v>
      </c>
      <c r="N595" s="1" t="s">
        <v>40</v>
      </c>
      <c r="O595" s="1">
        <v>6.9840817E7</v>
      </c>
      <c r="P595" s="1" t="s">
        <v>131</v>
      </c>
      <c r="R595" s="1" t="s">
        <v>132</v>
      </c>
      <c r="S595" s="1" t="s">
        <v>44</v>
      </c>
      <c r="T595" s="1" t="s">
        <v>45</v>
      </c>
      <c r="U595" s="1">
        <v>4.8214261E8</v>
      </c>
      <c r="W595" s="1" t="s">
        <v>133</v>
      </c>
      <c r="X595" s="1" t="s">
        <v>45</v>
      </c>
      <c r="Y595" s="1">
        <v>4.8214261E8</v>
      </c>
      <c r="Z595" s="1">
        <v>6.9840817E7</v>
      </c>
      <c r="AA595" s="1" t="s">
        <v>131</v>
      </c>
      <c r="AB595" s="1">
        <v>275500.0</v>
      </c>
      <c r="AC595" s="2">
        <v>41759.0</v>
      </c>
      <c r="AD595" s="1">
        <v>7500.0</v>
      </c>
      <c r="AE595" s="1" t="s">
        <v>40</v>
      </c>
      <c r="AF595" s="1" t="s">
        <v>1585</v>
      </c>
      <c r="AG595" s="1" t="s">
        <v>1262</v>
      </c>
      <c r="AH595" s="1">
        <v>4.0</v>
      </c>
      <c r="AI595" s="1">
        <v>2014.0</v>
      </c>
      <c r="AJ595" s="1">
        <v>2014.0</v>
      </c>
      <c r="AK595" s="1" t="s">
        <v>136</v>
      </c>
    </row>
    <row r="596">
      <c r="A596" s="1" t="s">
        <v>1586</v>
      </c>
      <c r="B596" s="1" t="s">
        <v>1586</v>
      </c>
      <c r="C596" s="1" t="s">
        <v>38</v>
      </c>
      <c r="E596" s="1">
        <v>1159052.0</v>
      </c>
      <c r="F596" s="2">
        <v>41775.0</v>
      </c>
      <c r="G596" s="1" t="s">
        <v>1587</v>
      </c>
      <c r="I596" s="1" t="s">
        <v>1587</v>
      </c>
      <c r="L596" s="1" t="s">
        <v>40</v>
      </c>
      <c r="M596" s="1">
        <v>7500.0</v>
      </c>
      <c r="N596" s="1" t="s">
        <v>40</v>
      </c>
      <c r="O596" s="1">
        <v>1962224.0</v>
      </c>
      <c r="P596" s="1" t="s">
        <v>52</v>
      </c>
      <c r="Q596" s="1" t="s">
        <v>1566</v>
      </c>
      <c r="R596" s="1" t="s">
        <v>53</v>
      </c>
      <c r="S596" s="1" t="s">
        <v>44</v>
      </c>
      <c r="T596" s="1" t="s">
        <v>45</v>
      </c>
      <c r="U596" s="1">
        <v>4.82023692E8</v>
      </c>
      <c r="W596" s="1" t="s">
        <v>46</v>
      </c>
      <c r="X596" s="1" t="s">
        <v>45</v>
      </c>
      <c r="Y596" s="1">
        <v>4.82012119E8</v>
      </c>
      <c r="Z596" s="1">
        <v>1962224.0</v>
      </c>
      <c r="AA596" s="1" t="s">
        <v>52</v>
      </c>
      <c r="AB596" s="1">
        <v>61044.9</v>
      </c>
      <c r="AC596" s="2">
        <v>41775.0</v>
      </c>
      <c r="AD596" s="1">
        <v>7500.0</v>
      </c>
      <c r="AE596" s="1" t="s">
        <v>40</v>
      </c>
      <c r="AF596" s="1" t="s">
        <v>1588</v>
      </c>
      <c r="AG596" s="1" t="s">
        <v>1589</v>
      </c>
      <c r="AH596" s="1">
        <v>5.0</v>
      </c>
      <c r="AI596" s="1">
        <v>2014.0</v>
      </c>
      <c r="AJ596" s="1">
        <v>2014.0</v>
      </c>
      <c r="AK596" s="1" t="s">
        <v>256</v>
      </c>
    </row>
    <row r="597">
      <c r="A597" s="1" t="s">
        <v>992</v>
      </c>
      <c r="B597" s="1" t="s">
        <v>992</v>
      </c>
      <c r="C597" s="1" t="s">
        <v>159</v>
      </c>
      <c r="E597" s="1">
        <v>3.6982132E7</v>
      </c>
      <c r="F597" s="2">
        <v>41745.0</v>
      </c>
      <c r="G597" s="1" t="s">
        <v>993</v>
      </c>
      <c r="I597" s="1" t="s">
        <v>993</v>
      </c>
      <c r="L597" s="1" t="s">
        <v>40</v>
      </c>
      <c r="M597" s="1">
        <v>7500.0</v>
      </c>
      <c r="N597" s="1" t="s">
        <v>40</v>
      </c>
      <c r="O597" s="1">
        <v>1.42793053E8</v>
      </c>
      <c r="P597" s="1" t="s">
        <v>994</v>
      </c>
      <c r="R597" s="1" t="s">
        <v>995</v>
      </c>
      <c r="S597" s="1" t="s">
        <v>44</v>
      </c>
      <c r="T597" s="1" t="s">
        <v>45</v>
      </c>
      <c r="U597" s="1">
        <v>4.82282721E8</v>
      </c>
      <c r="W597" s="1" t="s">
        <v>46</v>
      </c>
      <c r="X597" s="1" t="s">
        <v>45</v>
      </c>
      <c r="Y597" s="1">
        <v>4.82282721E8</v>
      </c>
      <c r="AB597" s="1">
        <v>19000.0</v>
      </c>
      <c r="AC597" s="2">
        <v>41745.0</v>
      </c>
      <c r="AD597" s="1">
        <v>7500.0</v>
      </c>
      <c r="AE597" s="1" t="s">
        <v>40</v>
      </c>
      <c r="AF597" s="1">
        <v>2.0606865E7</v>
      </c>
      <c r="AG597" s="1" t="s">
        <v>1590</v>
      </c>
      <c r="AH597" s="1">
        <v>4.0</v>
      </c>
      <c r="AI597" s="1">
        <v>2014.0</v>
      </c>
      <c r="AJ597" s="1">
        <v>2014.0</v>
      </c>
      <c r="AK597" s="1" t="s">
        <v>997</v>
      </c>
    </row>
    <row r="598">
      <c r="A598" s="1" t="s">
        <v>992</v>
      </c>
      <c r="B598" s="1" t="s">
        <v>992</v>
      </c>
      <c r="C598" s="1" t="s">
        <v>159</v>
      </c>
      <c r="E598" s="1">
        <v>3.6982132E7</v>
      </c>
      <c r="F598" s="2">
        <v>41744.0</v>
      </c>
      <c r="G598" s="1" t="s">
        <v>993</v>
      </c>
      <c r="I598" s="1" t="s">
        <v>993</v>
      </c>
      <c r="L598" s="1" t="s">
        <v>40</v>
      </c>
      <c r="M598" s="1">
        <v>7500.0</v>
      </c>
      <c r="N598" s="1" t="s">
        <v>40</v>
      </c>
      <c r="O598" s="1">
        <v>2.0830303E7</v>
      </c>
      <c r="P598" s="1" t="s">
        <v>424</v>
      </c>
      <c r="Q598" s="1" t="s">
        <v>425</v>
      </c>
      <c r="R598" s="1" t="s">
        <v>426</v>
      </c>
      <c r="S598" s="1" t="s">
        <v>44</v>
      </c>
      <c r="T598" s="1" t="s">
        <v>45</v>
      </c>
      <c r="U598" s="1">
        <v>4.82012002E8</v>
      </c>
      <c r="W598" s="1" t="s">
        <v>46</v>
      </c>
      <c r="X598" s="1" t="s">
        <v>45</v>
      </c>
      <c r="Y598" s="1">
        <v>4.82012002E8</v>
      </c>
      <c r="Z598" s="1">
        <v>2.0830303E7</v>
      </c>
      <c r="AA598" s="1" t="s">
        <v>424</v>
      </c>
      <c r="AB598" s="1">
        <v>324862.13</v>
      </c>
      <c r="AC598" s="2">
        <v>41744.0</v>
      </c>
      <c r="AD598" s="1">
        <v>7500.0</v>
      </c>
      <c r="AE598" s="1" t="s">
        <v>40</v>
      </c>
      <c r="AF598" s="1">
        <v>3.81358015E8</v>
      </c>
      <c r="AG598" s="1" t="s">
        <v>1591</v>
      </c>
      <c r="AH598" s="1">
        <v>4.0</v>
      </c>
      <c r="AI598" s="1">
        <v>2014.0</v>
      </c>
      <c r="AJ598" s="1">
        <v>2014.0</v>
      </c>
      <c r="AK598" s="1" t="s">
        <v>997</v>
      </c>
    </row>
    <row r="599">
      <c r="A599" s="1" t="s">
        <v>992</v>
      </c>
      <c r="B599" s="1" t="s">
        <v>992</v>
      </c>
      <c r="C599" s="1" t="s">
        <v>159</v>
      </c>
      <c r="E599" s="1">
        <v>3.6982132E7</v>
      </c>
      <c r="F599" s="2">
        <v>41744.0</v>
      </c>
      <c r="G599" s="1" t="s">
        <v>993</v>
      </c>
      <c r="I599" s="1" t="s">
        <v>993</v>
      </c>
      <c r="L599" s="1" t="s">
        <v>40</v>
      </c>
      <c r="M599" s="1">
        <v>7500.0</v>
      </c>
      <c r="N599" s="1" t="s">
        <v>40</v>
      </c>
      <c r="O599" s="1">
        <v>1.97862014E8</v>
      </c>
      <c r="P599" s="1" t="s">
        <v>1056</v>
      </c>
      <c r="Q599" s="1" t="s">
        <v>1057</v>
      </c>
      <c r="R599" s="1" t="s">
        <v>1058</v>
      </c>
      <c r="S599" s="1" t="s">
        <v>44</v>
      </c>
      <c r="T599" s="1" t="s">
        <v>45</v>
      </c>
      <c r="U599" s="1">
        <v>4.82023165E8</v>
      </c>
      <c r="W599" s="1" t="s">
        <v>46</v>
      </c>
      <c r="X599" s="1" t="s">
        <v>45</v>
      </c>
      <c r="Y599" s="1">
        <v>4.82262917E8</v>
      </c>
      <c r="Z599" s="1">
        <v>1.97862014E8</v>
      </c>
      <c r="AA599" s="1" t="s">
        <v>1056</v>
      </c>
      <c r="AB599" s="1">
        <v>34240.26</v>
      </c>
      <c r="AC599" s="2">
        <v>41744.0</v>
      </c>
      <c r="AD599" s="1">
        <v>7500.0</v>
      </c>
      <c r="AE599" s="1" t="s">
        <v>40</v>
      </c>
      <c r="AF599" s="1">
        <v>3.81818068E8</v>
      </c>
      <c r="AG599" s="1" t="s">
        <v>1059</v>
      </c>
      <c r="AH599" s="1">
        <v>4.0</v>
      </c>
      <c r="AI599" s="1">
        <v>2014.0</v>
      </c>
      <c r="AJ599" s="1">
        <v>2014.0</v>
      </c>
      <c r="AK599" s="1" t="s">
        <v>997</v>
      </c>
    </row>
    <row r="600">
      <c r="A600" s="1" t="s">
        <v>992</v>
      </c>
      <c r="B600" s="1" t="s">
        <v>992</v>
      </c>
      <c r="C600" s="1" t="s">
        <v>159</v>
      </c>
      <c r="E600" s="1">
        <v>3.6982132E7</v>
      </c>
      <c r="F600" s="2">
        <v>41744.0</v>
      </c>
      <c r="G600" s="1" t="s">
        <v>993</v>
      </c>
      <c r="I600" s="1" t="s">
        <v>993</v>
      </c>
      <c r="L600" s="1" t="s">
        <v>40</v>
      </c>
      <c r="M600" s="1">
        <v>7500.0</v>
      </c>
      <c r="N600" s="1" t="s">
        <v>40</v>
      </c>
      <c r="O600" s="1">
        <v>1.98999146E8</v>
      </c>
      <c r="P600" s="1" t="s">
        <v>999</v>
      </c>
      <c r="R600" s="1" t="s">
        <v>1000</v>
      </c>
      <c r="S600" s="1" t="s">
        <v>44</v>
      </c>
      <c r="T600" s="1" t="s">
        <v>45</v>
      </c>
      <c r="U600" s="1">
        <v>4.82263007E8</v>
      </c>
      <c r="W600" s="1" t="s">
        <v>46</v>
      </c>
      <c r="X600" s="1" t="s">
        <v>45</v>
      </c>
      <c r="Y600" s="1">
        <v>4.82263007E8</v>
      </c>
      <c r="AB600" s="1">
        <v>272274.26</v>
      </c>
      <c r="AC600" s="2">
        <v>41744.0</v>
      </c>
      <c r="AD600" s="1">
        <v>7500.0</v>
      </c>
      <c r="AE600" s="1" t="s">
        <v>40</v>
      </c>
      <c r="AF600" s="1">
        <v>3.82704374E8</v>
      </c>
      <c r="AG600" s="1" t="s">
        <v>1592</v>
      </c>
      <c r="AH600" s="1">
        <v>4.0</v>
      </c>
      <c r="AI600" s="1">
        <v>2014.0</v>
      </c>
      <c r="AJ600" s="1">
        <v>2014.0</v>
      </c>
      <c r="AK600" s="1" t="s">
        <v>997</v>
      </c>
    </row>
    <row r="601">
      <c r="A601" s="1" t="s">
        <v>992</v>
      </c>
      <c r="B601" s="1" t="s">
        <v>992</v>
      </c>
      <c r="C601" s="1" t="s">
        <v>159</v>
      </c>
      <c r="E601" s="1">
        <v>3.6982132E7</v>
      </c>
      <c r="F601" s="2">
        <v>41744.0</v>
      </c>
      <c r="G601" s="1" t="s">
        <v>993</v>
      </c>
      <c r="I601" s="1" t="s">
        <v>993</v>
      </c>
      <c r="L601" s="1" t="s">
        <v>40</v>
      </c>
      <c r="M601" s="1">
        <v>7500.0</v>
      </c>
      <c r="N601" s="1" t="s">
        <v>40</v>
      </c>
      <c r="O601" s="1">
        <v>1962224.0</v>
      </c>
      <c r="P601" s="1" t="s">
        <v>52</v>
      </c>
      <c r="Q601" s="1" t="s">
        <v>1566</v>
      </c>
      <c r="R601" s="1" t="s">
        <v>53</v>
      </c>
      <c r="S601" s="1" t="s">
        <v>44</v>
      </c>
      <c r="T601" s="1" t="s">
        <v>45</v>
      </c>
      <c r="U601" s="1">
        <v>4.82023692E8</v>
      </c>
      <c r="W601" s="1" t="s">
        <v>46</v>
      </c>
      <c r="X601" s="1" t="s">
        <v>45</v>
      </c>
      <c r="Y601" s="1">
        <v>4.82023692E8</v>
      </c>
      <c r="Z601" s="1">
        <v>1962224.0</v>
      </c>
      <c r="AA601" s="1" t="s">
        <v>52</v>
      </c>
      <c r="AB601" s="1">
        <v>250600.38</v>
      </c>
      <c r="AC601" s="2">
        <v>41744.0</v>
      </c>
      <c r="AD601" s="1">
        <v>7500.0</v>
      </c>
      <c r="AE601" s="1" t="s">
        <v>40</v>
      </c>
      <c r="AF601" s="1">
        <v>3.86028429E8</v>
      </c>
      <c r="AG601" s="1" t="s">
        <v>1593</v>
      </c>
      <c r="AH601" s="1">
        <v>4.0</v>
      </c>
      <c r="AI601" s="1">
        <v>2014.0</v>
      </c>
      <c r="AJ601" s="1">
        <v>2014.0</v>
      </c>
      <c r="AK601" s="1" t="s">
        <v>997</v>
      </c>
    </row>
    <row r="602">
      <c r="A602" s="1" t="s">
        <v>992</v>
      </c>
      <c r="B602" s="1" t="s">
        <v>992</v>
      </c>
      <c r="C602" s="1" t="s">
        <v>159</v>
      </c>
      <c r="E602" s="1">
        <v>3.6982132E7</v>
      </c>
      <c r="F602" s="2">
        <v>41746.0</v>
      </c>
      <c r="G602" s="1" t="s">
        <v>993</v>
      </c>
      <c r="I602" s="1" t="s">
        <v>993</v>
      </c>
      <c r="L602" s="1" t="s">
        <v>40</v>
      </c>
      <c r="M602" s="1">
        <v>7500.0</v>
      </c>
      <c r="N602" s="1" t="s">
        <v>40</v>
      </c>
      <c r="O602" s="1">
        <v>8.48764171E8</v>
      </c>
      <c r="P602" s="1" t="s">
        <v>1050</v>
      </c>
      <c r="Q602" s="1" t="s">
        <v>1051</v>
      </c>
      <c r="R602" s="1" t="s">
        <v>1052</v>
      </c>
      <c r="S602" s="1" t="s">
        <v>44</v>
      </c>
      <c r="T602" s="1" t="s">
        <v>45</v>
      </c>
      <c r="U602" s="1">
        <v>4.820741E8</v>
      </c>
      <c r="W602" s="1" t="s">
        <v>46</v>
      </c>
      <c r="X602" s="1" t="s">
        <v>45</v>
      </c>
      <c r="Y602" s="1">
        <v>4.820741E8</v>
      </c>
      <c r="AB602" s="1">
        <v>251022.45</v>
      </c>
      <c r="AC602" s="2">
        <v>41746.0</v>
      </c>
      <c r="AD602" s="1">
        <v>7500.0</v>
      </c>
      <c r="AE602" s="1" t="s">
        <v>40</v>
      </c>
      <c r="AF602" s="1">
        <v>3.82464851E8</v>
      </c>
      <c r="AG602" s="1" t="s">
        <v>1594</v>
      </c>
      <c r="AH602" s="1">
        <v>4.0</v>
      </c>
      <c r="AI602" s="1">
        <v>2014.0</v>
      </c>
      <c r="AJ602" s="1">
        <v>2014.0</v>
      </c>
      <c r="AK602" s="1" t="s">
        <v>997</v>
      </c>
    </row>
    <row r="603">
      <c r="A603" s="1" t="s">
        <v>992</v>
      </c>
      <c r="B603" s="1" t="s">
        <v>992</v>
      </c>
      <c r="C603" s="1" t="s">
        <v>159</v>
      </c>
      <c r="E603" s="1">
        <v>3.6982132E7</v>
      </c>
      <c r="F603" s="2">
        <v>41746.0</v>
      </c>
      <c r="G603" s="1" t="s">
        <v>993</v>
      </c>
      <c r="I603" s="1" t="s">
        <v>993</v>
      </c>
      <c r="L603" s="1" t="s">
        <v>40</v>
      </c>
      <c r="M603" s="1">
        <v>7500.0</v>
      </c>
      <c r="N603" s="1" t="s">
        <v>40</v>
      </c>
      <c r="O603" s="1">
        <v>7.3134603E7</v>
      </c>
      <c r="P603" s="1" t="s">
        <v>41</v>
      </c>
      <c r="Q603" s="1" t="s">
        <v>252</v>
      </c>
      <c r="R603" s="1" t="s">
        <v>253</v>
      </c>
      <c r="S603" s="1" t="s">
        <v>44</v>
      </c>
      <c r="T603" s="1" t="s">
        <v>45</v>
      </c>
      <c r="U603" s="1">
        <v>4.8202345E8</v>
      </c>
      <c r="W603" s="1" t="s">
        <v>46</v>
      </c>
      <c r="X603" s="1" t="s">
        <v>45</v>
      </c>
      <c r="Y603" s="1">
        <v>4.82022608E8</v>
      </c>
      <c r="Z603" s="1">
        <v>7.3134603E7</v>
      </c>
      <c r="AA603" s="1" t="s">
        <v>41</v>
      </c>
      <c r="AB603" s="1">
        <v>189427.05</v>
      </c>
      <c r="AC603" s="2">
        <v>41746.0</v>
      </c>
      <c r="AD603" s="1">
        <v>7500.0</v>
      </c>
      <c r="AE603" s="1" t="s">
        <v>40</v>
      </c>
      <c r="AF603" s="1">
        <v>3.8135702E8</v>
      </c>
      <c r="AG603" s="1" t="s">
        <v>1595</v>
      </c>
      <c r="AH603" s="1">
        <v>4.0</v>
      </c>
      <c r="AI603" s="1">
        <v>2014.0</v>
      </c>
      <c r="AJ603" s="1">
        <v>2014.0</v>
      </c>
      <c r="AK603" s="1" t="s">
        <v>997</v>
      </c>
    </row>
    <row r="604">
      <c r="A604" s="1" t="s">
        <v>992</v>
      </c>
      <c r="B604" s="1" t="s">
        <v>992</v>
      </c>
      <c r="C604" s="1" t="s">
        <v>159</v>
      </c>
      <c r="E604" s="1">
        <v>3.6982132E7</v>
      </c>
      <c r="F604" s="2">
        <v>41745.0</v>
      </c>
      <c r="G604" s="1" t="s">
        <v>993</v>
      </c>
      <c r="I604" s="1" t="s">
        <v>993</v>
      </c>
      <c r="L604" s="1" t="s">
        <v>40</v>
      </c>
      <c r="M604" s="1">
        <v>7500.0</v>
      </c>
      <c r="N604" s="1" t="s">
        <v>40</v>
      </c>
      <c r="O604" s="1">
        <v>9.29292464E8</v>
      </c>
      <c r="P604" s="1" t="s">
        <v>1043</v>
      </c>
      <c r="R604" s="1" t="s">
        <v>1044</v>
      </c>
      <c r="S604" s="1" t="s">
        <v>44</v>
      </c>
      <c r="T604" s="1" t="s">
        <v>45</v>
      </c>
      <c r="U604" s="1">
        <v>4.82161921E8</v>
      </c>
      <c r="W604" s="1" t="s">
        <v>46</v>
      </c>
      <c r="X604" s="1" t="s">
        <v>45</v>
      </c>
      <c r="Y604" s="1">
        <v>4.82161921E8</v>
      </c>
      <c r="AB604" s="1">
        <v>355167.48</v>
      </c>
      <c r="AC604" s="2">
        <v>41745.0</v>
      </c>
      <c r="AD604" s="1">
        <v>7500.0</v>
      </c>
      <c r="AE604" s="1" t="s">
        <v>40</v>
      </c>
      <c r="AF604" s="1">
        <v>3.82719621E8</v>
      </c>
      <c r="AG604" s="1" t="s">
        <v>1596</v>
      </c>
      <c r="AH604" s="1">
        <v>4.0</v>
      </c>
      <c r="AI604" s="1">
        <v>2014.0</v>
      </c>
      <c r="AJ604" s="1">
        <v>2014.0</v>
      </c>
      <c r="AK604" s="1" t="s">
        <v>997</v>
      </c>
    </row>
    <row r="605">
      <c r="A605" s="1" t="s">
        <v>992</v>
      </c>
      <c r="B605" s="1" t="s">
        <v>992</v>
      </c>
      <c r="C605" s="1" t="s">
        <v>159</v>
      </c>
      <c r="E605" s="1">
        <v>3.6982132E7</v>
      </c>
      <c r="F605" s="2">
        <v>41744.0</v>
      </c>
      <c r="G605" s="1" t="s">
        <v>993</v>
      </c>
      <c r="I605" s="1" t="s">
        <v>993</v>
      </c>
      <c r="L605" s="1" t="s">
        <v>40</v>
      </c>
      <c r="M605" s="1">
        <v>7500.0</v>
      </c>
      <c r="N605" s="1" t="s">
        <v>40</v>
      </c>
      <c r="O605" s="1">
        <v>2.0830303E7</v>
      </c>
      <c r="P605" s="1" t="s">
        <v>424</v>
      </c>
      <c r="Q605" s="1" t="s">
        <v>425</v>
      </c>
      <c r="R605" s="1" t="s">
        <v>426</v>
      </c>
      <c r="S605" s="1" t="s">
        <v>44</v>
      </c>
      <c r="T605" s="1" t="s">
        <v>45</v>
      </c>
      <c r="U605" s="1">
        <v>4.82012002E8</v>
      </c>
      <c r="W605" s="1" t="s">
        <v>46</v>
      </c>
      <c r="X605" s="1" t="s">
        <v>45</v>
      </c>
      <c r="Y605" s="1">
        <v>4.82012002E8</v>
      </c>
      <c r="Z605" s="1">
        <v>2.0830303E7</v>
      </c>
      <c r="AA605" s="1" t="s">
        <v>424</v>
      </c>
      <c r="AB605" s="1">
        <v>324862.13</v>
      </c>
      <c r="AC605" s="2">
        <v>41744.0</v>
      </c>
      <c r="AD605" s="1">
        <v>7500.0</v>
      </c>
      <c r="AE605" s="1" t="s">
        <v>40</v>
      </c>
      <c r="AF605" s="1">
        <v>3.81358015E8</v>
      </c>
      <c r="AG605" s="1" t="s">
        <v>1591</v>
      </c>
      <c r="AH605" s="1">
        <v>4.0</v>
      </c>
      <c r="AI605" s="1">
        <v>2014.0</v>
      </c>
      <c r="AJ605" s="1">
        <v>2014.0</v>
      </c>
      <c r="AK605" s="1" t="s">
        <v>997</v>
      </c>
    </row>
    <row r="606">
      <c r="A606" s="1" t="s">
        <v>992</v>
      </c>
      <c r="B606" s="1" t="s">
        <v>992</v>
      </c>
      <c r="C606" s="1" t="s">
        <v>159</v>
      </c>
      <c r="E606" s="1">
        <v>3.6982132E7</v>
      </c>
      <c r="F606" s="2">
        <v>41773.0</v>
      </c>
      <c r="G606" s="1" t="s">
        <v>993</v>
      </c>
      <c r="I606" s="1" t="s">
        <v>993</v>
      </c>
      <c r="L606" s="1" t="s">
        <v>40</v>
      </c>
      <c r="M606" s="1">
        <v>7500.0</v>
      </c>
      <c r="N606" s="1" t="s">
        <v>40</v>
      </c>
      <c r="O606" s="1">
        <v>1.41947783E8</v>
      </c>
      <c r="P606" s="1" t="s">
        <v>144</v>
      </c>
      <c r="R606" s="1" t="s">
        <v>145</v>
      </c>
      <c r="S606" s="1" t="s">
        <v>44</v>
      </c>
      <c r="T606" s="1" t="s">
        <v>45</v>
      </c>
      <c r="U606" s="1">
        <v>4.82362148E8</v>
      </c>
      <c r="W606" s="1" t="s">
        <v>1454</v>
      </c>
      <c r="X606" s="1" t="s">
        <v>45</v>
      </c>
      <c r="Y606" s="1">
        <v>4.80922468E8</v>
      </c>
      <c r="AB606" s="1">
        <v>87000.0</v>
      </c>
      <c r="AC606" s="2">
        <v>41773.0</v>
      </c>
      <c r="AD606" s="1">
        <v>7500.0</v>
      </c>
      <c r="AE606" s="1" t="s">
        <v>40</v>
      </c>
      <c r="AF606" s="1">
        <v>3.82262856E8</v>
      </c>
      <c r="AG606" s="1" t="s">
        <v>1054</v>
      </c>
      <c r="AH606" s="1">
        <v>4.0</v>
      </c>
      <c r="AI606" s="1">
        <v>2014.0</v>
      </c>
      <c r="AJ606" s="1">
        <v>2014.0</v>
      </c>
      <c r="AK606" s="1" t="s">
        <v>997</v>
      </c>
    </row>
    <row r="607">
      <c r="A607" s="1" t="s">
        <v>1597</v>
      </c>
      <c r="B607" s="1" t="s">
        <v>1597</v>
      </c>
      <c r="C607" s="1" t="s">
        <v>645</v>
      </c>
      <c r="E607" s="1">
        <v>1243102.0</v>
      </c>
      <c r="F607" s="2">
        <v>41753.0</v>
      </c>
      <c r="G607" s="1" t="s">
        <v>754</v>
      </c>
      <c r="I607" s="1" t="s">
        <v>754</v>
      </c>
      <c r="L607" s="1" t="s">
        <v>647</v>
      </c>
      <c r="M607" s="1">
        <v>1200.0</v>
      </c>
      <c r="N607" s="1" t="s">
        <v>647</v>
      </c>
      <c r="O607" s="1">
        <v>2.0830303E7</v>
      </c>
      <c r="P607" s="1" t="s">
        <v>424</v>
      </c>
      <c r="Q607" s="1" t="s">
        <v>425</v>
      </c>
      <c r="R607" s="1" t="s">
        <v>426</v>
      </c>
      <c r="S607" s="1" t="s">
        <v>44</v>
      </c>
      <c r="T607" s="1" t="s">
        <v>45</v>
      </c>
      <c r="U607" s="1">
        <v>4.82012002E8</v>
      </c>
      <c r="W607" s="1" t="s">
        <v>44</v>
      </c>
      <c r="X607" s="1" t="s">
        <v>45</v>
      </c>
      <c r="Y607" s="1">
        <v>4.82012002E8</v>
      </c>
      <c r="Z607" s="1">
        <v>2.0830303E7</v>
      </c>
      <c r="AA607" s="1" t="s">
        <v>424</v>
      </c>
      <c r="AB607" s="1">
        <v>33980.1</v>
      </c>
      <c r="AC607" s="2">
        <v>41753.0</v>
      </c>
      <c r="AD607" s="1">
        <v>1200.0</v>
      </c>
      <c r="AE607" s="1" t="s">
        <v>647</v>
      </c>
      <c r="AF607" s="1" t="s">
        <v>1598</v>
      </c>
      <c r="AG607" s="1" t="s">
        <v>756</v>
      </c>
      <c r="AH607" s="1">
        <v>5.0</v>
      </c>
      <c r="AI607" s="1">
        <v>2014.0</v>
      </c>
      <c r="AJ607" s="1">
        <v>2014.0</v>
      </c>
      <c r="AK607" s="1" t="s">
        <v>757</v>
      </c>
    </row>
    <row r="608">
      <c r="A608" s="1" t="s">
        <v>1597</v>
      </c>
      <c r="B608" s="1" t="s">
        <v>1597</v>
      </c>
      <c r="C608" s="1" t="s">
        <v>645</v>
      </c>
      <c r="E608" s="1">
        <v>1243102.0</v>
      </c>
      <c r="F608" s="2">
        <v>41613.0</v>
      </c>
      <c r="G608" s="1" t="s">
        <v>754</v>
      </c>
      <c r="I608" s="1" t="s">
        <v>754</v>
      </c>
      <c r="L608" s="1" t="s">
        <v>647</v>
      </c>
      <c r="M608" s="1">
        <v>1200.0</v>
      </c>
      <c r="N608" s="1" t="s">
        <v>647</v>
      </c>
      <c r="O608" s="1">
        <v>7.6340843E7</v>
      </c>
      <c r="P608" s="1" t="s">
        <v>461</v>
      </c>
      <c r="R608" s="1" t="s">
        <v>1599</v>
      </c>
      <c r="S608" s="1" t="s">
        <v>44</v>
      </c>
      <c r="T608" s="1" t="s">
        <v>45</v>
      </c>
      <c r="U608" s="1">
        <v>4.8202301E8</v>
      </c>
      <c r="W608" s="1" t="s">
        <v>44</v>
      </c>
      <c r="X608" s="1" t="s">
        <v>45</v>
      </c>
      <c r="Y608" s="1">
        <v>4.82023096E8</v>
      </c>
      <c r="Z608" s="1">
        <v>7.6340843E7</v>
      </c>
      <c r="AA608" s="1" t="s">
        <v>461</v>
      </c>
      <c r="AB608" s="1">
        <v>113945.4</v>
      </c>
      <c r="AC608" s="2">
        <v>41613.0</v>
      </c>
      <c r="AD608" s="1">
        <v>1200.0</v>
      </c>
      <c r="AE608" s="1" t="s">
        <v>647</v>
      </c>
      <c r="AF608" s="1" t="s">
        <v>1600</v>
      </c>
      <c r="AG608" s="1" t="s">
        <v>756</v>
      </c>
      <c r="AH608" s="1">
        <v>5.0</v>
      </c>
      <c r="AI608" s="1">
        <v>2014.0</v>
      </c>
      <c r="AJ608" s="1">
        <v>2014.0</v>
      </c>
      <c r="AK608" s="1" t="s">
        <v>757</v>
      </c>
    </row>
    <row r="609">
      <c r="A609" s="1" t="s">
        <v>1601</v>
      </c>
      <c r="B609" s="1" t="s">
        <v>1601</v>
      </c>
      <c r="C609" s="1" t="s">
        <v>224</v>
      </c>
      <c r="E609" s="1">
        <v>95355.0</v>
      </c>
      <c r="F609" s="2">
        <v>41521.0</v>
      </c>
      <c r="G609" s="1" t="s">
        <v>1150</v>
      </c>
      <c r="I609" s="1" t="s">
        <v>1150</v>
      </c>
      <c r="L609" s="1" t="s">
        <v>151</v>
      </c>
      <c r="M609" s="1">
        <v>6900.0</v>
      </c>
      <c r="N609" s="1" t="s">
        <v>151</v>
      </c>
      <c r="O609" s="1">
        <v>9.63886101E8</v>
      </c>
      <c r="P609" s="1" t="s">
        <v>259</v>
      </c>
      <c r="R609" s="1" t="s">
        <v>260</v>
      </c>
      <c r="S609" s="1" t="s">
        <v>44</v>
      </c>
      <c r="T609" s="1" t="s">
        <v>45</v>
      </c>
      <c r="U609" s="1">
        <v>4.8226348E8</v>
      </c>
      <c r="W609" s="1" t="s">
        <v>46</v>
      </c>
      <c r="X609" s="1" t="s">
        <v>45</v>
      </c>
      <c r="Y609" s="1">
        <v>4.8226348E8</v>
      </c>
      <c r="Z609" s="1">
        <v>7.3134884E7</v>
      </c>
      <c r="AA609" s="1" t="s">
        <v>261</v>
      </c>
      <c r="AB609" s="1">
        <v>95355.25</v>
      </c>
      <c r="AC609" s="2">
        <v>41521.0</v>
      </c>
      <c r="AD609" s="1">
        <v>6900.0</v>
      </c>
      <c r="AE609" s="1" t="s">
        <v>151</v>
      </c>
      <c r="AF609" s="1">
        <v>1.0</v>
      </c>
      <c r="AG609" s="1" t="s">
        <v>1602</v>
      </c>
      <c r="AH609" s="1">
        <v>10.0</v>
      </c>
      <c r="AI609" s="1">
        <v>2013.0</v>
      </c>
      <c r="AJ609" s="1">
        <v>2013.0</v>
      </c>
      <c r="AK609" s="1" t="s">
        <v>229</v>
      </c>
    </row>
    <row r="610">
      <c r="A610" s="1" t="s">
        <v>1603</v>
      </c>
      <c r="B610" s="1" t="s">
        <v>1603</v>
      </c>
      <c r="C610" s="1" t="s">
        <v>224</v>
      </c>
      <c r="E610" s="1">
        <v>588197.0</v>
      </c>
      <c r="F610" s="2">
        <v>41521.0</v>
      </c>
      <c r="G610" s="1" t="s">
        <v>1153</v>
      </c>
      <c r="I610" s="1" t="s">
        <v>1153</v>
      </c>
      <c r="L610" s="1" t="s">
        <v>151</v>
      </c>
      <c r="M610" s="1">
        <v>6900.0</v>
      </c>
      <c r="N610" s="1" t="s">
        <v>151</v>
      </c>
      <c r="O610" s="1">
        <v>9.63886101E8</v>
      </c>
      <c r="P610" s="1" t="s">
        <v>259</v>
      </c>
      <c r="R610" s="1" t="s">
        <v>260</v>
      </c>
      <c r="S610" s="1" t="s">
        <v>44</v>
      </c>
      <c r="T610" s="1" t="s">
        <v>45</v>
      </c>
      <c r="U610" s="1">
        <v>4.8226348E8</v>
      </c>
      <c r="W610" s="1" t="s">
        <v>46</v>
      </c>
      <c r="X610" s="1" t="s">
        <v>45</v>
      </c>
      <c r="Y610" s="1">
        <v>4.8226348E8</v>
      </c>
      <c r="Z610" s="1">
        <v>7.3134884E7</v>
      </c>
      <c r="AA610" s="1" t="s">
        <v>261</v>
      </c>
      <c r="AB610" s="1">
        <v>588197.63</v>
      </c>
      <c r="AC610" s="2">
        <v>41521.0</v>
      </c>
      <c r="AD610" s="1">
        <v>6900.0</v>
      </c>
      <c r="AE610" s="1" t="s">
        <v>151</v>
      </c>
      <c r="AF610" s="1">
        <v>1.0</v>
      </c>
      <c r="AG610" s="1" t="s">
        <v>1154</v>
      </c>
      <c r="AH610" s="1">
        <v>10.0</v>
      </c>
      <c r="AI610" s="1">
        <v>2013.0</v>
      </c>
      <c r="AJ610" s="1">
        <v>2013.0</v>
      </c>
      <c r="AK610" s="1" t="s">
        <v>229</v>
      </c>
    </row>
    <row r="611">
      <c r="A611" s="1" t="s">
        <v>1604</v>
      </c>
      <c r="B611" s="1" t="s">
        <v>1604</v>
      </c>
      <c r="C611" s="1" t="s">
        <v>224</v>
      </c>
      <c r="E611" s="1">
        <v>397582.0</v>
      </c>
      <c r="F611" s="2">
        <v>41523.0</v>
      </c>
      <c r="G611" s="1" t="s">
        <v>1216</v>
      </c>
      <c r="I611" s="1" t="s">
        <v>1216</v>
      </c>
      <c r="L611" s="1" t="s">
        <v>151</v>
      </c>
      <c r="M611" s="1">
        <v>6900.0</v>
      </c>
      <c r="N611" s="1" t="s">
        <v>151</v>
      </c>
      <c r="O611" s="1">
        <v>9.63886101E8</v>
      </c>
      <c r="P611" s="1" t="s">
        <v>259</v>
      </c>
      <c r="R611" s="1" t="s">
        <v>260</v>
      </c>
      <c r="S611" s="1" t="s">
        <v>44</v>
      </c>
      <c r="T611" s="1" t="s">
        <v>45</v>
      </c>
      <c r="U611" s="1">
        <v>4.8226348E8</v>
      </c>
      <c r="W611" s="1" t="s">
        <v>46</v>
      </c>
      <c r="X611" s="1" t="s">
        <v>45</v>
      </c>
      <c r="Y611" s="1">
        <v>4.8226348E8</v>
      </c>
      <c r="Z611" s="1">
        <v>7.3134884E7</v>
      </c>
      <c r="AA611" s="1" t="s">
        <v>261</v>
      </c>
      <c r="AB611" s="1">
        <v>397582.45</v>
      </c>
      <c r="AC611" s="2">
        <v>41523.0</v>
      </c>
      <c r="AD611" s="1">
        <v>6900.0</v>
      </c>
      <c r="AE611" s="1" t="s">
        <v>151</v>
      </c>
      <c r="AF611" s="1">
        <v>1.0</v>
      </c>
      <c r="AG611" s="1" t="s">
        <v>1217</v>
      </c>
      <c r="AH611" s="1">
        <v>10.0</v>
      </c>
      <c r="AI611" s="1">
        <v>2013.0</v>
      </c>
      <c r="AJ611" s="1">
        <v>2013.0</v>
      </c>
      <c r="AK611" s="1" t="s">
        <v>229</v>
      </c>
    </row>
    <row r="612">
      <c r="A612" s="1" t="s">
        <v>1605</v>
      </c>
      <c r="B612" s="1" t="s">
        <v>1605</v>
      </c>
      <c r="C612" s="1" t="s">
        <v>224</v>
      </c>
      <c r="E612" s="1">
        <v>93571.0</v>
      </c>
      <c r="F612" s="2">
        <v>41523.0</v>
      </c>
      <c r="G612" s="1" t="s">
        <v>1156</v>
      </c>
      <c r="I612" s="1" t="s">
        <v>1156</v>
      </c>
      <c r="L612" s="1" t="s">
        <v>151</v>
      </c>
      <c r="M612" s="1">
        <v>6900.0</v>
      </c>
      <c r="N612" s="1" t="s">
        <v>151</v>
      </c>
      <c r="O612" s="1">
        <v>9.63886101E8</v>
      </c>
      <c r="P612" s="1" t="s">
        <v>259</v>
      </c>
      <c r="R612" s="1" t="s">
        <v>260</v>
      </c>
      <c r="S612" s="1" t="s">
        <v>44</v>
      </c>
      <c r="T612" s="1" t="s">
        <v>45</v>
      </c>
      <c r="U612" s="1">
        <v>4.8226348E8</v>
      </c>
      <c r="W612" s="1" t="s">
        <v>46</v>
      </c>
      <c r="X612" s="1" t="s">
        <v>45</v>
      </c>
      <c r="Y612" s="1">
        <v>4.8226348E8</v>
      </c>
      <c r="Z612" s="1">
        <v>7.3134884E7</v>
      </c>
      <c r="AA612" s="1" t="s">
        <v>261</v>
      </c>
      <c r="AB612" s="1">
        <v>93571.85</v>
      </c>
      <c r="AC612" s="2">
        <v>41523.0</v>
      </c>
      <c r="AD612" s="1">
        <v>6900.0</v>
      </c>
      <c r="AE612" s="1" t="s">
        <v>151</v>
      </c>
      <c r="AF612" s="1">
        <v>1.0</v>
      </c>
      <c r="AG612" s="1" t="s">
        <v>1157</v>
      </c>
      <c r="AH612" s="1">
        <v>10.0</v>
      </c>
      <c r="AI612" s="1">
        <v>2013.0</v>
      </c>
      <c r="AJ612" s="1">
        <v>2013.0</v>
      </c>
      <c r="AK612" s="1" t="s">
        <v>229</v>
      </c>
    </row>
    <row r="613">
      <c r="A613" s="1" t="s">
        <v>1606</v>
      </c>
      <c r="B613" s="1" t="s">
        <v>1606</v>
      </c>
      <c r="C613" s="1" t="s">
        <v>224</v>
      </c>
      <c r="E613" s="1">
        <v>61978.0</v>
      </c>
      <c r="F613" s="2">
        <v>41523.0</v>
      </c>
      <c r="G613" s="1" t="s">
        <v>1159</v>
      </c>
      <c r="I613" s="1" t="s">
        <v>1159</v>
      </c>
      <c r="L613" s="1" t="s">
        <v>151</v>
      </c>
      <c r="M613" s="1">
        <v>6900.0</v>
      </c>
      <c r="N613" s="1" t="s">
        <v>151</v>
      </c>
      <c r="O613" s="1">
        <v>9.63886101E8</v>
      </c>
      <c r="P613" s="1" t="s">
        <v>259</v>
      </c>
      <c r="R613" s="1" t="s">
        <v>260</v>
      </c>
      <c r="S613" s="1" t="s">
        <v>44</v>
      </c>
      <c r="T613" s="1" t="s">
        <v>45</v>
      </c>
      <c r="U613" s="1">
        <v>4.8226348E8</v>
      </c>
      <c r="W613" s="1" t="s">
        <v>46</v>
      </c>
      <c r="X613" s="1" t="s">
        <v>45</v>
      </c>
      <c r="Y613" s="1">
        <v>4.8226348E8</v>
      </c>
      <c r="Z613" s="1">
        <v>7.3134884E7</v>
      </c>
      <c r="AA613" s="1" t="s">
        <v>261</v>
      </c>
      <c r="AB613" s="1">
        <v>61978.91</v>
      </c>
      <c r="AC613" s="2">
        <v>41523.0</v>
      </c>
      <c r="AD613" s="1">
        <v>6900.0</v>
      </c>
      <c r="AE613" s="1" t="s">
        <v>151</v>
      </c>
      <c r="AF613" s="1">
        <v>1.0</v>
      </c>
      <c r="AG613" s="1" t="s">
        <v>1160</v>
      </c>
      <c r="AH613" s="1">
        <v>10.0</v>
      </c>
      <c r="AI613" s="1">
        <v>2013.0</v>
      </c>
      <c r="AJ613" s="1">
        <v>2013.0</v>
      </c>
      <c r="AK613" s="1" t="s">
        <v>229</v>
      </c>
    </row>
    <row r="614">
      <c r="A614" s="1" t="s">
        <v>1607</v>
      </c>
      <c r="B614" s="1" t="s">
        <v>1607</v>
      </c>
      <c r="C614" s="1" t="s">
        <v>224</v>
      </c>
      <c r="E614" s="1">
        <v>254830.0</v>
      </c>
      <c r="F614" s="2">
        <v>41527.0</v>
      </c>
      <c r="G614" s="1" t="s">
        <v>1162</v>
      </c>
      <c r="I614" s="1" t="s">
        <v>1162</v>
      </c>
      <c r="L614" s="1" t="s">
        <v>151</v>
      </c>
      <c r="M614" s="1">
        <v>6900.0</v>
      </c>
      <c r="N614" s="1" t="s">
        <v>151</v>
      </c>
      <c r="O614" s="1">
        <v>9.63886101E8</v>
      </c>
      <c r="P614" s="1" t="s">
        <v>259</v>
      </c>
      <c r="R614" s="1" t="s">
        <v>260</v>
      </c>
      <c r="S614" s="1" t="s">
        <v>44</v>
      </c>
      <c r="T614" s="1" t="s">
        <v>45</v>
      </c>
      <c r="U614" s="1">
        <v>4.8226348E8</v>
      </c>
      <c r="W614" s="1" t="s">
        <v>46</v>
      </c>
      <c r="X614" s="1" t="s">
        <v>45</v>
      </c>
      <c r="Y614" s="1">
        <v>4.8226348E8</v>
      </c>
      <c r="Z614" s="1">
        <v>7.3134884E7</v>
      </c>
      <c r="AA614" s="1" t="s">
        <v>261</v>
      </c>
      <c r="AB614" s="1">
        <v>254830.2</v>
      </c>
      <c r="AC614" s="2">
        <v>41527.0</v>
      </c>
      <c r="AD614" s="1">
        <v>6900.0</v>
      </c>
      <c r="AE614" s="1" t="s">
        <v>151</v>
      </c>
      <c r="AF614" s="1">
        <v>1.0</v>
      </c>
      <c r="AG614" s="1" t="s">
        <v>1163</v>
      </c>
      <c r="AH614" s="1">
        <v>10.0</v>
      </c>
      <c r="AI614" s="1">
        <v>2013.0</v>
      </c>
      <c r="AJ614" s="1">
        <v>2013.0</v>
      </c>
      <c r="AK614" s="1" t="s">
        <v>229</v>
      </c>
    </row>
    <row r="615">
      <c r="A615" s="1" t="s">
        <v>1608</v>
      </c>
      <c r="B615" s="1" t="s">
        <v>1608</v>
      </c>
      <c r="C615" s="1" t="s">
        <v>224</v>
      </c>
      <c r="E615" s="1">
        <v>152486.0</v>
      </c>
      <c r="F615" s="2">
        <v>41527.0</v>
      </c>
      <c r="G615" s="1" t="s">
        <v>1162</v>
      </c>
      <c r="I615" s="1" t="s">
        <v>1162</v>
      </c>
      <c r="L615" s="1" t="s">
        <v>151</v>
      </c>
      <c r="M615" s="1">
        <v>6900.0</v>
      </c>
      <c r="N615" s="1" t="s">
        <v>151</v>
      </c>
      <c r="O615" s="1">
        <v>9.63886101E8</v>
      </c>
      <c r="P615" s="1" t="s">
        <v>259</v>
      </c>
      <c r="R615" s="1" t="s">
        <v>260</v>
      </c>
      <c r="S615" s="1" t="s">
        <v>44</v>
      </c>
      <c r="T615" s="1" t="s">
        <v>45</v>
      </c>
      <c r="U615" s="1">
        <v>4.8226348E8</v>
      </c>
      <c r="W615" s="1" t="s">
        <v>46</v>
      </c>
      <c r="X615" s="1" t="s">
        <v>45</v>
      </c>
      <c r="Y615" s="1">
        <v>4.8226348E8</v>
      </c>
      <c r="Z615" s="1">
        <v>7.3134884E7</v>
      </c>
      <c r="AA615" s="1" t="s">
        <v>261</v>
      </c>
      <c r="AB615" s="1">
        <v>152486.25</v>
      </c>
      <c r="AC615" s="2">
        <v>41527.0</v>
      </c>
      <c r="AD615" s="1">
        <v>6900.0</v>
      </c>
      <c r="AE615" s="1" t="s">
        <v>151</v>
      </c>
      <c r="AF615" s="1">
        <v>1.0</v>
      </c>
      <c r="AG615" s="1" t="s">
        <v>1163</v>
      </c>
      <c r="AH615" s="1">
        <v>10.0</v>
      </c>
      <c r="AI615" s="1">
        <v>2013.0</v>
      </c>
      <c r="AJ615" s="1">
        <v>2013.0</v>
      </c>
      <c r="AK615" s="1" t="s">
        <v>229</v>
      </c>
    </row>
    <row r="616">
      <c r="A616" s="1" t="s">
        <v>1609</v>
      </c>
      <c r="B616" s="1" t="s">
        <v>1609</v>
      </c>
      <c r="C616" s="1" t="s">
        <v>224</v>
      </c>
      <c r="E616" s="1">
        <v>290509.0</v>
      </c>
      <c r="F616" s="2">
        <v>41565.0</v>
      </c>
      <c r="G616" s="1" t="s">
        <v>1610</v>
      </c>
      <c r="I616" s="1" t="s">
        <v>1610</v>
      </c>
      <c r="L616" s="1" t="s">
        <v>151</v>
      </c>
      <c r="M616" s="1">
        <v>6900.0</v>
      </c>
      <c r="N616" s="1" t="s">
        <v>151</v>
      </c>
      <c r="O616" s="1">
        <v>9.63886101E8</v>
      </c>
      <c r="P616" s="1" t="s">
        <v>259</v>
      </c>
      <c r="R616" s="1" t="s">
        <v>260</v>
      </c>
      <c r="S616" s="1" t="s">
        <v>44</v>
      </c>
      <c r="T616" s="1" t="s">
        <v>45</v>
      </c>
      <c r="U616" s="1">
        <v>4.8226348E8</v>
      </c>
      <c r="W616" s="1" t="s">
        <v>46</v>
      </c>
      <c r="X616" s="1" t="s">
        <v>45</v>
      </c>
      <c r="Y616" s="1">
        <v>4.8226348E8</v>
      </c>
      <c r="Z616" s="1">
        <v>7.3134884E7</v>
      </c>
      <c r="AA616" s="1" t="s">
        <v>261</v>
      </c>
      <c r="AB616" s="1">
        <v>290509.77</v>
      </c>
      <c r="AC616" s="2">
        <v>41565.0</v>
      </c>
      <c r="AD616" s="1">
        <v>6900.0</v>
      </c>
      <c r="AE616" s="1" t="s">
        <v>151</v>
      </c>
      <c r="AF616" s="1">
        <v>1.0</v>
      </c>
      <c r="AG616" s="1" t="s">
        <v>1611</v>
      </c>
      <c r="AH616" s="1">
        <v>11.0</v>
      </c>
      <c r="AI616" s="1">
        <v>2013.0</v>
      </c>
      <c r="AJ616" s="1">
        <v>2014.0</v>
      </c>
      <c r="AK616" s="1" t="s">
        <v>229</v>
      </c>
    </row>
    <row r="617">
      <c r="A617" s="1" t="s">
        <v>1612</v>
      </c>
      <c r="B617" s="1" t="s">
        <v>1612</v>
      </c>
      <c r="C617" s="1" t="s">
        <v>224</v>
      </c>
      <c r="E617" s="1">
        <v>591486.0</v>
      </c>
      <c r="F617" s="2">
        <v>41565.0</v>
      </c>
      <c r="G617" s="1" t="s">
        <v>1610</v>
      </c>
      <c r="I617" s="1" t="s">
        <v>1610</v>
      </c>
      <c r="L617" s="1" t="s">
        <v>151</v>
      </c>
      <c r="M617" s="1">
        <v>6900.0</v>
      </c>
      <c r="N617" s="1" t="s">
        <v>151</v>
      </c>
      <c r="O617" s="1">
        <v>9.63886101E8</v>
      </c>
      <c r="P617" s="1" t="s">
        <v>259</v>
      </c>
      <c r="R617" s="1" t="s">
        <v>260</v>
      </c>
      <c r="S617" s="1" t="s">
        <v>44</v>
      </c>
      <c r="T617" s="1" t="s">
        <v>45</v>
      </c>
      <c r="U617" s="1">
        <v>4.8226348E8</v>
      </c>
      <c r="W617" s="1" t="s">
        <v>46</v>
      </c>
      <c r="X617" s="1" t="s">
        <v>45</v>
      </c>
      <c r="Y617" s="1">
        <v>4.8226348E8</v>
      </c>
      <c r="Z617" s="1">
        <v>7.3134884E7</v>
      </c>
      <c r="AA617" s="1" t="s">
        <v>261</v>
      </c>
      <c r="AB617" s="1">
        <v>591486.22</v>
      </c>
      <c r="AC617" s="2">
        <v>41565.0</v>
      </c>
      <c r="AD617" s="1">
        <v>6900.0</v>
      </c>
      <c r="AE617" s="1" t="s">
        <v>151</v>
      </c>
      <c r="AF617" s="1">
        <v>1.0</v>
      </c>
      <c r="AG617" s="1" t="s">
        <v>1613</v>
      </c>
      <c r="AH617" s="1">
        <v>11.0</v>
      </c>
      <c r="AI617" s="1">
        <v>2013.0</v>
      </c>
      <c r="AJ617" s="1">
        <v>2014.0</v>
      </c>
      <c r="AK617" s="1" t="s">
        <v>229</v>
      </c>
    </row>
    <row r="618">
      <c r="A618" s="1" t="s">
        <v>1614</v>
      </c>
      <c r="B618" s="1" t="s">
        <v>1614</v>
      </c>
      <c r="C618" s="1" t="s">
        <v>224</v>
      </c>
      <c r="E618" s="1">
        <v>283500.0</v>
      </c>
      <c r="F618" s="2">
        <v>41578.0</v>
      </c>
      <c r="G618" s="1" t="s">
        <v>1615</v>
      </c>
      <c r="I618" s="1" t="s">
        <v>1615</v>
      </c>
      <c r="L618" s="1" t="s">
        <v>151</v>
      </c>
      <c r="M618" s="1">
        <v>6900.0</v>
      </c>
      <c r="N618" s="1" t="s">
        <v>151</v>
      </c>
      <c r="O618" s="1">
        <v>9.63886101E8</v>
      </c>
      <c r="P618" s="1" t="s">
        <v>259</v>
      </c>
      <c r="R618" s="1" t="s">
        <v>260</v>
      </c>
      <c r="S618" s="1" t="s">
        <v>44</v>
      </c>
      <c r="T618" s="1" t="s">
        <v>45</v>
      </c>
      <c r="U618" s="1">
        <v>4.8226348E8</v>
      </c>
      <c r="W618" s="1" t="s">
        <v>46</v>
      </c>
      <c r="X618" s="1" t="s">
        <v>45</v>
      </c>
      <c r="Y618" s="1">
        <v>4.8226348E8</v>
      </c>
      <c r="Z618" s="1">
        <v>7.3134884E7</v>
      </c>
      <c r="AA618" s="1" t="s">
        <v>261</v>
      </c>
      <c r="AB618" s="1">
        <v>283500.0</v>
      </c>
      <c r="AC618" s="2">
        <v>41578.0</v>
      </c>
      <c r="AD618" s="1">
        <v>6900.0</v>
      </c>
      <c r="AE618" s="1" t="s">
        <v>151</v>
      </c>
      <c r="AF618" s="1">
        <v>1.0</v>
      </c>
      <c r="AG618" s="1" t="s">
        <v>1616</v>
      </c>
      <c r="AH618" s="1">
        <v>11.0</v>
      </c>
      <c r="AI618" s="1">
        <v>2013.0</v>
      </c>
      <c r="AJ618" s="1">
        <v>2014.0</v>
      </c>
      <c r="AK618" s="1" t="s">
        <v>229</v>
      </c>
    </row>
    <row r="619">
      <c r="A619" s="1" t="s">
        <v>1167</v>
      </c>
      <c r="B619" s="1" t="s">
        <v>1167</v>
      </c>
      <c r="C619" s="1" t="s">
        <v>194</v>
      </c>
      <c r="E619" s="1">
        <v>5.38112E8</v>
      </c>
      <c r="F619" s="2">
        <v>41409.0</v>
      </c>
      <c r="G619" s="1" t="s">
        <v>1168</v>
      </c>
      <c r="I619" s="1" t="s">
        <v>1168</v>
      </c>
      <c r="L619" s="1" t="s">
        <v>194</v>
      </c>
      <c r="M619" s="1">
        <v>9100.0</v>
      </c>
      <c r="N619" s="1" t="s">
        <v>194</v>
      </c>
      <c r="O619" s="1">
        <v>7.93697942E8</v>
      </c>
      <c r="P619" s="1" t="s">
        <v>459</v>
      </c>
      <c r="R619" s="1" t="s">
        <v>460</v>
      </c>
      <c r="S619" s="1" t="s">
        <v>44</v>
      </c>
      <c r="T619" s="1" t="s">
        <v>45</v>
      </c>
      <c r="U619" s="1">
        <v>4.82141601E8</v>
      </c>
      <c r="W619" s="1" t="s">
        <v>44</v>
      </c>
      <c r="X619" s="1" t="s">
        <v>45</v>
      </c>
      <c r="Y619" s="1">
        <v>4.82141601E8</v>
      </c>
      <c r="Z619" s="1">
        <v>7.6340843E7</v>
      </c>
      <c r="AA619" s="1" t="s">
        <v>461</v>
      </c>
      <c r="AB619" s="1">
        <v>353311.0</v>
      </c>
      <c r="AC619" s="2">
        <v>41409.0</v>
      </c>
      <c r="AD619" s="1">
        <v>9100.0</v>
      </c>
      <c r="AE619" s="1" t="s">
        <v>194</v>
      </c>
      <c r="AF619" s="1" t="s">
        <v>1617</v>
      </c>
      <c r="AG619" s="1" t="s">
        <v>1170</v>
      </c>
      <c r="AH619" s="1">
        <v>11.0</v>
      </c>
      <c r="AI619" s="1">
        <v>2013.0</v>
      </c>
      <c r="AJ619" s="1">
        <v>2013.0</v>
      </c>
      <c r="AK619" s="1" t="s">
        <v>1171</v>
      </c>
    </row>
    <row r="620">
      <c r="A620" s="1" t="s">
        <v>1167</v>
      </c>
      <c r="B620" s="1" t="s">
        <v>1167</v>
      </c>
      <c r="C620" s="1" t="s">
        <v>194</v>
      </c>
      <c r="E620" s="1">
        <v>5.38112E8</v>
      </c>
      <c r="F620" s="2">
        <v>41404.0</v>
      </c>
      <c r="G620" s="1" t="s">
        <v>1168</v>
      </c>
      <c r="I620" s="1" t="s">
        <v>1168</v>
      </c>
      <c r="L620" s="1" t="s">
        <v>194</v>
      </c>
      <c r="M620" s="1">
        <v>9100.0</v>
      </c>
      <c r="N620" s="1" t="s">
        <v>194</v>
      </c>
      <c r="O620" s="1">
        <v>8.32093392E8</v>
      </c>
      <c r="P620" s="1" t="s">
        <v>769</v>
      </c>
      <c r="Q620" s="1" t="s">
        <v>1618</v>
      </c>
      <c r="R620" s="1" t="s">
        <v>770</v>
      </c>
      <c r="S620" s="1" t="s">
        <v>44</v>
      </c>
      <c r="T620" s="1" t="s">
        <v>45</v>
      </c>
      <c r="U620" s="1">
        <v>4.82354205E8</v>
      </c>
      <c r="W620" s="1" t="s">
        <v>44</v>
      </c>
      <c r="X620" s="1" t="s">
        <v>45</v>
      </c>
      <c r="Y620" s="1">
        <v>4.82354205E8</v>
      </c>
      <c r="Z620" s="1">
        <v>1.00035732E8</v>
      </c>
      <c r="AA620" s="1" t="s">
        <v>1619</v>
      </c>
      <c r="AB620" s="1">
        <v>179573.0</v>
      </c>
      <c r="AC620" s="2">
        <v>41404.0</v>
      </c>
      <c r="AD620" s="1">
        <v>9100.0</v>
      </c>
      <c r="AE620" s="1" t="s">
        <v>194</v>
      </c>
      <c r="AF620" s="1" t="s">
        <v>1620</v>
      </c>
      <c r="AG620" s="1" t="s">
        <v>1170</v>
      </c>
      <c r="AH620" s="1">
        <v>11.0</v>
      </c>
      <c r="AI620" s="1">
        <v>2013.0</v>
      </c>
      <c r="AJ620" s="1">
        <v>2013.0</v>
      </c>
      <c r="AK620" s="1" t="s">
        <v>1171</v>
      </c>
    </row>
    <row r="621">
      <c r="A621" s="1" t="s">
        <v>1167</v>
      </c>
      <c r="B621" s="1" t="s">
        <v>1167</v>
      </c>
      <c r="C621" s="1" t="s">
        <v>194</v>
      </c>
      <c r="E621" s="1">
        <v>5.38112E8</v>
      </c>
      <c r="F621" s="2">
        <v>41352.0</v>
      </c>
      <c r="G621" s="1" t="s">
        <v>1168</v>
      </c>
      <c r="I621" s="1" t="s">
        <v>1168</v>
      </c>
      <c r="L621" s="1" t="s">
        <v>194</v>
      </c>
      <c r="M621" s="1">
        <v>9100.0</v>
      </c>
      <c r="N621" s="1" t="s">
        <v>194</v>
      </c>
      <c r="O621" s="1">
        <v>1.3032514E8</v>
      </c>
      <c r="P621" s="1" t="s">
        <v>819</v>
      </c>
      <c r="R621" s="1" t="s">
        <v>820</v>
      </c>
      <c r="S621" s="1" t="s">
        <v>44</v>
      </c>
      <c r="T621" s="1" t="s">
        <v>45</v>
      </c>
      <c r="U621" s="1">
        <v>4.82072418E8</v>
      </c>
      <c r="W621" s="1" t="s">
        <v>44</v>
      </c>
      <c r="X621" s="1" t="s">
        <v>45</v>
      </c>
      <c r="Y621" s="1">
        <v>4.82072418E8</v>
      </c>
      <c r="Z621" s="1">
        <v>1.3032514E8</v>
      </c>
      <c r="AA621" s="1" t="s">
        <v>819</v>
      </c>
      <c r="AB621" s="1">
        <v>151756.0</v>
      </c>
      <c r="AC621" s="2">
        <v>41352.0</v>
      </c>
      <c r="AD621" s="1">
        <v>9100.0</v>
      </c>
      <c r="AE621" s="1" t="s">
        <v>194</v>
      </c>
      <c r="AF621" s="1" t="s">
        <v>1621</v>
      </c>
      <c r="AG621" s="1" t="s">
        <v>1170</v>
      </c>
      <c r="AH621" s="1">
        <v>11.0</v>
      </c>
      <c r="AI621" s="1">
        <v>2013.0</v>
      </c>
      <c r="AJ621" s="1">
        <v>2013.0</v>
      </c>
      <c r="AK621" s="1" t="s">
        <v>1171</v>
      </c>
    </row>
    <row r="622">
      <c r="A622" s="1" t="s">
        <v>1167</v>
      </c>
      <c r="B622" s="1" t="s">
        <v>1167</v>
      </c>
      <c r="C622" s="1" t="s">
        <v>194</v>
      </c>
      <c r="E622" s="1">
        <v>5.38112E8</v>
      </c>
      <c r="F622" s="2">
        <v>41351.0</v>
      </c>
      <c r="G622" s="1" t="s">
        <v>1168</v>
      </c>
      <c r="I622" s="1" t="s">
        <v>1168</v>
      </c>
      <c r="L622" s="1" t="s">
        <v>194</v>
      </c>
      <c r="M622" s="1">
        <v>9100.0</v>
      </c>
      <c r="N622" s="1" t="s">
        <v>194</v>
      </c>
      <c r="O622" s="1">
        <v>3537326.0</v>
      </c>
      <c r="P622" s="1" t="s">
        <v>560</v>
      </c>
      <c r="Q622" s="1" t="s">
        <v>1622</v>
      </c>
      <c r="R622" s="1" t="s">
        <v>561</v>
      </c>
      <c r="S622" s="1" t="s">
        <v>44</v>
      </c>
      <c r="T622" s="1" t="s">
        <v>45</v>
      </c>
      <c r="U622" s="1">
        <v>4.8212177E8</v>
      </c>
      <c r="W622" s="1" t="s">
        <v>498</v>
      </c>
      <c r="X622" s="1" t="s">
        <v>45</v>
      </c>
      <c r="Y622" s="1">
        <v>4.82121754E8</v>
      </c>
      <c r="Z622" s="1">
        <v>3537326.0</v>
      </c>
      <c r="AA622" s="1" t="s">
        <v>560</v>
      </c>
      <c r="AB622" s="1">
        <v>285171.0</v>
      </c>
      <c r="AC622" s="2">
        <v>41351.0</v>
      </c>
      <c r="AD622" s="1">
        <v>9100.0</v>
      </c>
      <c r="AE622" s="1" t="s">
        <v>194</v>
      </c>
      <c r="AF622" s="1" t="s">
        <v>1623</v>
      </c>
      <c r="AG622" s="1" t="s">
        <v>1170</v>
      </c>
      <c r="AH622" s="1">
        <v>11.0</v>
      </c>
      <c r="AI622" s="1">
        <v>2013.0</v>
      </c>
      <c r="AJ622" s="1">
        <v>2013.0</v>
      </c>
      <c r="AK622" s="1" t="s">
        <v>1171</v>
      </c>
    </row>
    <row r="623">
      <c r="A623" s="1" t="s">
        <v>1167</v>
      </c>
      <c r="B623" s="1" t="s">
        <v>1167</v>
      </c>
      <c r="C623" s="1" t="s">
        <v>194</v>
      </c>
      <c r="E623" s="1">
        <v>5.38112E8</v>
      </c>
      <c r="F623" s="2">
        <v>41348.0</v>
      </c>
      <c r="G623" s="1" t="s">
        <v>1168</v>
      </c>
      <c r="I623" s="1" t="s">
        <v>1168</v>
      </c>
      <c r="L623" s="1" t="s">
        <v>194</v>
      </c>
      <c r="M623" s="1">
        <v>9100.0</v>
      </c>
      <c r="N623" s="1" t="s">
        <v>194</v>
      </c>
      <c r="O623" s="1">
        <v>7.94990296E8</v>
      </c>
      <c r="P623" s="1" t="s">
        <v>601</v>
      </c>
      <c r="Q623" s="1" t="s">
        <v>1624</v>
      </c>
      <c r="R623" s="1" t="s">
        <v>602</v>
      </c>
      <c r="S623" s="1" t="s">
        <v>44</v>
      </c>
      <c r="T623" s="1" t="s">
        <v>45</v>
      </c>
      <c r="U623" s="1">
        <v>4.82032827E8</v>
      </c>
      <c r="W623" s="1" t="s">
        <v>603</v>
      </c>
      <c r="X623" s="1" t="s">
        <v>45</v>
      </c>
      <c r="Y623" s="1">
        <v>4.82032827E8</v>
      </c>
      <c r="Z623" s="1">
        <v>1.208669E7</v>
      </c>
      <c r="AA623" s="1" t="s">
        <v>1625</v>
      </c>
      <c r="AB623" s="1">
        <v>264987.0</v>
      </c>
      <c r="AC623" s="2">
        <v>41348.0</v>
      </c>
      <c r="AD623" s="1">
        <v>9100.0</v>
      </c>
      <c r="AE623" s="1" t="s">
        <v>194</v>
      </c>
      <c r="AF623" s="1" t="s">
        <v>1626</v>
      </c>
      <c r="AG623" s="1" t="s">
        <v>1170</v>
      </c>
      <c r="AH623" s="1">
        <v>11.0</v>
      </c>
      <c r="AI623" s="1">
        <v>2013.0</v>
      </c>
      <c r="AJ623" s="1">
        <v>2013.0</v>
      </c>
      <c r="AK623" s="1" t="s">
        <v>1171</v>
      </c>
    </row>
    <row r="624">
      <c r="A624" s="1" t="s">
        <v>1167</v>
      </c>
      <c r="B624" s="1" t="s">
        <v>1167</v>
      </c>
      <c r="C624" s="1" t="s">
        <v>194</v>
      </c>
      <c r="E624" s="1">
        <v>5.38112E8</v>
      </c>
      <c r="F624" s="2">
        <v>41326.0</v>
      </c>
      <c r="G624" s="1" t="s">
        <v>1168</v>
      </c>
      <c r="I624" s="1" t="s">
        <v>1168</v>
      </c>
      <c r="L624" s="1" t="s">
        <v>194</v>
      </c>
      <c r="M624" s="1">
        <v>9100.0</v>
      </c>
      <c r="N624" s="1" t="s">
        <v>194</v>
      </c>
      <c r="O624" s="1">
        <v>9.63121426E8</v>
      </c>
      <c r="P624" s="1" t="s">
        <v>490</v>
      </c>
      <c r="Q624" s="1" t="s">
        <v>1627</v>
      </c>
      <c r="R624" s="1" t="s">
        <v>491</v>
      </c>
      <c r="S624" s="1" t="s">
        <v>44</v>
      </c>
      <c r="T624" s="1" t="s">
        <v>45</v>
      </c>
      <c r="U624" s="1">
        <v>4.82233051E8</v>
      </c>
      <c r="W624" s="1" t="s">
        <v>46</v>
      </c>
      <c r="X624" s="1" t="s">
        <v>45</v>
      </c>
      <c r="Y624" s="1">
        <v>4.82233051E8</v>
      </c>
      <c r="AB624" s="1">
        <v>396832.0</v>
      </c>
      <c r="AC624" s="2">
        <v>41326.0</v>
      </c>
      <c r="AD624" s="1">
        <v>9100.0</v>
      </c>
      <c r="AE624" s="1" t="s">
        <v>194</v>
      </c>
      <c r="AF624" s="1" t="s">
        <v>1628</v>
      </c>
      <c r="AG624" s="1" t="s">
        <v>1170</v>
      </c>
      <c r="AH624" s="1">
        <v>11.0</v>
      </c>
      <c r="AI624" s="1">
        <v>2013.0</v>
      </c>
      <c r="AJ624" s="1">
        <v>2013.0</v>
      </c>
      <c r="AK624" s="1" t="s">
        <v>1171</v>
      </c>
    </row>
    <row r="625">
      <c r="A625" s="1" t="s">
        <v>1167</v>
      </c>
      <c r="B625" s="1" t="s">
        <v>1167</v>
      </c>
      <c r="C625" s="1" t="s">
        <v>194</v>
      </c>
      <c r="E625" s="1">
        <v>5.38112E8</v>
      </c>
      <c r="F625" s="2">
        <v>41325.0</v>
      </c>
      <c r="G625" s="1" t="s">
        <v>1168</v>
      </c>
      <c r="I625" s="1" t="s">
        <v>1168</v>
      </c>
      <c r="L625" s="1" t="s">
        <v>194</v>
      </c>
      <c r="M625" s="1">
        <v>9100.0</v>
      </c>
      <c r="N625" s="1" t="s">
        <v>194</v>
      </c>
      <c r="O625" s="1">
        <v>1.52807538E8</v>
      </c>
      <c r="P625" s="1" t="s">
        <v>591</v>
      </c>
      <c r="R625" s="1" t="s">
        <v>592</v>
      </c>
      <c r="S625" s="1" t="s">
        <v>44</v>
      </c>
      <c r="T625" s="1" t="s">
        <v>45</v>
      </c>
      <c r="U625" s="1">
        <v>4.82191161E8</v>
      </c>
      <c r="W625" s="1" t="s">
        <v>44</v>
      </c>
      <c r="X625" s="1" t="s">
        <v>45</v>
      </c>
      <c r="Y625" s="1">
        <v>4.82191161E8</v>
      </c>
      <c r="Z625" s="1">
        <v>6.0968096E7</v>
      </c>
      <c r="AA625" s="1" t="s">
        <v>1629</v>
      </c>
      <c r="AB625" s="1">
        <v>197442.0</v>
      </c>
      <c r="AC625" s="2">
        <v>41325.0</v>
      </c>
      <c r="AD625" s="1">
        <v>9100.0</v>
      </c>
      <c r="AE625" s="1" t="s">
        <v>194</v>
      </c>
      <c r="AF625" s="1" t="s">
        <v>1630</v>
      </c>
      <c r="AG625" s="1" t="s">
        <v>1170</v>
      </c>
      <c r="AH625" s="1">
        <v>11.0</v>
      </c>
      <c r="AI625" s="1">
        <v>2013.0</v>
      </c>
      <c r="AJ625" s="1">
        <v>2013.0</v>
      </c>
      <c r="AK625" s="1" t="s">
        <v>1171</v>
      </c>
    </row>
    <row r="626">
      <c r="A626" s="1" t="s">
        <v>1167</v>
      </c>
      <c r="B626" s="1" t="s">
        <v>1167</v>
      </c>
      <c r="C626" s="1" t="s">
        <v>194</v>
      </c>
      <c r="E626" s="1">
        <v>5.38112E8</v>
      </c>
      <c r="F626" s="2">
        <v>41325.0</v>
      </c>
      <c r="G626" s="1" t="s">
        <v>1168</v>
      </c>
      <c r="I626" s="1" t="s">
        <v>1168</v>
      </c>
      <c r="L626" s="1" t="s">
        <v>194</v>
      </c>
      <c r="M626" s="1">
        <v>9100.0</v>
      </c>
      <c r="N626" s="1" t="s">
        <v>194</v>
      </c>
      <c r="O626" s="1">
        <v>7.8414877E7</v>
      </c>
      <c r="P626" s="1" t="s">
        <v>1631</v>
      </c>
      <c r="Q626" s="1" t="s">
        <v>466</v>
      </c>
      <c r="R626" s="1" t="s">
        <v>1632</v>
      </c>
      <c r="S626" s="1" t="s">
        <v>44</v>
      </c>
      <c r="T626" s="1" t="s">
        <v>45</v>
      </c>
      <c r="U626" s="1">
        <v>4.82194113E8</v>
      </c>
      <c r="W626" s="1" t="s">
        <v>44</v>
      </c>
      <c r="X626" s="1" t="s">
        <v>45</v>
      </c>
      <c r="Y626" s="1">
        <v>4.82194113E8</v>
      </c>
      <c r="Z626" s="1">
        <v>1.6338926E8</v>
      </c>
      <c r="AA626" s="1" t="s">
        <v>465</v>
      </c>
      <c r="AB626" s="1">
        <v>88901.0</v>
      </c>
      <c r="AC626" s="2">
        <v>41325.0</v>
      </c>
      <c r="AD626" s="1">
        <v>9100.0</v>
      </c>
      <c r="AE626" s="1" t="s">
        <v>194</v>
      </c>
      <c r="AF626" s="1" t="s">
        <v>1633</v>
      </c>
      <c r="AG626" s="1" t="s">
        <v>1170</v>
      </c>
      <c r="AH626" s="1">
        <v>11.0</v>
      </c>
      <c r="AI626" s="1">
        <v>2013.0</v>
      </c>
      <c r="AJ626" s="1">
        <v>2013.0</v>
      </c>
      <c r="AK626" s="1" t="s">
        <v>1171</v>
      </c>
    </row>
    <row r="627">
      <c r="A627" s="1" t="s">
        <v>1167</v>
      </c>
      <c r="B627" s="1" t="s">
        <v>1167</v>
      </c>
      <c r="C627" s="1" t="s">
        <v>194</v>
      </c>
      <c r="E627" s="1">
        <v>5.38112E8</v>
      </c>
      <c r="F627" s="2">
        <v>41304.0</v>
      </c>
      <c r="G627" s="1" t="s">
        <v>1168</v>
      </c>
      <c r="I627" s="1" t="s">
        <v>1168</v>
      </c>
      <c r="L627" s="1" t="s">
        <v>194</v>
      </c>
      <c r="M627" s="1">
        <v>9100.0</v>
      </c>
      <c r="N627" s="1" t="s">
        <v>194</v>
      </c>
      <c r="O627" s="1">
        <v>1.23577707E8</v>
      </c>
      <c r="P627" s="1" t="s">
        <v>563</v>
      </c>
      <c r="R627" s="1" t="s">
        <v>565</v>
      </c>
      <c r="S627" s="1" t="s">
        <v>44</v>
      </c>
      <c r="T627" s="1" t="s">
        <v>45</v>
      </c>
      <c r="U627" s="1">
        <v>4.8228333E8</v>
      </c>
      <c r="W627" s="1" t="s">
        <v>44</v>
      </c>
      <c r="X627" s="1" t="s">
        <v>45</v>
      </c>
      <c r="Y627" s="1">
        <v>4.82283396E8</v>
      </c>
      <c r="Z627" s="1">
        <v>9.60742484E8</v>
      </c>
      <c r="AB627" s="1">
        <v>515097.0</v>
      </c>
      <c r="AC627" s="2">
        <v>41304.0</v>
      </c>
      <c r="AD627" s="1">
        <v>9100.0</v>
      </c>
      <c r="AE627" s="1" t="s">
        <v>194</v>
      </c>
      <c r="AF627" s="1" t="s">
        <v>1634</v>
      </c>
      <c r="AG627" s="1" t="s">
        <v>1170</v>
      </c>
      <c r="AH627" s="1">
        <v>11.0</v>
      </c>
      <c r="AI627" s="1">
        <v>2013.0</v>
      </c>
      <c r="AJ627" s="1">
        <v>2013.0</v>
      </c>
      <c r="AK627" s="1" t="s">
        <v>1171</v>
      </c>
    </row>
    <row r="628">
      <c r="A628" s="1" t="s">
        <v>1167</v>
      </c>
      <c r="B628" s="1" t="s">
        <v>1167</v>
      </c>
      <c r="C628" s="1" t="s">
        <v>194</v>
      </c>
      <c r="E628" s="1">
        <v>5.38112E8</v>
      </c>
      <c r="F628" s="2">
        <v>41298.0</v>
      </c>
      <c r="G628" s="1" t="s">
        <v>1168</v>
      </c>
      <c r="I628" s="1" t="s">
        <v>1168</v>
      </c>
      <c r="L628" s="1" t="s">
        <v>194</v>
      </c>
      <c r="M628" s="1">
        <v>9100.0</v>
      </c>
      <c r="N628" s="1" t="s">
        <v>194</v>
      </c>
      <c r="O628" s="1">
        <v>4.2136734E7</v>
      </c>
      <c r="P628" s="1" t="s">
        <v>557</v>
      </c>
      <c r="Q628" s="1" t="s">
        <v>1635</v>
      </c>
      <c r="R628" s="1" t="s">
        <v>558</v>
      </c>
      <c r="S628" s="1" t="s">
        <v>44</v>
      </c>
      <c r="T628" s="1" t="s">
        <v>45</v>
      </c>
      <c r="U628" s="1">
        <v>4.82082204E8</v>
      </c>
      <c r="W628" s="1" t="s">
        <v>44</v>
      </c>
      <c r="X628" s="1" t="s">
        <v>45</v>
      </c>
      <c r="Y628" s="1">
        <v>4.82082204E8</v>
      </c>
      <c r="AB628" s="1">
        <v>467321.0</v>
      </c>
      <c r="AC628" s="2">
        <v>41298.0</v>
      </c>
      <c r="AD628" s="1">
        <v>9100.0</v>
      </c>
      <c r="AE628" s="1" t="s">
        <v>194</v>
      </c>
      <c r="AF628" s="1" t="s">
        <v>1636</v>
      </c>
      <c r="AG628" s="1" t="s">
        <v>1170</v>
      </c>
      <c r="AH628" s="1">
        <v>11.0</v>
      </c>
      <c r="AI628" s="1">
        <v>2013.0</v>
      </c>
      <c r="AJ628" s="1">
        <v>2013.0</v>
      </c>
      <c r="AK628" s="1" t="s">
        <v>1171</v>
      </c>
    </row>
    <row r="629">
      <c r="A629" s="1" t="s">
        <v>1167</v>
      </c>
      <c r="B629" s="1" t="s">
        <v>1167</v>
      </c>
      <c r="C629" s="1" t="s">
        <v>194</v>
      </c>
      <c r="E629" s="1">
        <v>5.38112E8</v>
      </c>
      <c r="F629" s="2">
        <v>41284.0</v>
      </c>
      <c r="G629" s="1" t="s">
        <v>1168</v>
      </c>
      <c r="I629" s="1" t="s">
        <v>1168</v>
      </c>
      <c r="L629" s="1" t="s">
        <v>194</v>
      </c>
      <c r="M629" s="1">
        <v>9100.0</v>
      </c>
      <c r="N629" s="1" t="s">
        <v>194</v>
      </c>
      <c r="O629" s="1">
        <v>5.4074575E7</v>
      </c>
      <c r="P629" s="1" t="s">
        <v>629</v>
      </c>
      <c r="Q629" s="1" t="s">
        <v>630</v>
      </c>
      <c r="R629" s="1" t="s">
        <v>631</v>
      </c>
      <c r="S629" s="1" t="s">
        <v>44</v>
      </c>
      <c r="T629" s="1" t="s">
        <v>45</v>
      </c>
      <c r="U629" s="1">
        <v>4.82171631E8</v>
      </c>
      <c r="W629" s="1" t="s">
        <v>44</v>
      </c>
      <c r="X629" s="1" t="s">
        <v>45</v>
      </c>
      <c r="Y629" s="1">
        <v>4.82171631E8</v>
      </c>
      <c r="AB629" s="1">
        <v>295640.0</v>
      </c>
      <c r="AC629" s="2">
        <v>41284.0</v>
      </c>
      <c r="AD629" s="1">
        <v>9100.0</v>
      </c>
      <c r="AE629" s="1" t="s">
        <v>194</v>
      </c>
      <c r="AF629" s="1" t="s">
        <v>1637</v>
      </c>
      <c r="AG629" s="1" t="s">
        <v>1170</v>
      </c>
      <c r="AH629" s="1">
        <v>11.0</v>
      </c>
      <c r="AI629" s="1">
        <v>2013.0</v>
      </c>
      <c r="AJ629" s="1">
        <v>2013.0</v>
      </c>
      <c r="AK629" s="1" t="s">
        <v>1171</v>
      </c>
    </row>
    <row r="630">
      <c r="A630" s="1" t="s">
        <v>1167</v>
      </c>
      <c r="B630" s="1" t="s">
        <v>1167</v>
      </c>
      <c r="C630" s="1" t="s">
        <v>194</v>
      </c>
      <c r="E630" s="1">
        <v>5.38112E8</v>
      </c>
      <c r="F630" s="2">
        <v>41240.0</v>
      </c>
      <c r="G630" s="1" t="s">
        <v>1168</v>
      </c>
      <c r="I630" s="1" t="s">
        <v>1168</v>
      </c>
      <c r="L630" s="1" t="s">
        <v>194</v>
      </c>
      <c r="M630" s="1">
        <v>9100.0</v>
      </c>
      <c r="N630" s="1" t="s">
        <v>194</v>
      </c>
      <c r="O630" s="1">
        <v>7.97531295E8</v>
      </c>
      <c r="P630" s="1" t="s">
        <v>582</v>
      </c>
      <c r="R630" s="1" t="s">
        <v>583</v>
      </c>
      <c r="S630" s="1" t="s">
        <v>44</v>
      </c>
      <c r="T630" s="1" t="s">
        <v>45</v>
      </c>
      <c r="U630" s="1">
        <v>4.82123452E8</v>
      </c>
      <c r="W630" s="1" t="s">
        <v>498</v>
      </c>
      <c r="X630" s="1" t="s">
        <v>45</v>
      </c>
      <c r="Y630" s="1">
        <v>4.82123452E8</v>
      </c>
      <c r="AB630" s="1">
        <v>297523.0</v>
      </c>
      <c r="AC630" s="2">
        <v>41240.0</v>
      </c>
      <c r="AD630" s="1">
        <v>9100.0</v>
      </c>
      <c r="AE630" s="1" t="s">
        <v>194</v>
      </c>
      <c r="AF630" s="1" t="s">
        <v>1638</v>
      </c>
      <c r="AG630" s="1" t="s">
        <v>1170</v>
      </c>
      <c r="AH630" s="1">
        <v>11.0</v>
      </c>
      <c r="AI630" s="1">
        <v>2013.0</v>
      </c>
      <c r="AJ630" s="1">
        <v>2013.0</v>
      </c>
      <c r="AK630" s="1" t="s">
        <v>1171</v>
      </c>
    </row>
    <row r="631">
      <c r="A631" s="1" t="s">
        <v>1167</v>
      </c>
      <c r="B631" s="1" t="s">
        <v>1167</v>
      </c>
      <c r="C631" s="1" t="s">
        <v>194</v>
      </c>
      <c r="E631" s="1">
        <v>5.38112E8</v>
      </c>
      <c r="F631" s="2">
        <v>41219.0</v>
      </c>
      <c r="G631" s="1" t="s">
        <v>1168</v>
      </c>
      <c r="I631" s="1" t="s">
        <v>1168</v>
      </c>
      <c r="L631" s="1" t="s">
        <v>194</v>
      </c>
      <c r="M631" s="1">
        <v>9100.0</v>
      </c>
      <c r="N631" s="1" t="s">
        <v>194</v>
      </c>
      <c r="O631" s="1">
        <v>8.29503312E8</v>
      </c>
      <c r="P631" s="1" t="s">
        <v>622</v>
      </c>
      <c r="Q631" s="1" t="s">
        <v>1639</v>
      </c>
      <c r="R631" s="1" t="s">
        <v>623</v>
      </c>
      <c r="S631" s="1" t="s">
        <v>44</v>
      </c>
      <c r="T631" s="1" t="s">
        <v>45</v>
      </c>
      <c r="U631" s="1">
        <v>4.82035715E8</v>
      </c>
      <c r="W631" s="1" t="s">
        <v>603</v>
      </c>
      <c r="X631" s="1" t="s">
        <v>45</v>
      </c>
      <c r="Y631" s="1">
        <v>4.82035715E8</v>
      </c>
      <c r="AB631" s="1">
        <v>427043.0</v>
      </c>
      <c r="AC631" s="2">
        <v>41219.0</v>
      </c>
      <c r="AD631" s="1">
        <v>9100.0</v>
      </c>
      <c r="AE631" s="1" t="s">
        <v>194</v>
      </c>
      <c r="AF631" s="1" t="s">
        <v>1640</v>
      </c>
      <c r="AG631" s="1" t="s">
        <v>1170</v>
      </c>
      <c r="AH631" s="1">
        <v>11.0</v>
      </c>
      <c r="AI631" s="1">
        <v>2013.0</v>
      </c>
      <c r="AJ631" s="1">
        <v>2013.0</v>
      </c>
      <c r="AK631" s="1" t="s">
        <v>1171</v>
      </c>
    </row>
    <row r="632">
      <c r="A632" s="1" t="s">
        <v>1167</v>
      </c>
      <c r="B632" s="1" t="s">
        <v>1167</v>
      </c>
      <c r="C632" s="1" t="s">
        <v>194</v>
      </c>
      <c r="E632" s="1">
        <v>5.38112E8</v>
      </c>
      <c r="F632" s="2">
        <v>41204.0</v>
      </c>
      <c r="G632" s="1" t="s">
        <v>1168</v>
      </c>
      <c r="I632" s="1" t="s">
        <v>1168</v>
      </c>
      <c r="L632" s="1" t="s">
        <v>194</v>
      </c>
      <c r="M632" s="1">
        <v>9100.0</v>
      </c>
      <c r="N632" s="1" t="s">
        <v>194</v>
      </c>
      <c r="O632" s="1">
        <v>1.17726252E8</v>
      </c>
      <c r="P632" s="1" t="s">
        <v>512</v>
      </c>
      <c r="Q632" s="1" t="s">
        <v>1641</v>
      </c>
      <c r="R632" s="1" t="s">
        <v>513</v>
      </c>
      <c r="S632" s="1" t="s">
        <v>44</v>
      </c>
      <c r="T632" s="1" t="s">
        <v>45</v>
      </c>
      <c r="U632" s="1">
        <v>4.82193259E8</v>
      </c>
      <c r="W632" s="1" t="s">
        <v>44</v>
      </c>
      <c r="X632" s="1" t="s">
        <v>45</v>
      </c>
      <c r="Y632" s="1">
        <v>4.82193259E8</v>
      </c>
      <c r="Z632" s="1">
        <v>6.0179603E7</v>
      </c>
      <c r="AA632" s="1" t="s">
        <v>1642</v>
      </c>
      <c r="AB632" s="1">
        <v>1101619.0</v>
      </c>
      <c r="AC632" s="2">
        <v>41204.0</v>
      </c>
      <c r="AD632" s="1">
        <v>9100.0</v>
      </c>
      <c r="AE632" s="1" t="s">
        <v>194</v>
      </c>
      <c r="AF632" s="1" t="s">
        <v>1643</v>
      </c>
      <c r="AG632" s="1" t="s">
        <v>1170</v>
      </c>
      <c r="AH632" s="1">
        <v>11.0</v>
      </c>
      <c r="AI632" s="1">
        <v>2013.0</v>
      </c>
      <c r="AJ632" s="1">
        <v>2013.0</v>
      </c>
      <c r="AK632" s="1" t="s">
        <v>1171</v>
      </c>
    </row>
    <row r="633">
      <c r="A633" s="1" t="s">
        <v>1167</v>
      </c>
      <c r="B633" s="1" t="s">
        <v>1167</v>
      </c>
      <c r="C633" s="1" t="s">
        <v>194</v>
      </c>
      <c r="E633" s="1">
        <v>5.38112E8</v>
      </c>
      <c r="F633" s="2">
        <v>41204.0</v>
      </c>
      <c r="G633" s="1" t="s">
        <v>1168</v>
      </c>
      <c r="I633" s="1" t="s">
        <v>1168</v>
      </c>
      <c r="L633" s="1" t="s">
        <v>194</v>
      </c>
      <c r="M633" s="1">
        <v>9100.0</v>
      </c>
      <c r="N633" s="1" t="s">
        <v>194</v>
      </c>
      <c r="O633" s="1">
        <v>1.96632496E8</v>
      </c>
      <c r="P633" s="1" t="s">
        <v>715</v>
      </c>
      <c r="Q633" s="1" t="s">
        <v>1644</v>
      </c>
      <c r="R633" s="1" t="s">
        <v>716</v>
      </c>
      <c r="S633" s="1" t="s">
        <v>44</v>
      </c>
      <c r="T633" s="1" t="s">
        <v>45</v>
      </c>
      <c r="U633" s="1">
        <v>4.82162058E8</v>
      </c>
      <c r="W633" s="1" t="s">
        <v>44</v>
      </c>
      <c r="X633" s="1" t="s">
        <v>45</v>
      </c>
      <c r="Y633" s="1">
        <v>4.82162058E8</v>
      </c>
      <c r="Z633" s="1">
        <v>5.1915775E7</v>
      </c>
      <c r="AA633" s="1" t="s">
        <v>1645</v>
      </c>
      <c r="AB633" s="1">
        <v>65644.0</v>
      </c>
      <c r="AC633" s="2">
        <v>41204.0</v>
      </c>
      <c r="AD633" s="1">
        <v>9100.0</v>
      </c>
      <c r="AE633" s="1" t="s">
        <v>194</v>
      </c>
      <c r="AF633" s="1" t="s">
        <v>1646</v>
      </c>
      <c r="AG633" s="1" t="s">
        <v>1170</v>
      </c>
      <c r="AH633" s="1">
        <v>11.0</v>
      </c>
      <c r="AI633" s="1">
        <v>2013.0</v>
      </c>
      <c r="AJ633" s="1">
        <v>2013.0</v>
      </c>
      <c r="AK633" s="1" t="s">
        <v>1171</v>
      </c>
    </row>
    <row r="634">
      <c r="A634" s="1" t="s">
        <v>1167</v>
      </c>
      <c r="B634" s="1" t="s">
        <v>1167</v>
      </c>
      <c r="C634" s="1" t="s">
        <v>194</v>
      </c>
      <c r="E634" s="1">
        <v>5.38112E8</v>
      </c>
      <c r="F634" s="2">
        <v>41200.0</v>
      </c>
      <c r="G634" s="1" t="s">
        <v>1168</v>
      </c>
      <c r="I634" s="1" t="s">
        <v>1168</v>
      </c>
      <c r="L634" s="1" t="s">
        <v>194</v>
      </c>
      <c r="M634" s="1">
        <v>9100.0</v>
      </c>
      <c r="N634" s="1" t="s">
        <v>194</v>
      </c>
      <c r="O634" s="1">
        <v>1.0030049E8</v>
      </c>
      <c r="P634" s="1" t="s">
        <v>459</v>
      </c>
      <c r="Q634" s="1" t="s">
        <v>570</v>
      </c>
      <c r="R634" s="1" t="s">
        <v>571</v>
      </c>
      <c r="S634" s="1" t="s">
        <v>44</v>
      </c>
      <c r="T634" s="1" t="s">
        <v>45</v>
      </c>
      <c r="U634" s="1">
        <v>4.82382941E8</v>
      </c>
      <c r="W634" s="1" t="s">
        <v>44</v>
      </c>
      <c r="X634" s="1" t="s">
        <v>45</v>
      </c>
      <c r="Y634" s="1">
        <v>4.82382941E8</v>
      </c>
      <c r="Z634" s="1">
        <v>7.6340843E7</v>
      </c>
      <c r="AA634" s="1" t="s">
        <v>461</v>
      </c>
      <c r="AB634" s="1">
        <v>101030.0</v>
      </c>
      <c r="AC634" s="2">
        <v>41200.0</v>
      </c>
      <c r="AD634" s="1">
        <v>9100.0</v>
      </c>
      <c r="AE634" s="1" t="s">
        <v>194</v>
      </c>
      <c r="AF634" s="1" t="s">
        <v>1647</v>
      </c>
      <c r="AG634" s="1" t="s">
        <v>1170</v>
      </c>
      <c r="AH634" s="1">
        <v>11.0</v>
      </c>
      <c r="AI634" s="1">
        <v>2013.0</v>
      </c>
      <c r="AJ634" s="1">
        <v>2013.0</v>
      </c>
      <c r="AK634" s="1" t="s">
        <v>1171</v>
      </c>
    </row>
    <row r="635">
      <c r="A635" s="1" t="s">
        <v>1167</v>
      </c>
      <c r="B635" s="1" t="s">
        <v>1167</v>
      </c>
      <c r="C635" s="1" t="s">
        <v>194</v>
      </c>
      <c r="E635" s="1">
        <v>5.38112E8</v>
      </c>
      <c r="F635" s="2">
        <v>41197.0</v>
      </c>
      <c r="G635" s="1" t="s">
        <v>1168</v>
      </c>
      <c r="I635" s="1" t="s">
        <v>1168</v>
      </c>
      <c r="L635" s="1" t="s">
        <v>194</v>
      </c>
      <c r="M635" s="1">
        <v>9100.0</v>
      </c>
      <c r="N635" s="1" t="s">
        <v>194</v>
      </c>
      <c r="O635" s="1">
        <v>1.47552186E8</v>
      </c>
      <c r="P635" s="1" t="s">
        <v>822</v>
      </c>
      <c r="R635" s="1" t="s">
        <v>823</v>
      </c>
      <c r="S635" s="1" t="s">
        <v>44</v>
      </c>
      <c r="T635" s="1" t="s">
        <v>45</v>
      </c>
      <c r="U635" s="1">
        <v>4.82191857E8</v>
      </c>
      <c r="W635" s="1" t="s">
        <v>44</v>
      </c>
      <c r="X635" s="1" t="s">
        <v>45</v>
      </c>
      <c r="Y635" s="1">
        <v>4.82191857E8</v>
      </c>
      <c r="AB635" s="1">
        <v>172367.0</v>
      </c>
      <c r="AC635" s="2">
        <v>41197.0</v>
      </c>
      <c r="AD635" s="1">
        <v>9100.0</v>
      </c>
      <c r="AE635" s="1" t="s">
        <v>194</v>
      </c>
      <c r="AF635" s="1" t="s">
        <v>1648</v>
      </c>
      <c r="AG635" s="1" t="s">
        <v>1170</v>
      </c>
      <c r="AH635" s="1">
        <v>11.0</v>
      </c>
      <c r="AI635" s="1">
        <v>2013.0</v>
      </c>
      <c r="AJ635" s="1">
        <v>2013.0</v>
      </c>
      <c r="AK635" s="1" t="s">
        <v>1171</v>
      </c>
    </row>
    <row r="636">
      <c r="A636" s="1" t="s">
        <v>1649</v>
      </c>
      <c r="B636" s="1" t="s">
        <v>1649</v>
      </c>
      <c r="C636" s="1" t="s">
        <v>224</v>
      </c>
      <c r="E636" s="1">
        <v>116273.0</v>
      </c>
      <c r="F636" s="2">
        <v>41523.0</v>
      </c>
      <c r="G636" s="1" t="s">
        <v>1650</v>
      </c>
      <c r="I636" s="1" t="s">
        <v>1650</v>
      </c>
      <c r="L636" s="1" t="s">
        <v>151</v>
      </c>
      <c r="M636" s="1">
        <v>6900.0</v>
      </c>
      <c r="N636" s="1" t="s">
        <v>151</v>
      </c>
      <c r="O636" s="1">
        <v>9.63886101E8</v>
      </c>
      <c r="P636" s="1" t="s">
        <v>259</v>
      </c>
      <c r="R636" s="1" t="s">
        <v>260</v>
      </c>
      <c r="S636" s="1" t="s">
        <v>44</v>
      </c>
      <c r="T636" s="1" t="s">
        <v>45</v>
      </c>
      <c r="U636" s="1">
        <v>4.8226348E8</v>
      </c>
      <c r="W636" s="1" t="s">
        <v>46</v>
      </c>
      <c r="X636" s="1" t="s">
        <v>45</v>
      </c>
      <c r="Y636" s="1">
        <v>4.8226348E8</v>
      </c>
      <c r="Z636" s="1">
        <v>7.3134884E7</v>
      </c>
      <c r="AA636" s="1" t="s">
        <v>261</v>
      </c>
      <c r="AB636" s="1">
        <v>116273.84</v>
      </c>
      <c r="AC636" s="2">
        <v>41523.0</v>
      </c>
      <c r="AD636" s="1">
        <v>6900.0</v>
      </c>
      <c r="AE636" s="1" t="s">
        <v>151</v>
      </c>
      <c r="AF636" s="1">
        <v>1.0</v>
      </c>
      <c r="AG636" s="1" t="s">
        <v>1651</v>
      </c>
      <c r="AH636" s="1">
        <v>10.0</v>
      </c>
      <c r="AI636" s="1">
        <v>2013.0</v>
      </c>
      <c r="AJ636" s="1">
        <v>2013.0</v>
      </c>
      <c r="AK636" s="1" t="s">
        <v>229</v>
      </c>
    </row>
    <row r="637">
      <c r="A637" s="1" t="s">
        <v>1652</v>
      </c>
      <c r="B637" s="1" t="s">
        <v>1652</v>
      </c>
      <c r="C637" s="1" t="s">
        <v>224</v>
      </c>
      <c r="E637" s="1">
        <v>1187031.0</v>
      </c>
      <c r="F637" s="2">
        <v>41523.0</v>
      </c>
      <c r="G637" s="1" t="s">
        <v>1159</v>
      </c>
      <c r="I637" s="1" t="s">
        <v>1159</v>
      </c>
      <c r="L637" s="1" t="s">
        <v>151</v>
      </c>
      <c r="M637" s="1">
        <v>6900.0</v>
      </c>
      <c r="N637" s="1" t="s">
        <v>151</v>
      </c>
      <c r="O637" s="1">
        <v>9.63886101E8</v>
      </c>
      <c r="P637" s="1" t="s">
        <v>259</v>
      </c>
      <c r="R637" s="1" t="s">
        <v>260</v>
      </c>
      <c r="S637" s="1" t="s">
        <v>44</v>
      </c>
      <c r="T637" s="1" t="s">
        <v>45</v>
      </c>
      <c r="U637" s="1">
        <v>4.8226348E8</v>
      </c>
      <c r="W637" s="1" t="s">
        <v>46</v>
      </c>
      <c r="X637" s="1" t="s">
        <v>45</v>
      </c>
      <c r="Y637" s="1">
        <v>4.8226348E8</v>
      </c>
      <c r="Z637" s="1">
        <v>7.3134884E7</v>
      </c>
      <c r="AA637" s="1" t="s">
        <v>261</v>
      </c>
      <c r="AB637" s="1">
        <v>1187031.06</v>
      </c>
      <c r="AC637" s="2">
        <v>41523.0</v>
      </c>
      <c r="AD637" s="1">
        <v>6900.0</v>
      </c>
      <c r="AE637" s="1" t="s">
        <v>151</v>
      </c>
      <c r="AF637" s="1">
        <v>1.0</v>
      </c>
      <c r="AG637" s="1" t="s">
        <v>1160</v>
      </c>
      <c r="AH637" s="1">
        <v>10.0</v>
      </c>
      <c r="AI637" s="1">
        <v>2013.0</v>
      </c>
      <c r="AJ637" s="1">
        <v>2013.0</v>
      </c>
      <c r="AK637" s="1" t="s">
        <v>229</v>
      </c>
    </row>
    <row r="638">
      <c r="A638" s="1" t="s">
        <v>1653</v>
      </c>
      <c r="B638" s="1" t="s">
        <v>1653</v>
      </c>
      <c r="C638" s="1" t="s">
        <v>224</v>
      </c>
      <c r="E638" s="1">
        <v>238165.0</v>
      </c>
      <c r="F638" s="2">
        <v>41523.0</v>
      </c>
      <c r="G638" s="1" t="s">
        <v>1220</v>
      </c>
      <c r="I638" s="1" t="s">
        <v>1220</v>
      </c>
      <c r="L638" s="1" t="s">
        <v>151</v>
      </c>
      <c r="M638" s="1">
        <v>6900.0</v>
      </c>
      <c r="N638" s="1" t="s">
        <v>151</v>
      </c>
      <c r="O638" s="1">
        <v>9.63886101E8</v>
      </c>
      <c r="P638" s="1" t="s">
        <v>259</v>
      </c>
      <c r="R638" s="1" t="s">
        <v>260</v>
      </c>
      <c r="S638" s="1" t="s">
        <v>44</v>
      </c>
      <c r="T638" s="1" t="s">
        <v>45</v>
      </c>
      <c r="U638" s="1">
        <v>4.8226348E8</v>
      </c>
      <c r="W638" s="1" t="s">
        <v>46</v>
      </c>
      <c r="X638" s="1" t="s">
        <v>45</v>
      </c>
      <c r="Y638" s="1">
        <v>4.8226348E8</v>
      </c>
      <c r="Z638" s="1">
        <v>7.3134884E7</v>
      </c>
      <c r="AA638" s="1" t="s">
        <v>261</v>
      </c>
      <c r="AB638" s="1">
        <v>238165.06</v>
      </c>
      <c r="AC638" s="2">
        <v>41523.0</v>
      </c>
      <c r="AD638" s="1">
        <v>6900.0</v>
      </c>
      <c r="AE638" s="1" t="s">
        <v>151</v>
      </c>
      <c r="AF638" s="1">
        <v>1.0</v>
      </c>
      <c r="AG638" s="1" t="s">
        <v>1221</v>
      </c>
      <c r="AH638" s="1">
        <v>10.0</v>
      </c>
      <c r="AI638" s="1">
        <v>2013.0</v>
      </c>
      <c r="AJ638" s="1">
        <v>2013.0</v>
      </c>
      <c r="AK638" s="1" t="s">
        <v>229</v>
      </c>
    </row>
    <row r="639">
      <c r="A639" s="1" t="s">
        <v>1654</v>
      </c>
      <c r="B639" s="1" t="s">
        <v>1654</v>
      </c>
      <c r="C639" s="1" t="s">
        <v>224</v>
      </c>
      <c r="E639" s="1">
        <v>1439930.0</v>
      </c>
      <c r="F639" s="2">
        <v>41529.0</v>
      </c>
      <c r="G639" s="1" t="s">
        <v>1165</v>
      </c>
      <c r="I639" s="1" t="s">
        <v>1165</v>
      </c>
      <c r="L639" s="1" t="s">
        <v>151</v>
      </c>
      <c r="M639" s="1">
        <v>6900.0</v>
      </c>
      <c r="N639" s="1" t="s">
        <v>151</v>
      </c>
      <c r="O639" s="1">
        <v>9.63886101E8</v>
      </c>
      <c r="P639" s="1" t="s">
        <v>259</v>
      </c>
      <c r="R639" s="1" t="s">
        <v>260</v>
      </c>
      <c r="S639" s="1" t="s">
        <v>44</v>
      </c>
      <c r="T639" s="1" t="s">
        <v>45</v>
      </c>
      <c r="U639" s="1">
        <v>4.8226348E8</v>
      </c>
      <c r="W639" s="1" t="s">
        <v>46</v>
      </c>
      <c r="X639" s="1" t="s">
        <v>45</v>
      </c>
      <c r="Y639" s="1">
        <v>4.8226348E8</v>
      </c>
      <c r="Z639" s="1">
        <v>7.3134884E7</v>
      </c>
      <c r="AA639" s="1" t="s">
        <v>261</v>
      </c>
      <c r="AB639" s="1">
        <v>1439930.11</v>
      </c>
      <c r="AC639" s="2">
        <v>41529.0</v>
      </c>
      <c r="AD639" s="1">
        <v>6900.0</v>
      </c>
      <c r="AE639" s="1" t="s">
        <v>151</v>
      </c>
      <c r="AF639" s="1">
        <v>1.0</v>
      </c>
      <c r="AG639" s="1" t="s">
        <v>1166</v>
      </c>
      <c r="AH639" s="1">
        <v>10.0</v>
      </c>
      <c r="AI639" s="1">
        <v>2013.0</v>
      </c>
      <c r="AJ639" s="1">
        <v>2013.0</v>
      </c>
      <c r="AK639" s="1" t="s">
        <v>229</v>
      </c>
    </row>
    <row r="640">
      <c r="A640" s="1" t="s">
        <v>1167</v>
      </c>
      <c r="B640" s="1" t="s">
        <v>1167</v>
      </c>
      <c r="C640" s="1" t="s">
        <v>194</v>
      </c>
      <c r="E640" s="1">
        <v>5.38112E8</v>
      </c>
      <c r="F640" s="2">
        <v>41395.0</v>
      </c>
      <c r="G640" s="1" t="s">
        <v>1168</v>
      </c>
      <c r="I640" s="1" t="s">
        <v>1168</v>
      </c>
      <c r="L640" s="1" t="s">
        <v>194</v>
      </c>
      <c r="M640" s="1">
        <v>9100.0</v>
      </c>
      <c r="N640" s="1" t="s">
        <v>194</v>
      </c>
      <c r="O640" s="1">
        <v>7.8583963E7</v>
      </c>
      <c r="P640" s="1" t="s">
        <v>526</v>
      </c>
      <c r="Q640" s="1" t="s">
        <v>527</v>
      </c>
      <c r="R640" s="1" t="s">
        <v>528</v>
      </c>
      <c r="S640" s="1" t="s">
        <v>44</v>
      </c>
      <c r="T640" s="1" t="s">
        <v>45</v>
      </c>
      <c r="U640" s="1">
        <v>4.82091434E8</v>
      </c>
      <c r="W640" s="1" t="s">
        <v>46</v>
      </c>
      <c r="X640" s="1" t="s">
        <v>45</v>
      </c>
      <c r="Y640" s="1">
        <v>4.82091434E8</v>
      </c>
      <c r="Z640" s="1">
        <v>7.4255332E7</v>
      </c>
      <c r="AA640" s="1" t="s">
        <v>1655</v>
      </c>
      <c r="AB640" s="1">
        <v>138166.0</v>
      </c>
      <c r="AC640" s="2">
        <v>41395.0</v>
      </c>
      <c r="AD640" s="1">
        <v>9100.0</v>
      </c>
      <c r="AE640" s="1" t="s">
        <v>194</v>
      </c>
      <c r="AF640" s="1" t="s">
        <v>1656</v>
      </c>
      <c r="AG640" s="1" t="s">
        <v>1170</v>
      </c>
      <c r="AH640" s="1">
        <v>11.0</v>
      </c>
      <c r="AI640" s="1">
        <v>2013.0</v>
      </c>
      <c r="AJ640" s="1">
        <v>2013.0</v>
      </c>
      <c r="AK640" s="1" t="s">
        <v>1171</v>
      </c>
    </row>
    <row r="641">
      <c r="A641" s="1" t="s">
        <v>1167</v>
      </c>
      <c r="B641" s="1" t="s">
        <v>1167</v>
      </c>
      <c r="C641" s="1" t="s">
        <v>194</v>
      </c>
      <c r="E641" s="1">
        <v>5.38112E8</v>
      </c>
      <c r="F641" s="2">
        <v>41393.0</v>
      </c>
      <c r="G641" s="1" t="s">
        <v>1168</v>
      </c>
      <c r="I641" s="1" t="s">
        <v>1168</v>
      </c>
      <c r="L641" s="1" t="s">
        <v>194</v>
      </c>
      <c r="M641" s="1">
        <v>9100.0</v>
      </c>
      <c r="N641" s="1" t="s">
        <v>194</v>
      </c>
      <c r="O641" s="1">
        <v>1.9859919E7</v>
      </c>
      <c r="P641" s="1" t="s">
        <v>1657</v>
      </c>
      <c r="R641" s="1" t="s">
        <v>1173</v>
      </c>
      <c r="S641" s="1" t="s">
        <v>44</v>
      </c>
      <c r="T641" s="1" t="s">
        <v>45</v>
      </c>
      <c r="U641" s="1">
        <v>4.82191263E8</v>
      </c>
      <c r="W641" s="1" t="s">
        <v>44</v>
      </c>
      <c r="X641" s="1" t="s">
        <v>45</v>
      </c>
      <c r="Y641" s="1">
        <v>4.82191263E8</v>
      </c>
      <c r="Z641" s="1">
        <v>7.4233974E7</v>
      </c>
      <c r="AA641" s="1" t="s">
        <v>1658</v>
      </c>
      <c r="AB641" s="1">
        <v>35790.0</v>
      </c>
      <c r="AC641" s="2">
        <v>41393.0</v>
      </c>
      <c r="AD641" s="1">
        <v>9100.0</v>
      </c>
      <c r="AE641" s="1" t="s">
        <v>194</v>
      </c>
      <c r="AF641" s="1" t="s">
        <v>1659</v>
      </c>
      <c r="AG641" s="1" t="s">
        <v>1170</v>
      </c>
      <c r="AH641" s="1">
        <v>11.0</v>
      </c>
      <c r="AI641" s="1">
        <v>2013.0</v>
      </c>
      <c r="AJ641" s="1">
        <v>2013.0</v>
      </c>
      <c r="AK641" s="1" t="s">
        <v>1171</v>
      </c>
    </row>
    <row r="642">
      <c r="A642" s="1" t="s">
        <v>1167</v>
      </c>
      <c r="B642" s="1" t="s">
        <v>1167</v>
      </c>
      <c r="C642" s="1" t="s">
        <v>194</v>
      </c>
      <c r="E642" s="1">
        <v>5.38112E8</v>
      </c>
      <c r="F642" s="2">
        <v>41390.0</v>
      </c>
      <c r="G642" s="1" t="s">
        <v>1168</v>
      </c>
      <c r="I642" s="1" t="s">
        <v>1168</v>
      </c>
      <c r="L642" s="1" t="s">
        <v>194</v>
      </c>
      <c r="M642" s="1">
        <v>9100.0</v>
      </c>
      <c r="N642" s="1" t="s">
        <v>194</v>
      </c>
      <c r="O642" s="1">
        <v>7.3832607E7</v>
      </c>
      <c r="P642" s="1" t="s">
        <v>482</v>
      </c>
      <c r="R642" s="1" t="s">
        <v>483</v>
      </c>
      <c r="S642" s="1" t="s">
        <v>44</v>
      </c>
      <c r="T642" s="1" t="s">
        <v>45</v>
      </c>
      <c r="U642" s="1">
        <v>4.82074288E8</v>
      </c>
      <c r="W642" s="1" t="s">
        <v>44</v>
      </c>
      <c r="X642" s="1" t="s">
        <v>45</v>
      </c>
      <c r="Y642" s="1">
        <v>4.82074288E8</v>
      </c>
      <c r="Z642" s="1">
        <v>1.0861417E7</v>
      </c>
      <c r="AA642" s="1" t="s">
        <v>1660</v>
      </c>
      <c r="AB642" s="1">
        <v>1518323.0</v>
      </c>
      <c r="AC642" s="2">
        <v>41390.0</v>
      </c>
      <c r="AD642" s="1">
        <v>9100.0</v>
      </c>
      <c r="AE642" s="1" t="s">
        <v>194</v>
      </c>
      <c r="AF642" s="1" t="s">
        <v>1661</v>
      </c>
      <c r="AG642" s="1" t="s">
        <v>1170</v>
      </c>
      <c r="AH642" s="1">
        <v>11.0</v>
      </c>
      <c r="AI642" s="1">
        <v>2013.0</v>
      </c>
      <c r="AJ642" s="1">
        <v>2013.0</v>
      </c>
      <c r="AK642" s="1" t="s">
        <v>1171</v>
      </c>
    </row>
    <row r="643">
      <c r="A643" s="1" t="s">
        <v>1167</v>
      </c>
      <c r="B643" s="1" t="s">
        <v>1167</v>
      </c>
      <c r="C643" s="1" t="s">
        <v>194</v>
      </c>
      <c r="E643" s="1">
        <v>5.38112E8</v>
      </c>
      <c r="F643" s="2">
        <v>41310.0</v>
      </c>
      <c r="G643" s="1" t="s">
        <v>1168</v>
      </c>
      <c r="I643" s="1" t="s">
        <v>1168</v>
      </c>
      <c r="L643" s="1" t="s">
        <v>194</v>
      </c>
      <c r="M643" s="1">
        <v>9100.0</v>
      </c>
      <c r="N643" s="1" t="s">
        <v>194</v>
      </c>
      <c r="O643" s="1">
        <v>8.25304442E8</v>
      </c>
      <c r="P643" s="1" t="s">
        <v>829</v>
      </c>
      <c r="R643" s="1" t="s">
        <v>830</v>
      </c>
      <c r="S643" s="1" t="s">
        <v>44</v>
      </c>
      <c r="T643" s="1" t="s">
        <v>45</v>
      </c>
      <c r="U643" s="1">
        <v>4.82351762E8</v>
      </c>
      <c r="W643" s="1" t="s">
        <v>44</v>
      </c>
      <c r="X643" s="1" t="s">
        <v>45</v>
      </c>
      <c r="Y643" s="1">
        <v>4.82351762E8</v>
      </c>
      <c r="AB643" s="1">
        <v>115963.0</v>
      </c>
      <c r="AC643" s="2">
        <v>41310.0</v>
      </c>
      <c r="AD643" s="1">
        <v>9100.0</v>
      </c>
      <c r="AE643" s="1" t="s">
        <v>194</v>
      </c>
      <c r="AF643" s="1" t="s">
        <v>1662</v>
      </c>
      <c r="AG643" s="1" t="s">
        <v>1170</v>
      </c>
      <c r="AH643" s="1">
        <v>11.0</v>
      </c>
      <c r="AI643" s="1">
        <v>2013.0</v>
      </c>
      <c r="AJ643" s="1">
        <v>2013.0</v>
      </c>
      <c r="AK643" s="1" t="s">
        <v>1171</v>
      </c>
    </row>
    <row r="644">
      <c r="A644" s="1" t="s">
        <v>1167</v>
      </c>
      <c r="B644" s="1" t="s">
        <v>1167</v>
      </c>
      <c r="C644" s="1" t="s">
        <v>194</v>
      </c>
      <c r="E644" s="1">
        <v>5.38112E8</v>
      </c>
      <c r="F644" s="2">
        <v>41302.0</v>
      </c>
      <c r="G644" s="1" t="s">
        <v>1168</v>
      </c>
      <c r="I644" s="1" t="s">
        <v>1168</v>
      </c>
      <c r="L644" s="1" t="s">
        <v>194</v>
      </c>
      <c r="M644" s="1">
        <v>9100.0</v>
      </c>
      <c r="N644" s="1" t="s">
        <v>194</v>
      </c>
      <c r="O644" s="1">
        <v>8.01081899E8</v>
      </c>
      <c r="P644" s="1" t="s">
        <v>280</v>
      </c>
      <c r="R644" s="1" t="s">
        <v>281</v>
      </c>
      <c r="S644" s="1" t="s">
        <v>44</v>
      </c>
      <c r="T644" s="1" t="s">
        <v>45</v>
      </c>
      <c r="U644" s="1">
        <v>4.82033277E8</v>
      </c>
      <c r="W644" s="1" t="s">
        <v>282</v>
      </c>
      <c r="X644" s="1" t="s">
        <v>45</v>
      </c>
      <c r="Y644" s="1">
        <v>4.82202899E8</v>
      </c>
      <c r="Z644" s="1">
        <v>6.9827459E7</v>
      </c>
      <c r="AA644" s="1" t="s">
        <v>1663</v>
      </c>
      <c r="AB644" s="1">
        <v>243255.0</v>
      </c>
      <c r="AC644" s="2">
        <v>41302.0</v>
      </c>
      <c r="AD644" s="1">
        <v>9100.0</v>
      </c>
      <c r="AE644" s="1" t="s">
        <v>194</v>
      </c>
      <c r="AF644" s="1" t="s">
        <v>1664</v>
      </c>
      <c r="AG644" s="1" t="s">
        <v>1170</v>
      </c>
      <c r="AH644" s="1">
        <v>11.0</v>
      </c>
      <c r="AI644" s="1">
        <v>2013.0</v>
      </c>
      <c r="AJ644" s="1">
        <v>2013.0</v>
      </c>
      <c r="AK644" s="1" t="s">
        <v>1171</v>
      </c>
    </row>
    <row r="645">
      <c r="A645" s="1" t="s">
        <v>1167</v>
      </c>
      <c r="B645" s="1" t="s">
        <v>1167</v>
      </c>
      <c r="C645" s="1" t="s">
        <v>194</v>
      </c>
      <c r="E645" s="1">
        <v>5.38112E8</v>
      </c>
      <c r="F645" s="2">
        <v>41298.0</v>
      </c>
      <c r="G645" s="1" t="s">
        <v>1168</v>
      </c>
      <c r="I645" s="1" t="s">
        <v>1168</v>
      </c>
      <c r="L645" s="1" t="s">
        <v>194</v>
      </c>
      <c r="M645" s="1">
        <v>9100.0</v>
      </c>
      <c r="N645" s="1" t="s">
        <v>194</v>
      </c>
      <c r="O645" s="1">
        <v>2.5773859E7</v>
      </c>
      <c r="P645" s="1" t="s">
        <v>872</v>
      </c>
      <c r="Q645" s="1" t="s">
        <v>1635</v>
      </c>
      <c r="R645" s="1" t="s">
        <v>873</v>
      </c>
      <c r="S645" s="1" t="s">
        <v>44</v>
      </c>
      <c r="T645" s="1" t="s">
        <v>45</v>
      </c>
      <c r="U645" s="1">
        <v>4.82042042E8</v>
      </c>
      <c r="W645" s="1" t="s">
        <v>44</v>
      </c>
      <c r="X645" s="1" t="s">
        <v>45</v>
      </c>
      <c r="Y645" s="1">
        <v>4.82042042E8</v>
      </c>
      <c r="AB645" s="1">
        <v>410658.0</v>
      </c>
      <c r="AC645" s="2">
        <v>41298.0</v>
      </c>
      <c r="AD645" s="1">
        <v>9100.0</v>
      </c>
      <c r="AE645" s="1" t="s">
        <v>194</v>
      </c>
      <c r="AF645" s="1" t="s">
        <v>1665</v>
      </c>
      <c r="AG645" s="1" t="s">
        <v>1170</v>
      </c>
      <c r="AH645" s="1">
        <v>11.0</v>
      </c>
      <c r="AI645" s="1">
        <v>2013.0</v>
      </c>
      <c r="AJ645" s="1">
        <v>2013.0</v>
      </c>
      <c r="AK645" s="1" t="s">
        <v>1171</v>
      </c>
    </row>
    <row r="646">
      <c r="A646" s="1" t="s">
        <v>1167</v>
      </c>
      <c r="B646" s="1" t="s">
        <v>1167</v>
      </c>
      <c r="C646" s="1" t="s">
        <v>194</v>
      </c>
      <c r="E646" s="1">
        <v>5.38112E8</v>
      </c>
      <c r="F646" s="2">
        <v>41228.0</v>
      </c>
      <c r="G646" s="1" t="s">
        <v>1168</v>
      </c>
      <c r="I646" s="1" t="s">
        <v>1168</v>
      </c>
      <c r="L646" s="1" t="s">
        <v>194</v>
      </c>
      <c r="M646" s="1">
        <v>9100.0</v>
      </c>
      <c r="N646" s="1" t="s">
        <v>194</v>
      </c>
      <c r="O646" s="1">
        <v>7.8359005E7</v>
      </c>
      <c r="P646" s="1" t="s">
        <v>486</v>
      </c>
      <c r="R646" s="1" t="s">
        <v>487</v>
      </c>
      <c r="S646" s="1" t="s">
        <v>44</v>
      </c>
      <c r="T646" s="1" t="s">
        <v>45</v>
      </c>
      <c r="U646" s="1">
        <v>4.82011006E8</v>
      </c>
      <c r="W646" s="1" t="s">
        <v>46</v>
      </c>
      <c r="X646" s="1" t="s">
        <v>45</v>
      </c>
      <c r="Y646" s="1">
        <v>4.82011006E8</v>
      </c>
      <c r="Z646" s="1">
        <v>8.887307E7</v>
      </c>
      <c r="AA646" s="1" t="s">
        <v>1666</v>
      </c>
      <c r="AB646" s="1">
        <v>166075.0</v>
      </c>
      <c r="AC646" s="2">
        <v>41228.0</v>
      </c>
      <c r="AD646" s="1">
        <v>9100.0</v>
      </c>
      <c r="AE646" s="1" t="s">
        <v>194</v>
      </c>
      <c r="AF646" s="1" t="s">
        <v>1667</v>
      </c>
      <c r="AG646" s="1" t="s">
        <v>1170</v>
      </c>
      <c r="AH646" s="1">
        <v>11.0</v>
      </c>
      <c r="AI646" s="1">
        <v>2013.0</v>
      </c>
      <c r="AJ646" s="1">
        <v>2013.0</v>
      </c>
      <c r="AK646" s="1" t="s">
        <v>1171</v>
      </c>
    </row>
    <row r="647">
      <c r="A647" s="1" t="s">
        <v>1167</v>
      </c>
      <c r="B647" s="1" t="s">
        <v>1167</v>
      </c>
      <c r="C647" s="1" t="s">
        <v>194</v>
      </c>
      <c r="E647" s="1">
        <v>5.38112E8</v>
      </c>
      <c r="F647" s="2">
        <v>41197.0</v>
      </c>
      <c r="G647" s="1" t="s">
        <v>1168</v>
      </c>
      <c r="I647" s="1" t="s">
        <v>1168</v>
      </c>
      <c r="L647" s="1" t="s">
        <v>194</v>
      </c>
      <c r="M647" s="1">
        <v>9100.0</v>
      </c>
      <c r="N647" s="1" t="s">
        <v>194</v>
      </c>
      <c r="O647" s="1">
        <v>9.48021373E8</v>
      </c>
      <c r="P647" s="1" t="s">
        <v>501</v>
      </c>
      <c r="R647" s="1" t="s">
        <v>502</v>
      </c>
      <c r="S647" s="1" t="s">
        <v>44</v>
      </c>
      <c r="T647" s="1" t="s">
        <v>45</v>
      </c>
      <c r="U647" s="1">
        <v>4.82072901E8</v>
      </c>
      <c r="W647" s="1" t="s">
        <v>44</v>
      </c>
      <c r="X647" s="1" t="s">
        <v>45</v>
      </c>
      <c r="Y647" s="1">
        <v>4.82072901E8</v>
      </c>
      <c r="AB647" s="1">
        <v>366965.0</v>
      </c>
      <c r="AC647" s="2">
        <v>41197.0</v>
      </c>
      <c r="AD647" s="1">
        <v>9100.0</v>
      </c>
      <c r="AE647" s="1" t="s">
        <v>194</v>
      </c>
      <c r="AF647" s="1" t="s">
        <v>1668</v>
      </c>
      <c r="AG647" s="1" t="s">
        <v>1170</v>
      </c>
      <c r="AH647" s="1">
        <v>11.0</v>
      </c>
      <c r="AI647" s="1">
        <v>2013.0</v>
      </c>
      <c r="AJ647" s="1">
        <v>2013.0</v>
      </c>
      <c r="AK647" s="1" t="s">
        <v>1171</v>
      </c>
    </row>
    <row r="648">
      <c r="A648" s="1" t="s">
        <v>1167</v>
      </c>
      <c r="B648" s="1" t="s">
        <v>1167</v>
      </c>
      <c r="C648" s="1" t="s">
        <v>194</v>
      </c>
      <c r="E648" s="1">
        <v>5.38112E8</v>
      </c>
      <c r="F648" s="2">
        <v>41185.0</v>
      </c>
      <c r="G648" s="1" t="s">
        <v>1168</v>
      </c>
      <c r="I648" s="1" t="s">
        <v>1168</v>
      </c>
      <c r="L648" s="1" t="s">
        <v>194</v>
      </c>
      <c r="M648" s="1">
        <v>9100.0</v>
      </c>
      <c r="N648" s="1" t="s">
        <v>194</v>
      </c>
      <c r="O648" s="1">
        <v>7.8634042E7</v>
      </c>
      <c r="P648" s="1" t="s">
        <v>473</v>
      </c>
      <c r="R648" s="1" t="s">
        <v>475</v>
      </c>
      <c r="S648" s="1" t="s">
        <v>44</v>
      </c>
      <c r="T648" s="1" t="s">
        <v>45</v>
      </c>
      <c r="U648" s="1">
        <v>4.82133744E8</v>
      </c>
      <c r="W648" s="1" t="s">
        <v>46</v>
      </c>
      <c r="X648" s="1" t="s">
        <v>45</v>
      </c>
      <c r="Y648" s="1">
        <v>4.82133744E8</v>
      </c>
      <c r="AB648" s="1">
        <v>340455.0</v>
      </c>
      <c r="AC648" s="2">
        <v>41185.0</v>
      </c>
      <c r="AD648" s="1">
        <v>9100.0</v>
      </c>
      <c r="AE648" s="1" t="s">
        <v>194</v>
      </c>
      <c r="AF648" s="1" t="s">
        <v>1669</v>
      </c>
      <c r="AG648" s="1" t="s">
        <v>1170</v>
      </c>
      <c r="AH648" s="1">
        <v>11.0</v>
      </c>
      <c r="AI648" s="1">
        <v>2013.0</v>
      </c>
      <c r="AJ648" s="1">
        <v>2013.0</v>
      </c>
      <c r="AK648" s="1" t="s">
        <v>1171</v>
      </c>
    </row>
    <row r="649">
      <c r="A649" s="1" t="s">
        <v>1167</v>
      </c>
      <c r="B649" s="1" t="s">
        <v>1167</v>
      </c>
      <c r="C649" s="1" t="s">
        <v>194</v>
      </c>
      <c r="E649" s="1">
        <v>5.38112E8</v>
      </c>
      <c r="F649" s="2">
        <v>41424.0</v>
      </c>
      <c r="G649" s="1" t="s">
        <v>1168</v>
      </c>
      <c r="I649" s="1" t="s">
        <v>1168</v>
      </c>
      <c r="L649" s="1" t="s">
        <v>194</v>
      </c>
      <c r="M649" s="1">
        <v>9100.0</v>
      </c>
      <c r="N649" s="1" t="s">
        <v>194</v>
      </c>
      <c r="O649" s="1">
        <v>8.00475803E8</v>
      </c>
      <c r="P649" s="1" t="s">
        <v>1670</v>
      </c>
      <c r="R649" s="1" t="s">
        <v>1671</v>
      </c>
      <c r="S649" s="1" t="s">
        <v>44</v>
      </c>
      <c r="T649" s="1" t="s">
        <v>45</v>
      </c>
      <c r="U649" s="1">
        <v>4.82152667E8</v>
      </c>
      <c r="W649" s="1" t="s">
        <v>46</v>
      </c>
      <c r="X649" s="1" t="s">
        <v>45</v>
      </c>
      <c r="Y649" s="1">
        <v>4.82152667E8</v>
      </c>
      <c r="AB649" s="1">
        <v>225415.0</v>
      </c>
      <c r="AC649" s="2">
        <v>41424.0</v>
      </c>
      <c r="AD649" s="1">
        <v>9100.0</v>
      </c>
      <c r="AE649" s="1" t="s">
        <v>194</v>
      </c>
      <c r="AF649" s="1" t="s">
        <v>1672</v>
      </c>
      <c r="AG649" s="1" t="s">
        <v>1170</v>
      </c>
      <c r="AH649" s="1">
        <v>11.0</v>
      </c>
      <c r="AI649" s="1">
        <v>2013.0</v>
      </c>
      <c r="AJ649" s="1">
        <v>2013.0</v>
      </c>
      <c r="AK649" s="1" t="s">
        <v>1171</v>
      </c>
    </row>
    <row r="650">
      <c r="A650" s="1" t="s">
        <v>1167</v>
      </c>
      <c r="B650" s="1" t="s">
        <v>1167</v>
      </c>
      <c r="C650" s="1" t="s">
        <v>194</v>
      </c>
      <c r="E650" s="1">
        <v>5.38112E8</v>
      </c>
      <c r="F650" s="2">
        <v>41424.0</v>
      </c>
      <c r="G650" s="1" t="s">
        <v>1168</v>
      </c>
      <c r="I650" s="1" t="s">
        <v>1168</v>
      </c>
      <c r="L650" s="1" t="s">
        <v>194</v>
      </c>
      <c r="M650" s="1">
        <v>9100.0</v>
      </c>
      <c r="N650" s="1" t="s">
        <v>194</v>
      </c>
      <c r="O650" s="1">
        <v>8.00475803E8</v>
      </c>
      <c r="P650" s="1" t="s">
        <v>1670</v>
      </c>
      <c r="Q650" s="1" t="s">
        <v>1673</v>
      </c>
      <c r="R650" s="1" t="s">
        <v>1671</v>
      </c>
      <c r="S650" s="1" t="s">
        <v>44</v>
      </c>
      <c r="T650" s="1" t="s">
        <v>45</v>
      </c>
      <c r="U650" s="1">
        <v>4.82152667E8</v>
      </c>
      <c r="W650" s="1" t="s">
        <v>46</v>
      </c>
      <c r="X650" s="1" t="s">
        <v>45</v>
      </c>
      <c r="Y650" s="1">
        <v>4.82152667E8</v>
      </c>
      <c r="Z650" s="1">
        <v>8.874258E7</v>
      </c>
      <c r="AA650" s="1" t="s">
        <v>1674</v>
      </c>
      <c r="AB650" s="1">
        <v>225415.0</v>
      </c>
      <c r="AC650" s="2">
        <v>41424.0</v>
      </c>
      <c r="AD650" s="1">
        <v>9100.0</v>
      </c>
      <c r="AE650" s="1" t="s">
        <v>194</v>
      </c>
      <c r="AF650" s="1" t="s">
        <v>1672</v>
      </c>
      <c r="AG650" s="1" t="s">
        <v>1170</v>
      </c>
      <c r="AH650" s="1">
        <v>11.0</v>
      </c>
      <c r="AI650" s="1">
        <v>2013.0</v>
      </c>
      <c r="AJ650" s="1">
        <v>2013.0</v>
      </c>
      <c r="AK650" s="1" t="s">
        <v>1171</v>
      </c>
    </row>
    <row r="651">
      <c r="A651" s="1" t="s">
        <v>1167</v>
      </c>
      <c r="B651" s="1" t="s">
        <v>1167</v>
      </c>
      <c r="C651" s="1" t="s">
        <v>194</v>
      </c>
      <c r="E651" s="1">
        <v>5.38112E8</v>
      </c>
      <c r="F651" s="2">
        <v>41414.0</v>
      </c>
      <c r="G651" s="1" t="s">
        <v>1168</v>
      </c>
      <c r="I651" s="1" t="s">
        <v>1168</v>
      </c>
      <c r="L651" s="1" t="s">
        <v>194</v>
      </c>
      <c r="M651" s="1">
        <v>9100.0</v>
      </c>
      <c r="N651" s="1" t="s">
        <v>194</v>
      </c>
      <c r="O651" s="1">
        <v>7.6340843E7</v>
      </c>
      <c r="P651" s="1" t="s">
        <v>461</v>
      </c>
      <c r="Q651" s="1" t="s">
        <v>459</v>
      </c>
      <c r="R651" s="1" t="s">
        <v>524</v>
      </c>
      <c r="S651" s="1" t="s">
        <v>44</v>
      </c>
      <c r="T651" s="1" t="s">
        <v>45</v>
      </c>
      <c r="U651" s="1">
        <v>4.82023046E8</v>
      </c>
      <c r="W651" s="1" t="s">
        <v>44</v>
      </c>
      <c r="X651" s="1" t="s">
        <v>45</v>
      </c>
      <c r="Y651" s="1">
        <v>4.82023096E8</v>
      </c>
      <c r="Z651" s="1">
        <v>7.6340843E7</v>
      </c>
      <c r="AA651" s="1" t="s">
        <v>461</v>
      </c>
      <c r="AB651" s="1">
        <v>1.51041746E8</v>
      </c>
      <c r="AC651" s="2">
        <v>41414.0</v>
      </c>
      <c r="AD651" s="1">
        <v>9100.0</v>
      </c>
      <c r="AE651" s="1" t="s">
        <v>194</v>
      </c>
      <c r="AF651" s="1" t="s">
        <v>1675</v>
      </c>
      <c r="AG651" s="1" t="s">
        <v>1170</v>
      </c>
      <c r="AH651" s="1">
        <v>11.0</v>
      </c>
      <c r="AI651" s="1">
        <v>2013.0</v>
      </c>
      <c r="AJ651" s="1">
        <v>2013.0</v>
      </c>
      <c r="AK651" s="1" t="s">
        <v>1171</v>
      </c>
    </row>
    <row r="652">
      <c r="A652" s="1" t="s">
        <v>1167</v>
      </c>
      <c r="B652" s="1" t="s">
        <v>1167</v>
      </c>
      <c r="C652" s="1" t="s">
        <v>194</v>
      </c>
      <c r="E652" s="1">
        <v>5.38112E8</v>
      </c>
      <c r="F652" s="2">
        <v>41407.0</v>
      </c>
      <c r="G652" s="1" t="s">
        <v>1168</v>
      </c>
      <c r="I652" s="1" t="s">
        <v>1168</v>
      </c>
      <c r="L652" s="1" t="s">
        <v>194</v>
      </c>
      <c r="M652" s="1">
        <v>9100.0</v>
      </c>
      <c r="N652" s="1" t="s">
        <v>194</v>
      </c>
      <c r="O652" s="1">
        <v>7894403.0</v>
      </c>
      <c r="P652" s="1" t="s">
        <v>1676</v>
      </c>
      <c r="Q652" s="1" t="s">
        <v>1618</v>
      </c>
      <c r="R652" s="1" t="s">
        <v>1677</v>
      </c>
      <c r="S652" s="1" t="s">
        <v>44</v>
      </c>
      <c r="T652" s="1" t="s">
        <v>45</v>
      </c>
      <c r="U652" s="1">
        <v>4.82012402E8</v>
      </c>
      <c r="W652" s="1" t="s">
        <v>46</v>
      </c>
      <c r="X652" s="1" t="s">
        <v>45</v>
      </c>
      <c r="Y652" s="1">
        <v>4.8202403E8</v>
      </c>
      <c r="Z652" s="1">
        <v>3.7750114E7</v>
      </c>
      <c r="AA652" s="1" t="s">
        <v>1678</v>
      </c>
      <c r="AB652" s="1">
        <v>116762.0</v>
      </c>
      <c r="AC652" s="2">
        <v>41407.0</v>
      </c>
      <c r="AD652" s="1">
        <v>9100.0</v>
      </c>
      <c r="AE652" s="1" t="s">
        <v>194</v>
      </c>
      <c r="AF652" s="1" t="s">
        <v>1679</v>
      </c>
      <c r="AG652" s="1" t="s">
        <v>1170</v>
      </c>
      <c r="AH652" s="1">
        <v>11.0</v>
      </c>
      <c r="AI652" s="1">
        <v>2013.0</v>
      </c>
      <c r="AJ652" s="1">
        <v>2013.0</v>
      </c>
      <c r="AK652" s="1" t="s">
        <v>1171</v>
      </c>
    </row>
    <row r="653">
      <c r="A653" s="1" t="s">
        <v>1167</v>
      </c>
      <c r="B653" s="1" t="s">
        <v>1167</v>
      </c>
      <c r="C653" s="1" t="s">
        <v>194</v>
      </c>
      <c r="E653" s="1">
        <v>5.38112E8</v>
      </c>
      <c r="F653" s="2">
        <v>41395.0</v>
      </c>
      <c r="G653" s="1" t="s">
        <v>1168</v>
      </c>
      <c r="I653" s="1" t="s">
        <v>1168</v>
      </c>
      <c r="L653" s="1" t="s">
        <v>194</v>
      </c>
      <c r="M653" s="1">
        <v>9100.0</v>
      </c>
      <c r="N653" s="1" t="s">
        <v>194</v>
      </c>
      <c r="O653" s="1">
        <v>7.8577051E7</v>
      </c>
      <c r="P653" s="1" t="s">
        <v>1680</v>
      </c>
      <c r="R653" s="1" t="s">
        <v>1681</v>
      </c>
      <c r="S653" s="1" t="s">
        <v>44</v>
      </c>
      <c r="T653" s="1" t="s">
        <v>45</v>
      </c>
      <c r="U653" s="1">
        <v>4.82211457E8</v>
      </c>
      <c r="W653" s="1" t="s">
        <v>46</v>
      </c>
      <c r="X653" s="1" t="s">
        <v>45</v>
      </c>
      <c r="Y653" s="1">
        <v>4.82211457E8</v>
      </c>
      <c r="Z653" s="1">
        <v>7.8580799E7</v>
      </c>
      <c r="AB653" s="1">
        <v>288083.0</v>
      </c>
      <c r="AC653" s="2">
        <v>41395.0</v>
      </c>
      <c r="AD653" s="1">
        <v>9100.0</v>
      </c>
      <c r="AE653" s="1" t="s">
        <v>194</v>
      </c>
      <c r="AF653" s="1" t="s">
        <v>1682</v>
      </c>
      <c r="AG653" s="1" t="s">
        <v>1170</v>
      </c>
      <c r="AH653" s="1">
        <v>11.0</v>
      </c>
      <c r="AI653" s="1">
        <v>2013.0</v>
      </c>
      <c r="AJ653" s="1">
        <v>2013.0</v>
      </c>
      <c r="AK653" s="1" t="s">
        <v>1171</v>
      </c>
    </row>
    <row r="654">
      <c r="A654" s="1" t="s">
        <v>1167</v>
      </c>
      <c r="B654" s="1" t="s">
        <v>1167</v>
      </c>
      <c r="C654" s="1" t="s">
        <v>194</v>
      </c>
      <c r="E654" s="1">
        <v>5.38112E8</v>
      </c>
      <c r="F654" s="2">
        <v>41390.0</v>
      </c>
      <c r="G654" s="1" t="s">
        <v>1168</v>
      </c>
      <c r="I654" s="1" t="s">
        <v>1168</v>
      </c>
      <c r="L654" s="1" t="s">
        <v>194</v>
      </c>
      <c r="M654" s="1">
        <v>9100.0</v>
      </c>
      <c r="N654" s="1" t="s">
        <v>194</v>
      </c>
      <c r="O654" s="1">
        <v>7.0381949E7</v>
      </c>
      <c r="P654" s="1" t="s">
        <v>605</v>
      </c>
      <c r="R654" s="1" t="s">
        <v>606</v>
      </c>
      <c r="S654" s="1" t="s">
        <v>44</v>
      </c>
      <c r="T654" s="1" t="s">
        <v>45</v>
      </c>
      <c r="U654" s="1">
        <v>4.82123033E8</v>
      </c>
      <c r="W654" s="1" t="s">
        <v>607</v>
      </c>
      <c r="X654" s="1" t="s">
        <v>45</v>
      </c>
      <c r="Y654" s="1">
        <v>4.82123033E8</v>
      </c>
      <c r="Z654" s="1">
        <v>1.00035146E8</v>
      </c>
      <c r="AA654" s="1" t="s">
        <v>1683</v>
      </c>
      <c r="AB654" s="1">
        <v>205106.0</v>
      </c>
      <c r="AC654" s="2">
        <v>41390.0</v>
      </c>
      <c r="AD654" s="1">
        <v>9100.0</v>
      </c>
      <c r="AE654" s="1" t="s">
        <v>194</v>
      </c>
      <c r="AF654" s="1" t="s">
        <v>1684</v>
      </c>
      <c r="AG654" s="1" t="s">
        <v>1170</v>
      </c>
      <c r="AH654" s="1">
        <v>11.0</v>
      </c>
      <c r="AI654" s="1">
        <v>2013.0</v>
      </c>
      <c r="AJ654" s="1">
        <v>2013.0</v>
      </c>
      <c r="AK654" s="1" t="s">
        <v>1171</v>
      </c>
    </row>
    <row r="655">
      <c r="A655" s="1" t="s">
        <v>1167</v>
      </c>
      <c r="B655" s="1" t="s">
        <v>1167</v>
      </c>
      <c r="C655" s="1" t="s">
        <v>194</v>
      </c>
      <c r="E655" s="1">
        <v>5.38112E8</v>
      </c>
      <c r="F655" s="2">
        <v>41351.0</v>
      </c>
      <c r="G655" s="1" t="s">
        <v>1168</v>
      </c>
      <c r="I655" s="1" t="s">
        <v>1168</v>
      </c>
      <c r="L655" s="1" t="s">
        <v>194</v>
      </c>
      <c r="M655" s="1">
        <v>9100.0</v>
      </c>
      <c r="N655" s="1" t="s">
        <v>194</v>
      </c>
      <c r="O655" s="1">
        <v>1.98438892E8</v>
      </c>
      <c r="P655" s="1" t="s">
        <v>505</v>
      </c>
      <c r="R655" s="1" t="s">
        <v>506</v>
      </c>
      <c r="S655" s="1" t="s">
        <v>44</v>
      </c>
      <c r="T655" s="1" t="s">
        <v>45</v>
      </c>
      <c r="U655" s="1">
        <v>4.82123572E8</v>
      </c>
      <c r="W655" s="1" t="s">
        <v>498</v>
      </c>
      <c r="X655" s="1" t="s">
        <v>45</v>
      </c>
      <c r="Y655" s="1">
        <v>4.82123572E8</v>
      </c>
      <c r="Z655" s="1">
        <v>1.98438892E8</v>
      </c>
      <c r="AA655" s="1" t="s">
        <v>505</v>
      </c>
      <c r="AB655" s="1">
        <v>457128.0</v>
      </c>
      <c r="AC655" s="2">
        <v>41351.0</v>
      </c>
      <c r="AD655" s="1">
        <v>9100.0</v>
      </c>
      <c r="AE655" s="1" t="s">
        <v>194</v>
      </c>
      <c r="AF655" s="1" t="s">
        <v>1685</v>
      </c>
      <c r="AG655" s="1" t="s">
        <v>1170</v>
      </c>
      <c r="AH655" s="1">
        <v>11.0</v>
      </c>
      <c r="AI655" s="1">
        <v>2013.0</v>
      </c>
      <c r="AJ655" s="1">
        <v>2013.0</v>
      </c>
      <c r="AK655" s="1" t="s">
        <v>1171</v>
      </c>
    </row>
    <row r="656">
      <c r="A656" s="1" t="s">
        <v>1167</v>
      </c>
      <c r="B656" s="1" t="s">
        <v>1167</v>
      </c>
      <c r="C656" s="1" t="s">
        <v>194</v>
      </c>
      <c r="E656" s="1">
        <v>5.38112E8</v>
      </c>
      <c r="F656" s="2">
        <v>41351.0</v>
      </c>
      <c r="G656" s="1" t="s">
        <v>1168</v>
      </c>
      <c r="I656" s="1" t="s">
        <v>1168</v>
      </c>
      <c r="L656" s="1" t="s">
        <v>194</v>
      </c>
      <c r="M656" s="1">
        <v>9100.0</v>
      </c>
      <c r="N656" s="1" t="s">
        <v>194</v>
      </c>
      <c r="O656" s="1">
        <v>5.2874042E7</v>
      </c>
      <c r="P656" s="1" t="s">
        <v>538</v>
      </c>
      <c r="R656" s="1" t="s">
        <v>539</v>
      </c>
      <c r="S656" s="1" t="s">
        <v>44</v>
      </c>
      <c r="T656" s="1" t="s">
        <v>45</v>
      </c>
      <c r="U656" s="1">
        <v>4.82091524E8</v>
      </c>
      <c r="W656" s="1" t="s">
        <v>44</v>
      </c>
      <c r="X656" s="1" t="s">
        <v>45</v>
      </c>
      <c r="Y656" s="1">
        <v>4.82091524E8</v>
      </c>
      <c r="Z656" s="1">
        <v>7.7575256E7</v>
      </c>
      <c r="AA656" s="1" t="s">
        <v>1686</v>
      </c>
      <c r="AB656" s="1">
        <v>1949775.0</v>
      </c>
      <c r="AC656" s="2">
        <v>41351.0</v>
      </c>
      <c r="AD656" s="1">
        <v>9100.0</v>
      </c>
      <c r="AE656" s="1" t="s">
        <v>194</v>
      </c>
      <c r="AF656" s="1" t="s">
        <v>1687</v>
      </c>
      <c r="AG656" s="1" t="s">
        <v>1170</v>
      </c>
      <c r="AH656" s="1">
        <v>11.0</v>
      </c>
      <c r="AI656" s="1">
        <v>2013.0</v>
      </c>
      <c r="AJ656" s="1">
        <v>2013.0</v>
      </c>
      <c r="AK656" s="1" t="s">
        <v>1171</v>
      </c>
    </row>
    <row r="657">
      <c r="A657" s="1" t="s">
        <v>1167</v>
      </c>
      <c r="B657" s="1" t="s">
        <v>1167</v>
      </c>
      <c r="C657" s="1" t="s">
        <v>194</v>
      </c>
      <c r="E657" s="1">
        <v>5.38112E8</v>
      </c>
      <c r="F657" s="2">
        <v>41351.0</v>
      </c>
      <c r="G657" s="1" t="s">
        <v>1168</v>
      </c>
      <c r="I657" s="1" t="s">
        <v>1168</v>
      </c>
      <c r="L657" s="1" t="s">
        <v>194</v>
      </c>
      <c r="M657" s="1">
        <v>9100.0</v>
      </c>
      <c r="N657" s="1" t="s">
        <v>194</v>
      </c>
      <c r="O657" s="1">
        <v>8.30649195E8</v>
      </c>
      <c r="P657" s="1" t="s">
        <v>545</v>
      </c>
      <c r="Q657" s="1" t="s">
        <v>1688</v>
      </c>
      <c r="R657" s="1" t="s">
        <v>547</v>
      </c>
      <c r="S657" s="1" t="s">
        <v>44</v>
      </c>
      <c r="T657" s="1" t="s">
        <v>45</v>
      </c>
      <c r="U657" s="1">
        <v>4.82071E8</v>
      </c>
      <c r="W657" s="1" t="s">
        <v>44</v>
      </c>
      <c r="X657" s="1" t="s">
        <v>45</v>
      </c>
      <c r="Y657" s="1">
        <v>4.82071E8</v>
      </c>
      <c r="Z657" s="1">
        <v>3537326.0</v>
      </c>
      <c r="AA657" s="1" t="s">
        <v>560</v>
      </c>
      <c r="AB657" s="1">
        <v>599705.0</v>
      </c>
      <c r="AC657" s="2">
        <v>41351.0</v>
      </c>
      <c r="AD657" s="1">
        <v>9100.0</v>
      </c>
      <c r="AE657" s="1" t="s">
        <v>194</v>
      </c>
      <c r="AF657" s="1" t="s">
        <v>1689</v>
      </c>
      <c r="AG657" s="1" t="s">
        <v>1170</v>
      </c>
      <c r="AH657" s="1">
        <v>11.0</v>
      </c>
      <c r="AI657" s="1">
        <v>2013.0</v>
      </c>
      <c r="AJ657" s="1">
        <v>2013.0</v>
      </c>
      <c r="AK657" s="1" t="s">
        <v>1171</v>
      </c>
    </row>
    <row r="658">
      <c r="A658" s="1" t="s">
        <v>1167</v>
      </c>
      <c r="B658" s="1" t="s">
        <v>1167</v>
      </c>
      <c r="C658" s="1" t="s">
        <v>194</v>
      </c>
      <c r="E658" s="1">
        <v>5.38112E8</v>
      </c>
      <c r="F658" s="2">
        <v>41341.0</v>
      </c>
      <c r="G658" s="1" t="s">
        <v>1168</v>
      </c>
      <c r="I658" s="1" t="s">
        <v>1168</v>
      </c>
      <c r="L658" s="1" t="s">
        <v>194</v>
      </c>
      <c r="M658" s="1">
        <v>9100.0</v>
      </c>
      <c r="N658" s="1" t="s">
        <v>194</v>
      </c>
      <c r="O658" s="1">
        <v>8.7299367E8</v>
      </c>
      <c r="P658" s="1" t="s">
        <v>888</v>
      </c>
      <c r="Q658" s="1" t="s">
        <v>1690</v>
      </c>
      <c r="R658" s="1" t="s">
        <v>889</v>
      </c>
      <c r="S658" s="1" t="s">
        <v>44</v>
      </c>
      <c r="T658" s="1" t="s">
        <v>45</v>
      </c>
      <c r="U658" s="1">
        <v>4.82051136E8</v>
      </c>
      <c r="W658" s="1" t="s">
        <v>44</v>
      </c>
      <c r="X658" s="1" t="s">
        <v>45</v>
      </c>
      <c r="Y658" s="1">
        <v>4.82051136E8</v>
      </c>
      <c r="Z658" s="1">
        <v>1.00318781E8</v>
      </c>
      <c r="AB658" s="1">
        <v>133545.0</v>
      </c>
      <c r="AC658" s="2">
        <v>41341.0</v>
      </c>
      <c r="AD658" s="1">
        <v>9100.0</v>
      </c>
      <c r="AE658" s="1" t="s">
        <v>194</v>
      </c>
      <c r="AF658" s="1" t="s">
        <v>1691</v>
      </c>
      <c r="AG658" s="1" t="s">
        <v>1170</v>
      </c>
      <c r="AH658" s="1">
        <v>11.0</v>
      </c>
      <c r="AI658" s="1">
        <v>2013.0</v>
      </c>
      <c r="AJ658" s="1">
        <v>2013.0</v>
      </c>
      <c r="AK658" s="1" t="s">
        <v>1171</v>
      </c>
    </row>
    <row r="659">
      <c r="A659" s="1" t="s">
        <v>1167</v>
      </c>
      <c r="B659" s="1" t="s">
        <v>1167</v>
      </c>
      <c r="C659" s="1" t="s">
        <v>194</v>
      </c>
      <c r="E659" s="1">
        <v>5.38112E8</v>
      </c>
      <c r="F659" s="2">
        <v>41327.0</v>
      </c>
      <c r="G659" s="1" t="s">
        <v>1168</v>
      </c>
      <c r="I659" s="1" t="s">
        <v>1168</v>
      </c>
      <c r="L659" s="1" t="s">
        <v>194</v>
      </c>
      <c r="M659" s="1">
        <v>9100.0</v>
      </c>
      <c r="N659" s="1" t="s">
        <v>194</v>
      </c>
      <c r="O659" s="1">
        <v>9.6910162E8</v>
      </c>
      <c r="P659" s="1" t="s">
        <v>579</v>
      </c>
      <c r="Q659" s="1" t="s">
        <v>1692</v>
      </c>
      <c r="R659" s="1" t="s">
        <v>580</v>
      </c>
      <c r="S659" s="1" t="s">
        <v>44</v>
      </c>
      <c r="T659" s="1" t="s">
        <v>45</v>
      </c>
      <c r="U659" s="1">
        <v>4.82283905E8</v>
      </c>
      <c r="W659" s="1" t="s">
        <v>287</v>
      </c>
      <c r="X659" s="1" t="s">
        <v>45</v>
      </c>
      <c r="Y659" s="1">
        <v>4.82283905E8</v>
      </c>
      <c r="Z659" s="1">
        <v>2.1087911E7</v>
      </c>
      <c r="AA659" s="1" t="s">
        <v>1693</v>
      </c>
      <c r="AB659" s="1">
        <v>177002.0</v>
      </c>
      <c r="AC659" s="2">
        <v>41327.0</v>
      </c>
      <c r="AD659" s="1">
        <v>9100.0</v>
      </c>
      <c r="AE659" s="1" t="s">
        <v>194</v>
      </c>
      <c r="AF659" s="1" t="s">
        <v>1694</v>
      </c>
      <c r="AG659" s="1" t="s">
        <v>1170</v>
      </c>
      <c r="AH659" s="1">
        <v>11.0</v>
      </c>
      <c r="AI659" s="1">
        <v>2013.0</v>
      </c>
      <c r="AJ659" s="1">
        <v>2013.0</v>
      </c>
      <c r="AK659" s="1" t="s">
        <v>1171</v>
      </c>
    </row>
    <row r="660">
      <c r="A660" s="1" t="s">
        <v>1167</v>
      </c>
      <c r="B660" s="1" t="s">
        <v>1167</v>
      </c>
      <c r="C660" s="1" t="s">
        <v>194</v>
      </c>
      <c r="E660" s="1">
        <v>5.38112E8</v>
      </c>
      <c r="F660" s="2">
        <v>41327.0</v>
      </c>
      <c r="G660" s="1" t="s">
        <v>1168</v>
      </c>
      <c r="I660" s="1" t="s">
        <v>1168</v>
      </c>
      <c r="L660" s="1" t="s">
        <v>194</v>
      </c>
      <c r="M660" s="1">
        <v>9100.0</v>
      </c>
      <c r="N660" s="1" t="s">
        <v>194</v>
      </c>
      <c r="O660" s="1">
        <v>8.00515244E8</v>
      </c>
      <c r="P660" s="1" t="s">
        <v>637</v>
      </c>
      <c r="Q660" s="1" t="s">
        <v>638</v>
      </c>
      <c r="R660" s="1" t="s">
        <v>639</v>
      </c>
      <c r="S660" s="1" t="s">
        <v>44</v>
      </c>
      <c r="T660" s="1" t="s">
        <v>45</v>
      </c>
      <c r="U660" s="1">
        <v>4.82343358E8</v>
      </c>
      <c r="W660" s="1" t="s">
        <v>44</v>
      </c>
      <c r="X660" s="1" t="s">
        <v>45</v>
      </c>
      <c r="Y660" s="1">
        <v>4.82343358E8</v>
      </c>
      <c r="Z660" s="1">
        <v>5.4698428E7</v>
      </c>
      <c r="AB660" s="1">
        <v>300216.0</v>
      </c>
      <c r="AC660" s="2">
        <v>41327.0</v>
      </c>
      <c r="AD660" s="1">
        <v>9100.0</v>
      </c>
      <c r="AE660" s="1" t="s">
        <v>194</v>
      </c>
      <c r="AF660" s="1" t="s">
        <v>1695</v>
      </c>
      <c r="AG660" s="1" t="s">
        <v>1170</v>
      </c>
      <c r="AH660" s="1">
        <v>11.0</v>
      </c>
      <c r="AI660" s="1">
        <v>2013.0</v>
      </c>
      <c r="AJ660" s="1">
        <v>2013.0</v>
      </c>
      <c r="AK660" s="1" t="s">
        <v>1171</v>
      </c>
    </row>
    <row r="661">
      <c r="A661" s="1" t="s">
        <v>1167</v>
      </c>
      <c r="B661" s="1" t="s">
        <v>1167</v>
      </c>
      <c r="C661" s="1" t="s">
        <v>194</v>
      </c>
      <c r="E661" s="1">
        <v>5.38112E8</v>
      </c>
      <c r="F661" s="2">
        <v>41326.0</v>
      </c>
      <c r="G661" s="1" t="s">
        <v>1168</v>
      </c>
      <c r="I661" s="1" t="s">
        <v>1168</v>
      </c>
      <c r="L661" s="1" t="s">
        <v>194</v>
      </c>
      <c r="M661" s="1">
        <v>9100.0</v>
      </c>
      <c r="N661" s="1" t="s">
        <v>194</v>
      </c>
      <c r="O661" s="1">
        <v>1.80070547E8</v>
      </c>
      <c r="P661" s="1" t="s">
        <v>508</v>
      </c>
      <c r="Q661" s="1" t="s">
        <v>1627</v>
      </c>
      <c r="R661" s="1" t="s">
        <v>509</v>
      </c>
      <c r="S661" s="1" t="s">
        <v>44</v>
      </c>
      <c r="T661" s="1" t="s">
        <v>45</v>
      </c>
      <c r="U661" s="1">
        <v>4.82133487E8</v>
      </c>
      <c r="W661" s="1" t="s">
        <v>44</v>
      </c>
      <c r="X661" s="1" t="s">
        <v>45</v>
      </c>
      <c r="Y661" s="1">
        <v>4.82133448E8</v>
      </c>
      <c r="Z661" s="1">
        <v>9.60742484E8</v>
      </c>
      <c r="AB661" s="1">
        <v>2256903.0</v>
      </c>
      <c r="AC661" s="2">
        <v>41326.0</v>
      </c>
      <c r="AD661" s="1">
        <v>9100.0</v>
      </c>
      <c r="AE661" s="1" t="s">
        <v>194</v>
      </c>
      <c r="AF661" s="1" t="s">
        <v>1696</v>
      </c>
      <c r="AG661" s="1" t="s">
        <v>1170</v>
      </c>
      <c r="AH661" s="1">
        <v>11.0</v>
      </c>
      <c r="AI661" s="1">
        <v>2013.0</v>
      </c>
      <c r="AJ661" s="1">
        <v>2013.0</v>
      </c>
      <c r="AK661" s="1" t="s">
        <v>1171</v>
      </c>
    </row>
    <row r="662">
      <c r="A662" s="1" t="s">
        <v>1167</v>
      </c>
      <c r="B662" s="1" t="s">
        <v>1167</v>
      </c>
      <c r="C662" s="1" t="s">
        <v>194</v>
      </c>
      <c r="E662" s="1">
        <v>5.38112E8</v>
      </c>
      <c r="F662" s="2">
        <v>41325.0</v>
      </c>
      <c r="G662" s="1" t="s">
        <v>1168</v>
      </c>
      <c r="I662" s="1" t="s">
        <v>1168</v>
      </c>
      <c r="L662" s="1" t="s">
        <v>194</v>
      </c>
      <c r="M662" s="1">
        <v>9100.0</v>
      </c>
      <c r="N662" s="1" t="s">
        <v>194</v>
      </c>
      <c r="O662" s="1">
        <v>9.65349769E8</v>
      </c>
      <c r="P662" s="1" t="s">
        <v>465</v>
      </c>
      <c r="Q662" s="1" t="s">
        <v>466</v>
      </c>
      <c r="R662" s="1" t="s">
        <v>467</v>
      </c>
      <c r="S662" s="1" t="s">
        <v>44</v>
      </c>
      <c r="T662" s="1" t="s">
        <v>45</v>
      </c>
      <c r="U662" s="1">
        <v>4.8202322E8</v>
      </c>
      <c r="W662" s="1" t="s">
        <v>44</v>
      </c>
      <c r="X662" s="1" t="s">
        <v>45</v>
      </c>
      <c r="Y662" s="1">
        <v>4.8202322E8</v>
      </c>
      <c r="Z662" s="1">
        <v>1.6338926E8</v>
      </c>
      <c r="AA662" s="1" t="s">
        <v>465</v>
      </c>
      <c r="AB662" s="1">
        <v>404378.0</v>
      </c>
      <c r="AC662" s="2">
        <v>41325.0</v>
      </c>
      <c r="AD662" s="1">
        <v>9100.0</v>
      </c>
      <c r="AE662" s="1" t="s">
        <v>194</v>
      </c>
      <c r="AF662" s="1" t="s">
        <v>1697</v>
      </c>
      <c r="AG662" s="1" t="s">
        <v>1170</v>
      </c>
      <c r="AH662" s="1">
        <v>11.0</v>
      </c>
      <c r="AI662" s="1">
        <v>2013.0</v>
      </c>
      <c r="AJ662" s="1">
        <v>2013.0</v>
      </c>
      <c r="AK662" s="1" t="s">
        <v>1171</v>
      </c>
    </row>
    <row r="663">
      <c r="A663" s="1" t="s">
        <v>1167</v>
      </c>
      <c r="B663" s="1" t="s">
        <v>1167</v>
      </c>
      <c r="C663" s="1" t="s">
        <v>194</v>
      </c>
      <c r="E663" s="1">
        <v>5.38112E8</v>
      </c>
      <c r="F663" s="2">
        <v>41313.0</v>
      </c>
      <c r="G663" s="1" t="s">
        <v>1168</v>
      </c>
      <c r="I663" s="1" t="s">
        <v>1168</v>
      </c>
      <c r="L663" s="1" t="s">
        <v>194</v>
      </c>
      <c r="M663" s="1">
        <v>9100.0</v>
      </c>
      <c r="N663" s="1" t="s">
        <v>194</v>
      </c>
      <c r="O663" s="1">
        <v>3.7602699E7</v>
      </c>
      <c r="P663" s="1" t="s">
        <v>535</v>
      </c>
      <c r="Q663" s="1" t="s">
        <v>1698</v>
      </c>
      <c r="R663" s="1" t="s">
        <v>536</v>
      </c>
      <c r="S663" s="1" t="s">
        <v>44</v>
      </c>
      <c r="T663" s="1" t="s">
        <v>45</v>
      </c>
      <c r="U663" s="1">
        <v>4.82052545E8</v>
      </c>
      <c r="W663" s="1" t="s">
        <v>46</v>
      </c>
      <c r="X663" s="1" t="s">
        <v>45</v>
      </c>
      <c r="Y663" s="1">
        <v>4.82052545E8</v>
      </c>
      <c r="Z663" s="1">
        <v>4.4025484E7</v>
      </c>
      <c r="AA663" s="1" t="s">
        <v>1699</v>
      </c>
      <c r="AB663" s="1">
        <v>476406.0</v>
      </c>
      <c r="AC663" s="2">
        <v>41313.0</v>
      </c>
      <c r="AD663" s="1">
        <v>9100.0</v>
      </c>
      <c r="AE663" s="1" t="s">
        <v>194</v>
      </c>
      <c r="AF663" s="1" t="s">
        <v>1700</v>
      </c>
      <c r="AG663" s="1" t="s">
        <v>1170</v>
      </c>
      <c r="AH663" s="1">
        <v>11.0</v>
      </c>
      <c r="AI663" s="1">
        <v>2013.0</v>
      </c>
      <c r="AJ663" s="1">
        <v>2013.0</v>
      </c>
      <c r="AK663" s="1" t="s">
        <v>1171</v>
      </c>
    </row>
    <row r="664">
      <c r="A664" s="1" t="s">
        <v>1167</v>
      </c>
      <c r="B664" s="1" t="s">
        <v>1167</v>
      </c>
      <c r="C664" s="1" t="s">
        <v>194</v>
      </c>
      <c r="E664" s="1">
        <v>5.38112E8</v>
      </c>
      <c r="F664" s="2">
        <v>41310.0</v>
      </c>
      <c r="G664" s="1" t="s">
        <v>1168</v>
      </c>
      <c r="I664" s="1" t="s">
        <v>1168</v>
      </c>
      <c r="L664" s="1" t="s">
        <v>194</v>
      </c>
      <c r="M664" s="1">
        <v>9100.0</v>
      </c>
      <c r="N664" s="1" t="s">
        <v>194</v>
      </c>
      <c r="O664" s="1">
        <v>9.62378779E8</v>
      </c>
      <c r="P664" s="1" t="s">
        <v>478</v>
      </c>
      <c r="R664" s="1" t="s">
        <v>479</v>
      </c>
      <c r="S664" s="1" t="s">
        <v>44</v>
      </c>
      <c r="T664" s="1" t="s">
        <v>45</v>
      </c>
      <c r="U664" s="1">
        <v>4.82342225E8</v>
      </c>
      <c r="W664" s="1" t="s">
        <v>44</v>
      </c>
      <c r="X664" s="1" t="s">
        <v>45</v>
      </c>
      <c r="Y664" s="1">
        <v>4.82342225E8</v>
      </c>
      <c r="Z664" s="1">
        <v>7.6381037E7</v>
      </c>
      <c r="AA664" s="1" t="s">
        <v>1701</v>
      </c>
      <c r="AB664" s="1">
        <v>791700.0</v>
      </c>
      <c r="AC664" s="2">
        <v>41310.0</v>
      </c>
      <c r="AD664" s="1">
        <v>9100.0</v>
      </c>
      <c r="AE664" s="1" t="s">
        <v>194</v>
      </c>
      <c r="AF664" s="1" t="s">
        <v>1702</v>
      </c>
      <c r="AG664" s="1" t="s">
        <v>1170</v>
      </c>
      <c r="AH664" s="1">
        <v>11.0</v>
      </c>
      <c r="AI664" s="1">
        <v>2013.0</v>
      </c>
      <c r="AJ664" s="1">
        <v>2013.0</v>
      </c>
      <c r="AK664" s="1" t="s">
        <v>1171</v>
      </c>
    </row>
    <row r="665">
      <c r="A665" s="1" t="s">
        <v>1167</v>
      </c>
      <c r="B665" s="1" t="s">
        <v>1167</v>
      </c>
      <c r="C665" s="1" t="s">
        <v>194</v>
      </c>
      <c r="E665" s="1">
        <v>5.38112E8</v>
      </c>
      <c r="F665" s="2">
        <v>41306.0</v>
      </c>
      <c r="G665" s="1" t="s">
        <v>1168</v>
      </c>
      <c r="I665" s="1" t="s">
        <v>1168</v>
      </c>
      <c r="L665" s="1" t="s">
        <v>194</v>
      </c>
      <c r="M665" s="1">
        <v>9100.0</v>
      </c>
      <c r="N665" s="1" t="s">
        <v>194</v>
      </c>
      <c r="O665" s="1">
        <v>1.38064923E8</v>
      </c>
      <c r="P665" s="1" t="s">
        <v>585</v>
      </c>
      <c r="R665" s="1" t="s">
        <v>586</v>
      </c>
      <c r="S665" s="1" t="s">
        <v>44</v>
      </c>
      <c r="T665" s="1" t="s">
        <v>45</v>
      </c>
      <c r="U665" s="1">
        <v>4.82152861E8</v>
      </c>
      <c r="W665" s="1" t="s">
        <v>44</v>
      </c>
      <c r="X665" s="1" t="s">
        <v>45</v>
      </c>
      <c r="Y665" s="1">
        <v>4.82152861E8</v>
      </c>
      <c r="Z665" s="1">
        <v>9.60742484E8</v>
      </c>
      <c r="AB665" s="1">
        <v>485829.0</v>
      </c>
      <c r="AC665" s="2">
        <v>41306.0</v>
      </c>
      <c r="AD665" s="1">
        <v>9100.0</v>
      </c>
      <c r="AE665" s="1" t="s">
        <v>194</v>
      </c>
      <c r="AF665" s="1" t="s">
        <v>1703</v>
      </c>
      <c r="AG665" s="1" t="s">
        <v>1170</v>
      </c>
      <c r="AH665" s="1">
        <v>11.0</v>
      </c>
      <c r="AI665" s="1">
        <v>2013.0</v>
      </c>
      <c r="AJ665" s="1">
        <v>2013.0</v>
      </c>
      <c r="AK665" s="1" t="s">
        <v>1171</v>
      </c>
    </row>
    <row r="666">
      <c r="A666" s="1" t="s">
        <v>1167</v>
      </c>
      <c r="B666" s="1" t="s">
        <v>1167</v>
      </c>
      <c r="C666" s="1" t="s">
        <v>194</v>
      </c>
      <c r="E666" s="1">
        <v>5.38112E8</v>
      </c>
      <c r="F666" s="2">
        <v>41297.0</v>
      </c>
      <c r="G666" s="1" t="s">
        <v>1168</v>
      </c>
      <c r="I666" s="1" t="s">
        <v>1168</v>
      </c>
      <c r="L666" s="1" t="s">
        <v>194</v>
      </c>
      <c r="M666" s="1">
        <v>9100.0</v>
      </c>
      <c r="N666" s="1" t="s">
        <v>194</v>
      </c>
      <c r="O666" s="1">
        <v>8.3082572E8</v>
      </c>
      <c r="P666" s="1" t="s">
        <v>465</v>
      </c>
      <c r="Q666" s="1" t="s">
        <v>554</v>
      </c>
      <c r="R666" s="1" t="s">
        <v>555</v>
      </c>
      <c r="S666" s="1" t="s">
        <v>44</v>
      </c>
      <c r="T666" s="1" t="s">
        <v>45</v>
      </c>
      <c r="U666" s="1">
        <v>4.82024061E8</v>
      </c>
      <c r="W666" s="1" t="s">
        <v>44</v>
      </c>
      <c r="X666" s="1" t="s">
        <v>45</v>
      </c>
      <c r="Y666" s="1">
        <v>4.82023457E8</v>
      </c>
      <c r="Z666" s="1">
        <v>1.6338926E8</v>
      </c>
      <c r="AA666" s="1" t="s">
        <v>465</v>
      </c>
      <c r="AB666" s="1">
        <v>454274.0</v>
      </c>
      <c r="AC666" s="2">
        <v>41297.0</v>
      </c>
      <c r="AD666" s="1">
        <v>9100.0</v>
      </c>
      <c r="AE666" s="1" t="s">
        <v>194</v>
      </c>
      <c r="AF666" s="1" t="s">
        <v>1704</v>
      </c>
      <c r="AG666" s="1" t="s">
        <v>1170</v>
      </c>
      <c r="AH666" s="1">
        <v>11.0</v>
      </c>
      <c r="AI666" s="1">
        <v>2013.0</v>
      </c>
      <c r="AJ666" s="1">
        <v>2013.0</v>
      </c>
      <c r="AK666" s="1" t="s">
        <v>1171</v>
      </c>
    </row>
    <row r="667">
      <c r="A667" s="1" t="s">
        <v>1167</v>
      </c>
      <c r="B667" s="1" t="s">
        <v>1167</v>
      </c>
      <c r="C667" s="1" t="s">
        <v>194</v>
      </c>
      <c r="E667" s="1">
        <v>5.38112E8</v>
      </c>
      <c r="F667" s="2">
        <v>41256.0</v>
      </c>
      <c r="G667" s="1" t="s">
        <v>1168</v>
      </c>
      <c r="I667" s="1" t="s">
        <v>1168</v>
      </c>
      <c r="L667" s="1" t="s">
        <v>194</v>
      </c>
      <c r="M667" s="1">
        <v>9100.0</v>
      </c>
      <c r="N667" s="1" t="s">
        <v>194</v>
      </c>
      <c r="O667" s="1">
        <v>9.65783199E8</v>
      </c>
      <c r="P667" s="1" t="s">
        <v>573</v>
      </c>
      <c r="R667" s="1" t="s">
        <v>574</v>
      </c>
      <c r="S667" s="1" t="s">
        <v>44</v>
      </c>
      <c r="T667" s="1" t="s">
        <v>45</v>
      </c>
      <c r="U667" s="1">
        <v>4.82092169E8</v>
      </c>
      <c r="W667" s="1" t="s">
        <v>44</v>
      </c>
      <c r="X667" s="1" t="s">
        <v>45</v>
      </c>
      <c r="Y667" s="1">
        <v>4.82092169E8</v>
      </c>
      <c r="Z667" s="1">
        <v>1.00035757E8</v>
      </c>
      <c r="AA667" s="1" t="s">
        <v>1705</v>
      </c>
      <c r="AB667" s="1">
        <v>248740.0</v>
      </c>
      <c r="AC667" s="2">
        <v>41256.0</v>
      </c>
      <c r="AD667" s="1">
        <v>9100.0</v>
      </c>
      <c r="AE667" s="1" t="s">
        <v>194</v>
      </c>
      <c r="AF667" s="1" t="s">
        <v>1706</v>
      </c>
      <c r="AG667" s="1" t="s">
        <v>1170</v>
      </c>
      <c r="AH667" s="1">
        <v>11.0</v>
      </c>
      <c r="AI667" s="1">
        <v>2013.0</v>
      </c>
      <c r="AJ667" s="1">
        <v>2013.0</v>
      </c>
      <c r="AK667" s="1" t="s">
        <v>1171</v>
      </c>
    </row>
    <row r="668">
      <c r="A668" s="1" t="s">
        <v>1167</v>
      </c>
      <c r="B668" s="1" t="s">
        <v>1167</v>
      </c>
      <c r="C668" s="1" t="s">
        <v>194</v>
      </c>
      <c r="E668" s="1">
        <v>5.38112E8</v>
      </c>
      <c r="F668" s="2">
        <v>41248.0</v>
      </c>
      <c r="G668" s="1" t="s">
        <v>1168</v>
      </c>
      <c r="I668" s="1" t="s">
        <v>1168</v>
      </c>
      <c r="L668" s="1" t="s">
        <v>194</v>
      </c>
      <c r="M668" s="1">
        <v>9100.0</v>
      </c>
      <c r="N668" s="1" t="s">
        <v>194</v>
      </c>
      <c r="O668" s="1">
        <v>9.62104118E8</v>
      </c>
      <c r="P668" s="1" t="s">
        <v>634</v>
      </c>
      <c r="R668" s="1" t="s">
        <v>635</v>
      </c>
      <c r="S668" s="1" t="s">
        <v>44</v>
      </c>
      <c r="T668" s="1" t="s">
        <v>45</v>
      </c>
      <c r="U668" s="1">
        <v>4.82351111E8</v>
      </c>
      <c r="W668" s="1" t="s">
        <v>46</v>
      </c>
      <c r="X668" s="1" t="s">
        <v>45</v>
      </c>
      <c r="Y668" s="1">
        <v>4.82351111E8</v>
      </c>
      <c r="AB668" s="1">
        <v>264721.0</v>
      </c>
      <c r="AC668" s="2">
        <v>41248.0</v>
      </c>
      <c r="AD668" s="1">
        <v>9100.0</v>
      </c>
      <c r="AE668" s="1" t="s">
        <v>194</v>
      </c>
      <c r="AF668" s="1" t="s">
        <v>1707</v>
      </c>
      <c r="AG668" s="1" t="s">
        <v>1170</v>
      </c>
      <c r="AH668" s="1">
        <v>11.0</v>
      </c>
      <c r="AI668" s="1">
        <v>2013.0</v>
      </c>
      <c r="AJ668" s="1">
        <v>2013.0</v>
      </c>
      <c r="AK668" s="1" t="s">
        <v>1171</v>
      </c>
    </row>
    <row r="669">
      <c r="A669" s="1" t="s">
        <v>1167</v>
      </c>
      <c r="B669" s="1" t="s">
        <v>1167</v>
      </c>
      <c r="C669" s="1" t="s">
        <v>194</v>
      </c>
      <c r="E669" s="1">
        <v>5.38112E8</v>
      </c>
      <c r="F669" s="2">
        <v>41240.0</v>
      </c>
      <c r="G669" s="1" t="s">
        <v>1168</v>
      </c>
      <c r="I669" s="1" t="s">
        <v>1168</v>
      </c>
      <c r="L669" s="1" t="s">
        <v>194</v>
      </c>
      <c r="M669" s="1">
        <v>9100.0</v>
      </c>
      <c r="N669" s="1" t="s">
        <v>194</v>
      </c>
      <c r="O669" s="1">
        <v>7.8346351E7</v>
      </c>
      <c r="P669" s="1" t="s">
        <v>615</v>
      </c>
      <c r="R669" s="1" t="s">
        <v>1708</v>
      </c>
      <c r="S669" s="1" t="s">
        <v>44</v>
      </c>
      <c r="T669" s="1" t="s">
        <v>45</v>
      </c>
      <c r="U669" s="1">
        <v>4.82074457E8</v>
      </c>
      <c r="W669" s="1" t="s">
        <v>46</v>
      </c>
      <c r="X669" s="1" t="s">
        <v>45</v>
      </c>
      <c r="Y669" s="1">
        <v>4.82023037E8</v>
      </c>
      <c r="Z669" s="1">
        <v>6.2226758E7</v>
      </c>
      <c r="AA669" s="1" t="s">
        <v>1709</v>
      </c>
      <c r="AB669" s="1">
        <v>5952615.0</v>
      </c>
      <c r="AC669" s="2">
        <v>41240.0</v>
      </c>
      <c r="AD669" s="1">
        <v>9100.0</v>
      </c>
      <c r="AE669" s="1" t="s">
        <v>194</v>
      </c>
      <c r="AF669" s="1" t="s">
        <v>1710</v>
      </c>
      <c r="AG669" s="1" t="s">
        <v>1170</v>
      </c>
      <c r="AH669" s="1">
        <v>11.0</v>
      </c>
      <c r="AI669" s="1">
        <v>2013.0</v>
      </c>
      <c r="AJ669" s="1">
        <v>2013.0</v>
      </c>
      <c r="AK669" s="1" t="s">
        <v>1171</v>
      </c>
    </row>
    <row r="670">
      <c r="A670" s="1" t="s">
        <v>1167</v>
      </c>
      <c r="B670" s="1" t="s">
        <v>1167</v>
      </c>
      <c r="C670" s="1" t="s">
        <v>194</v>
      </c>
      <c r="E670" s="1">
        <v>5.38112E8</v>
      </c>
      <c r="F670" s="2">
        <v>41240.0</v>
      </c>
      <c r="G670" s="1" t="s">
        <v>1168</v>
      </c>
      <c r="I670" s="1" t="s">
        <v>1168</v>
      </c>
      <c r="L670" s="1" t="s">
        <v>194</v>
      </c>
      <c r="M670" s="1">
        <v>9100.0</v>
      </c>
      <c r="N670" s="1" t="s">
        <v>194</v>
      </c>
      <c r="O670" s="1">
        <v>9.0912429E7</v>
      </c>
      <c r="P670" s="1" t="s">
        <v>521</v>
      </c>
      <c r="R670" s="1" t="s">
        <v>522</v>
      </c>
      <c r="S670" s="1" t="s">
        <v>44</v>
      </c>
      <c r="T670" s="1" t="s">
        <v>45</v>
      </c>
      <c r="U670" s="1">
        <v>4.82233314E8</v>
      </c>
      <c r="W670" s="1" t="s">
        <v>44</v>
      </c>
      <c r="X670" s="1" t="s">
        <v>45</v>
      </c>
      <c r="Y670" s="1">
        <v>4.82233314E8</v>
      </c>
      <c r="Z670" s="1">
        <v>6.8092188E7</v>
      </c>
      <c r="AA670" s="1" t="s">
        <v>1711</v>
      </c>
      <c r="AB670" s="1">
        <v>657389.0</v>
      </c>
      <c r="AC670" s="2">
        <v>41240.0</v>
      </c>
      <c r="AD670" s="1">
        <v>9100.0</v>
      </c>
      <c r="AE670" s="1" t="s">
        <v>194</v>
      </c>
      <c r="AF670" s="1" t="s">
        <v>1712</v>
      </c>
      <c r="AG670" s="1" t="s">
        <v>1170</v>
      </c>
      <c r="AH670" s="1">
        <v>11.0</v>
      </c>
      <c r="AI670" s="1">
        <v>2013.0</v>
      </c>
      <c r="AJ670" s="1">
        <v>2013.0</v>
      </c>
      <c r="AK670" s="1" t="s">
        <v>1171</v>
      </c>
    </row>
    <row r="671">
      <c r="A671" s="1" t="s">
        <v>1167</v>
      </c>
      <c r="B671" s="1" t="s">
        <v>1167</v>
      </c>
      <c r="C671" s="1" t="s">
        <v>194</v>
      </c>
      <c r="E671" s="1">
        <v>5.38112E8</v>
      </c>
      <c r="F671" s="2">
        <v>41233.0</v>
      </c>
      <c r="G671" s="1" t="s">
        <v>1168</v>
      </c>
      <c r="I671" s="1" t="s">
        <v>1168</v>
      </c>
      <c r="L671" s="1" t="s">
        <v>194</v>
      </c>
      <c r="M671" s="1">
        <v>9100.0</v>
      </c>
      <c r="N671" s="1" t="s">
        <v>194</v>
      </c>
      <c r="O671" s="1">
        <v>1.6338926E8</v>
      </c>
      <c r="P671" s="1" t="s">
        <v>465</v>
      </c>
      <c r="Q671" s="1" t="s">
        <v>598</v>
      </c>
      <c r="R671" s="1" t="s">
        <v>599</v>
      </c>
      <c r="S671" s="1" t="s">
        <v>44</v>
      </c>
      <c r="T671" s="1" t="s">
        <v>45</v>
      </c>
      <c r="U671" s="1">
        <v>4.82023457E8</v>
      </c>
      <c r="W671" s="1" t="s">
        <v>44</v>
      </c>
      <c r="X671" s="1" t="s">
        <v>45</v>
      </c>
      <c r="Y671" s="1">
        <v>4.82023457E8</v>
      </c>
      <c r="Z671" s="1">
        <v>1.6338926E8</v>
      </c>
      <c r="AA671" s="1" t="s">
        <v>465</v>
      </c>
      <c r="AB671" s="1">
        <v>1311495.0</v>
      </c>
      <c r="AC671" s="2">
        <v>41233.0</v>
      </c>
      <c r="AD671" s="1">
        <v>9100.0</v>
      </c>
      <c r="AE671" s="1" t="s">
        <v>194</v>
      </c>
      <c r="AF671" s="1" t="s">
        <v>1713</v>
      </c>
      <c r="AG671" s="1" t="s">
        <v>1170</v>
      </c>
      <c r="AH671" s="1">
        <v>11.0</v>
      </c>
      <c r="AI671" s="1">
        <v>2013.0</v>
      </c>
      <c r="AJ671" s="1">
        <v>2013.0</v>
      </c>
      <c r="AK671" s="1" t="s">
        <v>1171</v>
      </c>
    </row>
    <row r="672">
      <c r="A672" s="1" t="s">
        <v>1167</v>
      </c>
      <c r="B672" s="1" t="s">
        <v>1167</v>
      </c>
      <c r="C672" s="1" t="s">
        <v>194</v>
      </c>
      <c r="E672" s="1">
        <v>5.38112E8</v>
      </c>
      <c r="F672" s="2">
        <v>41228.0</v>
      </c>
      <c r="G672" s="1" t="s">
        <v>1168</v>
      </c>
      <c r="I672" s="1" t="s">
        <v>1168</v>
      </c>
      <c r="L672" s="1" t="s">
        <v>194</v>
      </c>
      <c r="M672" s="1">
        <v>9100.0</v>
      </c>
      <c r="N672" s="1" t="s">
        <v>194</v>
      </c>
      <c r="O672" s="1">
        <v>7.8359653E7</v>
      </c>
      <c r="P672" s="1" t="s">
        <v>469</v>
      </c>
      <c r="Q672" s="1" t="s">
        <v>1714</v>
      </c>
      <c r="R672" s="1" t="s">
        <v>470</v>
      </c>
      <c r="S672" s="1" t="s">
        <v>44</v>
      </c>
      <c r="T672" s="1" t="s">
        <v>45</v>
      </c>
      <c r="U672" s="1">
        <v>4.82122462E8</v>
      </c>
      <c r="W672" s="1" t="s">
        <v>46</v>
      </c>
      <c r="X672" s="1" t="s">
        <v>45</v>
      </c>
      <c r="Y672" s="1">
        <v>4.82122462E8</v>
      </c>
      <c r="Z672" s="1">
        <v>2.0089256E7</v>
      </c>
      <c r="AA672" s="1" t="s">
        <v>1715</v>
      </c>
      <c r="AB672" s="1">
        <v>255214.0</v>
      </c>
      <c r="AC672" s="2">
        <v>41228.0</v>
      </c>
      <c r="AD672" s="1">
        <v>9100.0</v>
      </c>
      <c r="AE672" s="1" t="s">
        <v>194</v>
      </c>
      <c r="AF672" s="1" t="s">
        <v>1716</v>
      </c>
      <c r="AG672" s="1" t="s">
        <v>1170</v>
      </c>
      <c r="AH672" s="1">
        <v>11.0</v>
      </c>
      <c r="AI672" s="1">
        <v>2013.0</v>
      </c>
      <c r="AJ672" s="1">
        <v>2013.0</v>
      </c>
      <c r="AK672" s="1" t="s">
        <v>1171</v>
      </c>
    </row>
    <row r="673">
      <c r="A673" s="1" t="s">
        <v>1167</v>
      </c>
      <c r="B673" s="1" t="s">
        <v>1167</v>
      </c>
      <c r="C673" s="1" t="s">
        <v>194</v>
      </c>
      <c r="E673" s="1">
        <v>5.38112E8</v>
      </c>
      <c r="F673" s="2">
        <v>41216.0</v>
      </c>
      <c r="G673" s="1" t="s">
        <v>1168</v>
      </c>
      <c r="I673" s="1" t="s">
        <v>1168</v>
      </c>
      <c r="L673" s="1" t="s">
        <v>194</v>
      </c>
      <c r="M673" s="1">
        <v>9100.0</v>
      </c>
      <c r="N673" s="1" t="s">
        <v>194</v>
      </c>
      <c r="O673" s="1">
        <v>7.97531279E8</v>
      </c>
      <c r="P673" s="1" t="s">
        <v>496</v>
      </c>
      <c r="R673" s="1" t="s">
        <v>497</v>
      </c>
      <c r="S673" s="1" t="s">
        <v>44</v>
      </c>
      <c r="T673" s="1" t="s">
        <v>45</v>
      </c>
      <c r="U673" s="1">
        <v>4.82123323E8</v>
      </c>
      <c r="W673" s="1" t="s">
        <v>498</v>
      </c>
      <c r="X673" s="1" t="s">
        <v>45</v>
      </c>
      <c r="Y673" s="1">
        <v>4.82123323E8</v>
      </c>
      <c r="Z673" s="1">
        <v>7496979.0</v>
      </c>
      <c r="AA673" s="1" t="s">
        <v>488</v>
      </c>
      <c r="AB673" s="1">
        <v>485427.0</v>
      </c>
      <c r="AC673" s="2">
        <v>41216.0</v>
      </c>
      <c r="AD673" s="1">
        <v>9100.0</v>
      </c>
      <c r="AE673" s="1" t="s">
        <v>194</v>
      </c>
      <c r="AF673" s="1" t="s">
        <v>1717</v>
      </c>
      <c r="AG673" s="1" t="s">
        <v>1170</v>
      </c>
      <c r="AH673" s="1">
        <v>11.0</v>
      </c>
      <c r="AI673" s="1">
        <v>2013.0</v>
      </c>
      <c r="AJ673" s="1">
        <v>2013.0</v>
      </c>
      <c r="AK673" s="1" t="s">
        <v>1171</v>
      </c>
    </row>
    <row r="674">
      <c r="A674" s="1" t="s">
        <v>1718</v>
      </c>
      <c r="B674" s="1" t="s">
        <v>1718</v>
      </c>
      <c r="C674" s="1" t="s">
        <v>224</v>
      </c>
      <c r="E674" s="1">
        <v>600000.0</v>
      </c>
      <c r="F674" s="2">
        <v>41570.0</v>
      </c>
      <c r="G674" s="1" t="s">
        <v>1719</v>
      </c>
      <c r="I674" s="1" t="s">
        <v>1719</v>
      </c>
      <c r="L674" s="1" t="s">
        <v>151</v>
      </c>
      <c r="M674" s="1">
        <v>6900.0</v>
      </c>
      <c r="N674" s="1" t="s">
        <v>151</v>
      </c>
      <c r="O674" s="1">
        <v>1.1855476E8</v>
      </c>
      <c r="P674" s="1" t="s">
        <v>983</v>
      </c>
      <c r="Q674" s="1" t="s">
        <v>984</v>
      </c>
      <c r="R674" s="1" t="s">
        <v>227</v>
      </c>
      <c r="S674" s="1" t="s">
        <v>44</v>
      </c>
      <c r="T674" s="1" t="s">
        <v>45</v>
      </c>
      <c r="U674" s="1">
        <v>4.82262886E8</v>
      </c>
      <c r="W674" s="1" t="s">
        <v>46</v>
      </c>
      <c r="X674" s="1" t="s">
        <v>45</v>
      </c>
      <c r="Y674" s="1">
        <v>4.82262886E8</v>
      </c>
      <c r="Z674" s="1">
        <v>6530661.0</v>
      </c>
      <c r="AA674" s="1" t="s">
        <v>76</v>
      </c>
      <c r="AB674" s="1">
        <v>600000.0</v>
      </c>
      <c r="AC674" s="2">
        <v>41570.0</v>
      </c>
      <c r="AD674" s="1">
        <v>6900.0</v>
      </c>
      <c r="AE674" s="1" t="s">
        <v>151</v>
      </c>
      <c r="AF674" s="1">
        <v>1.0</v>
      </c>
      <c r="AG674" s="1" t="s">
        <v>1719</v>
      </c>
      <c r="AH674" s="1">
        <v>11.0</v>
      </c>
      <c r="AI674" s="1">
        <v>2013.0</v>
      </c>
      <c r="AJ674" s="1">
        <v>2014.0</v>
      </c>
      <c r="AK674" s="1" t="s">
        <v>229</v>
      </c>
    </row>
    <row r="675">
      <c r="A675" s="1" t="s">
        <v>1720</v>
      </c>
      <c r="B675" s="1" t="s">
        <v>1720</v>
      </c>
      <c r="C675" s="1" t="s">
        <v>224</v>
      </c>
      <c r="E675" s="1">
        <v>567132.0</v>
      </c>
      <c r="F675" s="2">
        <v>41572.0</v>
      </c>
      <c r="G675" s="1" t="s">
        <v>1721</v>
      </c>
      <c r="I675" s="1" t="s">
        <v>1721</v>
      </c>
      <c r="L675" s="1" t="s">
        <v>151</v>
      </c>
      <c r="M675" s="1">
        <v>6900.0</v>
      </c>
      <c r="N675" s="1" t="s">
        <v>151</v>
      </c>
      <c r="O675" s="1">
        <v>1.1855476E8</v>
      </c>
      <c r="P675" s="1" t="s">
        <v>983</v>
      </c>
      <c r="Q675" s="1" t="s">
        <v>984</v>
      </c>
      <c r="R675" s="1" t="s">
        <v>227</v>
      </c>
      <c r="S675" s="1" t="s">
        <v>44</v>
      </c>
      <c r="T675" s="1" t="s">
        <v>45</v>
      </c>
      <c r="U675" s="1">
        <v>4.82262886E8</v>
      </c>
      <c r="W675" s="1" t="s">
        <v>46</v>
      </c>
      <c r="X675" s="1" t="s">
        <v>45</v>
      </c>
      <c r="Y675" s="1">
        <v>4.82262886E8</v>
      </c>
      <c r="Z675" s="1">
        <v>6530661.0</v>
      </c>
      <c r="AA675" s="1" t="s">
        <v>76</v>
      </c>
      <c r="AB675" s="1">
        <v>567132.35</v>
      </c>
      <c r="AC675" s="2">
        <v>41572.0</v>
      </c>
      <c r="AD675" s="1">
        <v>6900.0</v>
      </c>
      <c r="AE675" s="1" t="s">
        <v>151</v>
      </c>
      <c r="AF675" s="1">
        <v>1.0</v>
      </c>
      <c r="AG675" s="1" t="s">
        <v>1722</v>
      </c>
      <c r="AH675" s="1">
        <v>11.0</v>
      </c>
      <c r="AI675" s="1">
        <v>2013.0</v>
      </c>
      <c r="AJ675" s="1">
        <v>2014.0</v>
      </c>
      <c r="AK675" s="1" t="s">
        <v>229</v>
      </c>
    </row>
    <row r="676">
      <c r="A676" s="1" t="s">
        <v>1723</v>
      </c>
      <c r="B676" s="1" t="s">
        <v>1723</v>
      </c>
      <c r="C676" s="1" t="s">
        <v>224</v>
      </c>
      <c r="E676" s="1">
        <v>89774.0</v>
      </c>
      <c r="F676" s="2">
        <v>41565.0</v>
      </c>
      <c r="G676" s="1" t="s">
        <v>1610</v>
      </c>
      <c r="I676" s="1" t="s">
        <v>1610</v>
      </c>
      <c r="L676" s="1" t="s">
        <v>151</v>
      </c>
      <c r="M676" s="1">
        <v>6900.0</v>
      </c>
      <c r="N676" s="1" t="s">
        <v>151</v>
      </c>
      <c r="O676" s="1">
        <v>9.63886101E8</v>
      </c>
      <c r="P676" s="1" t="s">
        <v>259</v>
      </c>
      <c r="R676" s="1" t="s">
        <v>260</v>
      </c>
      <c r="S676" s="1" t="s">
        <v>44</v>
      </c>
      <c r="T676" s="1" t="s">
        <v>45</v>
      </c>
      <c r="U676" s="1">
        <v>4.8226348E8</v>
      </c>
      <c r="W676" s="1" t="s">
        <v>46</v>
      </c>
      <c r="X676" s="1" t="s">
        <v>45</v>
      </c>
      <c r="Y676" s="1">
        <v>4.8226348E8</v>
      </c>
      <c r="Z676" s="1">
        <v>7.3134884E7</v>
      </c>
      <c r="AA676" s="1" t="s">
        <v>261</v>
      </c>
      <c r="AB676" s="1">
        <v>89774.36</v>
      </c>
      <c r="AC676" s="2">
        <v>41565.0</v>
      </c>
      <c r="AD676" s="1">
        <v>6900.0</v>
      </c>
      <c r="AE676" s="1" t="s">
        <v>151</v>
      </c>
      <c r="AF676" s="1">
        <v>1.0</v>
      </c>
      <c r="AG676" s="1" t="s">
        <v>1613</v>
      </c>
      <c r="AH676" s="1">
        <v>11.0</v>
      </c>
      <c r="AI676" s="1">
        <v>2013.0</v>
      </c>
      <c r="AJ676" s="1">
        <v>2014.0</v>
      </c>
      <c r="AK676" s="1" t="s">
        <v>229</v>
      </c>
    </row>
    <row r="677">
      <c r="A677" s="1" t="s">
        <v>1724</v>
      </c>
      <c r="B677" s="1" t="s">
        <v>1724</v>
      </c>
      <c r="C677" s="1" t="s">
        <v>224</v>
      </c>
      <c r="E677" s="1">
        <v>382867.0</v>
      </c>
      <c r="F677" s="2">
        <v>41572.0</v>
      </c>
      <c r="G677" s="1" t="s">
        <v>1721</v>
      </c>
      <c r="I677" s="1" t="s">
        <v>1721</v>
      </c>
      <c r="L677" s="1" t="s">
        <v>151</v>
      </c>
      <c r="M677" s="1">
        <v>6900.0</v>
      </c>
      <c r="N677" s="1" t="s">
        <v>151</v>
      </c>
      <c r="O677" s="1">
        <v>1.1855476E8</v>
      </c>
      <c r="P677" s="1" t="s">
        <v>983</v>
      </c>
      <c r="Q677" s="1" t="s">
        <v>984</v>
      </c>
      <c r="R677" s="1" t="s">
        <v>227</v>
      </c>
      <c r="S677" s="1" t="s">
        <v>44</v>
      </c>
      <c r="T677" s="1" t="s">
        <v>45</v>
      </c>
      <c r="U677" s="1">
        <v>4.82262886E8</v>
      </c>
      <c r="W677" s="1" t="s">
        <v>46</v>
      </c>
      <c r="X677" s="1" t="s">
        <v>45</v>
      </c>
      <c r="Y677" s="1">
        <v>4.82262886E8</v>
      </c>
      <c r="Z677" s="1">
        <v>6530661.0</v>
      </c>
      <c r="AA677" s="1" t="s">
        <v>76</v>
      </c>
      <c r="AB677" s="1">
        <v>382867.65</v>
      </c>
      <c r="AC677" s="2">
        <v>41572.0</v>
      </c>
      <c r="AD677" s="1">
        <v>6900.0</v>
      </c>
      <c r="AE677" s="1" t="s">
        <v>151</v>
      </c>
      <c r="AF677" s="1">
        <v>1.0</v>
      </c>
      <c r="AG677" s="1" t="s">
        <v>1722</v>
      </c>
      <c r="AH677" s="1">
        <v>11.0</v>
      </c>
      <c r="AI677" s="1">
        <v>2013.0</v>
      </c>
      <c r="AJ677" s="1">
        <v>2014.0</v>
      </c>
      <c r="AK677" s="1" t="s">
        <v>229</v>
      </c>
    </row>
    <row r="678">
      <c r="A678" s="1" t="s">
        <v>1725</v>
      </c>
      <c r="B678" s="1" t="s">
        <v>1725</v>
      </c>
      <c r="C678" s="1" t="s">
        <v>224</v>
      </c>
      <c r="E678" s="1">
        <v>44092.0</v>
      </c>
      <c r="F678" s="2">
        <v>41565.0</v>
      </c>
      <c r="G678" s="1" t="s">
        <v>1610</v>
      </c>
      <c r="I678" s="1" t="s">
        <v>1610</v>
      </c>
      <c r="L678" s="1" t="s">
        <v>151</v>
      </c>
      <c r="M678" s="1">
        <v>6900.0</v>
      </c>
      <c r="N678" s="1" t="s">
        <v>151</v>
      </c>
      <c r="O678" s="1">
        <v>9.63886101E8</v>
      </c>
      <c r="P678" s="1" t="s">
        <v>259</v>
      </c>
      <c r="R678" s="1" t="s">
        <v>260</v>
      </c>
      <c r="S678" s="1" t="s">
        <v>44</v>
      </c>
      <c r="T678" s="1" t="s">
        <v>45</v>
      </c>
      <c r="U678" s="1">
        <v>4.8226348E8</v>
      </c>
      <c r="W678" s="1" t="s">
        <v>46</v>
      </c>
      <c r="X678" s="1" t="s">
        <v>45</v>
      </c>
      <c r="Y678" s="1">
        <v>4.8226348E8</v>
      </c>
      <c r="Z678" s="1">
        <v>7.3134884E7</v>
      </c>
      <c r="AA678" s="1" t="s">
        <v>261</v>
      </c>
      <c r="AB678" s="1">
        <v>44092.88</v>
      </c>
      <c r="AC678" s="2">
        <v>41565.0</v>
      </c>
      <c r="AD678" s="1">
        <v>6900.0</v>
      </c>
      <c r="AE678" s="1" t="s">
        <v>151</v>
      </c>
      <c r="AF678" s="1">
        <v>1.0</v>
      </c>
      <c r="AG678" s="1" t="s">
        <v>1613</v>
      </c>
      <c r="AH678" s="1">
        <v>11.0</v>
      </c>
      <c r="AI678" s="1">
        <v>2013.0</v>
      </c>
      <c r="AJ678" s="1">
        <v>2014.0</v>
      </c>
      <c r="AK678" s="1" t="s">
        <v>229</v>
      </c>
    </row>
    <row r="679">
      <c r="A679" s="1" t="s">
        <v>1426</v>
      </c>
      <c r="B679" s="1" t="s">
        <v>1426</v>
      </c>
      <c r="C679" s="1" t="s">
        <v>129</v>
      </c>
      <c r="E679" s="1">
        <v>1728394.0</v>
      </c>
      <c r="F679" s="2">
        <v>41183.0</v>
      </c>
      <c r="G679" s="1" t="s">
        <v>1427</v>
      </c>
      <c r="I679" s="1" t="s">
        <v>1427</v>
      </c>
      <c r="L679" s="1" t="s">
        <v>40</v>
      </c>
      <c r="M679" s="1">
        <v>7500.0</v>
      </c>
      <c r="N679" s="1" t="s">
        <v>40</v>
      </c>
      <c r="O679" s="1">
        <v>7.3134603E7</v>
      </c>
      <c r="P679" s="1" t="s">
        <v>41</v>
      </c>
      <c r="Q679" s="1" t="s">
        <v>252</v>
      </c>
      <c r="R679" s="1" t="s">
        <v>253</v>
      </c>
      <c r="S679" s="1" t="s">
        <v>44</v>
      </c>
      <c r="T679" s="1" t="s">
        <v>45</v>
      </c>
      <c r="U679" s="1">
        <v>4.8202345E8</v>
      </c>
      <c r="W679" s="1" t="s">
        <v>46</v>
      </c>
      <c r="X679" s="1" t="s">
        <v>45</v>
      </c>
      <c r="Y679" s="1">
        <v>4.8202345E8</v>
      </c>
      <c r="Z679" s="1">
        <v>7.3134603E7</v>
      </c>
      <c r="AA679" s="1" t="s">
        <v>41</v>
      </c>
      <c r="AB679" s="1">
        <v>100000.0</v>
      </c>
      <c r="AC679" s="2">
        <v>41183.0</v>
      </c>
      <c r="AD679" s="1">
        <v>7500.0</v>
      </c>
      <c r="AE679" s="1" t="s">
        <v>40</v>
      </c>
      <c r="AF679" s="1">
        <v>2.0130119E7</v>
      </c>
      <c r="AG679" s="1" t="s">
        <v>1430</v>
      </c>
      <c r="AH679" s="1">
        <v>10.0</v>
      </c>
      <c r="AI679" s="1">
        <v>2010.0</v>
      </c>
      <c r="AJ679" s="1">
        <v>2013.0</v>
      </c>
      <c r="AK679" s="1" t="s">
        <v>1431</v>
      </c>
    </row>
    <row r="680">
      <c r="A680" s="1" t="s">
        <v>49</v>
      </c>
      <c r="B680" s="1" t="s">
        <v>49</v>
      </c>
      <c r="C680" s="1" t="s">
        <v>50</v>
      </c>
      <c r="E680" s="1">
        <v>1532243.0</v>
      </c>
      <c r="F680" s="2">
        <v>41562.0</v>
      </c>
      <c r="G680" s="1" t="s">
        <v>51</v>
      </c>
      <c r="I680" s="1" t="s">
        <v>51</v>
      </c>
      <c r="L680" s="1" t="s">
        <v>50</v>
      </c>
      <c r="M680" s="1">
        <v>8900.0</v>
      </c>
      <c r="N680" s="1" t="s">
        <v>50</v>
      </c>
      <c r="O680" s="1">
        <v>1962224.0</v>
      </c>
      <c r="P680" s="1" t="s">
        <v>52</v>
      </c>
      <c r="R680" s="1" t="s">
        <v>53</v>
      </c>
      <c r="S680" s="1" t="s">
        <v>44</v>
      </c>
      <c r="T680" s="1" t="s">
        <v>45</v>
      </c>
      <c r="U680" s="1">
        <v>4.82023692E8</v>
      </c>
      <c r="W680" s="1" t="s">
        <v>46</v>
      </c>
      <c r="X680" s="1" t="s">
        <v>45</v>
      </c>
      <c r="Y680" s="1">
        <v>4.8202405E8</v>
      </c>
      <c r="Z680" s="1">
        <v>1962224.0</v>
      </c>
      <c r="AA680" s="1" t="s">
        <v>52</v>
      </c>
      <c r="AB680" s="1">
        <v>25009.74</v>
      </c>
      <c r="AC680" s="2">
        <v>41562.0</v>
      </c>
      <c r="AD680" s="1">
        <v>8900.0</v>
      </c>
      <c r="AE680" s="1" t="s">
        <v>50</v>
      </c>
      <c r="AF680" s="1" t="s">
        <v>1726</v>
      </c>
      <c r="AG680" s="1" t="s">
        <v>1727</v>
      </c>
      <c r="AH680" s="1">
        <v>11.0</v>
      </c>
      <c r="AI680" s="1">
        <v>2013.0</v>
      </c>
      <c r="AJ680" s="1">
        <v>2014.0</v>
      </c>
      <c r="AK680" s="1" t="s">
        <v>56</v>
      </c>
    </row>
    <row r="681">
      <c r="A681" s="1" t="s">
        <v>1728</v>
      </c>
      <c r="B681" s="1" t="s">
        <v>1728</v>
      </c>
      <c r="C681" s="1" t="s">
        <v>224</v>
      </c>
      <c r="E681" s="1">
        <v>317168.0</v>
      </c>
      <c r="F681" s="2">
        <v>41698.0</v>
      </c>
      <c r="G681" s="1" t="s">
        <v>1729</v>
      </c>
      <c r="I681" s="1" t="s">
        <v>1729</v>
      </c>
      <c r="L681" s="1" t="s">
        <v>151</v>
      </c>
      <c r="M681" s="1">
        <v>6900.0</v>
      </c>
      <c r="N681" s="1" t="s">
        <v>151</v>
      </c>
      <c r="O681" s="1">
        <v>1.1855476E8</v>
      </c>
      <c r="P681" s="1" t="s">
        <v>983</v>
      </c>
      <c r="Q681" s="1" t="s">
        <v>984</v>
      </c>
      <c r="R681" s="1" t="s">
        <v>227</v>
      </c>
      <c r="S681" s="1" t="s">
        <v>44</v>
      </c>
      <c r="T681" s="1" t="s">
        <v>45</v>
      </c>
      <c r="U681" s="1">
        <v>4.82262886E8</v>
      </c>
      <c r="W681" s="1" t="s">
        <v>46</v>
      </c>
      <c r="X681" s="1" t="s">
        <v>45</v>
      </c>
      <c r="Y681" s="1">
        <v>4.82262886E8</v>
      </c>
      <c r="Z681" s="1">
        <v>6530661.0</v>
      </c>
      <c r="AA681" s="1" t="s">
        <v>76</v>
      </c>
      <c r="AB681" s="1">
        <v>317168.75</v>
      </c>
      <c r="AC681" s="2">
        <v>41698.0</v>
      </c>
      <c r="AD681" s="1">
        <v>6900.0</v>
      </c>
      <c r="AE681" s="1" t="s">
        <v>151</v>
      </c>
      <c r="AF681" s="1">
        <v>1.0</v>
      </c>
      <c r="AG681" s="1" t="s">
        <v>1730</v>
      </c>
      <c r="AH681" s="1">
        <v>2.0</v>
      </c>
      <c r="AI681" s="1">
        <v>2014.0</v>
      </c>
      <c r="AJ681" s="1">
        <v>2014.0</v>
      </c>
      <c r="AK681" s="1" t="s">
        <v>229</v>
      </c>
    </row>
    <row r="682">
      <c r="A682" s="1" t="s">
        <v>1731</v>
      </c>
      <c r="B682" s="1" t="s">
        <v>1731</v>
      </c>
      <c r="C682" s="1" t="s">
        <v>224</v>
      </c>
      <c r="E682" s="1">
        <v>169407.0</v>
      </c>
      <c r="F682" s="2">
        <v>41683.0</v>
      </c>
      <c r="G682" s="1" t="s">
        <v>1732</v>
      </c>
      <c r="I682" s="1" t="s">
        <v>1732</v>
      </c>
      <c r="L682" s="1" t="s">
        <v>151</v>
      </c>
      <c r="M682" s="1">
        <v>6900.0</v>
      </c>
      <c r="N682" s="1" t="s">
        <v>151</v>
      </c>
      <c r="O682" s="1">
        <v>9.63886101E8</v>
      </c>
      <c r="P682" s="1" t="s">
        <v>259</v>
      </c>
      <c r="R682" s="1" t="s">
        <v>260</v>
      </c>
      <c r="S682" s="1" t="s">
        <v>44</v>
      </c>
      <c r="T682" s="1" t="s">
        <v>45</v>
      </c>
      <c r="U682" s="1">
        <v>4.8226348E8</v>
      </c>
      <c r="W682" s="1" t="s">
        <v>1733</v>
      </c>
      <c r="X682" s="1" t="s">
        <v>45</v>
      </c>
      <c r="Y682" s="1">
        <v>4.8226348E8</v>
      </c>
      <c r="Z682" s="1">
        <v>7.3134884E7</v>
      </c>
      <c r="AA682" s="1" t="s">
        <v>261</v>
      </c>
      <c r="AB682" s="1">
        <v>169407.61</v>
      </c>
      <c r="AC682" s="2">
        <v>41683.0</v>
      </c>
      <c r="AD682" s="1">
        <v>6900.0</v>
      </c>
      <c r="AE682" s="1" t="s">
        <v>151</v>
      </c>
      <c r="AF682" s="1">
        <v>1.0</v>
      </c>
      <c r="AG682" s="1" t="s">
        <v>1734</v>
      </c>
      <c r="AH682" s="1">
        <v>2.0</v>
      </c>
      <c r="AI682" s="1">
        <v>2014.0</v>
      </c>
      <c r="AJ682" s="1">
        <v>2014.0</v>
      </c>
      <c r="AK682" s="1" t="s">
        <v>229</v>
      </c>
    </row>
    <row r="683">
      <c r="A683" s="1" t="s">
        <v>1735</v>
      </c>
      <c r="B683" s="1" t="s">
        <v>1735</v>
      </c>
      <c r="C683" s="1" t="s">
        <v>224</v>
      </c>
      <c r="E683" s="1">
        <v>914206.0</v>
      </c>
      <c r="F683" s="2">
        <v>41683.0</v>
      </c>
      <c r="G683" s="1" t="s">
        <v>1732</v>
      </c>
      <c r="I683" s="1" t="s">
        <v>1732</v>
      </c>
      <c r="L683" s="1" t="s">
        <v>151</v>
      </c>
      <c r="M683" s="1">
        <v>6900.0</v>
      </c>
      <c r="N683" s="1" t="s">
        <v>151</v>
      </c>
      <c r="O683" s="1">
        <v>9.63886101E8</v>
      </c>
      <c r="P683" s="1" t="s">
        <v>259</v>
      </c>
      <c r="R683" s="1" t="s">
        <v>260</v>
      </c>
      <c r="S683" s="1" t="s">
        <v>44</v>
      </c>
      <c r="T683" s="1" t="s">
        <v>45</v>
      </c>
      <c r="U683" s="1">
        <v>4.8226348E8</v>
      </c>
      <c r="W683" s="1" t="s">
        <v>1733</v>
      </c>
      <c r="X683" s="1" t="s">
        <v>45</v>
      </c>
      <c r="Y683" s="1">
        <v>4.8226348E8</v>
      </c>
      <c r="Z683" s="1">
        <v>7.3134884E7</v>
      </c>
      <c r="AA683" s="1" t="s">
        <v>261</v>
      </c>
      <c r="AB683" s="1">
        <v>914206.6</v>
      </c>
      <c r="AC683" s="2">
        <v>41683.0</v>
      </c>
      <c r="AD683" s="1">
        <v>6900.0</v>
      </c>
      <c r="AE683" s="1" t="s">
        <v>151</v>
      </c>
      <c r="AF683" s="1">
        <v>1.0</v>
      </c>
      <c r="AG683" s="1" t="s">
        <v>1734</v>
      </c>
      <c r="AH683" s="1">
        <v>2.0</v>
      </c>
      <c r="AI683" s="1">
        <v>2014.0</v>
      </c>
      <c r="AJ683" s="1">
        <v>2014.0</v>
      </c>
      <c r="AK683" s="1" t="s">
        <v>229</v>
      </c>
    </row>
    <row r="684">
      <c r="A684" s="1" t="s">
        <v>1736</v>
      </c>
      <c r="B684" s="1" t="s">
        <v>1736</v>
      </c>
      <c r="C684" s="1" t="s">
        <v>224</v>
      </c>
      <c r="E684" s="1">
        <v>86782.0</v>
      </c>
      <c r="F684" s="2">
        <v>41683.0</v>
      </c>
      <c r="G684" s="1" t="s">
        <v>1737</v>
      </c>
      <c r="I684" s="1" t="s">
        <v>1737</v>
      </c>
      <c r="L684" s="1" t="s">
        <v>151</v>
      </c>
      <c r="M684" s="1">
        <v>6900.0</v>
      </c>
      <c r="N684" s="1" t="s">
        <v>151</v>
      </c>
      <c r="O684" s="1">
        <v>1.1855476E8</v>
      </c>
      <c r="P684" s="1" t="s">
        <v>983</v>
      </c>
      <c r="Q684" s="1" t="s">
        <v>984</v>
      </c>
      <c r="R684" s="1" t="s">
        <v>227</v>
      </c>
      <c r="S684" s="1" t="s">
        <v>44</v>
      </c>
      <c r="T684" s="1" t="s">
        <v>45</v>
      </c>
      <c r="U684" s="1">
        <v>4.82262886E8</v>
      </c>
      <c r="W684" s="1" t="s">
        <v>46</v>
      </c>
      <c r="X684" s="1" t="s">
        <v>45</v>
      </c>
      <c r="Y684" s="1">
        <v>4.82262886E8</v>
      </c>
      <c r="Z684" s="1">
        <v>6530661.0</v>
      </c>
      <c r="AA684" s="1" t="s">
        <v>76</v>
      </c>
      <c r="AB684" s="1">
        <v>86782.61</v>
      </c>
      <c r="AC684" s="2">
        <v>41683.0</v>
      </c>
      <c r="AD684" s="1">
        <v>6900.0</v>
      </c>
      <c r="AE684" s="1" t="s">
        <v>151</v>
      </c>
      <c r="AF684" s="1">
        <v>1.0</v>
      </c>
      <c r="AG684" s="1" t="s">
        <v>1738</v>
      </c>
      <c r="AH684" s="1">
        <v>2.0</v>
      </c>
      <c r="AI684" s="1">
        <v>2014.0</v>
      </c>
      <c r="AJ684" s="1">
        <v>2014.0</v>
      </c>
      <c r="AK684" s="1" t="s">
        <v>229</v>
      </c>
    </row>
    <row r="685">
      <c r="A685" s="1" t="s">
        <v>1739</v>
      </c>
      <c r="B685" s="1" t="s">
        <v>1739</v>
      </c>
      <c r="C685" s="1" t="s">
        <v>1740</v>
      </c>
      <c r="E685" s="1">
        <v>50000.0</v>
      </c>
      <c r="F685" s="2">
        <v>41677.0</v>
      </c>
      <c r="G685" s="1" t="s">
        <v>1741</v>
      </c>
      <c r="I685" s="1" t="s">
        <v>1741</v>
      </c>
      <c r="L685" s="1" t="s">
        <v>1305</v>
      </c>
      <c r="M685" s="1">
        <v>1300.0</v>
      </c>
      <c r="N685" s="1" t="s">
        <v>1305</v>
      </c>
      <c r="O685" s="1">
        <v>1962224.0</v>
      </c>
      <c r="P685" s="1" t="s">
        <v>52</v>
      </c>
      <c r="Q685" s="1" t="s">
        <v>1566</v>
      </c>
      <c r="R685" s="1" t="s">
        <v>53</v>
      </c>
      <c r="S685" s="1" t="s">
        <v>44</v>
      </c>
      <c r="T685" s="1" t="s">
        <v>45</v>
      </c>
      <c r="U685" s="1">
        <v>4.82023692E8</v>
      </c>
      <c r="W685" s="1" t="s">
        <v>46</v>
      </c>
      <c r="X685" s="1" t="s">
        <v>45</v>
      </c>
      <c r="Y685" s="1">
        <v>4.8202405E8</v>
      </c>
      <c r="Z685" s="1">
        <v>1962224.0</v>
      </c>
      <c r="AA685" s="1" t="s">
        <v>52</v>
      </c>
      <c r="AB685" s="1">
        <v>25000.0</v>
      </c>
      <c r="AC685" s="2">
        <v>41677.0</v>
      </c>
      <c r="AD685" s="1">
        <v>1300.0</v>
      </c>
      <c r="AE685" s="1" t="s">
        <v>1305</v>
      </c>
      <c r="AF685" s="1" t="s">
        <v>1742</v>
      </c>
      <c r="AG685" s="1" t="s">
        <v>1743</v>
      </c>
      <c r="AH685" s="1">
        <v>3.0</v>
      </c>
      <c r="AI685" s="1">
        <v>2014.0</v>
      </c>
      <c r="AJ685" s="1">
        <v>2014.0</v>
      </c>
      <c r="AK685" s="1" t="s">
        <v>1744</v>
      </c>
    </row>
    <row r="686">
      <c r="A686" s="1" t="s">
        <v>1745</v>
      </c>
      <c r="B686" s="1" t="s">
        <v>1745</v>
      </c>
      <c r="C686" s="1" t="s">
        <v>38</v>
      </c>
      <c r="E686" s="1">
        <v>727923.0</v>
      </c>
      <c r="F686" s="2">
        <v>41732.0</v>
      </c>
      <c r="G686" s="1" t="s">
        <v>1746</v>
      </c>
      <c r="I686" s="1" t="s">
        <v>1746</v>
      </c>
      <c r="L686" s="1" t="s">
        <v>40</v>
      </c>
      <c r="M686" s="1">
        <v>7500.0</v>
      </c>
      <c r="N686" s="1" t="s">
        <v>40</v>
      </c>
      <c r="O686" s="1">
        <v>1962224.0</v>
      </c>
      <c r="P686" s="1" t="s">
        <v>52</v>
      </c>
      <c r="Q686" s="1" t="s">
        <v>1566</v>
      </c>
      <c r="R686" s="1" t="s">
        <v>53</v>
      </c>
      <c r="S686" s="1" t="s">
        <v>44</v>
      </c>
      <c r="T686" s="1" t="s">
        <v>45</v>
      </c>
      <c r="U686" s="1">
        <v>4.82023692E8</v>
      </c>
      <c r="W686" s="1" t="s">
        <v>46</v>
      </c>
      <c r="X686" s="1" t="s">
        <v>45</v>
      </c>
      <c r="Y686" s="1">
        <v>4.8201205E8</v>
      </c>
      <c r="Z686" s="1">
        <v>1962224.0</v>
      </c>
      <c r="AA686" s="1" t="s">
        <v>52</v>
      </c>
      <c r="AB686" s="1">
        <v>30120.0</v>
      </c>
      <c r="AC686" s="2">
        <v>41732.0</v>
      </c>
      <c r="AD686" s="1">
        <v>7500.0</v>
      </c>
      <c r="AE686" s="1" t="s">
        <v>40</v>
      </c>
      <c r="AF686" s="1" t="s">
        <v>1747</v>
      </c>
      <c r="AG686" s="1" t="s">
        <v>1748</v>
      </c>
      <c r="AH686" s="1">
        <v>4.0</v>
      </c>
      <c r="AI686" s="1">
        <v>2014.0</v>
      </c>
      <c r="AJ686" s="1">
        <v>2014.0</v>
      </c>
      <c r="AK686" s="1" t="s">
        <v>1749</v>
      </c>
    </row>
    <row r="687">
      <c r="A687" s="1" t="s">
        <v>203</v>
      </c>
      <c r="B687" s="1" t="s">
        <v>203</v>
      </c>
      <c r="C687" s="1" t="s">
        <v>100</v>
      </c>
      <c r="E687" s="1">
        <v>2.2173386E7</v>
      </c>
      <c r="F687" s="2">
        <v>41675.0</v>
      </c>
      <c r="G687" s="1" t="s">
        <v>122</v>
      </c>
      <c r="I687" s="1" t="s">
        <v>122</v>
      </c>
      <c r="L687" s="1" t="s">
        <v>102</v>
      </c>
      <c r="M687" s="1">
        <v>8600.0</v>
      </c>
      <c r="N687" s="1" t="s">
        <v>102</v>
      </c>
      <c r="O687" s="1">
        <v>9.64523815E8</v>
      </c>
      <c r="P687" s="1" t="s">
        <v>123</v>
      </c>
      <c r="Q687" s="1" t="s">
        <v>124</v>
      </c>
      <c r="R687" s="1" t="s">
        <v>125</v>
      </c>
      <c r="S687" s="1" t="s">
        <v>44</v>
      </c>
      <c r="T687" s="1" t="s">
        <v>45</v>
      </c>
      <c r="U687" s="1">
        <v>4.82231227E8</v>
      </c>
      <c r="W687" s="1" t="s">
        <v>46</v>
      </c>
      <c r="X687" s="1" t="s">
        <v>45</v>
      </c>
      <c r="Y687" s="1">
        <v>4.82231227E8</v>
      </c>
      <c r="AB687" s="1">
        <v>25000.0</v>
      </c>
      <c r="AC687" s="2">
        <v>41675.0</v>
      </c>
      <c r="AD687" s="1">
        <v>8600.0</v>
      </c>
      <c r="AE687" s="1" t="s">
        <v>102</v>
      </c>
      <c r="AF687" s="1" t="s">
        <v>1750</v>
      </c>
      <c r="AG687" s="1" t="s">
        <v>1751</v>
      </c>
      <c r="AH687" s="1">
        <v>2.0</v>
      </c>
      <c r="AI687" s="1">
        <v>2014.0</v>
      </c>
      <c r="AJ687" s="1">
        <v>2014.0</v>
      </c>
      <c r="AK687" s="1" t="s">
        <v>127</v>
      </c>
    </row>
    <row r="688">
      <c r="A688" s="1" t="s">
        <v>1752</v>
      </c>
      <c r="B688" s="1" t="s">
        <v>1752</v>
      </c>
      <c r="C688" s="1" t="s">
        <v>224</v>
      </c>
      <c r="E688" s="1">
        <v>565717.0</v>
      </c>
      <c r="F688" s="2">
        <v>41683.0</v>
      </c>
      <c r="G688" s="1" t="s">
        <v>1737</v>
      </c>
      <c r="I688" s="1" t="s">
        <v>1737</v>
      </c>
      <c r="L688" s="1" t="s">
        <v>151</v>
      </c>
      <c r="M688" s="1">
        <v>6900.0</v>
      </c>
      <c r="N688" s="1" t="s">
        <v>151</v>
      </c>
      <c r="O688" s="1">
        <v>1.1855476E8</v>
      </c>
      <c r="P688" s="1" t="s">
        <v>983</v>
      </c>
      <c r="Q688" s="1" t="s">
        <v>984</v>
      </c>
      <c r="R688" s="1" t="s">
        <v>227</v>
      </c>
      <c r="S688" s="1" t="s">
        <v>44</v>
      </c>
      <c r="T688" s="1" t="s">
        <v>45</v>
      </c>
      <c r="U688" s="1">
        <v>4.82262886E8</v>
      </c>
      <c r="W688" s="1" t="s">
        <v>46</v>
      </c>
      <c r="X688" s="1" t="s">
        <v>45</v>
      </c>
      <c r="Y688" s="1">
        <v>4.82262886E8</v>
      </c>
      <c r="Z688" s="1">
        <v>6530661.0</v>
      </c>
      <c r="AA688" s="1" t="s">
        <v>76</v>
      </c>
      <c r="AB688" s="1">
        <v>565717.39</v>
      </c>
      <c r="AC688" s="2">
        <v>41683.0</v>
      </c>
      <c r="AD688" s="1">
        <v>6900.0</v>
      </c>
      <c r="AE688" s="1" t="s">
        <v>151</v>
      </c>
      <c r="AF688" s="1">
        <v>1.0</v>
      </c>
      <c r="AG688" s="1" t="s">
        <v>1738</v>
      </c>
      <c r="AH688" s="1">
        <v>2.0</v>
      </c>
      <c r="AI688" s="1">
        <v>2014.0</v>
      </c>
      <c r="AJ688" s="1">
        <v>2014.0</v>
      </c>
      <c r="AK688" s="1" t="s">
        <v>229</v>
      </c>
    </row>
    <row r="689">
      <c r="A689" s="1" t="s">
        <v>1753</v>
      </c>
      <c r="B689" s="1" t="s">
        <v>1753</v>
      </c>
      <c r="C689" s="1" t="s">
        <v>224</v>
      </c>
      <c r="E689" s="1">
        <v>1788422.0</v>
      </c>
      <c r="F689" s="2">
        <v>41698.0</v>
      </c>
      <c r="G689" s="1" t="s">
        <v>1729</v>
      </c>
      <c r="I689" s="1" t="s">
        <v>1729</v>
      </c>
      <c r="L689" s="1" t="s">
        <v>151</v>
      </c>
      <c r="M689" s="1">
        <v>6900.0</v>
      </c>
      <c r="N689" s="1" t="s">
        <v>151</v>
      </c>
      <c r="O689" s="1">
        <v>1.1855476E8</v>
      </c>
      <c r="P689" s="1" t="s">
        <v>983</v>
      </c>
      <c r="Q689" s="1" t="s">
        <v>984</v>
      </c>
      <c r="R689" s="1" t="s">
        <v>227</v>
      </c>
      <c r="S689" s="1" t="s">
        <v>44</v>
      </c>
      <c r="T689" s="1" t="s">
        <v>45</v>
      </c>
      <c r="U689" s="1">
        <v>4.82262886E8</v>
      </c>
      <c r="W689" s="1" t="s">
        <v>46</v>
      </c>
      <c r="X689" s="1" t="s">
        <v>45</v>
      </c>
      <c r="Y689" s="1">
        <v>4.82262886E8</v>
      </c>
      <c r="Z689" s="1">
        <v>6530661.0</v>
      </c>
      <c r="AA689" s="1" t="s">
        <v>76</v>
      </c>
      <c r="AB689" s="1">
        <v>1788422.5</v>
      </c>
      <c r="AC689" s="2">
        <v>41698.0</v>
      </c>
      <c r="AD689" s="1">
        <v>6900.0</v>
      </c>
      <c r="AE689" s="1" t="s">
        <v>151</v>
      </c>
      <c r="AF689" s="1">
        <v>1.0</v>
      </c>
      <c r="AG689" s="1" t="s">
        <v>1730</v>
      </c>
      <c r="AH689" s="1">
        <v>2.0</v>
      </c>
      <c r="AI689" s="1">
        <v>2014.0</v>
      </c>
      <c r="AJ689" s="1">
        <v>2014.0</v>
      </c>
      <c r="AK689" s="1" t="s">
        <v>229</v>
      </c>
    </row>
    <row r="690">
      <c r="A690" s="1" t="s">
        <v>1754</v>
      </c>
      <c r="B690" s="1" t="s">
        <v>1754</v>
      </c>
      <c r="C690" s="1" t="s">
        <v>224</v>
      </c>
      <c r="E690" s="1">
        <v>418100.0</v>
      </c>
      <c r="F690" s="2">
        <v>41680.0</v>
      </c>
      <c r="G690" s="1" t="s">
        <v>1755</v>
      </c>
      <c r="I690" s="1" t="s">
        <v>1755</v>
      </c>
      <c r="L690" s="1" t="s">
        <v>151</v>
      </c>
      <c r="M690" s="1">
        <v>6900.0</v>
      </c>
      <c r="N690" s="1" t="s">
        <v>151</v>
      </c>
      <c r="O690" s="1">
        <v>1.1855476E8</v>
      </c>
      <c r="P690" s="1" t="s">
        <v>983</v>
      </c>
      <c r="Q690" s="1" t="s">
        <v>984</v>
      </c>
      <c r="R690" s="1" t="s">
        <v>227</v>
      </c>
      <c r="S690" s="1" t="s">
        <v>44</v>
      </c>
      <c r="T690" s="1" t="s">
        <v>45</v>
      </c>
      <c r="U690" s="1">
        <v>4.82262886E8</v>
      </c>
      <c r="W690" s="1" t="s">
        <v>46</v>
      </c>
      <c r="X690" s="1" t="s">
        <v>45</v>
      </c>
      <c r="Y690" s="1">
        <v>4.82262886E8</v>
      </c>
      <c r="Z690" s="1">
        <v>6530661.0</v>
      </c>
      <c r="AA690" s="1" t="s">
        <v>76</v>
      </c>
      <c r="AB690" s="1">
        <v>418100.42</v>
      </c>
      <c r="AC690" s="2">
        <v>41680.0</v>
      </c>
      <c r="AD690" s="1">
        <v>6900.0</v>
      </c>
      <c r="AE690" s="1" t="s">
        <v>151</v>
      </c>
      <c r="AF690" s="1">
        <v>1.0</v>
      </c>
      <c r="AG690" s="1" t="s">
        <v>1756</v>
      </c>
      <c r="AH690" s="1">
        <v>2.0</v>
      </c>
      <c r="AI690" s="1">
        <v>2014.0</v>
      </c>
      <c r="AJ690" s="1">
        <v>2014.0</v>
      </c>
      <c r="AK690" s="1" t="s">
        <v>229</v>
      </c>
    </row>
    <row r="691">
      <c r="A691" s="1" t="s">
        <v>1757</v>
      </c>
      <c r="B691" s="1" t="s">
        <v>1757</v>
      </c>
      <c r="C691" s="1" t="s">
        <v>224</v>
      </c>
      <c r="E691" s="1">
        <v>137837.0</v>
      </c>
      <c r="F691" s="2">
        <v>41683.0</v>
      </c>
      <c r="G691" s="1" t="s">
        <v>1732</v>
      </c>
      <c r="I691" s="1" t="s">
        <v>1732</v>
      </c>
      <c r="L691" s="1" t="s">
        <v>151</v>
      </c>
      <c r="M691" s="1">
        <v>6900.0</v>
      </c>
      <c r="N691" s="1" t="s">
        <v>151</v>
      </c>
      <c r="O691" s="1">
        <v>9.63886101E8</v>
      </c>
      <c r="P691" s="1" t="s">
        <v>259</v>
      </c>
      <c r="R691" s="1" t="s">
        <v>260</v>
      </c>
      <c r="S691" s="1" t="s">
        <v>44</v>
      </c>
      <c r="T691" s="1" t="s">
        <v>45</v>
      </c>
      <c r="U691" s="1">
        <v>4.8226348E8</v>
      </c>
      <c r="W691" s="1" t="s">
        <v>1733</v>
      </c>
      <c r="X691" s="1" t="s">
        <v>45</v>
      </c>
      <c r="Y691" s="1">
        <v>4.8226348E8</v>
      </c>
      <c r="Z691" s="1">
        <v>7.3134884E7</v>
      </c>
      <c r="AA691" s="1" t="s">
        <v>261</v>
      </c>
      <c r="AB691" s="1">
        <v>137837.84</v>
      </c>
      <c r="AC691" s="2">
        <v>41683.0</v>
      </c>
      <c r="AD691" s="1">
        <v>6900.0</v>
      </c>
      <c r="AE691" s="1" t="s">
        <v>151</v>
      </c>
      <c r="AF691" s="1">
        <v>1.0</v>
      </c>
      <c r="AG691" s="1" t="s">
        <v>1734</v>
      </c>
      <c r="AH691" s="1">
        <v>2.0</v>
      </c>
      <c r="AI691" s="1">
        <v>2014.0</v>
      </c>
      <c r="AJ691" s="1">
        <v>2014.0</v>
      </c>
      <c r="AK691" s="1" t="s">
        <v>229</v>
      </c>
    </row>
    <row r="692">
      <c r="A692" s="1" t="s">
        <v>1758</v>
      </c>
      <c r="B692" s="1" t="s">
        <v>1758</v>
      </c>
      <c r="C692" s="1" t="s">
        <v>224</v>
      </c>
      <c r="E692" s="1">
        <v>1123592.0</v>
      </c>
      <c r="F692" s="2">
        <v>41683.0</v>
      </c>
      <c r="G692" s="1" t="s">
        <v>1732</v>
      </c>
      <c r="I692" s="1" t="s">
        <v>1732</v>
      </c>
      <c r="L692" s="1" t="s">
        <v>151</v>
      </c>
      <c r="M692" s="1">
        <v>6900.0</v>
      </c>
      <c r="N692" s="1" t="s">
        <v>151</v>
      </c>
      <c r="O692" s="1">
        <v>9.63886101E8</v>
      </c>
      <c r="P692" s="1" t="s">
        <v>259</v>
      </c>
      <c r="R692" s="1" t="s">
        <v>260</v>
      </c>
      <c r="S692" s="1" t="s">
        <v>44</v>
      </c>
      <c r="T692" s="1" t="s">
        <v>45</v>
      </c>
      <c r="U692" s="1">
        <v>4.8226348E8</v>
      </c>
      <c r="W692" s="1" t="s">
        <v>46</v>
      </c>
      <c r="X692" s="1" t="s">
        <v>45</v>
      </c>
      <c r="Y692" s="1">
        <v>4.8226348E8</v>
      </c>
      <c r="Z692" s="1">
        <v>7.3134884E7</v>
      </c>
      <c r="AA692" s="1" t="s">
        <v>261</v>
      </c>
      <c r="AB692" s="1">
        <v>1123592.39</v>
      </c>
      <c r="AC692" s="2">
        <v>41683.0</v>
      </c>
      <c r="AD692" s="1">
        <v>6900.0</v>
      </c>
      <c r="AE692" s="1" t="s">
        <v>151</v>
      </c>
      <c r="AF692" s="1">
        <v>1.0</v>
      </c>
      <c r="AG692" s="1" t="s">
        <v>1759</v>
      </c>
      <c r="AH692" s="1">
        <v>2.0</v>
      </c>
      <c r="AI692" s="1">
        <v>2014.0</v>
      </c>
      <c r="AJ692" s="1">
        <v>2014.0</v>
      </c>
      <c r="AK692" s="1" t="s">
        <v>229</v>
      </c>
    </row>
    <row r="693">
      <c r="A693" s="1" t="s">
        <v>1760</v>
      </c>
      <c r="B693" s="1" t="s">
        <v>1760</v>
      </c>
      <c r="C693" s="1" t="s">
        <v>224</v>
      </c>
      <c r="E693" s="1">
        <v>468000.0</v>
      </c>
      <c r="F693" s="2">
        <v>41680.0</v>
      </c>
      <c r="G693" s="1" t="s">
        <v>1761</v>
      </c>
      <c r="I693" s="1" t="s">
        <v>1761</v>
      </c>
      <c r="L693" s="1" t="s">
        <v>151</v>
      </c>
      <c r="M693" s="1">
        <v>6900.0</v>
      </c>
      <c r="N693" s="1" t="s">
        <v>151</v>
      </c>
      <c r="O693" s="1">
        <v>1.1855476E8</v>
      </c>
      <c r="P693" s="1" t="s">
        <v>983</v>
      </c>
      <c r="Q693" s="1" t="s">
        <v>984</v>
      </c>
      <c r="R693" s="1" t="s">
        <v>227</v>
      </c>
      <c r="S693" s="1" t="s">
        <v>44</v>
      </c>
      <c r="T693" s="1" t="s">
        <v>45</v>
      </c>
      <c r="U693" s="1">
        <v>4.82262886E8</v>
      </c>
      <c r="W693" s="1" t="s">
        <v>46</v>
      </c>
      <c r="X693" s="1" t="s">
        <v>45</v>
      </c>
      <c r="Y693" s="1">
        <v>4.82262886E8</v>
      </c>
      <c r="Z693" s="1">
        <v>6530661.0</v>
      </c>
      <c r="AA693" s="1" t="s">
        <v>76</v>
      </c>
      <c r="AB693" s="1">
        <v>468000.0</v>
      </c>
      <c r="AC693" s="2">
        <v>41680.0</v>
      </c>
      <c r="AD693" s="1">
        <v>6900.0</v>
      </c>
      <c r="AE693" s="1" t="s">
        <v>151</v>
      </c>
      <c r="AF693" s="1">
        <v>1.0</v>
      </c>
      <c r="AG693" s="1" t="s">
        <v>1762</v>
      </c>
      <c r="AH693" s="1">
        <v>2.0</v>
      </c>
      <c r="AI693" s="1">
        <v>2014.0</v>
      </c>
      <c r="AJ693" s="1">
        <v>2014.0</v>
      </c>
      <c r="AK693" s="1" t="s">
        <v>229</v>
      </c>
    </row>
    <row r="694">
      <c r="A694" s="1" t="s">
        <v>1763</v>
      </c>
      <c r="B694" s="1" t="s">
        <v>1763</v>
      </c>
      <c r="C694" s="1" t="s">
        <v>224</v>
      </c>
      <c r="E694" s="1">
        <v>567954.0</v>
      </c>
      <c r="F694" s="2">
        <v>41689.0</v>
      </c>
      <c r="G694" s="1" t="s">
        <v>1764</v>
      </c>
      <c r="I694" s="1" t="s">
        <v>1764</v>
      </c>
      <c r="L694" s="1" t="s">
        <v>151</v>
      </c>
      <c r="M694" s="1">
        <v>6900.0</v>
      </c>
      <c r="N694" s="1" t="s">
        <v>151</v>
      </c>
      <c r="O694" s="1">
        <v>1.1855476E8</v>
      </c>
      <c r="P694" s="1" t="s">
        <v>983</v>
      </c>
      <c r="Q694" s="1" t="s">
        <v>984</v>
      </c>
      <c r="R694" s="1" t="s">
        <v>227</v>
      </c>
      <c r="S694" s="1" t="s">
        <v>44</v>
      </c>
      <c r="T694" s="1" t="s">
        <v>45</v>
      </c>
      <c r="U694" s="1">
        <v>4.82262886E8</v>
      </c>
      <c r="W694" s="1" t="s">
        <v>46</v>
      </c>
      <c r="X694" s="1" t="s">
        <v>45</v>
      </c>
      <c r="Y694" s="1">
        <v>4.82262886E8</v>
      </c>
      <c r="Z694" s="1">
        <v>6530661.0</v>
      </c>
      <c r="AA694" s="1" t="s">
        <v>76</v>
      </c>
      <c r="AB694" s="1">
        <v>567954.9</v>
      </c>
      <c r="AC694" s="2">
        <v>41689.0</v>
      </c>
      <c r="AD694" s="1">
        <v>6900.0</v>
      </c>
      <c r="AE694" s="1" t="s">
        <v>151</v>
      </c>
      <c r="AF694" s="1">
        <v>1.0</v>
      </c>
      <c r="AG694" s="1" t="s">
        <v>1765</v>
      </c>
      <c r="AH694" s="1">
        <v>2.0</v>
      </c>
      <c r="AI694" s="1">
        <v>2014.0</v>
      </c>
      <c r="AJ694" s="1">
        <v>2014.0</v>
      </c>
      <c r="AK694" s="1" t="s">
        <v>229</v>
      </c>
    </row>
    <row r="695">
      <c r="A695" s="1" t="s">
        <v>1766</v>
      </c>
      <c r="B695" s="1" t="s">
        <v>1766</v>
      </c>
      <c r="C695" s="1" t="s">
        <v>224</v>
      </c>
      <c r="E695" s="1">
        <v>400000.0</v>
      </c>
      <c r="F695" s="2">
        <v>41694.0</v>
      </c>
      <c r="G695" s="1" t="s">
        <v>1767</v>
      </c>
      <c r="I695" s="1" t="s">
        <v>1767</v>
      </c>
      <c r="L695" s="1" t="s">
        <v>151</v>
      </c>
      <c r="M695" s="1">
        <v>6900.0</v>
      </c>
      <c r="N695" s="1" t="s">
        <v>151</v>
      </c>
      <c r="O695" s="1">
        <v>9.63886101E8</v>
      </c>
      <c r="P695" s="1" t="s">
        <v>259</v>
      </c>
      <c r="R695" s="1" t="s">
        <v>260</v>
      </c>
      <c r="S695" s="1" t="s">
        <v>44</v>
      </c>
      <c r="T695" s="1" t="s">
        <v>45</v>
      </c>
      <c r="U695" s="1">
        <v>4.8226348E8</v>
      </c>
      <c r="W695" s="1" t="s">
        <v>1733</v>
      </c>
      <c r="X695" s="1" t="s">
        <v>45</v>
      </c>
      <c r="Y695" s="1">
        <v>4.8226348E8</v>
      </c>
      <c r="Z695" s="1">
        <v>7.3134884E7</v>
      </c>
      <c r="AA695" s="1" t="s">
        <v>261</v>
      </c>
      <c r="AB695" s="1">
        <v>400000.0</v>
      </c>
      <c r="AC695" s="2">
        <v>41694.0</v>
      </c>
      <c r="AD695" s="1">
        <v>6900.0</v>
      </c>
      <c r="AE695" s="1" t="s">
        <v>151</v>
      </c>
      <c r="AF695" s="1">
        <v>1.0</v>
      </c>
      <c r="AG695" s="1" t="s">
        <v>1768</v>
      </c>
      <c r="AH695" s="1">
        <v>2.0</v>
      </c>
      <c r="AI695" s="1">
        <v>2014.0</v>
      </c>
      <c r="AJ695" s="1">
        <v>2014.0</v>
      </c>
      <c r="AK695" s="1" t="s">
        <v>229</v>
      </c>
    </row>
    <row r="696">
      <c r="A696" s="1" t="s">
        <v>1769</v>
      </c>
      <c r="B696" s="1" t="s">
        <v>1769</v>
      </c>
      <c r="C696" s="1" t="s">
        <v>194</v>
      </c>
      <c r="E696" s="1">
        <v>1.9650048E7</v>
      </c>
      <c r="F696" s="2">
        <v>41698.0</v>
      </c>
      <c r="G696" s="1" t="s">
        <v>1770</v>
      </c>
      <c r="I696" s="1" t="s">
        <v>1770</v>
      </c>
      <c r="L696" s="1" t="s">
        <v>194</v>
      </c>
      <c r="M696" s="1">
        <v>9100.0</v>
      </c>
      <c r="N696" s="1" t="s">
        <v>194</v>
      </c>
      <c r="O696" s="1">
        <v>7.8346351E7</v>
      </c>
      <c r="P696" s="1" t="s">
        <v>615</v>
      </c>
      <c r="R696" s="1" t="s">
        <v>1708</v>
      </c>
      <c r="S696" s="1" t="s">
        <v>44</v>
      </c>
      <c r="T696" s="1" t="s">
        <v>45</v>
      </c>
      <c r="U696" s="1">
        <v>4.82074457E8</v>
      </c>
      <c r="W696" s="1" t="s">
        <v>46</v>
      </c>
      <c r="X696" s="1" t="s">
        <v>45</v>
      </c>
      <c r="Y696" s="1">
        <v>4.82023037E8</v>
      </c>
      <c r="AB696" s="1">
        <v>1153685.0</v>
      </c>
      <c r="AC696" s="2">
        <v>41698.0</v>
      </c>
      <c r="AD696" s="1">
        <v>9100.0</v>
      </c>
      <c r="AE696" s="1" t="s">
        <v>194</v>
      </c>
      <c r="AF696" s="1" t="s">
        <v>1771</v>
      </c>
      <c r="AG696" s="1" t="s">
        <v>1772</v>
      </c>
      <c r="AH696" s="1">
        <v>4.0</v>
      </c>
      <c r="AI696" s="1">
        <v>2014.0</v>
      </c>
      <c r="AJ696" s="1">
        <v>2014.0</v>
      </c>
      <c r="AK696" s="1" t="s">
        <v>1773</v>
      </c>
    </row>
    <row r="697">
      <c r="A697" s="1" t="s">
        <v>1769</v>
      </c>
      <c r="B697" s="1" t="s">
        <v>1769</v>
      </c>
      <c r="C697" s="1" t="s">
        <v>194</v>
      </c>
      <c r="E697" s="1">
        <v>1.9650048E7</v>
      </c>
      <c r="F697" s="2">
        <v>41725.0</v>
      </c>
      <c r="G697" s="1" t="s">
        <v>1770</v>
      </c>
      <c r="I697" s="1" t="s">
        <v>1770</v>
      </c>
      <c r="L697" s="1" t="s">
        <v>194</v>
      </c>
      <c r="M697" s="1">
        <v>9100.0</v>
      </c>
      <c r="N697" s="1" t="s">
        <v>194</v>
      </c>
      <c r="O697" s="1">
        <v>7.6340843E7</v>
      </c>
      <c r="P697" s="1" t="s">
        <v>461</v>
      </c>
      <c r="R697" s="1" t="s">
        <v>1599</v>
      </c>
      <c r="S697" s="1" t="s">
        <v>44</v>
      </c>
      <c r="T697" s="1" t="s">
        <v>45</v>
      </c>
      <c r="U697" s="1">
        <v>4.8202301E8</v>
      </c>
      <c r="W697" s="1" t="s">
        <v>44</v>
      </c>
      <c r="X697" s="1" t="s">
        <v>45</v>
      </c>
      <c r="Y697" s="1">
        <v>4.82023096E8</v>
      </c>
      <c r="Z697" s="1">
        <v>7.6340843E7</v>
      </c>
      <c r="AA697" s="1" t="s">
        <v>461</v>
      </c>
      <c r="AB697" s="1">
        <v>703839.0</v>
      </c>
      <c r="AC697" s="2">
        <v>41725.0</v>
      </c>
      <c r="AD697" s="1">
        <v>9100.0</v>
      </c>
      <c r="AE697" s="1" t="s">
        <v>194</v>
      </c>
      <c r="AF697" s="1" t="s">
        <v>1774</v>
      </c>
      <c r="AG697" s="1" t="s">
        <v>1772</v>
      </c>
      <c r="AH697" s="1">
        <v>4.0</v>
      </c>
      <c r="AI697" s="1">
        <v>2014.0</v>
      </c>
      <c r="AJ697" s="1">
        <v>2014.0</v>
      </c>
      <c r="AK697" s="1" t="s">
        <v>1773</v>
      </c>
    </row>
    <row r="698">
      <c r="A698" s="1" t="s">
        <v>1775</v>
      </c>
      <c r="B698" s="1" t="s">
        <v>1775</v>
      </c>
      <c r="C698" s="1" t="s">
        <v>645</v>
      </c>
      <c r="E698" s="1">
        <v>3753449.0</v>
      </c>
      <c r="F698" s="2">
        <v>41452.0</v>
      </c>
      <c r="G698" s="1" t="s">
        <v>677</v>
      </c>
      <c r="I698" s="1" t="s">
        <v>677</v>
      </c>
      <c r="L698" s="1" t="s">
        <v>647</v>
      </c>
      <c r="M698" s="1">
        <v>1200.0</v>
      </c>
      <c r="N698" s="1" t="s">
        <v>647</v>
      </c>
      <c r="O698" s="1">
        <v>1.17726252E8</v>
      </c>
      <c r="P698" s="1" t="s">
        <v>512</v>
      </c>
      <c r="R698" s="1" t="s">
        <v>513</v>
      </c>
      <c r="S698" s="1" t="s">
        <v>44</v>
      </c>
      <c r="T698" s="1" t="s">
        <v>45</v>
      </c>
      <c r="U698" s="1">
        <v>4.82193259E8</v>
      </c>
      <c r="W698" s="1" t="s">
        <v>44</v>
      </c>
      <c r="X698" s="1" t="s">
        <v>45</v>
      </c>
      <c r="Y698" s="1">
        <v>4.82193259E8</v>
      </c>
      <c r="AB698" s="1">
        <v>38316.0</v>
      </c>
      <c r="AC698" s="2">
        <v>41452.0</v>
      </c>
      <c r="AD698" s="1">
        <v>1200.0</v>
      </c>
      <c r="AE698" s="1" t="s">
        <v>647</v>
      </c>
      <c r="AF698" s="1" t="s">
        <v>1776</v>
      </c>
      <c r="AG698" s="1" t="s">
        <v>679</v>
      </c>
      <c r="AH698" s="1">
        <v>10.0</v>
      </c>
      <c r="AI698" s="1">
        <v>2013.0</v>
      </c>
      <c r="AJ698" s="1">
        <v>2013.0</v>
      </c>
      <c r="AK698" s="1" t="s">
        <v>680</v>
      </c>
    </row>
    <row r="699">
      <c r="A699" s="1" t="s">
        <v>1775</v>
      </c>
      <c r="B699" s="1" t="s">
        <v>1775</v>
      </c>
      <c r="C699" s="1" t="s">
        <v>645</v>
      </c>
      <c r="E699" s="1">
        <v>3753449.0</v>
      </c>
      <c r="F699" s="2">
        <v>41487.0</v>
      </c>
      <c r="G699" s="1" t="s">
        <v>677</v>
      </c>
      <c r="I699" s="1" t="s">
        <v>677</v>
      </c>
      <c r="L699" s="1" t="s">
        <v>647</v>
      </c>
      <c r="M699" s="1">
        <v>1200.0</v>
      </c>
      <c r="N699" s="1" t="s">
        <v>647</v>
      </c>
      <c r="O699" s="1">
        <v>7.6340843E7</v>
      </c>
      <c r="P699" s="1" t="s">
        <v>461</v>
      </c>
      <c r="Q699" s="1" t="s">
        <v>459</v>
      </c>
      <c r="R699" s="1" t="s">
        <v>524</v>
      </c>
      <c r="S699" s="1" t="s">
        <v>44</v>
      </c>
      <c r="T699" s="1" t="s">
        <v>45</v>
      </c>
      <c r="U699" s="1">
        <v>4.82023046E8</v>
      </c>
      <c r="W699" s="1" t="s">
        <v>44</v>
      </c>
      <c r="X699" s="1" t="s">
        <v>45</v>
      </c>
      <c r="Y699" s="1">
        <v>4.82023096E8</v>
      </c>
      <c r="Z699" s="1">
        <v>7.6340843E7</v>
      </c>
      <c r="AA699" s="1" t="s">
        <v>461</v>
      </c>
      <c r="AB699" s="1">
        <v>655957.0</v>
      </c>
      <c r="AC699" s="2">
        <v>41487.0</v>
      </c>
      <c r="AD699" s="1">
        <v>1200.0</v>
      </c>
      <c r="AE699" s="1" t="s">
        <v>647</v>
      </c>
      <c r="AF699" s="1" t="s">
        <v>1777</v>
      </c>
      <c r="AG699" s="1" t="s">
        <v>679</v>
      </c>
      <c r="AH699" s="1">
        <v>10.0</v>
      </c>
      <c r="AI699" s="1">
        <v>2013.0</v>
      </c>
      <c r="AJ699" s="1">
        <v>2013.0</v>
      </c>
      <c r="AK699" s="1" t="s">
        <v>680</v>
      </c>
    </row>
    <row r="700">
      <c r="A700" s="1" t="s">
        <v>1778</v>
      </c>
      <c r="B700" s="1" t="s">
        <v>1778</v>
      </c>
      <c r="C700" s="1" t="s">
        <v>645</v>
      </c>
      <c r="E700" s="1">
        <v>5494750.0</v>
      </c>
      <c r="F700" s="2">
        <v>41592.0</v>
      </c>
      <c r="G700" s="1" t="s">
        <v>666</v>
      </c>
      <c r="I700" s="1" t="s">
        <v>666</v>
      </c>
      <c r="L700" s="1" t="s">
        <v>647</v>
      </c>
      <c r="M700" s="1">
        <v>1200.0</v>
      </c>
      <c r="N700" s="1" t="s">
        <v>647</v>
      </c>
      <c r="O700" s="1">
        <v>7.2761299E7</v>
      </c>
      <c r="P700" s="1" t="s">
        <v>667</v>
      </c>
      <c r="R700" s="1" t="s">
        <v>668</v>
      </c>
      <c r="S700" s="1" t="s">
        <v>44</v>
      </c>
      <c r="T700" s="1" t="s">
        <v>45</v>
      </c>
      <c r="U700" s="1">
        <v>4.82382849E8</v>
      </c>
      <c r="W700" s="1" t="s">
        <v>44</v>
      </c>
      <c r="X700" s="1" t="s">
        <v>45</v>
      </c>
      <c r="Y700" s="1">
        <v>4.82382849E8</v>
      </c>
      <c r="Z700" s="1">
        <v>7.2761299E7</v>
      </c>
      <c r="AA700" s="1" t="s">
        <v>667</v>
      </c>
      <c r="AB700" s="1">
        <v>2951929.0</v>
      </c>
      <c r="AC700" s="2">
        <v>41592.0</v>
      </c>
      <c r="AD700" s="1">
        <v>1200.0</v>
      </c>
      <c r="AE700" s="1" t="s">
        <v>647</v>
      </c>
      <c r="AF700" s="1" t="s">
        <v>1779</v>
      </c>
      <c r="AG700" s="1" t="s">
        <v>1780</v>
      </c>
      <c r="AH700" s="1">
        <v>12.0</v>
      </c>
      <c r="AI700" s="1">
        <v>2013.0</v>
      </c>
      <c r="AJ700" s="1">
        <v>2014.0</v>
      </c>
      <c r="AK700" s="1" t="s">
        <v>671</v>
      </c>
    </row>
    <row r="701">
      <c r="A701" s="1" t="s">
        <v>1775</v>
      </c>
      <c r="B701" s="1" t="s">
        <v>1775</v>
      </c>
      <c r="C701" s="1" t="s">
        <v>645</v>
      </c>
      <c r="E701" s="1">
        <v>3753449.0</v>
      </c>
      <c r="F701" s="2">
        <v>41438.0</v>
      </c>
      <c r="G701" s="1" t="s">
        <v>677</v>
      </c>
      <c r="I701" s="1" t="s">
        <v>677</v>
      </c>
      <c r="L701" s="1" t="s">
        <v>647</v>
      </c>
      <c r="M701" s="1">
        <v>1200.0</v>
      </c>
      <c r="N701" s="1" t="s">
        <v>647</v>
      </c>
      <c r="O701" s="1">
        <v>3.9866801E7</v>
      </c>
      <c r="P701" s="1" t="s">
        <v>612</v>
      </c>
      <c r="R701" s="1" t="s">
        <v>613</v>
      </c>
      <c r="S701" s="1" t="s">
        <v>44</v>
      </c>
      <c r="T701" s="1" t="s">
        <v>45</v>
      </c>
      <c r="U701" s="1">
        <v>4.8212E8</v>
      </c>
      <c r="W701" s="1" t="s">
        <v>607</v>
      </c>
      <c r="X701" s="1" t="s">
        <v>45</v>
      </c>
      <c r="Y701" s="1">
        <v>4.82120012E8</v>
      </c>
      <c r="Z701" s="1">
        <v>3.9866801E7</v>
      </c>
      <c r="AA701" s="1" t="s">
        <v>612</v>
      </c>
      <c r="AB701" s="1">
        <v>87982.0</v>
      </c>
      <c r="AC701" s="2">
        <v>41438.0</v>
      </c>
      <c r="AD701" s="1">
        <v>1200.0</v>
      </c>
      <c r="AE701" s="1" t="s">
        <v>647</v>
      </c>
      <c r="AF701" s="1" t="s">
        <v>1781</v>
      </c>
      <c r="AG701" s="1" t="s">
        <v>679</v>
      </c>
      <c r="AH701" s="1">
        <v>10.0</v>
      </c>
      <c r="AI701" s="1">
        <v>2013.0</v>
      </c>
      <c r="AJ701" s="1">
        <v>2013.0</v>
      </c>
      <c r="AK701" s="1" t="s">
        <v>680</v>
      </c>
    </row>
    <row r="702">
      <c r="A702" s="1" t="s">
        <v>1782</v>
      </c>
      <c r="B702" s="1" t="s">
        <v>1782</v>
      </c>
      <c r="C702" s="1" t="s">
        <v>1303</v>
      </c>
      <c r="E702" s="1">
        <v>958942.0</v>
      </c>
      <c r="F702" s="2">
        <v>41753.0</v>
      </c>
      <c r="G702" s="1" t="s">
        <v>1783</v>
      </c>
      <c r="I702" s="1" t="s">
        <v>1783</v>
      </c>
      <c r="L702" s="1" t="s">
        <v>1305</v>
      </c>
      <c r="M702" s="1">
        <v>1300.0</v>
      </c>
      <c r="N702" s="1" t="s">
        <v>1305</v>
      </c>
      <c r="O702" s="1">
        <v>1962224.0</v>
      </c>
      <c r="P702" s="1" t="s">
        <v>52</v>
      </c>
      <c r="Q702" s="1" t="s">
        <v>1566</v>
      </c>
      <c r="R702" s="1" t="s">
        <v>53</v>
      </c>
      <c r="S702" s="1" t="s">
        <v>44</v>
      </c>
      <c r="T702" s="1" t="s">
        <v>45</v>
      </c>
      <c r="U702" s="1">
        <v>4.82023692E8</v>
      </c>
      <c r="W702" s="1" t="s">
        <v>44</v>
      </c>
      <c r="X702" s="1" t="s">
        <v>45</v>
      </c>
      <c r="Y702" s="1">
        <v>4.82023692E8</v>
      </c>
      <c r="Z702" s="1">
        <v>1962224.0</v>
      </c>
      <c r="AA702" s="1" t="s">
        <v>52</v>
      </c>
      <c r="AB702" s="1">
        <v>50000.0</v>
      </c>
      <c r="AC702" s="2">
        <v>41753.0</v>
      </c>
      <c r="AD702" s="1">
        <v>1300.0</v>
      </c>
      <c r="AE702" s="1" t="s">
        <v>1305</v>
      </c>
      <c r="AF702" s="1">
        <v>3.00300294E9</v>
      </c>
      <c r="AG702" s="1" t="s">
        <v>1784</v>
      </c>
      <c r="AH702" s="1">
        <v>4.0</v>
      </c>
      <c r="AI702" s="1">
        <v>2014.0</v>
      </c>
      <c r="AJ702" s="1">
        <v>2014.0</v>
      </c>
      <c r="AK702" s="1" t="s">
        <v>1785</v>
      </c>
    </row>
    <row r="703">
      <c r="A703" s="1">
        <v>1346688.0</v>
      </c>
      <c r="B703" s="1">
        <v>1346688.0</v>
      </c>
      <c r="C703" s="1" t="s">
        <v>109</v>
      </c>
      <c r="E703" s="1">
        <v>7364810.0</v>
      </c>
      <c r="F703" s="2">
        <v>41625.0</v>
      </c>
      <c r="G703" s="1" t="s">
        <v>1786</v>
      </c>
      <c r="I703" s="1" t="s">
        <v>1786</v>
      </c>
      <c r="L703" s="1" t="s">
        <v>109</v>
      </c>
      <c r="M703" s="1">
        <v>4900.0</v>
      </c>
      <c r="N703" s="1" t="s">
        <v>109</v>
      </c>
      <c r="O703" s="1">
        <v>1962224.0</v>
      </c>
      <c r="P703" s="1" t="s">
        <v>52</v>
      </c>
      <c r="Q703" s="1" t="s">
        <v>1566</v>
      </c>
      <c r="R703" s="1" t="s">
        <v>53</v>
      </c>
      <c r="S703" s="1" t="s">
        <v>44</v>
      </c>
      <c r="T703" s="1" t="s">
        <v>45</v>
      </c>
      <c r="U703" s="1">
        <v>4.82023692E8</v>
      </c>
      <c r="W703" s="1" t="s">
        <v>46</v>
      </c>
      <c r="X703" s="1" t="s">
        <v>45</v>
      </c>
      <c r="Y703" s="1">
        <v>4.8202405E8</v>
      </c>
      <c r="Z703" s="1">
        <v>1962224.0</v>
      </c>
      <c r="AA703" s="1" t="s">
        <v>52</v>
      </c>
      <c r="AB703" s="1">
        <v>177710.0</v>
      </c>
      <c r="AC703" s="2">
        <v>41625.0</v>
      </c>
      <c r="AD703" s="1">
        <v>4900.0</v>
      </c>
      <c r="AE703" s="1" t="s">
        <v>109</v>
      </c>
      <c r="AF703" s="1" t="s">
        <v>1787</v>
      </c>
      <c r="AG703" s="1" t="s">
        <v>1788</v>
      </c>
      <c r="AH703" s="1">
        <v>4.0</v>
      </c>
      <c r="AI703" s="1">
        <v>2014.0</v>
      </c>
      <c r="AJ703" s="1">
        <v>2014.0</v>
      </c>
      <c r="AK703" s="1" t="s">
        <v>113</v>
      </c>
    </row>
    <row r="704">
      <c r="A704" s="1" t="s">
        <v>1782</v>
      </c>
      <c r="B704" s="1" t="s">
        <v>1782</v>
      </c>
      <c r="C704" s="1" t="s">
        <v>1303</v>
      </c>
      <c r="E704" s="1">
        <v>958942.0</v>
      </c>
      <c r="F704" s="2">
        <v>41753.0</v>
      </c>
      <c r="G704" s="1" t="s">
        <v>1783</v>
      </c>
      <c r="I704" s="1" t="s">
        <v>1783</v>
      </c>
      <c r="L704" s="1" t="s">
        <v>1305</v>
      </c>
      <c r="M704" s="1">
        <v>1300.0</v>
      </c>
      <c r="N704" s="1" t="s">
        <v>1305</v>
      </c>
      <c r="O704" s="1">
        <v>1962224.0</v>
      </c>
      <c r="P704" s="1" t="s">
        <v>52</v>
      </c>
      <c r="Q704" s="1" t="s">
        <v>1566</v>
      </c>
      <c r="R704" s="1" t="s">
        <v>53</v>
      </c>
      <c r="S704" s="1" t="s">
        <v>44</v>
      </c>
      <c r="T704" s="1" t="s">
        <v>45</v>
      </c>
      <c r="U704" s="1">
        <v>4.82023692E8</v>
      </c>
      <c r="W704" s="1" t="s">
        <v>44</v>
      </c>
      <c r="X704" s="1" t="s">
        <v>45</v>
      </c>
      <c r="Y704" s="1">
        <v>4.82023692E8</v>
      </c>
      <c r="Z704" s="1">
        <v>1962224.0</v>
      </c>
      <c r="AA704" s="1" t="s">
        <v>52</v>
      </c>
      <c r="AB704" s="1">
        <v>49997.0</v>
      </c>
      <c r="AC704" s="2">
        <v>41753.0</v>
      </c>
      <c r="AD704" s="1">
        <v>1300.0</v>
      </c>
      <c r="AE704" s="1" t="s">
        <v>1305</v>
      </c>
      <c r="AF704" s="1">
        <v>3.00300304E9</v>
      </c>
      <c r="AG704" s="1" t="s">
        <v>1789</v>
      </c>
      <c r="AH704" s="1">
        <v>4.0</v>
      </c>
      <c r="AI704" s="1">
        <v>2014.0</v>
      </c>
      <c r="AJ704" s="1">
        <v>2014.0</v>
      </c>
      <c r="AK704" s="1" t="s">
        <v>1785</v>
      </c>
    </row>
    <row r="705">
      <c r="A705" s="1" t="s">
        <v>1790</v>
      </c>
      <c r="B705" s="1" t="s">
        <v>1790</v>
      </c>
      <c r="C705" s="1" t="s">
        <v>224</v>
      </c>
      <c r="E705" s="1">
        <v>435438.0</v>
      </c>
      <c r="F705" s="2">
        <v>41710.0</v>
      </c>
      <c r="G705" s="1" t="s">
        <v>1791</v>
      </c>
      <c r="I705" s="1" t="s">
        <v>1791</v>
      </c>
      <c r="L705" s="1" t="s">
        <v>151</v>
      </c>
      <c r="M705" s="1">
        <v>6900.0</v>
      </c>
      <c r="N705" s="1" t="s">
        <v>151</v>
      </c>
      <c r="O705" s="1">
        <v>1.1855476E8</v>
      </c>
      <c r="P705" s="1" t="s">
        <v>983</v>
      </c>
      <c r="Q705" s="1" t="s">
        <v>984</v>
      </c>
      <c r="R705" s="1" t="s">
        <v>227</v>
      </c>
      <c r="S705" s="1" t="s">
        <v>44</v>
      </c>
      <c r="T705" s="1" t="s">
        <v>45</v>
      </c>
      <c r="U705" s="1">
        <v>4.82262886E8</v>
      </c>
      <c r="W705" s="1" t="s">
        <v>46</v>
      </c>
      <c r="X705" s="1" t="s">
        <v>45</v>
      </c>
      <c r="Y705" s="1">
        <v>4.82262886E8</v>
      </c>
      <c r="Z705" s="1">
        <v>6530661.0</v>
      </c>
      <c r="AA705" s="1" t="s">
        <v>76</v>
      </c>
      <c r="AB705" s="1">
        <v>435438.37</v>
      </c>
      <c r="AC705" s="2">
        <v>41710.0</v>
      </c>
      <c r="AD705" s="1">
        <v>6900.0</v>
      </c>
      <c r="AE705" s="1" t="s">
        <v>151</v>
      </c>
      <c r="AF705" s="1">
        <v>1.0</v>
      </c>
      <c r="AG705" s="1" t="s">
        <v>1792</v>
      </c>
      <c r="AH705" s="1">
        <v>3.0</v>
      </c>
      <c r="AI705" s="1">
        <v>2014.0</v>
      </c>
      <c r="AJ705" s="1">
        <v>2014.0</v>
      </c>
      <c r="AK705" s="1" t="s">
        <v>229</v>
      </c>
    </row>
    <row r="706">
      <c r="A706" s="1" t="s">
        <v>1793</v>
      </c>
      <c r="B706" s="1" t="s">
        <v>1793</v>
      </c>
      <c r="C706" s="1" t="s">
        <v>224</v>
      </c>
      <c r="E706" s="1">
        <v>1292123.0</v>
      </c>
      <c r="F706" s="2">
        <v>41715.0</v>
      </c>
      <c r="G706" s="1" t="s">
        <v>1794</v>
      </c>
      <c r="I706" s="1" t="s">
        <v>1794</v>
      </c>
      <c r="L706" s="1" t="s">
        <v>151</v>
      </c>
      <c r="M706" s="1">
        <v>6900.0</v>
      </c>
      <c r="N706" s="1" t="s">
        <v>151</v>
      </c>
      <c r="O706" s="1">
        <v>9.63886101E8</v>
      </c>
      <c r="P706" s="1" t="s">
        <v>259</v>
      </c>
      <c r="Q706" s="1" t="s">
        <v>1795</v>
      </c>
      <c r="R706" s="1" t="s">
        <v>260</v>
      </c>
      <c r="S706" s="1" t="s">
        <v>44</v>
      </c>
      <c r="T706" s="1" t="s">
        <v>45</v>
      </c>
      <c r="U706" s="1">
        <v>4.8226348E8</v>
      </c>
      <c r="W706" s="1" t="s">
        <v>46</v>
      </c>
      <c r="X706" s="1" t="s">
        <v>45</v>
      </c>
      <c r="Y706" s="1">
        <v>4.8226348E8</v>
      </c>
      <c r="Z706" s="1">
        <v>7.3134884E7</v>
      </c>
      <c r="AA706" s="1" t="s">
        <v>1796</v>
      </c>
      <c r="AB706" s="1">
        <v>1292123.39</v>
      </c>
      <c r="AC706" s="2">
        <v>41715.0</v>
      </c>
      <c r="AD706" s="1">
        <v>6900.0</v>
      </c>
      <c r="AE706" s="1" t="s">
        <v>151</v>
      </c>
      <c r="AF706" s="1">
        <v>1.0</v>
      </c>
      <c r="AG706" s="1" t="s">
        <v>1797</v>
      </c>
      <c r="AH706" s="1">
        <v>3.0</v>
      </c>
      <c r="AI706" s="1">
        <v>2014.0</v>
      </c>
      <c r="AJ706" s="1">
        <v>2014.0</v>
      </c>
      <c r="AK706" s="1" t="s">
        <v>229</v>
      </c>
    </row>
    <row r="707">
      <c r="A707" s="1" t="s">
        <v>1798</v>
      </c>
      <c r="B707" s="1" t="s">
        <v>1798</v>
      </c>
      <c r="C707" s="1" t="s">
        <v>224</v>
      </c>
      <c r="E707" s="1">
        <v>66891.0</v>
      </c>
      <c r="F707" s="2">
        <v>41710.0</v>
      </c>
      <c r="G707" s="1" t="s">
        <v>1791</v>
      </c>
      <c r="I707" s="1" t="s">
        <v>1791</v>
      </c>
      <c r="L707" s="1" t="s">
        <v>151</v>
      </c>
      <c r="M707" s="1">
        <v>6900.0</v>
      </c>
      <c r="N707" s="1" t="s">
        <v>151</v>
      </c>
      <c r="O707" s="1">
        <v>1.1855476E8</v>
      </c>
      <c r="P707" s="1" t="s">
        <v>983</v>
      </c>
      <c r="Q707" s="1" t="s">
        <v>984</v>
      </c>
      <c r="R707" s="1" t="s">
        <v>227</v>
      </c>
      <c r="S707" s="1" t="s">
        <v>44</v>
      </c>
      <c r="T707" s="1" t="s">
        <v>45</v>
      </c>
      <c r="U707" s="1">
        <v>4.82262886E8</v>
      </c>
      <c r="W707" s="1" t="s">
        <v>46</v>
      </c>
      <c r="X707" s="1" t="s">
        <v>45</v>
      </c>
      <c r="Y707" s="1">
        <v>4.82262886E8</v>
      </c>
      <c r="Z707" s="1">
        <v>6530661.0</v>
      </c>
      <c r="AA707" s="1" t="s">
        <v>76</v>
      </c>
      <c r="AB707" s="1">
        <v>66891.09</v>
      </c>
      <c r="AC707" s="2">
        <v>41710.0</v>
      </c>
      <c r="AD707" s="1">
        <v>6900.0</v>
      </c>
      <c r="AE707" s="1" t="s">
        <v>151</v>
      </c>
      <c r="AF707" s="1">
        <v>1.0</v>
      </c>
      <c r="AG707" s="1" t="s">
        <v>1799</v>
      </c>
      <c r="AH707" s="1">
        <v>3.0</v>
      </c>
      <c r="AI707" s="1">
        <v>2014.0</v>
      </c>
      <c r="AJ707" s="1">
        <v>2014.0</v>
      </c>
      <c r="AK707" s="1" t="s">
        <v>229</v>
      </c>
    </row>
    <row r="708">
      <c r="A708" s="1" t="s">
        <v>1800</v>
      </c>
      <c r="B708" s="1" t="s">
        <v>1800</v>
      </c>
      <c r="C708" s="1" t="s">
        <v>224</v>
      </c>
      <c r="E708" s="1">
        <v>195394.0</v>
      </c>
      <c r="F708" s="2">
        <v>41715.0</v>
      </c>
      <c r="G708" s="1" t="s">
        <v>1794</v>
      </c>
      <c r="I708" s="1" t="s">
        <v>1794</v>
      </c>
      <c r="L708" s="1" t="s">
        <v>151</v>
      </c>
      <c r="M708" s="1">
        <v>6900.0</v>
      </c>
      <c r="N708" s="1" t="s">
        <v>151</v>
      </c>
      <c r="O708" s="1">
        <v>9.63886101E8</v>
      </c>
      <c r="P708" s="1" t="s">
        <v>259</v>
      </c>
      <c r="Q708" s="1" t="s">
        <v>1795</v>
      </c>
      <c r="R708" s="1" t="s">
        <v>260</v>
      </c>
      <c r="S708" s="1" t="s">
        <v>44</v>
      </c>
      <c r="T708" s="1" t="s">
        <v>45</v>
      </c>
      <c r="U708" s="1">
        <v>4.8226348E8</v>
      </c>
      <c r="W708" s="1" t="s">
        <v>46</v>
      </c>
      <c r="X708" s="1" t="s">
        <v>45</v>
      </c>
      <c r="Y708" s="1">
        <v>4.8226348E8</v>
      </c>
      <c r="Z708" s="1">
        <v>7.3134884E7</v>
      </c>
      <c r="AA708" s="1" t="s">
        <v>1796</v>
      </c>
      <c r="AB708" s="1">
        <v>195394.11</v>
      </c>
      <c r="AC708" s="2">
        <v>41715.0</v>
      </c>
      <c r="AD708" s="1">
        <v>6900.0</v>
      </c>
      <c r="AE708" s="1" t="s">
        <v>151</v>
      </c>
      <c r="AF708" s="1">
        <v>1.0</v>
      </c>
      <c r="AG708" s="1" t="s">
        <v>1801</v>
      </c>
      <c r="AH708" s="1">
        <v>3.0</v>
      </c>
      <c r="AI708" s="1">
        <v>2014.0</v>
      </c>
      <c r="AJ708" s="1">
        <v>2014.0</v>
      </c>
      <c r="AK708" s="1" t="s">
        <v>229</v>
      </c>
    </row>
    <row r="709">
      <c r="A709" s="1" t="s">
        <v>1802</v>
      </c>
      <c r="B709" s="1" t="s">
        <v>1802</v>
      </c>
      <c r="C709" s="1" t="s">
        <v>224</v>
      </c>
      <c r="E709" s="1">
        <v>340000.0</v>
      </c>
      <c r="F709" s="2">
        <v>41716.0</v>
      </c>
      <c r="G709" s="1" t="s">
        <v>1803</v>
      </c>
      <c r="I709" s="1" t="s">
        <v>1803</v>
      </c>
      <c r="L709" s="1" t="s">
        <v>151</v>
      </c>
      <c r="M709" s="1">
        <v>6900.0</v>
      </c>
      <c r="N709" s="1" t="s">
        <v>151</v>
      </c>
      <c r="O709" s="1">
        <v>9.63886101E8</v>
      </c>
      <c r="P709" s="1" t="s">
        <v>259</v>
      </c>
      <c r="Q709" s="1" t="s">
        <v>1795</v>
      </c>
      <c r="R709" s="1" t="s">
        <v>260</v>
      </c>
      <c r="S709" s="1" t="s">
        <v>44</v>
      </c>
      <c r="T709" s="1" t="s">
        <v>45</v>
      </c>
      <c r="U709" s="1">
        <v>4.8226348E8</v>
      </c>
      <c r="W709" s="1" t="s">
        <v>46</v>
      </c>
      <c r="X709" s="1" t="s">
        <v>45</v>
      </c>
      <c r="Y709" s="1">
        <v>4.8226348E8</v>
      </c>
      <c r="Z709" s="1">
        <v>7.3134884E7</v>
      </c>
      <c r="AA709" s="1" t="s">
        <v>1796</v>
      </c>
      <c r="AB709" s="1">
        <v>340000.0</v>
      </c>
      <c r="AC709" s="2">
        <v>41716.0</v>
      </c>
      <c r="AD709" s="1">
        <v>6900.0</v>
      </c>
      <c r="AE709" s="1" t="s">
        <v>151</v>
      </c>
      <c r="AF709" s="1">
        <v>1.0</v>
      </c>
      <c r="AG709" s="1" t="s">
        <v>1804</v>
      </c>
      <c r="AH709" s="1">
        <v>3.0</v>
      </c>
      <c r="AI709" s="1">
        <v>2014.0</v>
      </c>
      <c r="AJ709" s="1">
        <v>2014.0</v>
      </c>
      <c r="AK709" s="1" t="s">
        <v>229</v>
      </c>
    </row>
    <row r="710">
      <c r="A710" s="1" t="s">
        <v>1805</v>
      </c>
      <c r="B710" s="1" t="s">
        <v>1805</v>
      </c>
      <c r="C710" s="1" t="s">
        <v>389</v>
      </c>
      <c r="E710" s="1">
        <v>5890192.0</v>
      </c>
      <c r="F710" s="2">
        <v>41466.0</v>
      </c>
      <c r="G710" s="1" t="s">
        <v>397</v>
      </c>
      <c r="I710" s="1" t="s">
        <v>397</v>
      </c>
      <c r="L710" s="1" t="s">
        <v>391</v>
      </c>
      <c r="M710" s="1">
        <v>1600.0</v>
      </c>
      <c r="N710" s="1" t="s">
        <v>391</v>
      </c>
      <c r="O710" s="1">
        <v>9.68755756E8</v>
      </c>
      <c r="P710" s="1" t="s">
        <v>1806</v>
      </c>
      <c r="R710" s="1" t="s">
        <v>1807</v>
      </c>
      <c r="S710" s="1" t="s">
        <v>44</v>
      </c>
      <c r="T710" s="1" t="s">
        <v>45</v>
      </c>
      <c r="U710" s="1">
        <v>4.82262917E8</v>
      </c>
      <c r="W710" s="1" t="s">
        <v>46</v>
      </c>
      <c r="X710" s="1" t="s">
        <v>45</v>
      </c>
      <c r="Y710" s="1">
        <v>4.82022943E8</v>
      </c>
      <c r="AB710" s="1">
        <v>382845.0</v>
      </c>
      <c r="AC710" s="2">
        <v>41466.0</v>
      </c>
      <c r="AD710" s="1">
        <v>1600.0</v>
      </c>
      <c r="AE710" s="1" t="s">
        <v>391</v>
      </c>
      <c r="AF710" s="1" t="s">
        <v>1352</v>
      </c>
      <c r="AG710" s="1" t="s">
        <v>1353</v>
      </c>
      <c r="AH710" s="1">
        <v>2.0</v>
      </c>
      <c r="AI710" s="1">
        <v>2014.0</v>
      </c>
      <c r="AJ710" s="1">
        <v>2013.0</v>
      </c>
      <c r="AK710" s="1" t="s">
        <v>1808</v>
      </c>
    </row>
    <row r="711">
      <c r="A711" s="1" t="s">
        <v>1809</v>
      </c>
      <c r="B711" s="1" t="s">
        <v>1809</v>
      </c>
      <c r="C711" s="1" t="s">
        <v>38</v>
      </c>
      <c r="E711" s="1">
        <v>211964.0</v>
      </c>
      <c r="F711" s="2">
        <v>41771.0</v>
      </c>
      <c r="G711" s="1" t="s">
        <v>1810</v>
      </c>
      <c r="I711" s="1" t="s">
        <v>1810</v>
      </c>
      <c r="L711" s="1" t="s">
        <v>40</v>
      </c>
      <c r="M711" s="1">
        <v>7500.0</v>
      </c>
      <c r="N711" s="1" t="s">
        <v>40</v>
      </c>
      <c r="O711" s="1">
        <v>1.58142448E8</v>
      </c>
      <c r="P711" s="1" t="s">
        <v>1316</v>
      </c>
      <c r="Q711" s="1" t="s">
        <v>1317</v>
      </c>
      <c r="R711" s="1" t="s">
        <v>1318</v>
      </c>
      <c r="S711" s="1" t="s">
        <v>44</v>
      </c>
      <c r="T711" s="1" t="s">
        <v>45</v>
      </c>
      <c r="U711" s="1">
        <v>4.82093154E8</v>
      </c>
      <c r="W711" s="1" t="s">
        <v>46</v>
      </c>
      <c r="X711" s="1" t="s">
        <v>45</v>
      </c>
      <c r="Y711" s="1">
        <v>4.82093154E8</v>
      </c>
      <c r="Z711" s="1">
        <v>1.58142448E8</v>
      </c>
      <c r="AA711" s="1" t="s">
        <v>1316</v>
      </c>
      <c r="AB711" s="1">
        <v>100733.0</v>
      </c>
      <c r="AC711" s="2">
        <v>41771.0</v>
      </c>
      <c r="AD711" s="1">
        <v>7500.0</v>
      </c>
      <c r="AE711" s="1" t="s">
        <v>40</v>
      </c>
      <c r="AF711" s="1" t="s">
        <v>1811</v>
      </c>
      <c r="AG711" s="1" t="s">
        <v>1812</v>
      </c>
      <c r="AH711" s="1">
        <v>5.0</v>
      </c>
      <c r="AI711" s="1">
        <v>2014.0</v>
      </c>
      <c r="AJ711" s="1">
        <v>2014.0</v>
      </c>
      <c r="AK711" s="1" t="s">
        <v>1813</v>
      </c>
    </row>
    <row r="712">
      <c r="A712" s="1" t="s">
        <v>1814</v>
      </c>
      <c r="B712" s="1" t="s">
        <v>1814</v>
      </c>
      <c r="C712" s="1" t="s">
        <v>194</v>
      </c>
      <c r="E712" s="1">
        <v>1.971155E7</v>
      </c>
      <c r="F712" s="2">
        <v>41725.0</v>
      </c>
      <c r="G712" s="1" t="s">
        <v>1770</v>
      </c>
      <c r="I712" s="1" t="s">
        <v>1770</v>
      </c>
      <c r="L712" s="1" t="s">
        <v>194</v>
      </c>
      <c r="M712" s="1">
        <v>9100.0</v>
      </c>
      <c r="N712" s="1" t="s">
        <v>194</v>
      </c>
      <c r="O712" s="1">
        <v>7.6340843E7</v>
      </c>
      <c r="P712" s="1" t="s">
        <v>461</v>
      </c>
      <c r="R712" s="1" t="s">
        <v>1599</v>
      </c>
      <c r="S712" s="1" t="s">
        <v>44</v>
      </c>
      <c r="T712" s="1" t="s">
        <v>45</v>
      </c>
      <c r="U712" s="1">
        <v>4.8202301E8</v>
      </c>
      <c r="W712" s="1" t="s">
        <v>44</v>
      </c>
      <c r="X712" s="1" t="s">
        <v>45</v>
      </c>
      <c r="Y712" s="1">
        <v>4.82023096E8</v>
      </c>
      <c r="Z712" s="1">
        <v>7.6340843E7</v>
      </c>
      <c r="AA712" s="1" t="s">
        <v>461</v>
      </c>
      <c r="AB712" s="1">
        <v>2882356.0</v>
      </c>
      <c r="AC712" s="2">
        <v>41725.0</v>
      </c>
      <c r="AD712" s="1">
        <v>9100.0</v>
      </c>
      <c r="AE712" s="1" t="s">
        <v>194</v>
      </c>
      <c r="AF712" s="1" t="s">
        <v>1815</v>
      </c>
      <c r="AG712" s="1" t="s">
        <v>1772</v>
      </c>
      <c r="AH712" s="1">
        <v>5.0</v>
      </c>
      <c r="AI712" s="1">
        <v>2014.0</v>
      </c>
      <c r="AJ712" s="1">
        <v>2014.0</v>
      </c>
      <c r="AK712" s="1" t="s">
        <v>1773</v>
      </c>
    </row>
    <row r="713">
      <c r="A713" s="1" t="s">
        <v>1016</v>
      </c>
      <c r="B713" s="1" t="s">
        <v>1016</v>
      </c>
      <c r="C713" s="1" t="s">
        <v>38</v>
      </c>
      <c r="E713" s="1">
        <v>1704425.0</v>
      </c>
      <c r="F713" s="2">
        <v>41766.0</v>
      </c>
      <c r="G713" s="1" t="s">
        <v>1017</v>
      </c>
      <c r="I713" s="1" t="s">
        <v>1017</v>
      </c>
      <c r="L713" s="1" t="s">
        <v>40</v>
      </c>
      <c r="M713" s="1">
        <v>7500.0</v>
      </c>
      <c r="N713" s="1" t="s">
        <v>40</v>
      </c>
      <c r="O713" s="1">
        <v>8.29081207E8</v>
      </c>
      <c r="P713" s="1" t="s">
        <v>1018</v>
      </c>
      <c r="R713" s="1" t="s">
        <v>1019</v>
      </c>
      <c r="S713" s="1" t="s">
        <v>44</v>
      </c>
      <c r="T713" s="1" t="s">
        <v>45</v>
      </c>
      <c r="U713" s="1">
        <v>4.82133402E8</v>
      </c>
      <c r="W713" s="1" t="s">
        <v>46</v>
      </c>
      <c r="X713" s="1" t="s">
        <v>45</v>
      </c>
      <c r="Y713" s="1">
        <v>4.82133402E8</v>
      </c>
      <c r="AB713" s="1">
        <v>34950.0</v>
      </c>
      <c r="AC713" s="2">
        <v>41766.0</v>
      </c>
      <c r="AD713" s="1">
        <v>7500.0</v>
      </c>
      <c r="AE713" s="1" t="s">
        <v>40</v>
      </c>
      <c r="AF713" s="1">
        <v>3.002042445E9</v>
      </c>
      <c r="AG713" s="1" t="s">
        <v>1020</v>
      </c>
      <c r="AH713" s="1">
        <v>5.0</v>
      </c>
      <c r="AI713" s="1">
        <v>2014.0</v>
      </c>
      <c r="AJ713" s="1">
        <v>2014.0</v>
      </c>
      <c r="AK713" s="1" t="s">
        <v>1021</v>
      </c>
    </row>
    <row r="714">
      <c r="A714" s="1" t="s">
        <v>1814</v>
      </c>
      <c r="B714" s="1" t="s">
        <v>1814</v>
      </c>
      <c r="C714" s="1" t="s">
        <v>194</v>
      </c>
      <c r="E714" s="1">
        <v>1.971155E7</v>
      </c>
      <c r="F714" s="2">
        <v>41536.0</v>
      </c>
      <c r="G714" s="1" t="s">
        <v>1770</v>
      </c>
      <c r="I714" s="1" t="s">
        <v>1770</v>
      </c>
      <c r="L714" s="1" t="s">
        <v>194</v>
      </c>
      <c r="M714" s="1">
        <v>9100.0</v>
      </c>
      <c r="N714" s="1" t="s">
        <v>194</v>
      </c>
      <c r="O714" s="1">
        <v>1.52807538E8</v>
      </c>
      <c r="P714" s="1" t="s">
        <v>591</v>
      </c>
      <c r="R714" s="1" t="s">
        <v>592</v>
      </c>
      <c r="S714" s="1" t="s">
        <v>44</v>
      </c>
      <c r="T714" s="1" t="s">
        <v>45</v>
      </c>
      <c r="U714" s="1">
        <v>4.82191161E8</v>
      </c>
      <c r="W714" s="1" t="s">
        <v>44</v>
      </c>
      <c r="X714" s="1" t="s">
        <v>45</v>
      </c>
      <c r="Y714" s="1">
        <v>4.82191161E8</v>
      </c>
      <c r="AB714" s="1">
        <v>40204.0</v>
      </c>
      <c r="AC714" s="2">
        <v>41536.0</v>
      </c>
      <c r="AD714" s="1">
        <v>9100.0</v>
      </c>
      <c r="AE714" s="1" t="s">
        <v>194</v>
      </c>
      <c r="AF714" s="1" t="s">
        <v>1816</v>
      </c>
      <c r="AG714" s="1" t="s">
        <v>1772</v>
      </c>
      <c r="AH714" s="1">
        <v>5.0</v>
      </c>
      <c r="AI714" s="1">
        <v>2014.0</v>
      </c>
      <c r="AJ714" s="1">
        <v>2013.0</v>
      </c>
      <c r="AK714" s="1" t="s">
        <v>1773</v>
      </c>
    </row>
    <row r="715">
      <c r="A715" s="1" t="s">
        <v>1814</v>
      </c>
      <c r="B715" s="1" t="s">
        <v>1814</v>
      </c>
      <c r="C715" s="1" t="s">
        <v>194</v>
      </c>
      <c r="E715" s="1">
        <v>1.971155E7</v>
      </c>
      <c r="F715" s="2">
        <v>41698.0</v>
      </c>
      <c r="G715" s="1" t="s">
        <v>1770</v>
      </c>
      <c r="I715" s="1" t="s">
        <v>1770</v>
      </c>
      <c r="L715" s="1" t="s">
        <v>194</v>
      </c>
      <c r="M715" s="1">
        <v>9100.0</v>
      </c>
      <c r="N715" s="1" t="s">
        <v>194</v>
      </c>
      <c r="O715" s="1">
        <v>7.8346351E7</v>
      </c>
      <c r="P715" s="1" t="s">
        <v>615</v>
      </c>
      <c r="R715" s="1" t="s">
        <v>1708</v>
      </c>
      <c r="S715" s="1" t="s">
        <v>44</v>
      </c>
      <c r="T715" s="1" t="s">
        <v>45</v>
      </c>
      <c r="U715" s="1">
        <v>4.82074457E8</v>
      </c>
      <c r="W715" s="1" t="s">
        <v>46</v>
      </c>
      <c r="X715" s="1" t="s">
        <v>45</v>
      </c>
      <c r="Y715" s="1">
        <v>4.82026022E8</v>
      </c>
      <c r="AB715" s="1">
        <v>4522114.0</v>
      </c>
      <c r="AC715" s="2">
        <v>41698.0</v>
      </c>
      <c r="AD715" s="1">
        <v>9100.0</v>
      </c>
      <c r="AE715" s="1" t="s">
        <v>194</v>
      </c>
      <c r="AF715" s="1" t="s">
        <v>1817</v>
      </c>
      <c r="AG715" s="1" t="s">
        <v>1772</v>
      </c>
      <c r="AH715" s="1">
        <v>5.0</v>
      </c>
      <c r="AI715" s="1">
        <v>2014.0</v>
      </c>
      <c r="AJ715" s="1">
        <v>2014.0</v>
      </c>
      <c r="AK715" s="1" t="s">
        <v>1773</v>
      </c>
    </row>
    <row r="716">
      <c r="A716" s="1" t="s">
        <v>1814</v>
      </c>
      <c r="B716" s="1" t="s">
        <v>1814</v>
      </c>
      <c r="C716" s="1" t="s">
        <v>194</v>
      </c>
      <c r="E716" s="1">
        <v>1.971155E7</v>
      </c>
      <c r="F716" s="2">
        <v>41536.0</v>
      </c>
      <c r="G716" s="1" t="s">
        <v>1770</v>
      </c>
      <c r="I716" s="1" t="s">
        <v>1770</v>
      </c>
      <c r="L716" s="1" t="s">
        <v>194</v>
      </c>
      <c r="M716" s="1">
        <v>9100.0</v>
      </c>
      <c r="N716" s="1" t="s">
        <v>194</v>
      </c>
      <c r="O716" s="1">
        <v>1.52807538E8</v>
      </c>
      <c r="P716" s="1" t="s">
        <v>591</v>
      </c>
      <c r="R716" s="1" t="s">
        <v>592</v>
      </c>
      <c r="S716" s="1" t="s">
        <v>44</v>
      </c>
      <c r="T716" s="1" t="s">
        <v>45</v>
      </c>
      <c r="U716" s="1">
        <v>4.82191161E8</v>
      </c>
      <c r="W716" s="1" t="s">
        <v>44</v>
      </c>
      <c r="X716" s="1" t="s">
        <v>45</v>
      </c>
      <c r="Y716" s="1">
        <v>4.82191161E8</v>
      </c>
      <c r="AB716" s="1">
        <v>40204.0</v>
      </c>
      <c r="AC716" s="2">
        <v>41536.0</v>
      </c>
      <c r="AD716" s="1">
        <v>9100.0</v>
      </c>
      <c r="AE716" s="1" t="s">
        <v>194</v>
      </c>
      <c r="AF716" s="1" t="s">
        <v>1816</v>
      </c>
      <c r="AG716" s="1" t="s">
        <v>1772</v>
      </c>
      <c r="AH716" s="1">
        <v>5.0</v>
      </c>
      <c r="AI716" s="1">
        <v>2014.0</v>
      </c>
      <c r="AJ716" s="1">
        <v>2013.0</v>
      </c>
      <c r="AK716" s="1" t="s">
        <v>1773</v>
      </c>
    </row>
    <row r="717">
      <c r="A717" s="1" t="s">
        <v>1818</v>
      </c>
      <c r="B717" s="1" t="s">
        <v>1818</v>
      </c>
      <c r="C717" s="1" t="s">
        <v>63</v>
      </c>
      <c r="E717" s="1">
        <v>4298179.0</v>
      </c>
      <c r="F717" s="2">
        <v>41739.0</v>
      </c>
      <c r="G717" s="1" t="s">
        <v>1819</v>
      </c>
      <c r="I717" s="1" t="s">
        <v>1819</v>
      </c>
      <c r="L717" s="1" t="s">
        <v>40</v>
      </c>
      <c r="M717" s="1">
        <v>7500.0</v>
      </c>
      <c r="N717" s="1" t="s">
        <v>40</v>
      </c>
      <c r="O717" s="1">
        <v>7.3134603E7</v>
      </c>
      <c r="P717" s="1" t="s">
        <v>41</v>
      </c>
      <c r="Q717" s="1" t="s">
        <v>252</v>
      </c>
      <c r="R717" s="1" t="s">
        <v>253</v>
      </c>
      <c r="S717" s="1" t="s">
        <v>44</v>
      </c>
      <c r="T717" s="1" t="s">
        <v>45</v>
      </c>
      <c r="U717" s="1">
        <v>4.8202345E8</v>
      </c>
      <c r="W717" s="1" t="s">
        <v>46</v>
      </c>
      <c r="X717" s="1" t="s">
        <v>45</v>
      </c>
      <c r="Y717" s="1">
        <v>4.82022689E8</v>
      </c>
      <c r="Z717" s="1">
        <v>7.3134603E7</v>
      </c>
      <c r="AA717" s="1" t="s">
        <v>41</v>
      </c>
      <c r="AB717" s="1">
        <v>290000.0</v>
      </c>
      <c r="AC717" s="2">
        <v>41739.0</v>
      </c>
      <c r="AD717" s="1">
        <v>7500.0</v>
      </c>
      <c r="AE717" s="1" t="s">
        <v>40</v>
      </c>
      <c r="AF717" s="1" t="s">
        <v>1820</v>
      </c>
      <c r="AG717" s="1" t="s">
        <v>1821</v>
      </c>
      <c r="AH717" s="1">
        <v>5.0</v>
      </c>
      <c r="AI717" s="1">
        <v>2014.0</v>
      </c>
      <c r="AJ717" s="1">
        <v>2014.0</v>
      </c>
      <c r="AK717" s="1" t="s">
        <v>1822</v>
      </c>
    </row>
    <row r="718">
      <c r="A718" s="1" t="s">
        <v>203</v>
      </c>
      <c r="B718" s="1" t="s">
        <v>203</v>
      </c>
      <c r="C718" s="1" t="s">
        <v>100</v>
      </c>
      <c r="E718" s="1">
        <v>2.2173386E7</v>
      </c>
      <c r="F718" s="2">
        <v>41730.0</v>
      </c>
      <c r="G718" s="1" t="s">
        <v>122</v>
      </c>
      <c r="I718" s="1" t="s">
        <v>122</v>
      </c>
      <c r="L718" s="1" t="s">
        <v>102</v>
      </c>
      <c r="M718" s="1">
        <v>8600.0</v>
      </c>
      <c r="N718" s="1" t="s">
        <v>102</v>
      </c>
      <c r="O718" s="1">
        <v>1.95614664E8</v>
      </c>
      <c r="P718" s="1" t="s">
        <v>1333</v>
      </c>
      <c r="R718" s="1" t="s">
        <v>1334</v>
      </c>
      <c r="S718" s="1" t="s">
        <v>44</v>
      </c>
      <c r="T718" s="1" t="s">
        <v>45</v>
      </c>
      <c r="U718" s="1">
        <v>4.82023133E8</v>
      </c>
      <c r="W718" s="1" t="s">
        <v>46</v>
      </c>
      <c r="X718" s="1" t="s">
        <v>45</v>
      </c>
      <c r="Y718" s="1">
        <v>4.82023133E8</v>
      </c>
      <c r="Z718" s="1">
        <v>1.95614664E8</v>
      </c>
      <c r="AA718" s="1" t="s">
        <v>1333</v>
      </c>
      <c r="AB718" s="1">
        <v>25000.0</v>
      </c>
      <c r="AC718" s="2">
        <v>41730.0</v>
      </c>
      <c r="AD718" s="1">
        <v>8600.0</v>
      </c>
      <c r="AE718" s="1" t="s">
        <v>102</v>
      </c>
      <c r="AF718" s="1" t="s">
        <v>1823</v>
      </c>
      <c r="AG718" s="1" t="s">
        <v>1824</v>
      </c>
      <c r="AH718" s="1">
        <v>4.0</v>
      </c>
      <c r="AI718" s="1">
        <v>2014.0</v>
      </c>
      <c r="AJ718" s="1">
        <v>2014.0</v>
      </c>
      <c r="AK718" s="1" t="s">
        <v>127</v>
      </c>
    </row>
    <row r="719">
      <c r="A719" s="1">
        <v>0.0</v>
      </c>
      <c r="B719" s="1">
        <v>0.0</v>
      </c>
      <c r="C719" s="1" t="s">
        <v>1825</v>
      </c>
      <c r="E719" s="1">
        <v>377062.0</v>
      </c>
      <c r="F719" s="2">
        <v>41682.0</v>
      </c>
      <c r="G719" s="1" t="s">
        <v>1826</v>
      </c>
      <c r="I719" s="1" t="s">
        <v>1826</v>
      </c>
      <c r="L719" s="1" t="s">
        <v>1825</v>
      </c>
      <c r="M719" s="1">
        <v>6800.0</v>
      </c>
      <c r="N719" s="1" t="s">
        <v>1825</v>
      </c>
      <c r="O719" s="1">
        <v>9.64954551E8</v>
      </c>
      <c r="P719" s="1" t="s">
        <v>1827</v>
      </c>
      <c r="Q719" s="1" t="s">
        <v>1828</v>
      </c>
      <c r="R719" s="1" t="s">
        <v>1829</v>
      </c>
      <c r="S719" s="1" t="s">
        <v>44</v>
      </c>
      <c r="T719" s="1" t="s">
        <v>45</v>
      </c>
      <c r="U719" s="1">
        <v>4.82091337E8</v>
      </c>
      <c r="W719" s="1" t="s">
        <v>46</v>
      </c>
      <c r="X719" s="1" t="s">
        <v>45</v>
      </c>
      <c r="Y719" s="1">
        <v>4.820904E8</v>
      </c>
      <c r="AB719" s="1">
        <v>113386.32</v>
      </c>
      <c r="AC719" s="2">
        <v>41682.0</v>
      </c>
      <c r="AD719" s="1">
        <v>6800.0</v>
      </c>
      <c r="AE719" s="1" t="s">
        <v>1825</v>
      </c>
      <c r="AF719" s="1" t="s">
        <v>1830</v>
      </c>
      <c r="AG719" s="1" t="s">
        <v>1831</v>
      </c>
      <c r="AH719" s="1">
        <v>5.0</v>
      </c>
      <c r="AI719" s="1">
        <v>2014.0</v>
      </c>
      <c r="AJ719" s="1">
        <v>2014.0</v>
      </c>
      <c r="AK719" s="1" t="s">
        <v>1832</v>
      </c>
    </row>
    <row r="720">
      <c r="A720" s="1" t="s">
        <v>1833</v>
      </c>
      <c r="B720" s="1" t="s">
        <v>1833</v>
      </c>
      <c r="C720" s="1" t="s">
        <v>38</v>
      </c>
      <c r="E720" s="1">
        <v>3243882.0</v>
      </c>
      <c r="F720" s="2">
        <v>41738.0</v>
      </c>
      <c r="G720" s="1" t="s">
        <v>1834</v>
      </c>
      <c r="I720" s="1" t="s">
        <v>1834</v>
      </c>
      <c r="L720" s="1" t="s">
        <v>40</v>
      </c>
      <c r="M720" s="1">
        <v>7500.0</v>
      </c>
      <c r="N720" s="1" t="s">
        <v>40</v>
      </c>
      <c r="O720" s="1">
        <v>7.3134603E7</v>
      </c>
      <c r="P720" s="1" t="s">
        <v>41</v>
      </c>
      <c r="Q720" s="1" t="s">
        <v>252</v>
      </c>
      <c r="R720" s="1" t="s">
        <v>253</v>
      </c>
      <c r="S720" s="1" t="s">
        <v>44</v>
      </c>
      <c r="T720" s="1" t="s">
        <v>45</v>
      </c>
      <c r="U720" s="1">
        <v>4.8202345E8</v>
      </c>
      <c r="W720" s="1" t="s">
        <v>46</v>
      </c>
      <c r="X720" s="1" t="s">
        <v>45</v>
      </c>
      <c r="Y720" s="1">
        <v>4.82022689E8</v>
      </c>
      <c r="Z720" s="1">
        <v>7.3134603E7</v>
      </c>
      <c r="AA720" s="1" t="s">
        <v>41</v>
      </c>
      <c r="AB720" s="1">
        <v>31502.0</v>
      </c>
      <c r="AC720" s="2">
        <v>41738.0</v>
      </c>
      <c r="AD720" s="1">
        <v>7500.0</v>
      </c>
      <c r="AE720" s="1" t="s">
        <v>40</v>
      </c>
      <c r="AF720" s="1" t="s">
        <v>1835</v>
      </c>
      <c r="AG720" s="1" t="s">
        <v>1836</v>
      </c>
      <c r="AH720" s="1">
        <v>5.0</v>
      </c>
      <c r="AI720" s="1">
        <v>2014.0</v>
      </c>
      <c r="AJ720" s="1">
        <v>2014.0</v>
      </c>
      <c r="AK720" s="1" t="s">
        <v>1837</v>
      </c>
    </row>
    <row r="721">
      <c r="A721" s="1" t="s">
        <v>1838</v>
      </c>
      <c r="B721" s="1" t="s">
        <v>1838</v>
      </c>
      <c r="C721" s="1" t="s">
        <v>745</v>
      </c>
      <c r="E721" s="1">
        <v>2455657.0</v>
      </c>
      <c r="F721" s="2">
        <v>41757.0</v>
      </c>
      <c r="G721" s="1" t="s">
        <v>1839</v>
      </c>
      <c r="I721" s="1" t="s">
        <v>1839</v>
      </c>
      <c r="L721" s="1" t="s">
        <v>151</v>
      </c>
      <c r="M721" s="1">
        <v>6900.0</v>
      </c>
      <c r="N721" s="1" t="s">
        <v>151</v>
      </c>
      <c r="O721" s="1">
        <v>1.01552941E8</v>
      </c>
      <c r="P721" s="1" t="s">
        <v>747</v>
      </c>
      <c r="Q721" s="1" t="s">
        <v>748</v>
      </c>
      <c r="R721" s="1" t="s">
        <v>749</v>
      </c>
      <c r="S721" s="1" t="s">
        <v>44</v>
      </c>
      <c r="T721" s="1" t="s">
        <v>45</v>
      </c>
      <c r="U721" s="1">
        <v>4.82263515E8</v>
      </c>
      <c r="W721" s="1" t="s">
        <v>44</v>
      </c>
      <c r="X721" s="1" t="s">
        <v>45</v>
      </c>
      <c r="Y721" s="1">
        <v>4.82263515E8</v>
      </c>
      <c r="Z721" s="1">
        <v>1.01552941E8</v>
      </c>
      <c r="AA721" s="1" t="s">
        <v>747</v>
      </c>
      <c r="AB721" s="1">
        <v>79932.0</v>
      </c>
      <c r="AC721" s="2">
        <v>41757.0</v>
      </c>
      <c r="AD721" s="1">
        <v>6900.0</v>
      </c>
      <c r="AE721" s="1" t="s">
        <v>151</v>
      </c>
      <c r="AF721" s="1" t="s">
        <v>1840</v>
      </c>
      <c r="AG721" s="1" t="s">
        <v>1841</v>
      </c>
      <c r="AH721" s="1">
        <v>5.0</v>
      </c>
      <c r="AI721" s="1">
        <v>2014.0</v>
      </c>
      <c r="AJ721" s="1">
        <v>2014.0</v>
      </c>
      <c r="AK721" s="1" t="s">
        <v>1842</v>
      </c>
    </row>
    <row r="722">
      <c r="A722" s="1" t="s">
        <v>654</v>
      </c>
      <c r="B722" s="1" t="s">
        <v>654</v>
      </c>
      <c r="C722" s="1" t="s">
        <v>38</v>
      </c>
      <c r="E722" s="1">
        <v>931200.0</v>
      </c>
      <c r="F722" s="2">
        <v>41754.0</v>
      </c>
      <c r="G722" s="1" t="s">
        <v>655</v>
      </c>
      <c r="I722" s="1" t="s">
        <v>655</v>
      </c>
      <c r="L722" s="1" t="s">
        <v>40</v>
      </c>
      <c r="M722" s="1">
        <v>7500.0</v>
      </c>
      <c r="N722" s="1" t="s">
        <v>40</v>
      </c>
      <c r="O722" s="1">
        <v>7.3134603E7</v>
      </c>
      <c r="P722" s="1" t="s">
        <v>41</v>
      </c>
      <c r="Q722" s="1" t="s">
        <v>252</v>
      </c>
      <c r="R722" s="1" t="s">
        <v>253</v>
      </c>
      <c r="S722" s="1" t="s">
        <v>44</v>
      </c>
      <c r="T722" s="1" t="s">
        <v>45</v>
      </c>
      <c r="U722" s="1">
        <v>4.8202345E8</v>
      </c>
      <c r="W722" s="1" t="s">
        <v>46</v>
      </c>
      <c r="X722" s="1" t="s">
        <v>45</v>
      </c>
      <c r="Y722" s="1">
        <v>4.82022689E8</v>
      </c>
      <c r="Z722" s="1">
        <v>7.3134603E7</v>
      </c>
      <c r="AA722" s="1" t="s">
        <v>41</v>
      </c>
      <c r="AB722" s="1">
        <v>25000.0</v>
      </c>
      <c r="AC722" s="2">
        <v>41754.0</v>
      </c>
      <c r="AD722" s="1">
        <v>7500.0</v>
      </c>
      <c r="AE722" s="1" t="s">
        <v>40</v>
      </c>
      <c r="AF722" s="1">
        <v>3.002735317E9</v>
      </c>
      <c r="AG722" s="1" t="s">
        <v>1291</v>
      </c>
      <c r="AH722" s="1">
        <v>4.0</v>
      </c>
      <c r="AI722" s="1">
        <v>2014.0</v>
      </c>
      <c r="AJ722" s="1">
        <v>2014.0</v>
      </c>
      <c r="AK722" s="1" t="s">
        <v>415</v>
      </c>
    </row>
    <row r="723">
      <c r="A723" s="1" t="s">
        <v>1843</v>
      </c>
      <c r="B723" s="1" t="s">
        <v>1843</v>
      </c>
      <c r="C723" s="1" t="s">
        <v>100</v>
      </c>
      <c r="E723" s="1">
        <v>3.3531252E7</v>
      </c>
      <c r="F723" s="2">
        <v>41232.0</v>
      </c>
      <c r="G723" s="1" t="s">
        <v>297</v>
      </c>
      <c r="I723" s="1" t="s">
        <v>297</v>
      </c>
      <c r="L723" s="1" t="s">
        <v>102</v>
      </c>
      <c r="M723" s="1">
        <v>8600.0</v>
      </c>
      <c r="N723" s="1" t="s">
        <v>102</v>
      </c>
      <c r="O723" s="1">
        <v>8.6754694E7</v>
      </c>
      <c r="P723" s="1" t="s">
        <v>1844</v>
      </c>
      <c r="Q723" s="1" t="s">
        <v>1845</v>
      </c>
      <c r="R723" s="1" t="s">
        <v>1846</v>
      </c>
      <c r="S723" s="1" t="s">
        <v>44</v>
      </c>
      <c r="T723" s="1" t="s">
        <v>45</v>
      </c>
      <c r="U723" s="1">
        <v>4.82081006E8</v>
      </c>
      <c r="W723" s="1" t="s">
        <v>46</v>
      </c>
      <c r="X723" s="1" t="s">
        <v>45</v>
      </c>
      <c r="Y723" s="1">
        <v>4.82081006E8</v>
      </c>
      <c r="AB723" s="1">
        <v>84000.0</v>
      </c>
      <c r="AC723" s="2">
        <v>41232.0</v>
      </c>
      <c r="AD723" s="1">
        <v>8600.0</v>
      </c>
      <c r="AE723" s="1" t="s">
        <v>102</v>
      </c>
      <c r="AF723" s="1">
        <v>7595.0</v>
      </c>
      <c r="AG723" s="1" t="s">
        <v>1847</v>
      </c>
      <c r="AH723" s="1">
        <v>6.0</v>
      </c>
      <c r="AI723" s="1">
        <v>2014.0</v>
      </c>
      <c r="AJ723" s="1">
        <v>2013.0</v>
      </c>
      <c r="AK723" s="1" t="s">
        <v>305</v>
      </c>
    </row>
    <row r="724">
      <c r="A724" s="1" t="s">
        <v>1848</v>
      </c>
      <c r="B724" s="1" t="s">
        <v>1848</v>
      </c>
      <c r="C724" s="1" t="s">
        <v>149</v>
      </c>
      <c r="E724" s="1">
        <v>2816300.0</v>
      </c>
      <c r="F724" s="2">
        <v>41869.0</v>
      </c>
      <c r="G724" s="1" t="s">
        <v>150</v>
      </c>
      <c r="I724" s="1" t="s">
        <v>150</v>
      </c>
      <c r="L724" s="1" t="s">
        <v>151</v>
      </c>
      <c r="M724" s="1">
        <v>6900.0</v>
      </c>
      <c r="N724" s="1" t="s">
        <v>151</v>
      </c>
      <c r="O724" s="1">
        <v>1962224.0</v>
      </c>
      <c r="P724" s="1" t="s">
        <v>52</v>
      </c>
      <c r="Q724" s="1" t="s">
        <v>1566</v>
      </c>
      <c r="R724" s="1" t="s">
        <v>53</v>
      </c>
      <c r="S724" s="1" t="s">
        <v>44</v>
      </c>
      <c r="T724" s="1" t="s">
        <v>45</v>
      </c>
      <c r="U724" s="1">
        <v>4.82023692E8</v>
      </c>
      <c r="W724" s="1" t="s">
        <v>46</v>
      </c>
      <c r="X724" s="1" t="s">
        <v>45</v>
      </c>
      <c r="Y724" s="1">
        <v>4.82023692E8</v>
      </c>
      <c r="Z724" s="1">
        <v>1962224.0</v>
      </c>
      <c r="AA724" s="1" t="s">
        <v>52</v>
      </c>
      <c r="AB724" s="1">
        <v>100000.0</v>
      </c>
      <c r="AC724" s="2">
        <v>41869.0</v>
      </c>
      <c r="AD724" s="1">
        <v>6900.0</v>
      </c>
      <c r="AE724" s="1" t="s">
        <v>151</v>
      </c>
      <c r="AF724" s="1" t="s">
        <v>1849</v>
      </c>
      <c r="AG724" s="1" t="s">
        <v>1850</v>
      </c>
      <c r="AH724" s="1">
        <v>8.0</v>
      </c>
      <c r="AI724" s="1">
        <v>2014.0</v>
      </c>
      <c r="AJ724" s="1">
        <v>2014.0</v>
      </c>
      <c r="AK724" s="1" t="s">
        <v>157</v>
      </c>
    </row>
    <row r="725">
      <c r="A725" s="1" t="s">
        <v>1851</v>
      </c>
      <c r="B725" s="1" t="s">
        <v>1851</v>
      </c>
      <c r="C725" s="1" t="s">
        <v>100</v>
      </c>
      <c r="E725" s="1">
        <v>7.3834688E7</v>
      </c>
      <c r="F725" s="2">
        <v>41275.0</v>
      </c>
      <c r="G725" s="1" t="s">
        <v>297</v>
      </c>
      <c r="I725" s="1" t="s">
        <v>297</v>
      </c>
      <c r="L725" s="1" t="s">
        <v>102</v>
      </c>
      <c r="M725" s="1">
        <v>8600.0</v>
      </c>
      <c r="N725" s="1" t="s">
        <v>102</v>
      </c>
      <c r="O725" s="1">
        <v>1.4193515E8</v>
      </c>
      <c r="P725" s="1" t="s">
        <v>877</v>
      </c>
      <c r="R725" s="1" t="s">
        <v>878</v>
      </c>
      <c r="S725" s="1" t="s">
        <v>44</v>
      </c>
      <c r="T725" s="1" t="s">
        <v>45</v>
      </c>
      <c r="U725" s="1">
        <v>4.82102038E8</v>
      </c>
      <c r="W725" s="1" t="s">
        <v>879</v>
      </c>
      <c r="X725" s="1" t="s">
        <v>880</v>
      </c>
      <c r="Y725" s="1">
        <v>6.06233738E8</v>
      </c>
      <c r="AB725" s="1">
        <v>36000.0</v>
      </c>
      <c r="AC725" s="2">
        <v>41275.0</v>
      </c>
      <c r="AD725" s="1">
        <v>8600.0</v>
      </c>
      <c r="AE725" s="1" t="s">
        <v>102</v>
      </c>
      <c r="AF725" s="1">
        <v>27239.0</v>
      </c>
      <c r="AG725" s="1" t="s">
        <v>1852</v>
      </c>
      <c r="AH725" s="1">
        <v>9.0</v>
      </c>
      <c r="AI725" s="1">
        <v>2013.0</v>
      </c>
      <c r="AJ725" s="1">
        <v>2013.0</v>
      </c>
      <c r="AK725" s="1" t="s">
        <v>305</v>
      </c>
    </row>
    <row r="726">
      <c r="A726" s="1" t="s">
        <v>1851</v>
      </c>
      <c r="B726" s="1" t="s">
        <v>1851</v>
      </c>
      <c r="C726" s="1" t="s">
        <v>100</v>
      </c>
      <c r="E726" s="1">
        <v>7.3834688E7</v>
      </c>
      <c r="F726" s="2">
        <v>41275.0</v>
      </c>
      <c r="G726" s="1" t="s">
        <v>297</v>
      </c>
      <c r="I726" s="1" t="s">
        <v>297</v>
      </c>
      <c r="L726" s="1" t="s">
        <v>102</v>
      </c>
      <c r="M726" s="1">
        <v>8600.0</v>
      </c>
      <c r="N726" s="1" t="s">
        <v>102</v>
      </c>
      <c r="O726" s="1">
        <v>1.4193515E8</v>
      </c>
      <c r="P726" s="1" t="s">
        <v>877</v>
      </c>
      <c r="R726" s="1" t="s">
        <v>878</v>
      </c>
      <c r="S726" s="1" t="s">
        <v>44</v>
      </c>
      <c r="T726" s="1" t="s">
        <v>45</v>
      </c>
      <c r="U726" s="1">
        <v>4.82102038E8</v>
      </c>
      <c r="W726" s="1" t="s">
        <v>879</v>
      </c>
      <c r="X726" s="1" t="s">
        <v>880</v>
      </c>
      <c r="Y726" s="1">
        <v>6.06233738E8</v>
      </c>
      <c r="AB726" s="1">
        <v>55000.0</v>
      </c>
      <c r="AC726" s="2">
        <v>41275.0</v>
      </c>
      <c r="AD726" s="1">
        <v>8600.0</v>
      </c>
      <c r="AE726" s="1" t="s">
        <v>102</v>
      </c>
      <c r="AF726" s="1">
        <v>27239.0</v>
      </c>
      <c r="AG726" s="1" t="s">
        <v>1852</v>
      </c>
      <c r="AH726" s="1">
        <v>9.0</v>
      </c>
      <c r="AI726" s="1">
        <v>2013.0</v>
      </c>
      <c r="AJ726" s="1">
        <v>2013.0</v>
      </c>
      <c r="AK726" s="1" t="s">
        <v>305</v>
      </c>
    </row>
    <row r="727">
      <c r="A727" s="1" t="s">
        <v>1853</v>
      </c>
      <c r="B727" s="1" t="s">
        <v>1853</v>
      </c>
      <c r="C727" s="1" t="s">
        <v>645</v>
      </c>
      <c r="E727" s="1">
        <v>5547372.0</v>
      </c>
      <c r="F727" s="2">
        <v>41844.0</v>
      </c>
      <c r="G727" s="1" t="s">
        <v>666</v>
      </c>
      <c r="I727" s="1" t="s">
        <v>666</v>
      </c>
      <c r="L727" s="1" t="s">
        <v>647</v>
      </c>
      <c r="M727" s="1">
        <v>1200.0</v>
      </c>
      <c r="N727" s="1" t="s">
        <v>647</v>
      </c>
      <c r="O727" s="1">
        <v>7.2761299E7</v>
      </c>
      <c r="P727" s="1" t="s">
        <v>667</v>
      </c>
      <c r="R727" s="1" t="s">
        <v>668</v>
      </c>
      <c r="S727" s="1" t="s">
        <v>44</v>
      </c>
      <c r="T727" s="1" t="s">
        <v>45</v>
      </c>
      <c r="U727" s="1">
        <v>4.82382849E8</v>
      </c>
      <c r="W727" s="1" t="s">
        <v>44</v>
      </c>
      <c r="X727" s="1" t="s">
        <v>45</v>
      </c>
      <c r="Y727" s="1">
        <v>4.82382849E8</v>
      </c>
      <c r="Z727" s="1">
        <v>7.2761299E7</v>
      </c>
      <c r="AA727" s="1" t="s">
        <v>667</v>
      </c>
      <c r="AB727" s="1">
        <v>2148165.0</v>
      </c>
      <c r="AC727" s="2">
        <v>41844.0</v>
      </c>
      <c r="AD727" s="1">
        <v>1200.0</v>
      </c>
      <c r="AE727" s="1" t="s">
        <v>647</v>
      </c>
      <c r="AF727" s="1" t="s">
        <v>1854</v>
      </c>
      <c r="AG727" s="1" t="s">
        <v>1780</v>
      </c>
      <c r="AH727" s="1">
        <v>7.0</v>
      </c>
      <c r="AI727" s="1">
        <v>2014.0</v>
      </c>
      <c r="AJ727" s="1">
        <v>2014.0</v>
      </c>
      <c r="AK727" s="1" t="s">
        <v>671</v>
      </c>
    </row>
    <row r="728">
      <c r="A728" s="1" t="s">
        <v>1853</v>
      </c>
      <c r="B728" s="1" t="s">
        <v>1853</v>
      </c>
      <c r="C728" s="1" t="s">
        <v>645</v>
      </c>
      <c r="E728" s="1">
        <v>5547372.0</v>
      </c>
      <c r="F728" s="2">
        <v>41844.0</v>
      </c>
      <c r="G728" s="1" t="s">
        <v>666</v>
      </c>
      <c r="I728" s="1" t="s">
        <v>666</v>
      </c>
      <c r="L728" s="1" t="s">
        <v>647</v>
      </c>
      <c r="M728" s="1">
        <v>1200.0</v>
      </c>
      <c r="N728" s="1" t="s">
        <v>647</v>
      </c>
      <c r="O728" s="1">
        <v>7.3134884E7</v>
      </c>
      <c r="P728" s="1" t="s">
        <v>1796</v>
      </c>
      <c r="R728" s="1" t="s">
        <v>1855</v>
      </c>
      <c r="S728" s="1" t="s">
        <v>44</v>
      </c>
      <c r="T728" s="1" t="s">
        <v>45</v>
      </c>
      <c r="U728" s="1">
        <v>48226.0</v>
      </c>
      <c r="W728" s="1" t="s">
        <v>648</v>
      </c>
      <c r="X728" s="1" t="s">
        <v>45</v>
      </c>
      <c r="Y728" s="1">
        <v>4.81865305E8</v>
      </c>
      <c r="Z728" s="1">
        <v>7.3134884E7</v>
      </c>
      <c r="AA728" s="1" t="s">
        <v>1796</v>
      </c>
      <c r="AB728" s="1">
        <v>145404.0</v>
      </c>
      <c r="AC728" s="2">
        <v>41844.0</v>
      </c>
      <c r="AD728" s="1">
        <v>1200.0</v>
      </c>
      <c r="AE728" s="1" t="s">
        <v>647</v>
      </c>
      <c r="AF728" s="1" t="s">
        <v>1856</v>
      </c>
      <c r="AG728" s="1" t="s">
        <v>1780</v>
      </c>
      <c r="AH728" s="1">
        <v>7.0</v>
      </c>
      <c r="AI728" s="1">
        <v>2014.0</v>
      </c>
      <c r="AJ728" s="1">
        <v>2014.0</v>
      </c>
      <c r="AK728" s="1" t="s">
        <v>671</v>
      </c>
    </row>
    <row r="729">
      <c r="A729" s="1" t="s">
        <v>1857</v>
      </c>
      <c r="B729" s="1" t="s">
        <v>1857</v>
      </c>
      <c r="C729" s="1" t="s">
        <v>100</v>
      </c>
      <c r="E729" s="1">
        <v>470280.0</v>
      </c>
      <c r="F729" s="2">
        <v>41548.0</v>
      </c>
      <c r="G729" s="1" t="s">
        <v>1858</v>
      </c>
      <c r="I729" s="1" t="s">
        <v>1858</v>
      </c>
      <c r="L729" s="1" t="s">
        <v>102</v>
      </c>
      <c r="M729" s="1">
        <v>8600.0</v>
      </c>
      <c r="N729" s="1" t="s">
        <v>102</v>
      </c>
      <c r="O729" s="1">
        <v>1.31984697E8</v>
      </c>
      <c r="P729" s="1" t="s">
        <v>103</v>
      </c>
      <c r="Q729" s="1" t="s">
        <v>104</v>
      </c>
      <c r="R729" s="1" t="s">
        <v>105</v>
      </c>
      <c r="S729" s="1" t="s">
        <v>44</v>
      </c>
      <c r="T729" s="1" t="s">
        <v>45</v>
      </c>
      <c r="U729" s="1">
        <v>4.82161435E8</v>
      </c>
      <c r="W729" s="1" t="s">
        <v>46</v>
      </c>
      <c r="X729" s="1" t="s">
        <v>45</v>
      </c>
      <c r="Y729" s="1">
        <v>4.82161435E8</v>
      </c>
      <c r="Z729" s="1">
        <v>7.6385699E7</v>
      </c>
      <c r="AA729" s="1" t="s">
        <v>106</v>
      </c>
      <c r="AB729" s="1">
        <v>117335.36</v>
      </c>
      <c r="AC729" s="2">
        <v>41548.0</v>
      </c>
      <c r="AD729" s="1">
        <v>8600.0</v>
      </c>
      <c r="AE729" s="1" t="s">
        <v>102</v>
      </c>
      <c r="AF729" s="1">
        <v>2.0140937E7</v>
      </c>
      <c r="AG729" s="1" t="s">
        <v>1859</v>
      </c>
      <c r="AH729" s="1">
        <v>10.0</v>
      </c>
      <c r="AI729" s="1">
        <v>2011.0</v>
      </c>
      <c r="AJ729" s="1">
        <v>2014.0</v>
      </c>
      <c r="AK729" s="1" t="s">
        <v>1860</v>
      </c>
    </row>
    <row r="730">
      <c r="A730" s="1" t="s">
        <v>1857</v>
      </c>
      <c r="B730" s="1" t="s">
        <v>1857</v>
      </c>
      <c r="C730" s="1" t="s">
        <v>100</v>
      </c>
      <c r="E730" s="1">
        <v>470280.0</v>
      </c>
      <c r="F730" s="2">
        <v>41183.0</v>
      </c>
      <c r="G730" s="1" t="s">
        <v>1858</v>
      </c>
      <c r="I730" s="1" t="s">
        <v>1858</v>
      </c>
      <c r="L730" s="1" t="s">
        <v>102</v>
      </c>
      <c r="M730" s="1">
        <v>8600.0</v>
      </c>
      <c r="N730" s="1" t="s">
        <v>102</v>
      </c>
      <c r="O730" s="1">
        <v>1.31984697E8</v>
      </c>
      <c r="P730" s="1" t="s">
        <v>103</v>
      </c>
      <c r="Q730" s="1" t="s">
        <v>104</v>
      </c>
      <c r="R730" s="1" t="s">
        <v>105</v>
      </c>
      <c r="S730" s="1" t="s">
        <v>44</v>
      </c>
      <c r="T730" s="1" t="s">
        <v>45</v>
      </c>
      <c r="U730" s="1">
        <v>4.82161435E8</v>
      </c>
      <c r="W730" s="1" t="s">
        <v>46</v>
      </c>
      <c r="X730" s="1" t="s">
        <v>45</v>
      </c>
      <c r="Y730" s="1">
        <v>4.82161435E8</v>
      </c>
      <c r="Z730" s="1">
        <v>7.6385699E7</v>
      </c>
      <c r="AA730" s="1" t="s">
        <v>106</v>
      </c>
      <c r="AB730" s="1">
        <v>352944.64</v>
      </c>
      <c r="AC730" s="2">
        <v>41183.0</v>
      </c>
      <c r="AD730" s="1">
        <v>8600.0</v>
      </c>
      <c r="AE730" s="1" t="s">
        <v>102</v>
      </c>
      <c r="AF730" s="1">
        <v>2.0130874E7</v>
      </c>
      <c r="AG730" s="1" t="s">
        <v>1859</v>
      </c>
      <c r="AH730" s="1">
        <v>10.0</v>
      </c>
      <c r="AI730" s="1">
        <v>2011.0</v>
      </c>
      <c r="AJ730" s="1">
        <v>2013.0</v>
      </c>
      <c r="AK730" s="1" t="s">
        <v>1860</v>
      </c>
    </row>
    <row r="731">
      <c r="A731" s="1" t="s">
        <v>992</v>
      </c>
      <c r="B731" s="1" t="s">
        <v>992</v>
      </c>
      <c r="C731" s="1" t="s">
        <v>159</v>
      </c>
      <c r="E731" s="1">
        <v>3.7269576E7</v>
      </c>
      <c r="F731" s="2">
        <v>41528.0</v>
      </c>
      <c r="G731" s="1" t="s">
        <v>993</v>
      </c>
      <c r="I731" s="1" t="s">
        <v>993</v>
      </c>
      <c r="L731" s="1" t="s">
        <v>40</v>
      </c>
      <c r="M731" s="1">
        <v>7500.0</v>
      </c>
      <c r="N731" s="1" t="s">
        <v>40</v>
      </c>
      <c r="O731" s="1">
        <v>2.1761763E7</v>
      </c>
      <c r="P731" s="1" t="s">
        <v>1046</v>
      </c>
      <c r="Q731" s="1" t="s">
        <v>1047</v>
      </c>
      <c r="R731" s="1" t="s">
        <v>1048</v>
      </c>
      <c r="S731" s="1" t="s">
        <v>44</v>
      </c>
      <c r="T731" s="1" t="s">
        <v>45</v>
      </c>
      <c r="U731" s="1">
        <v>4.82121112E8</v>
      </c>
      <c r="W731" s="1" t="s">
        <v>46</v>
      </c>
      <c r="X731" s="1" t="s">
        <v>45</v>
      </c>
      <c r="Y731" s="1">
        <v>4.82121112E8</v>
      </c>
      <c r="AB731" s="1">
        <v>34303.0</v>
      </c>
      <c r="AC731" s="2">
        <v>41528.0</v>
      </c>
      <c r="AD731" s="1">
        <v>7500.0</v>
      </c>
      <c r="AE731" s="1" t="s">
        <v>40</v>
      </c>
      <c r="AF731" s="1">
        <v>3.8171546E8</v>
      </c>
      <c r="AG731" s="1" t="s">
        <v>1049</v>
      </c>
      <c r="AH731" s="1">
        <v>3.0</v>
      </c>
      <c r="AI731" s="1">
        <v>2014.0</v>
      </c>
      <c r="AJ731" s="1">
        <v>2013.0</v>
      </c>
      <c r="AK731" s="1" t="s">
        <v>997</v>
      </c>
    </row>
    <row r="732">
      <c r="A732" s="1" t="s">
        <v>992</v>
      </c>
      <c r="B732" s="1" t="s">
        <v>992</v>
      </c>
      <c r="C732" s="1" t="s">
        <v>159</v>
      </c>
      <c r="E732" s="1">
        <v>3.7269576E7</v>
      </c>
      <c r="F732" s="2">
        <v>41558.0</v>
      </c>
      <c r="G732" s="1" t="s">
        <v>993</v>
      </c>
      <c r="I732" s="1" t="s">
        <v>993</v>
      </c>
      <c r="L732" s="1" t="s">
        <v>40</v>
      </c>
      <c r="M732" s="1">
        <v>7500.0</v>
      </c>
      <c r="N732" s="1" t="s">
        <v>40</v>
      </c>
      <c r="O732" s="1">
        <v>1.97862014E8</v>
      </c>
      <c r="P732" s="1" t="s">
        <v>1056</v>
      </c>
      <c r="Q732" s="1" t="s">
        <v>1057</v>
      </c>
      <c r="R732" s="1" t="s">
        <v>1058</v>
      </c>
      <c r="S732" s="1" t="s">
        <v>44</v>
      </c>
      <c r="T732" s="1" t="s">
        <v>45</v>
      </c>
      <c r="U732" s="1">
        <v>4.82023165E8</v>
      </c>
      <c r="W732" s="1" t="s">
        <v>46</v>
      </c>
      <c r="X732" s="1" t="s">
        <v>45</v>
      </c>
      <c r="Y732" s="1">
        <v>4.82023165E8</v>
      </c>
      <c r="Z732" s="1">
        <v>1.97862014E8</v>
      </c>
      <c r="AA732" s="1" t="s">
        <v>1056</v>
      </c>
      <c r="AB732" s="1">
        <v>46594.0</v>
      </c>
      <c r="AC732" s="2">
        <v>41558.0</v>
      </c>
      <c r="AD732" s="1">
        <v>7500.0</v>
      </c>
      <c r="AE732" s="1" t="s">
        <v>40</v>
      </c>
      <c r="AF732" s="1">
        <v>1.97862014E8</v>
      </c>
      <c r="AG732" s="1" t="s">
        <v>1059</v>
      </c>
      <c r="AH732" s="1">
        <v>3.0</v>
      </c>
      <c r="AI732" s="1">
        <v>2014.0</v>
      </c>
      <c r="AJ732" s="1">
        <v>2014.0</v>
      </c>
      <c r="AK732" s="1" t="s">
        <v>997</v>
      </c>
    </row>
    <row r="733">
      <c r="A733" s="1" t="s">
        <v>992</v>
      </c>
      <c r="B733" s="1" t="s">
        <v>992</v>
      </c>
      <c r="C733" s="1" t="s">
        <v>159</v>
      </c>
      <c r="E733" s="1">
        <v>3.7269576E7</v>
      </c>
      <c r="F733" s="2">
        <v>41614.0</v>
      </c>
      <c r="G733" s="1" t="s">
        <v>993</v>
      </c>
      <c r="I733" s="1" t="s">
        <v>993</v>
      </c>
      <c r="L733" s="1" t="s">
        <v>40</v>
      </c>
      <c r="M733" s="1">
        <v>7500.0</v>
      </c>
      <c r="N733" s="1" t="s">
        <v>40</v>
      </c>
      <c r="O733" s="1">
        <v>9.29292464E8</v>
      </c>
      <c r="P733" s="1" t="s">
        <v>1043</v>
      </c>
      <c r="R733" s="1" t="s">
        <v>1044</v>
      </c>
      <c r="S733" s="1" t="s">
        <v>44</v>
      </c>
      <c r="T733" s="1" t="s">
        <v>45</v>
      </c>
      <c r="U733" s="1">
        <v>4.82161921E8</v>
      </c>
      <c r="W733" s="1" t="s">
        <v>46</v>
      </c>
      <c r="X733" s="1" t="s">
        <v>45</v>
      </c>
      <c r="Y733" s="1">
        <v>4.82161921E8</v>
      </c>
      <c r="AB733" s="1">
        <v>1158567.0</v>
      </c>
      <c r="AC733" s="2">
        <v>41614.0</v>
      </c>
      <c r="AD733" s="1">
        <v>7500.0</v>
      </c>
      <c r="AE733" s="1" t="s">
        <v>40</v>
      </c>
      <c r="AF733" s="1">
        <v>3.827119621E9</v>
      </c>
      <c r="AG733" s="1" t="s">
        <v>1045</v>
      </c>
      <c r="AH733" s="1">
        <v>3.0</v>
      </c>
      <c r="AI733" s="1">
        <v>2014.0</v>
      </c>
      <c r="AJ733" s="1">
        <v>2014.0</v>
      </c>
      <c r="AK733" s="1" t="s">
        <v>997</v>
      </c>
    </row>
    <row r="734">
      <c r="A734" s="1" t="s">
        <v>992</v>
      </c>
      <c r="B734" s="1" t="s">
        <v>992</v>
      </c>
      <c r="C734" s="1" t="s">
        <v>159</v>
      </c>
      <c r="E734" s="1">
        <v>3.7269576E7</v>
      </c>
      <c r="F734" s="2">
        <v>41613.0</v>
      </c>
      <c r="G734" s="1" t="s">
        <v>993</v>
      </c>
      <c r="I734" s="1" t="s">
        <v>993</v>
      </c>
      <c r="L734" s="1" t="s">
        <v>40</v>
      </c>
      <c r="M734" s="1">
        <v>7500.0</v>
      </c>
      <c r="N734" s="1" t="s">
        <v>40</v>
      </c>
      <c r="O734" s="1">
        <v>1.98999146E8</v>
      </c>
      <c r="P734" s="1" t="s">
        <v>999</v>
      </c>
      <c r="R734" s="1" t="s">
        <v>1000</v>
      </c>
      <c r="S734" s="1" t="s">
        <v>44</v>
      </c>
      <c r="T734" s="1" t="s">
        <v>45</v>
      </c>
      <c r="U734" s="1">
        <v>4.82263007E8</v>
      </c>
      <c r="W734" s="1" t="s">
        <v>46</v>
      </c>
      <c r="X734" s="1" t="s">
        <v>45</v>
      </c>
      <c r="Y734" s="1">
        <v>4.82263007E8</v>
      </c>
      <c r="AB734" s="1">
        <v>700865.0</v>
      </c>
      <c r="AC734" s="2">
        <v>41613.0</v>
      </c>
      <c r="AD734" s="1">
        <v>7500.0</v>
      </c>
      <c r="AE734" s="1" t="s">
        <v>40</v>
      </c>
      <c r="AF734" s="1">
        <v>3.82704374E8</v>
      </c>
      <c r="AG734" s="1" t="s">
        <v>1001</v>
      </c>
      <c r="AH734" s="1">
        <v>3.0</v>
      </c>
      <c r="AI734" s="1">
        <v>2014.0</v>
      </c>
      <c r="AJ734" s="1">
        <v>2014.0</v>
      </c>
      <c r="AK734" s="1" t="s">
        <v>997</v>
      </c>
    </row>
    <row r="735">
      <c r="A735" s="1" t="s">
        <v>992</v>
      </c>
      <c r="B735" s="1" t="s">
        <v>992</v>
      </c>
      <c r="C735" s="1" t="s">
        <v>159</v>
      </c>
      <c r="E735" s="1">
        <v>3.7269576E7</v>
      </c>
      <c r="F735" s="2">
        <v>41628.0</v>
      </c>
      <c r="G735" s="1" t="s">
        <v>993</v>
      </c>
      <c r="I735" s="1" t="s">
        <v>993</v>
      </c>
      <c r="L735" s="1" t="s">
        <v>40</v>
      </c>
      <c r="M735" s="1">
        <v>7500.0</v>
      </c>
      <c r="N735" s="1" t="s">
        <v>40</v>
      </c>
      <c r="O735" s="1">
        <v>1962224.0</v>
      </c>
      <c r="P735" s="1" t="s">
        <v>52</v>
      </c>
      <c r="R735" s="1" t="s">
        <v>53</v>
      </c>
      <c r="S735" s="1" t="s">
        <v>44</v>
      </c>
      <c r="T735" s="1" t="s">
        <v>45</v>
      </c>
      <c r="U735" s="1">
        <v>4.82023692E8</v>
      </c>
      <c r="W735" s="1" t="s">
        <v>46</v>
      </c>
      <c r="X735" s="1" t="s">
        <v>45</v>
      </c>
      <c r="Y735" s="1">
        <v>4.8202405E8</v>
      </c>
      <c r="Z735" s="1">
        <v>1962224.0</v>
      </c>
      <c r="AA735" s="1" t="s">
        <v>52</v>
      </c>
      <c r="AB735" s="1">
        <v>819674.0</v>
      </c>
      <c r="AC735" s="2">
        <v>41628.0</v>
      </c>
      <c r="AD735" s="1">
        <v>7500.0</v>
      </c>
      <c r="AE735" s="1" t="s">
        <v>40</v>
      </c>
      <c r="AF735" s="1" t="s">
        <v>1074</v>
      </c>
      <c r="AG735" s="1" t="s">
        <v>1075</v>
      </c>
      <c r="AH735" s="1">
        <v>3.0</v>
      </c>
      <c r="AI735" s="1">
        <v>2014.0</v>
      </c>
      <c r="AJ735" s="1">
        <v>2014.0</v>
      </c>
      <c r="AK735" s="1" t="s">
        <v>997</v>
      </c>
    </row>
    <row r="736">
      <c r="A736" s="1" t="s">
        <v>992</v>
      </c>
      <c r="B736" s="1" t="s">
        <v>992</v>
      </c>
      <c r="C736" s="1" t="s">
        <v>159</v>
      </c>
      <c r="E736" s="1">
        <v>3.7269576E7</v>
      </c>
      <c r="F736" s="2">
        <v>41628.0</v>
      </c>
      <c r="G736" s="1" t="s">
        <v>993</v>
      </c>
      <c r="I736" s="1" t="s">
        <v>993</v>
      </c>
      <c r="L736" s="1" t="s">
        <v>40</v>
      </c>
      <c r="M736" s="1">
        <v>7500.0</v>
      </c>
      <c r="N736" s="1" t="s">
        <v>40</v>
      </c>
      <c r="O736" s="1">
        <v>8.48764171E8</v>
      </c>
      <c r="P736" s="1" t="s">
        <v>1050</v>
      </c>
      <c r="Q736" s="1" t="s">
        <v>1051</v>
      </c>
      <c r="R736" s="1" t="s">
        <v>1052</v>
      </c>
      <c r="S736" s="1" t="s">
        <v>44</v>
      </c>
      <c r="T736" s="1" t="s">
        <v>45</v>
      </c>
      <c r="U736" s="1">
        <v>4.820741E8</v>
      </c>
      <c r="W736" s="1" t="s">
        <v>46</v>
      </c>
      <c r="X736" s="1" t="s">
        <v>45</v>
      </c>
      <c r="Y736" s="1">
        <v>4.820741E8</v>
      </c>
      <c r="AB736" s="1">
        <v>859083.0</v>
      </c>
      <c r="AC736" s="2">
        <v>41628.0</v>
      </c>
      <c r="AD736" s="1">
        <v>7500.0</v>
      </c>
      <c r="AE736" s="1" t="s">
        <v>40</v>
      </c>
      <c r="AF736" s="1">
        <v>3.82464851E8</v>
      </c>
      <c r="AG736" s="1" t="s">
        <v>1053</v>
      </c>
      <c r="AH736" s="1">
        <v>3.0</v>
      </c>
      <c r="AI736" s="1">
        <v>2014.0</v>
      </c>
      <c r="AJ736" s="1">
        <v>2014.0</v>
      </c>
      <c r="AK736" s="1" t="s">
        <v>997</v>
      </c>
    </row>
    <row r="737">
      <c r="A737" s="1" t="s">
        <v>992</v>
      </c>
      <c r="B737" s="1" t="s">
        <v>992</v>
      </c>
      <c r="C737" s="1" t="s">
        <v>159</v>
      </c>
      <c r="E737" s="1">
        <v>3.7269576E7</v>
      </c>
      <c r="F737" s="2">
        <v>41558.0</v>
      </c>
      <c r="G737" s="1" t="s">
        <v>993</v>
      </c>
      <c r="I737" s="1" t="s">
        <v>993</v>
      </c>
      <c r="L737" s="1" t="s">
        <v>40</v>
      </c>
      <c r="M737" s="1">
        <v>7500.0</v>
      </c>
      <c r="N737" s="1" t="s">
        <v>40</v>
      </c>
      <c r="O737" s="1">
        <v>7.90642933E8</v>
      </c>
      <c r="P737" s="1" t="s">
        <v>1861</v>
      </c>
      <c r="Q737" s="1" t="s">
        <v>1862</v>
      </c>
      <c r="R737" s="1" t="s">
        <v>1863</v>
      </c>
      <c r="S737" s="1" t="s">
        <v>44</v>
      </c>
      <c r="T737" s="1" t="s">
        <v>45</v>
      </c>
      <c r="U737" s="1">
        <v>4.82011908E8</v>
      </c>
      <c r="W737" s="1" t="s">
        <v>46</v>
      </c>
      <c r="X737" s="1" t="s">
        <v>45</v>
      </c>
      <c r="Y737" s="1">
        <v>4.82012167E8</v>
      </c>
      <c r="Z737" s="1">
        <v>7.90642933E8</v>
      </c>
      <c r="AA737" s="1" t="s">
        <v>1861</v>
      </c>
      <c r="AB737" s="1">
        <v>59743.0</v>
      </c>
      <c r="AC737" s="2">
        <v>41558.0</v>
      </c>
      <c r="AD737" s="1">
        <v>7500.0</v>
      </c>
      <c r="AE737" s="1" t="s">
        <v>40</v>
      </c>
      <c r="AF737" s="1">
        <v>3.834744766E9</v>
      </c>
      <c r="AG737" s="1" t="s">
        <v>1864</v>
      </c>
      <c r="AH737" s="1">
        <v>3.0</v>
      </c>
      <c r="AI737" s="1">
        <v>2014.0</v>
      </c>
      <c r="AJ737" s="1">
        <v>2014.0</v>
      </c>
      <c r="AK737" s="1" t="s">
        <v>997</v>
      </c>
    </row>
    <row r="738">
      <c r="A738" s="1" t="s">
        <v>992</v>
      </c>
      <c r="B738" s="1" t="s">
        <v>992</v>
      </c>
      <c r="C738" s="1" t="s">
        <v>159</v>
      </c>
      <c r="E738" s="1">
        <v>3.7269576E7</v>
      </c>
      <c r="F738" s="2">
        <v>41705.0</v>
      </c>
      <c r="G738" s="1" t="s">
        <v>993</v>
      </c>
      <c r="I738" s="1" t="s">
        <v>993</v>
      </c>
      <c r="L738" s="1" t="s">
        <v>40</v>
      </c>
      <c r="M738" s="1">
        <v>7500.0</v>
      </c>
      <c r="N738" s="1" t="s">
        <v>40</v>
      </c>
      <c r="O738" s="1">
        <v>7.3134603E7</v>
      </c>
      <c r="P738" s="1" t="s">
        <v>41</v>
      </c>
      <c r="Q738" s="1" t="s">
        <v>252</v>
      </c>
      <c r="R738" s="1" t="s">
        <v>253</v>
      </c>
      <c r="S738" s="1" t="s">
        <v>44</v>
      </c>
      <c r="T738" s="1" t="s">
        <v>45</v>
      </c>
      <c r="U738" s="1">
        <v>4.8202345E8</v>
      </c>
      <c r="W738" s="1" t="s">
        <v>46</v>
      </c>
      <c r="X738" s="1" t="s">
        <v>45</v>
      </c>
      <c r="Y738" s="1">
        <v>4.82022689E8</v>
      </c>
      <c r="Z738" s="1">
        <v>7.3134603E7</v>
      </c>
      <c r="AA738" s="1" t="s">
        <v>41</v>
      </c>
      <c r="AB738" s="1">
        <v>744625.0</v>
      </c>
      <c r="AC738" s="2">
        <v>41705.0</v>
      </c>
      <c r="AD738" s="1">
        <v>7500.0</v>
      </c>
      <c r="AE738" s="1" t="s">
        <v>40</v>
      </c>
      <c r="AF738" s="1">
        <v>3.8135702E8</v>
      </c>
      <c r="AG738" s="1" t="s">
        <v>1061</v>
      </c>
      <c r="AH738" s="1">
        <v>3.0</v>
      </c>
      <c r="AI738" s="1">
        <v>2014.0</v>
      </c>
      <c r="AJ738" s="1">
        <v>2014.0</v>
      </c>
      <c r="AK738" s="1" t="s">
        <v>997</v>
      </c>
    </row>
    <row r="739">
      <c r="A739" s="1" t="s">
        <v>992</v>
      </c>
      <c r="B739" s="1" t="s">
        <v>992</v>
      </c>
      <c r="C739" s="1" t="s">
        <v>159</v>
      </c>
      <c r="E739" s="1">
        <v>3.7269576E7</v>
      </c>
      <c r="F739" s="2">
        <v>41515.0</v>
      </c>
      <c r="G739" s="1" t="s">
        <v>993</v>
      </c>
      <c r="I739" s="1" t="s">
        <v>993</v>
      </c>
      <c r="L739" s="1" t="s">
        <v>40</v>
      </c>
      <c r="M739" s="1">
        <v>7500.0</v>
      </c>
      <c r="N739" s="1" t="s">
        <v>40</v>
      </c>
      <c r="O739" s="1">
        <v>5.4696057E7</v>
      </c>
      <c r="P739" s="1" t="s">
        <v>1865</v>
      </c>
      <c r="Q739" s="1" t="s">
        <v>1866</v>
      </c>
      <c r="R739" s="1" t="s">
        <v>1867</v>
      </c>
      <c r="S739" s="1" t="s">
        <v>44</v>
      </c>
      <c r="T739" s="1" t="s">
        <v>45</v>
      </c>
      <c r="U739" s="1">
        <v>4.82352424E8</v>
      </c>
      <c r="W739" s="1" t="s">
        <v>46</v>
      </c>
      <c r="X739" s="1" t="s">
        <v>45</v>
      </c>
      <c r="Y739" s="1">
        <v>4.82012194E8</v>
      </c>
      <c r="AB739" s="1">
        <v>40000.0</v>
      </c>
      <c r="AC739" s="2">
        <v>41515.0</v>
      </c>
      <c r="AD739" s="1">
        <v>7500.0</v>
      </c>
      <c r="AE739" s="1" t="s">
        <v>40</v>
      </c>
      <c r="AF739" s="1">
        <v>2.0876418E7</v>
      </c>
      <c r="AG739" s="1" t="s">
        <v>1868</v>
      </c>
      <c r="AH739" s="1">
        <v>3.0</v>
      </c>
      <c r="AI739" s="1">
        <v>2014.0</v>
      </c>
      <c r="AJ739" s="1">
        <v>2013.0</v>
      </c>
      <c r="AK739" s="1" t="s">
        <v>997</v>
      </c>
    </row>
    <row r="740">
      <c r="A740" s="1" t="s">
        <v>992</v>
      </c>
      <c r="B740" s="1" t="s">
        <v>992</v>
      </c>
      <c r="C740" s="1" t="s">
        <v>159</v>
      </c>
      <c r="E740" s="1">
        <v>3.7269576E7</v>
      </c>
      <c r="F740" s="2">
        <v>41695.0</v>
      </c>
      <c r="G740" s="1" t="s">
        <v>993</v>
      </c>
      <c r="I740" s="1" t="s">
        <v>993</v>
      </c>
      <c r="L740" s="1" t="s">
        <v>40</v>
      </c>
      <c r="M740" s="1">
        <v>7500.0</v>
      </c>
      <c r="N740" s="1" t="s">
        <v>40</v>
      </c>
      <c r="O740" s="1">
        <v>1.41947783E8</v>
      </c>
      <c r="P740" s="1" t="s">
        <v>144</v>
      </c>
      <c r="R740" s="1" t="s">
        <v>145</v>
      </c>
      <c r="S740" s="1" t="s">
        <v>44</v>
      </c>
      <c r="T740" s="1" t="s">
        <v>45</v>
      </c>
      <c r="U740" s="1">
        <v>4.82362148E8</v>
      </c>
      <c r="W740" s="1" t="s">
        <v>46</v>
      </c>
      <c r="X740" s="1" t="s">
        <v>45</v>
      </c>
      <c r="Y740" s="1">
        <v>4.82021732E8</v>
      </c>
      <c r="AB740" s="1">
        <v>528361.0</v>
      </c>
      <c r="AC740" s="2">
        <v>41695.0</v>
      </c>
      <c r="AD740" s="1">
        <v>7500.0</v>
      </c>
      <c r="AE740" s="1" t="s">
        <v>40</v>
      </c>
      <c r="AF740" s="1">
        <v>3.82262856E8</v>
      </c>
      <c r="AG740" s="1" t="s">
        <v>1054</v>
      </c>
      <c r="AH740" s="1">
        <v>3.0</v>
      </c>
      <c r="AI740" s="1">
        <v>2014.0</v>
      </c>
      <c r="AJ740" s="1">
        <v>2014.0</v>
      </c>
      <c r="AK740" s="1" t="s">
        <v>997</v>
      </c>
    </row>
    <row r="741">
      <c r="A741" s="1" t="s">
        <v>1325</v>
      </c>
      <c r="B741" s="1" t="s">
        <v>1325</v>
      </c>
      <c r="C741" s="1" t="s">
        <v>129</v>
      </c>
      <c r="E741" s="1">
        <v>3.93293408E8</v>
      </c>
      <c r="F741" s="2">
        <v>41548.0</v>
      </c>
      <c r="G741" s="1" t="s">
        <v>1326</v>
      </c>
      <c r="I741" s="1" t="s">
        <v>1326</v>
      </c>
      <c r="L741" s="1" t="s">
        <v>40</v>
      </c>
      <c r="M741" s="1">
        <v>7500.0</v>
      </c>
      <c r="N741" s="1" t="s">
        <v>40</v>
      </c>
      <c r="O741" s="1">
        <v>6.9840817E7</v>
      </c>
      <c r="P741" s="1" t="s">
        <v>131</v>
      </c>
      <c r="R741" s="1" t="s">
        <v>132</v>
      </c>
      <c r="S741" s="1" t="s">
        <v>44</v>
      </c>
      <c r="T741" s="1" t="s">
        <v>45</v>
      </c>
      <c r="U741" s="1">
        <v>4.8214261E8</v>
      </c>
      <c r="W741" s="1" t="s">
        <v>44</v>
      </c>
      <c r="X741" s="1" t="s">
        <v>45</v>
      </c>
      <c r="Y741" s="1">
        <v>4.8214261E8</v>
      </c>
      <c r="Z741" s="1">
        <v>6.9840817E7</v>
      </c>
      <c r="AA741" s="1" t="s">
        <v>131</v>
      </c>
      <c r="AB741" s="1">
        <v>457342.0</v>
      </c>
      <c r="AC741" s="2">
        <v>41548.0</v>
      </c>
      <c r="AD741" s="1">
        <v>7500.0</v>
      </c>
      <c r="AE741" s="1" t="s">
        <v>40</v>
      </c>
      <c r="AF741" s="1" t="s">
        <v>1328</v>
      </c>
      <c r="AG741" s="1" t="s">
        <v>1329</v>
      </c>
      <c r="AH741" s="1">
        <v>10.0</v>
      </c>
      <c r="AI741" s="1">
        <v>2013.0</v>
      </c>
      <c r="AJ741" s="1">
        <v>2014.0</v>
      </c>
      <c r="AK741" s="1" t="s">
        <v>385</v>
      </c>
    </row>
    <row r="742">
      <c r="A742" s="1" t="s">
        <v>1869</v>
      </c>
      <c r="B742" s="1" t="s">
        <v>1869</v>
      </c>
      <c r="C742" s="1" t="s">
        <v>129</v>
      </c>
      <c r="E742" s="1">
        <v>1.0713138E7</v>
      </c>
      <c r="F742" s="2">
        <v>41548.0</v>
      </c>
      <c r="G742" s="1" t="s">
        <v>1870</v>
      </c>
      <c r="I742" s="1" t="s">
        <v>1870</v>
      </c>
      <c r="L742" s="1" t="s">
        <v>40</v>
      </c>
      <c r="M742" s="1">
        <v>7500.0</v>
      </c>
      <c r="N742" s="1" t="s">
        <v>40</v>
      </c>
      <c r="O742" s="1">
        <v>6.9840817E7</v>
      </c>
      <c r="P742" s="1" t="s">
        <v>131</v>
      </c>
      <c r="R742" s="1" t="s">
        <v>132</v>
      </c>
      <c r="S742" s="1" t="s">
        <v>44</v>
      </c>
      <c r="T742" s="1" t="s">
        <v>45</v>
      </c>
      <c r="U742" s="1">
        <v>4.8214261E8</v>
      </c>
      <c r="W742" s="1" t="s">
        <v>44</v>
      </c>
      <c r="X742" s="1" t="s">
        <v>45</v>
      </c>
      <c r="Y742" s="1">
        <v>4.8214261E8</v>
      </c>
      <c r="Z742" s="1">
        <v>6.9840817E7</v>
      </c>
      <c r="AA742" s="1" t="s">
        <v>131</v>
      </c>
      <c r="AB742" s="1">
        <v>100000.0</v>
      </c>
      <c r="AC742" s="2">
        <v>41548.0</v>
      </c>
      <c r="AD742" s="1">
        <v>7500.0</v>
      </c>
      <c r="AE742" s="1" t="s">
        <v>40</v>
      </c>
      <c r="AF742" s="1" t="s">
        <v>1871</v>
      </c>
      <c r="AG742" s="1" t="s">
        <v>1872</v>
      </c>
      <c r="AH742" s="1">
        <v>10.0</v>
      </c>
      <c r="AI742" s="1">
        <v>2013.0</v>
      </c>
      <c r="AJ742" s="1">
        <v>2014.0</v>
      </c>
      <c r="AK742" s="1" t="s">
        <v>1873</v>
      </c>
    </row>
    <row r="743">
      <c r="A743" s="1" t="s">
        <v>1325</v>
      </c>
      <c r="B743" s="1" t="s">
        <v>1325</v>
      </c>
      <c r="C743" s="1" t="s">
        <v>129</v>
      </c>
      <c r="E743" s="1">
        <v>3.93293408E8</v>
      </c>
      <c r="F743" s="2">
        <v>41548.0</v>
      </c>
      <c r="G743" s="1" t="s">
        <v>1326</v>
      </c>
      <c r="I743" s="1" t="s">
        <v>1326</v>
      </c>
      <c r="L743" s="1" t="s">
        <v>40</v>
      </c>
      <c r="M743" s="1">
        <v>7500.0</v>
      </c>
      <c r="N743" s="1" t="s">
        <v>40</v>
      </c>
      <c r="O743" s="1">
        <v>1.95614664E8</v>
      </c>
      <c r="P743" s="1" t="s">
        <v>1333</v>
      </c>
      <c r="R743" s="1" t="s">
        <v>1334</v>
      </c>
      <c r="S743" s="1" t="s">
        <v>44</v>
      </c>
      <c r="T743" s="1" t="s">
        <v>45</v>
      </c>
      <c r="U743" s="1">
        <v>4.82023133E8</v>
      </c>
      <c r="W743" s="1" t="s">
        <v>44</v>
      </c>
      <c r="X743" s="1" t="s">
        <v>45</v>
      </c>
      <c r="Y743" s="1">
        <v>4.82023133E8</v>
      </c>
      <c r="Z743" s="1">
        <v>1.95614664E8</v>
      </c>
      <c r="AA743" s="1" t="s">
        <v>1333</v>
      </c>
      <c r="AB743" s="1">
        <v>807364.0</v>
      </c>
      <c r="AC743" s="2">
        <v>41548.0</v>
      </c>
      <c r="AD743" s="1">
        <v>7500.0</v>
      </c>
      <c r="AE743" s="1" t="s">
        <v>40</v>
      </c>
      <c r="AF743" s="1" t="s">
        <v>1335</v>
      </c>
      <c r="AG743" s="1" t="s">
        <v>1329</v>
      </c>
      <c r="AH743" s="1">
        <v>12.0</v>
      </c>
      <c r="AI743" s="1">
        <v>2013.0</v>
      </c>
      <c r="AJ743" s="1">
        <v>2014.0</v>
      </c>
      <c r="AK743" s="1" t="s">
        <v>385</v>
      </c>
    </row>
    <row r="744">
      <c r="A744" s="1" t="s">
        <v>1325</v>
      </c>
      <c r="B744" s="1" t="s">
        <v>1325</v>
      </c>
      <c r="C744" s="1" t="s">
        <v>129</v>
      </c>
      <c r="E744" s="1">
        <v>3.93293408E8</v>
      </c>
      <c r="F744" s="2">
        <v>41548.0</v>
      </c>
      <c r="G744" s="1" t="s">
        <v>1326</v>
      </c>
      <c r="I744" s="1" t="s">
        <v>1326</v>
      </c>
      <c r="L744" s="1" t="s">
        <v>40</v>
      </c>
      <c r="M744" s="1">
        <v>7500.0</v>
      </c>
      <c r="N744" s="1" t="s">
        <v>40</v>
      </c>
      <c r="O744" s="1">
        <v>6.9840817E7</v>
      </c>
      <c r="P744" s="1" t="s">
        <v>131</v>
      </c>
      <c r="R744" s="1" t="s">
        <v>132</v>
      </c>
      <c r="S744" s="1" t="s">
        <v>44</v>
      </c>
      <c r="T744" s="1" t="s">
        <v>45</v>
      </c>
      <c r="U744" s="1">
        <v>4.8214261E8</v>
      </c>
      <c r="W744" s="1" t="s">
        <v>46</v>
      </c>
      <c r="X744" s="1" t="s">
        <v>45</v>
      </c>
      <c r="Y744" s="1">
        <v>4.8214261E8</v>
      </c>
      <c r="Z744" s="1">
        <v>6.9840817E7</v>
      </c>
      <c r="AA744" s="1" t="s">
        <v>131</v>
      </c>
      <c r="AB744" s="1">
        <v>456590.0</v>
      </c>
      <c r="AC744" s="2">
        <v>41548.0</v>
      </c>
      <c r="AD744" s="1">
        <v>7500.0</v>
      </c>
      <c r="AE744" s="1" t="s">
        <v>40</v>
      </c>
      <c r="AF744" s="1" t="s">
        <v>1336</v>
      </c>
      <c r="AG744" s="1" t="s">
        <v>1329</v>
      </c>
      <c r="AH744" s="1">
        <v>12.0</v>
      </c>
      <c r="AI744" s="1">
        <v>2013.0</v>
      </c>
      <c r="AJ744" s="1">
        <v>2014.0</v>
      </c>
      <c r="AK744" s="1" t="s">
        <v>385</v>
      </c>
    </row>
    <row r="745">
      <c r="A745" s="1" t="s">
        <v>1325</v>
      </c>
      <c r="B745" s="1" t="s">
        <v>1325</v>
      </c>
      <c r="C745" s="1" t="s">
        <v>129</v>
      </c>
      <c r="E745" s="1">
        <v>3.93293408E8</v>
      </c>
      <c r="F745" s="2">
        <v>41548.0</v>
      </c>
      <c r="G745" s="1" t="s">
        <v>1326</v>
      </c>
      <c r="I745" s="1" t="s">
        <v>1326</v>
      </c>
      <c r="L745" s="1" t="s">
        <v>40</v>
      </c>
      <c r="M745" s="1">
        <v>7500.0</v>
      </c>
      <c r="N745" s="1" t="s">
        <v>40</v>
      </c>
      <c r="O745" s="1">
        <v>7.8074923E8</v>
      </c>
      <c r="P745" s="1" t="s">
        <v>419</v>
      </c>
      <c r="R745" s="1" t="s">
        <v>420</v>
      </c>
      <c r="S745" s="1" t="s">
        <v>44</v>
      </c>
      <c r="T745" s="1" t="s">
        <v>45</v>
      </c>
      <c r="U745" s="1">
        <v>4.82082365E8</v>
      </c>
      <c r="W745" s="1" t="s">
        <v>44</v>
      </c>
      <c r="X745" s="1" t="s">
        <v>45</v>
      </c>
      <c r="Y745" s="1">
        <v>4.82082365E8</v>
      </c>
      <c r="AB745" s="1">
        <v>198499.1</v>
      </c>
      <c r="AC745" s="2">
        <v>41548.0</v>
      </c>
      <c r="AD745" s="1">
        <v>7500.0</v>
      </c>
      <c r="AE745" s="1" t="s">
        <v>40</v>
      </c>
      <c r="AF745" s="1" t="s">
        <v>1327</v>
      </c>
      <c r="AG745" s="1" t="s">
        <v>1274</v>
      </c>
      <c r="AH745" s="1">
        <v>10.0</v>
      </c>
      <c r="AI745" s="1">
        <v>2013.0</v>
      </c>
      <c r="AJ745" s="1">
        <v>2014.0</v>
      </c>
      <c r="AK745" s="1" t="s">
        <v>385</v>
      </c>
    </row>
    <row r="746">
      <c r="A746" s="1" t="s">
        <v>1325</v>
      </c>
      <c r="B746" s="1" t="s">
        <v>1325</v>
      </c>
      <c r="C746" s="1" t="s">
        <v>129</v>
      </c>
      <c r="E746" s="1">
        <v>3.93293408E8</v>
      </c>
      <c r="F746" s="2">
        <v>41548.0</v>
      </c>
      <c r="G746" s="1" t="s">
        <v>1326</v>
      </c>
      <c r="I746" s="1" t="s">
        <v>1326</v>
      </c>
      <c r="L746" s="1" t="s">
        <v>40</v>
      </c>
      <c r="M746" s="1">
        <v>7500.0</v>
      </c>
      <c r="N746" s="1" t="s">
        <v>40</v>
      </c>
      <c r="O746" s="1">
        <v>1.93540515E8</v>
      </c>
      <c r="P746" s="1" t="s">
        <v>1022</v>
      </c>
      <c r="Q746" s="1" t="s">
        <v>1330</v>
      </c>
      <c r="R746" s="1" t="s">
        <v>1023</v>
      </c>
      <c r="S746" s="1" t="s">
        <v>44</v>
      </c>
      <c r="T746" s="1" t="s">
        <v>45</v>
      </c>
      <c r="U746" s="1">
        <v>4.82193653E8</v>
      </c>
      <c r="W746" s="1" t="s">
        <v>44</v>
      </c>
      <c r="X746" s="1" t="s">
        <v>45</v>
      </c>
      <c r="Y746" s="1">
        <v>4.82193165E8</v>
      </c>
      <c r="Z746" s="1">
        <v>1.93540515E8</v>
      </c>
      <c r="AA746" s="1" t="s">
        <v>1022</v>
      </c>
      <c r="AB746" s="1">
        <v>249761.0</v>
      </c>
      <c r="AC746" s="2">
        <v>41548.0</v>
      </c>
      <c r="AD746" s="1">
        <v>7500.0</v>
      </c>
      <c r="AE746" s="1" t="s">
        <v>40</v>
      </c>
      <c r="AF746" s="1" t="s">
        <v>1331</v>
      </c>
      <c r="AG746" s="1" t="s">
        <v>1332</v>
      </c>
      <c r="AH746" s="1">
        <v>12.0</v>
      </c>
      <c r="AI746" s="1">
        <v>2013.0</v>
      </c>
      <c r="AJ746" s="1">
        <v>2014.0</v>
      </c>
      <c r="AK746" s="1" t="s">
        <v>385</v>
      </c>
    </row>
    <row r="747">
      <c r="A747" s="1" t="s">
        <v>1325</v>
      </c>
      <c r="B747" s="1" t="s">
        <v>1325</v>
      </c>
      <c r="C747" s="1" t="s">
        <v>129</v>
      </c>
      <c r="E747" s="1">
        <v>3.93293408E8</v>
      </c>
      <c r="F747" s="2">
        <v>41548.0</v>
      </c>
      <c r="G747" s="1" t="s">
        <v>1326</v>
      </c>
      <c r="I747" s="1" t="s">
        <v>1326</v>
      </c>
      <c r="L747" s="1" t="s">
        <v>40</v>
      </c>
      <c r="M747" s="1">
        <v>7500.0</v>
      </c>
      <c r="N747" s="1" t="s">
        <v>40</v>
      </c>
      <c r="O747" s="1">
        <v>7.8074923E8</v>
      </c>
      <c r="P747" s="1" t="s">
        <v>419</v>
      </c>
      <c r="R747" s="1" t="s">
        <v>420</v>
      </c>
      <c r="S747" s="1" t="s">
        <v>44</v>
      </c>
      <c r="T747" s="1" t="s">
        <v>45</v>
      </c>
      <c r="U747" s="1">
        <v>4.82082365E8</v>
      </c>
      <c r="W747" s="1" t="s">
        <v>44</v>
      </c>
      <c r="X747" s="1" t="s">
        <v>45</v>
      </c>
      <c r="Y747" s="1">
        <v>4.82082365E8</v>
      </c>
      <c r="AB747" s="1">
        <v>198499.1</v>
      </c>
      <c r="AC747" s="2">
        <v>41548.0</v>
      </c>
      <c r="AD747" s="1">
        <v>7500.0</v>
      </c>
      <c r="AE747" s="1" t="s">
        <v>40</v>
      </c>
      <c r="AF747" s="1" t="s">
        <v>1327</v>
      </c>
      <c r="AG747" s="1" t="s">
        <v>1274</v>
      </c>
      <c r="AH747" s="1">
        <v>12.0</v>
      </c>
      <c r="AI747" s="1">
        <v>2013.0</v>
      </c>
      <c r="AJ747" s="1">
        <v>2014.0</v>
      </c>
      <c r="AK747" s="1" t="s">
        <v>385</v>
      </c>
    </row>
    <row r="748">
      <c r="A748" s="1" t="s">
        <v>1325</v>
      </c>
      <c r="B748" s="1" t="s">
        <v>1325</v>
      </c>
      <c r="C748" s="1" t="s">
        <v>129</v>
      </c>
      <c r="E748" s="1">
        <v>3.93293408E8</v>
      </c>
      <c r="F748" s="2">
        <v>41548.0</v>
      </c>
      <c r="G748" s="1" t="s">
        <v>1326</v>
      </c>
      <c r="I748" s="1" t="s">
        <v>1326</v>
      </c>
      <c r="L748" s="1" t="s">
        <v>40</v>
      </c>
      <c r="M748" s="1">
        <v>7500.0</v>
      </c>
      <c r="N748" s="1" t="s">
        <v>40</v>
      </c>
      <c r="O748" s="1">
        <v>1.21516199E8</v>
      </c>
      <c r="P748" s="1" t="s">
        <v>380</v>
      </c>
      <c r="Q748" s="1" t="s">
        <v>381</v>
      </c>
      <c r="R748" s="1" t="s">
        <v>382</v>
      </c>
      <c r="S748" s="1" t="s">
        <v>44</v>
      </c>
      <c r="T748" s="1" t="s">
        <v>45</v>
      </c>
      <c r="U748" s="1">
        <v>4.82073156E8</v>
      </c>
      <c r="W748" s="1" t="s">
        <v>44</v>
      </c>
      <c r="X748" s="1" t="s">
        <v>45</v>
      </c>
      <c r="Y748" s="1">
        <v>4.82073127E8</v>
      </c>
      <c r="Z748" s="1">
        <v>1.21516199E8</v>
      </c>
      <c r="AA748" s="1" t="s">
        <v>380</v>
      </c>
      <c r="AB748" s="1">
        <v>233094.58</v>
      </c>
      <c r="AC748" s="2">
        <v>41548.0</v>
      </c>
      <c r="AD748" s="1">
        <v>7500.0</v>
      </c>
      <c r="AE748" s="1" t="s">
        <v>40</v>
      </c>
      <c r="AF748" s="1" t="s">
        <v>1309</v>
      </c>
      <c r="AG748" s="1" t="s">
        <v>1310</v>
      </c>
      <c r="AH748" s="1">
        <v>10.0</v>
      </c>
      <c r="AI748" s="1">
        <v>2013.0</v>
      </c>
      <c r="AJ748" s="1">
        <v>2014.0</v>
      </c>
      <c r="AK748" s="1" t="s">
        <v>385</v>
      </c>
    </row>
    <row r="749">
      <c r="A749" s="1" t="s">
        <v>1325</v>
      </c>
      <c r="B749" s="1" t="s">
        <v>1325</v>
      </c>
      <c r="C749" s="1" t="s">
        <v>129</v>
      </c>
      <c r="E749" s="1">
        <v>3.93293408E8</v>
      </c>
      <c r="F749" s="2">
        <v>41548.0</v>
      </c>
      <c r="G749" s="1" t="s">
        <v>1326</v>
      </c>
      <c r="I749" s="1" t="s">
        <v>1326</v>
      </c>
      <c r="L749" s="1" t="s">
        <v>40</v>
      </c>
      <c r="M749" s="1">
        <v>7500.0</v>
      </c>
      <c r="N749" s="1" t="s">
        <v>40</v>
      </c>
      <c r="O749" s="1">
        <v>6.9840817E7</v>
      </c>
      <c r="P749" s="1" t="s">
        <v>131</v>
      </c>
      <c r="R749" s="1" t="s">
        <v>132</v>
      </c>
      <c r="S749" s="1" t="s">
        <v>44</v>
      </c>
      <c r="T749" s="1" t="s">
        <v>45</v>
      </c>
      <c r="U749" s="1">
        <v>4.8214261E8</v>
      </c>
      <c r="W749" s="1" t="s">
        <v>46</v>
      </c>
      <c r="X749" s="1" t="s">
        <v>45</v>
      </c>
      <c r="Y749" s="1">
        <v>4.8214261E8</v>
      </c>
      <c r="Z749" s="1">
        <v>6.9840817E7</v>
      </c>
      <c r="AA749" s="1" t="s">
        <v>131</v>
      </c>
      <c r="AB749" s="1">
        <v>456590.0</v>
      </c>
      <c r="AC749" s="2">
        <v>41548.0</v>
      </c>
      <c r="AD749" s="1">
        <v>7500.0</v>
      </c>
      <c r="AE749" s="1" t="s">
        <v>40</v>
      </c>
      <c r="AF749" s="1" t="s">
        <v>1336</v>
      </c>
      <c r="AG749" s="1" t="s">
        <v>1329</v>
      </c>
      <c r="AH749" s="1">
        <v>10.0</v>
      </c>
      <c r="AI749" s="1">
        <v>2013.0</v>
      </c>
      <c r="AJ749" s="1">
        <v>2014.0</v>
      </c>
      <c r="AK749" s="1" t="s">
        <v>385</v>
      </c>
    </row>
    <row r="750">
      <c r="A750" s="1" t="s">
        <v>1325</v>
      </c>
      <c r="B750" s="1" t="s">
        <v>1325</v>
      </c>
      <c r="C750" s="1" t="s">
        <v>129</v>
      </c>
      <c r="E750" s="1">
        <v>3.93293408E8</v>
      </c>
      <c r="F750" s="2">
        <v>41548.0</v>
      </c>
      <c r="G750" s="1" t="s">
        <v>1326</v>
      </c>
      <c r="I750" s="1" t="s">
        <v>1326</v>
      </c>
      <c r="L750" s="1" t="s">
        <v>40</v>
      </c>
      <c r="M750" s="1">
        <v>7500.0</v>
      </c>
      <c r="N750" s="1" t="s">
        <v>40</v>
      </c>
      <c r="O750" s="1">
        <v>1.21516199E8</v>
      </c>
      <c r="P750" s="1" t="s">
        <v>380</v>
      </c>
      <c r="Q750" s="1" t="s">
        <v>381</v>
      </c>
      <c r="R750" s="1" t="s">
        <v>382</v>
      </c>
      <c r="S750" s="1" t="s">
        <v>44</v>
      </c>
      <c r="T750" s="1" t="s">
        <v>45</v>
      </c>
      <c r="U750" s="1">
        <v>4.82073156E8</v>
      </c>
      <c r="W750" s="1" t="s">
        <v>44</v>
      </c>
      <c r="X750" s="1" t="s">
        <v>45</v>
      </c>
      <c r="Y750" s="1">
        <v>4.82073127E8</v>
      </c>
      <c r="Z750" s="1">
        <v>1.21516199E8</v>
      </c>
      <c r="AA750" s="1" t="s">
        <v>380</v>
      </c>
      <c r="AB750" s="1">
        <v>233094.58</v>
      </c>
      <c r="AC750" s="2">
        <v>41548.0</v>
      </c>
      <c r="AD750" s="1">
        <v>7500.0</v>
      </c>
      <c r="AE750" s="1" t="s">
        <v>40</v>
      </c>
      <c r="AF750" s="1" t="s">
        <v>1309</v>
      </c>
      <c r="AG750" s="1" t="s">
        <v>1310</v>
      </c>
      <c r="AH750" s="1">
        <v>12.0</v>
      </c>
      <c r="AI750" s="1">
        <v>2013.0</v>
      </c>
      <c r="AJ750" s="1">
        <v>2014.0</v>
      </c>
      <c r="AK750" s="1" t="s">
        <v>385</v>
      </c>
    </row>
    <row r="751">
      <c r="A751" s="1" t="s">
        <v>1325</v>
      </c>
      <c r="B751" s="1" t="s">
        <v>1325</v>
      </c>
      <c r="C751" s="1" t="s">
        <v>129</v>
      </c>
      <c r="E751" s="1">
        <v>3.93293408E8</v>
      </c>
      <c r="F751" s="2">
        <v>41548.0</v>
      </c>
      <c r="G751" s="1" t="s">
        <v>1326</v>
      </c>
      <c r="I751" s="1" t="s">
        <v>1326</v>
      </c>
      <c r="L751" s="1" t="s">
        <v>40</v>
      </c>
      <c r="M751" s="1">
        <v>7500.0</v>
      </c>
      <c r="N751" s="1" t="s">
        <v>40</v>
      </c>
      <c r="O751" s="1">
        <v>6.9840817E7</v>
      </c>
      <c r="P751" s="1" t="s">
        <v>131</v>
      </c>
      <c r="R751" s="1" t="s">
        <v>132</v>
      </c>
      <c r="S751" s="1" t="s">
        <v>44</v>
      </c>
      <c r="T751" s="1" t="s">
        <v>45</v>
      </c>
      <c r="U751" s="1">
        <v>4.8214261E8</v>
      </c>
      <c r="W751" s="1" t="s">
        <v>44</v>
      </c>
      <c r="X751" s="1" t="s">
        <v>45</v>
      </c>
      <c r="Y751" s="1">
        <v>4.8214261E8</v>
      </c>
      <c r="Z751" s="1">
        <v>6.9840817E7</v>
      </c>
      <c r="AA751" s="1" t="s">
        <v>131</v>
      </c>
      <c r="AB751" s="1">
        <v>457342.0</v>
      </c>
      <c r="AC751" s="2">
        <v>41548.0</v>
      </c>
      <c r="AD751" s="1">
        <v>7500.0</v>
      </c>
      <c r="AE751" s="1" t="s">
        <v>40</v>
      </c>
      <c r="AF751" s="1" t="s">
        <v>1328</v>
      </c>
      <c r="AG751" s="1" t="s">
        <v>1329</v>
      </c>
      <c r="AH751" s="1">
        <v>12.0</v>
      </c>
      <c r="AI751" s="1">
        <v>2013.0</v>
      </c>
      <c r="AJ751" s="1">
        <v>2014.0</v>
      </c>
      <c r="AK751" s="1" t="s">
        <v>385</v>
      </c>
    </row>
    <row r="752">
      <c r="A752" s="1" t="s">
        <v>992</v>
      </c>
      <c r="B752" s="1" t="s">
        <v>992</v>
      </c>
      <c r="C752" s="1" t="s">
        <v>159</v>
      </c>
      <c r="E752" s="1">
        <v>3.7269576E7</v>
      </c>
      <c r="F752" s="2">
        <v>41680.0</v>
      </c>
      <c r="G752" s="1" t="s">
        <v>993</v>
      </c>
      <c r="I752" s="1" t="s">
        <v>993</v>
      </c>
      <c r="L752" s="1" t="s">
        <v>40</v>
      </c>
      <c r="M752" s="1">
        <v>7500.0</v>
      </c>
      <c r="N752" s="1" t="s">
        <v>40</v>
      </c>
      <c r="O752" s="1">
        <v>2.0830303E7</v>
      </c>
      <c r="P752" s="1" t="s">
        <v>424</v>
      </c>
      <c r="Q752" s="1" t="s">
        <v>425</v>
      </c>
      <c r="R752" s="1" t="s">
        <v>426</v>
      </c>
      <c r="S752" s="1" t="s">
        <v>44</v>
      </c>
      <c r="T752" s="1" t="s">
        <v>45</v>
      </c>
      <c r="U752" s="1">
        <v>4.82012002E8</v>
      </c>
      <c r="W752" s="1" t="s">
        <v>46</v>
      </c>
      <c r="X752" s="1" t="s">
        <v>45</v>
      </c>
      <c r="Y752" s="1">
        <v>4.82012002E8</v>
      </c>
      <c r="Z752" s="1">
        <v>2.0830303E7</v>
      </c>
      <c r="AA752" s="1" t="s">
        <v>424</v>
      </c>
      <c r="AB752" s="1">
        <v>1155846.0</v>
      </c>
      <c r="AC752" s="2">
        <v>41680.0</v>
      </c>
      <c r="AD752" s="1">
        <v>7500.0</v>
      </c>
      <c r="AE752" s="1" t="s">
        <v>40</v>
      </c>
      <c r="AF752" s="1">
        <v>3.81358015E8</v>
      </c>
      <c r="AG752" s="1" t="s">
        <v>998</v>
      </c>
      <c r="AH752" s="1">
        <v>3.0</v>
      </c>
      <c r="AI752" s="1">
        <v>2014.0</v>
      </c>
      <c r="AJ752" s="1">
        <v>2014.0</v>
      </c>
      <c r="AK752" s="1" t="s">
        <v>997</v>
      </c>
    </row>
    <row r="753">
      <c r="A753" s="1" t="s">
        <v>992</v>
      </c>
      <c r="B753" s="1" t="s">
        <v>992</v>
      </c>
      <c r="C753" s="1" t="s">
        <v>159</v>
      </c>
      <c r="E753" s="1">
        <v>3.7269576E7</v>
      </c>
      <c r="F753" s="2">
        <v>41528.0</v>
      </c>
      <c r="G753" s="1" t="s">
        <v>993</v>
      </c>
      <c r="I753" s="1" t="s">
        <v>993</v>
      </c>
      <c r="L753" s="1" t="s">
        <v>40</v>
      </c>
      <c r="M753" s="1">
        <v>7500.0</v>
      </c>
      <c r="N753" s="1" t="s">
        <v>40</v>
      </c>
      <c r="O753" s="1">
        <v>1.42793053E8</v>
      </c>
      <c r="P753" s="1" t="s">
        <v>994</v>
      </c>
      <c r="R753" s="1" t="s">
        <v>995</v>
      </c>
      <c r="S753" s="1" t="s">
        <v>44</v>
      </c>
      <c r="T753" s="1" t="s">
        <v>45</v>
      </c>
      <c r="U753" s="1">
        <v>4.82282721E8</v>
      </c>
      <c r="W753" s="1" t="s">
        <v>46</v>
      </c>
      <c r="X753" s="1" t="s">
        <v>45</v>
      </c>
      <c r="Y753" s="1">
        <v>4.82282721E8</v>
      </c>
      <c r="AB753" s="1">
        <v>51598.0</v>
      </c>
      <c r="AC753" s="2">
        <v>41528.0</v>
      </c>
      <c r="AD753" s="1">
        <v>7500.0</v>
      </c>
      <c r="AE753" s="1" t="s">
        <v>40</v>
      </c>
      <c r="AF753" s="1">
        <v>2.0606865E7</v>
      </c>
      <c r="AG753" s="1" t="s">
        <v>996</v>
      </c>
      <c r="AH753" s="1">
        <v>3.0</v>
      </c>
      <c r="AI753" s="1">
        <v>2014.0</v>
      </c>
      <c r="AJ753" s="1">
        <v>2013.0</v>
      </c>
      <c r="AK753" s="1" t="s">
        <v>997</v>
      </c>
    </row>
    <row r="754">
      <c r="A754" s="1" t="s">
        <v>992</v>
      </c>
      <c r="B754" s="1" t="s">
        <v>992</v>
      </c>
      <c r="C754" s="1" t="s">
        <v>159</v>
      </c>
      <c r="E754" s="1">
        <v>3.7269576E7</v>
      </c>
      <c r="F754" s="2">
        <v>41518.0</v>
      </c>
      <c r="G754" s="1" t="s">
        <v>993</v>
      </c>
      <c r="I754" s="1" t="s">
        <v>993</v>
      </c>
      <c r="L754" s="1" t="s">
        <v>40</v>
      </c>
      <c r="M754" s="1">
        <v>7500.0</v>
      </c>
      <c r="N754" s="1" t="s">
        <v>40</v>
      </c>
      <c r="O754" s="1">
        <v>3.8775243E7</v>
      </c>
      <c r="P754" s="1" t="s">
        <v>209</v>
      </c>
      <c r="Q754" s="1" t="s">
        <v>210</v>
      </c>
      <c r="R754" s="1" t="s">
        <v>211</v>
      </c>
      <c r="S754" s="1" t="s">
        <v>44</v>
      </c>
      <c r="T754" s="1" t="s">
        <v>45</v>
      </c>
      <c r="U754" s="1">
        <v>4.82023068E8</v>
      </c>
      <c r="W754" s="1" t="s">
        <v>46</v>
      </c>
      <c r="X754" s="1" t="s">
        <v>45</v>
      </c>
      <c r="Y754" s="1">
        <v>4.82023449E8</v>
      </c>
      <c r="Z754" s="1">
        <v>3.8775243E7</v>
      </c>
      <c r="AA754" s="1" t="s">
        <v>209</v>
      </c>
      <c r="AB754" s="1">
        <v>1273271.0</v>
      </c>
      <c r="AC754" s="2">
        <v>41518.0</v>
      </c>
      <c r="AD754" s="1">
        <v>7500.0</v>
      </c>
      <c r="AE754" s="1" t="s">
        <v>40</v>
      </c>
      <c r="AF754" s="1">
        <v>1120190.0</v>
      </c>
      <c r="AG754" s="1" t="s">
        <v>1062</v>
      </c>
      <c r="AH754" s="1">
        <v>3.0</v>
      </c>
      <c r="AI754" s="1">
        <v>2014.0</v>
      </c>
      <c r="AJ754" s="1">
        <v>2013.0</v>
      </c>
      <c r="AK754" s="1" t="s">
        <v>997</v>
      </c>
    </row>
    <row r="755">
      <c r="A755" s="1" t="s">
        <v>1325</v>
      </c>
      <c r="B755" s="1" t="s">
        <v>1325</v>
      </c>
      <c r="C755" s="1" t="s">
        <v>129</v>
      </c>
      <c r="E755" s="1">
        <v>3.93293408E8</v>
      </c>
      <c r="F755" s="2">
        <v>41548.0</v>
      </c>
      <c r="G755" s="1" t="s">
        <v>1326</v>
      </c>
      <c r="I755" s="1" t="s">
        <v>1326</v>
      </c>
      <c r="L755" s="1" t="s">
        <v>40</v>
      </c>
      <c r="M755" s="1">
        <v>7500.0</v>
      </c>
      <c r="N755" s="1" t="s">
        <v>40</v>
      </c>
      <c r="O755" s="1">
        <v>2.0830303E7</v>
      </c>
      <c r="P755" s="1" t="s">
        <v>424</v>
      </c>
      <c r="Q755" s="1" t="s">
        <v>425</v>
      </c>
      <c r="R755" s="1" t="s">
        <v>426</v>
      </c>
      <c r="S755" s="1" t="s">
        <v>44</v>
      </c>
      <c r="T755" s="1" t="s">
        <v>45</v>
      </c>
      <c r="U755" s="1">
        <v>4.82012002E8</v>
      </c>
      <c r="W755" s="1" t="s">
        <v>44</v>
      </c>
      <c r="X755" s="1" t="s">
        <v>45</v>
      </c>
      <c r="Y755" s="1">
        <v>4.82012002E8</v>
      </c>
      <c r="Z755" s="1">
        <v>2.0830303E7</v>
      </c>
      <c r="AA755" s="1" t="s">
        <v>424</v>
      </c>
      <c r="AB755" s="1">
        <v>332938.25</v>
      </c>
      <c r="AC755" s="2">
        <v>41548.0</v>
      </c>
      <c r="AD755" s="1">
        <v>7500.0</v>
      </c>
      <c r="AE755" s="1" t="s">
        <v>40</v>
      </c>
      <c r="AF755" s="1" t="s">
        <v>1273</v>
      </c>
      <c r="AG755" s="1" t="s">
        <v>1274</v>
      </c>
      <c r="AH755" s="1">
        <v>10.0</v>
      </c>
      <c r="AI755" s="1">
        <v>2013.0</v>
      </c>
      <c r="AJ755" s="1">
        <v>2014.0</v>
      </c>
      <c r="AK755" s="1" t="s">
        <v>385</v>
      </c>
    </row>
    <row r="756">
      <c r="A756" s="1" t="s">
        <v>1325</v>
      </c>
      <c r="B756" s="1" t="s">
        <v>1325</v>
      </c>
      <c r="C756" s="1" t="s">
        <v>129</v>
      </c>
      <c r="E756" s="1">
        <v>3.93293408E8</v>
      </c>
      <c r="F756" s="2">
        <v>41548.0</v>
      </c>
      <c r="G756" s="1" t="s">
        <v>1326</v>
      </c>
      <c r="I756" s="1" t="s">
        <v>1326</v>
      </c>
      <c r="L756" s="1" t="s">
        <v>40</v>
      </c>
      <c r="M756" s="1">
        <v>7500.0</v>
      </c>
      <c r="N756" s="1" t="s">
        <v>40</v>
      </c>
      <c r="O756" s="1">
        <v>1.95614664E8</v>
      </c>
      <c r="P756" s="1" t="s">
        <v>1333</v>
      </c>
      <c r="R756" s="1" t="s">
        <v>1334</v>
      </c>
      <c r="S756" s="1" t="s">
        <v>44</v>
      </c>
      <c r="T756" s="1" t="s">
        <v>45</v>
      </c>
      <c r="U756" s="1">
        <v>4.82023133E8</v>
      </c>
      <c r="W756" s="1" t="s">
        <v>44</v>
      </c>
      <c r="X756" s="1" t="s">
        <v>45</v>
      </c>
      <c r="Y756" s="1">
        <v>4.82023133E8</v>
      </c>
      <c r="Z756" s="1">
        <v>1.95614664E8</v>
      </c>
      <c r="AA756" s="1" t="s">
        <v>1333</v>
      </c>
      <c r="AB756" s="1">
        <v>807364.0</v>
      </c>
      <c r="AC756" s="2">
        <v>41548.0</v>
      </c>
      <c r="AD756" s="1">
        <v>7500.0</v>
      </c>
      <c r="AE756" s="1" t="s">
        <v>40</v>
      </c>
      <c r="AF756" s="1" t="s">
        <v>1335</v>
      </c>
      <c r="AG756" s="1" t="s">
        <v>1329</v>
      </c>
      <c r="AH756" s="1">
        <v>10.0</v>
      </c>
      <c r="AI756" s="1">
        <v>2013.0</v>
      </c>
      <c r="AJ756" s="1">
        <v>2014.0</v>
      </c>
      <c r="AK756" s="1" t="s">
        <v>385</v>
      </c>
    </row>
    <row r="757">
      <c r="A757" s="1" t="s">
        <v>1325</v>
      </c>
      <c r="B757" s="1" t="s">
        <v>1325</v>
      </c>
      <c r="C757" s="1" t="s">
        <v>129</v>
      </c>
      <c r="E757" s="1">
        <v>3.93293408E8</v>
      </c>
      <c r="F757" s="2">
        <v>41548.0</v>
      </c>
      <c r="G757" s="1" t="s">
        <v>1326</v>
      </c>
      <c r="I757" s="1" t="s">
        <v>1326</v>
      </c>
      <c r="L757" s="1" t="s">
        <v>40</v>
      </c>
      <c r="M757" s="1">
        <v>7500.0</v>
      </c>
      <c r="N757" s="1" t="s">
        <v>40</v>
      </c>
      <c r="O757" s="1">
        <v>1.93540515E8</v>
      </c>
      <c r="P757" s="1" t="s">
        <v>1022</v>
      </c>
      <c r="Q757" s="1" t="s">
        <v>1330</v>
      </c>
      <c r="R757" s="1" t="s">
        <v>1023</v>
      </c>
      <c r="S757" s="1" t="s">
        <v>44</v>
      </c>
      <c r="T757" s="1" t="s">
        <v>45</v>
      </c>
      <c r="U757" s="1">
        <v>4.82193653E8</v>
      </c>
      <c r="W757" s="1" t="s">
        <v>44</v>
      </c>
      <c r="X757" s="1" t="s">
        <v>45</v>
      </c>
      <c r="Y757" s="1">
        <v>4.82193165E8</v>
      </c>
      <c r="Z757" s="1">
        <v>1.93540515E8</v>
      </c>
      <c r="AA757" s="1" t="s">
        <v>1022</v>
      </c>
      <c r="AB757" s="1">
        <v>249761.0</v>
      </c>
      <c r="AC757" s="2">
        <v>41548.0</v>
      </c>
      <c r="AD757" s="1">
        <v>7500.0</v>
      </c>
      <c r="AE757" s="1" t="s">
        <v>40</v>
      </c>
      <c r="AF757" s="1" t="s">
        <v>1331</v>
      </c>
      <c r="AG757" s="1" t="s">
        <v>1332</v>
      </c>
      <c r="AH757" s="1">
        <v>10.0</v>
      </c>
      <c r="AI757" s="1">
        <v>2013.0</v>
      </c>
      <c r="AJ757" s="1">
        <v>2014.0</v>
      </c>
      <c r="AK757" s="1" t="s">
        <v>385</v>
      </c>
    </row>
    <row r="758">
      <c r="A758" s="1" t="s">
        <v>1869</v>
      </c>
      <c r="B758" s="1" t="s">
        <v>1869</v>
      </c>
      <c r="C758" s="1" t="s">
        <v>129</v>
      </c>
      <c r="E758" s="1">
        <v>1.0713138E7</v>
      </c>
      <c r="F758" s="2">
        <v>41548.0</v>
      </c>
      <c r="G758" s="1" t="s">
        <v>1870</v>
      </c>
      <c r="I758" s="1" t="s">
        <v>1870</v>
      </c>
      <c r="L758" s="1" t="s">
        <v>40</v>
      </c>
      <c r="M758" s="1">
        <v>7500.0</v>
      </c>
      <c r="N758" s="1" t="s">
        <v>40</v>
      </c>
      <c r="O758" s="1">
        <v>6.9840817E7</v>
      </c>
      <c r="P758" s="1" t="s">
        <v>131</v>
      </c>
      <c r="R758" s="1" t="s">
        <v>132</v>
      </c>
      <c r="S758" s="1" t="s">
        <v>44</v>
      </c>
      <c r="T758" s="1" t="s">
        <v>45</v>
      </c>
      <c r="U758" s="1">
        <v>4.8214261E8</v>
      </c>
      <c r="W758" s="1" t="s">
        <v>44</v>
      </c>
      <c r="X758" s="1" t="s">
        <v>45</v>
      </c>
      <c r="Y758" s="1">
        <v>4.8214261E8</v>
      </c>
      <c r="Z758" s="1">
        <v>6.9840817E7</v>
      </c>
      <c r="AA758" s="1" t="s">
        <v>131</v>
      </c>
      <c r="AB758" s="1">
        <v>100000.0</v>
      </c>
      <c r="AC758" s="2">
        <v>41548.0</v>
      </c>
      <c r="AD758" s="1">
        <v>7500.0</v>
      </c>
      <c r="AE758" s="1" t="s">
        <v>40</v>
      </c>
      <c r="AF758" s="1" t="s">
        <v>1871</v>
      </c>
      <c r="AG758" s="1" t="s">
        <v>1872</v>
      </c>
      <c r="AH758" s="1">
        <v>11.0</v>
      </c>
      <c r="AI758" s="1">
        <v>2013.0</v>
      </c>
      <c r="AJ758" s="1">
        <v>2014.0</v>
      </c>
      <c r="AK758" s="1" t="s">
        <v>1873</v>
      </c>
    </row>
    <row r="759">
      <c r="A759" s="1" t="s">
        <v>1325</v>
      </c>
      <c r="B759" s="1" t="s">
        <v>1325</v>
      </c>
      <c r="C759" s="1" t="s">
        <v>129</v>
      </c>
      <c r="E759" s="1">
        <v>3.93293408E8</v>
      </c>
      <c r="F759" s="2">
        <v>41548.0</v>
      </c>
      <c r="G759" s="1" t="s">
        <v>1326</v>
      </c>
      <c r="I759" s="1" t="s">
        <v>1326</v>
      </c>
      <c r="L759" s="1" t="s">
        <v>40</v>
      </c>
      <c r="M759" s="1">
        <v>7500.0</v>
      </c>
      <c r="N759" s="1" t="s">
        <v>40</v>
      </c>
      <c r="O759" s="1">
        <v>2.0830303E7</v>
      </c>
      <c r="P759" s="1" t="s">
        <v>424</v>
      </c>
      <c r="Q759" s="1" t="s">
        <v>425</v>
      </c>
      <c r="R759" s="1" t="s">
        <v>426</v>
      </c>
      <c r="S759" s="1" t="s">
        <v>44</v>
      </c>
      <c r="T759" s="1" t="s">
        <v>45</v>
      </c>
      <c r="U759" s="1">
        <v>4.82012002E8</v>
      </c>
      <c r="W759" s="1" t="s">
        <v>44</v>
      </c>
      <c r="X759" s="1" t="s">
        <v>45</v>
      </c>
      <c r="Y759" s="1">
        <v>4.82012002E8</v>
      </c>
      <c r="Z759" s="1">
        <v>2.0830303E7</v>
      </c>
      <c r="AA759" s="1" t="s">
        <v>424</v>
      </c>
      <c r="AB759" s="1">
        <v>332938.25</v>
      </c>
      <c r="AC759" s="2">
        <v>41548.0</v>
      </c>
      <c r="AD759" s="1">
        <v>7500.0</v>
      </c>
      <c r="AE759" s="1" t="s">
        <v>40</v>
      </c>
      <c r="AF759" s="1" t="s">
        <v>1273</v>
      </c>
      <c r="AG759" s="1" t="s">
        <v>1274</v>
      </c>
      <c r="AH759" s="1">
        <v>12.0</v>
      </c>
      <c r="AI759" s="1">
        <v>2013.0</v>
      </c>
      <c r="AJ759" s="1">
        <v>2014.0</v>
      </c>
      <c r="AK759" s="1" t="s">
        <v>385</v>
      </c>
    </row>
    <row r="760">
      <c r="A760" s="1" t="s">
        <v>1874</v>
      </c>
      <c r="B760" s="1" t="s">
        <v>1874</v>
      </c>
      <c r="C760" s="1" t="s">
        <v>389</v>
      </c>
      <c r="E760" s="1">
        <v>2.0636E7</v>
      </c>
      <c r="F760" s="2">
        <v>41551.0</v>
      </c>
      <c r="G760" s="1" t="s">
        <v>1875</v>
      </c>
      <c r="I760" s="1" t="s">
        <v>1875</v>
      </c>
      <c r="L760" s="1" t="s">
        <v>391</v>
      </c>
      <c r="M760" s="1">
        <v>1600.0</v>
      </c>
      <c r="N760" s="1" t="s">
        <v>391</v>
      </c>
      <c r="O760" s="1">
        <v>9.68755756E8</v>
      </c>
      <c r="P760" s="1" t="s">
        <v>1806</v>
      </c>
      <c r="R760" s="1" t="s">
        <v>1807</v>
      </c>
      <c r="S760" s="1" t="s">
        <v>44</v>
      </c>
      <c r="T760" s="1" t="s">
        <v>45</v>
      </c>
      <c r="U760" s="1">
        <v>4.82262917E8</v>
      </c>
      <c r="W760" s="1" t="s">
        <v>46</v>
      </c>
      <c r="X760" s="1" t="s">
        <v>45</v>
      </c>
      <c r="Y760" s="1">
        <v>4.82022943E8</v>
      </c>
      <c r="AB760" s="1">
        <v>2471400.0</v>
      </c>
      <c r="AC760" s="2">
        <v>41551.0</v>
      </c>
      <c r="AD760" s="1">
        <v>1600.0</v>
      </c>
      <c r="AE760" s="1" t="s">
        <v>391</v>
      </c>
      <c r="AF760" s="1" t="s">
        <v>1876</v>
      </c>
      <c r="AG760" s="1" t="s">
        <v>1877</v>
      </c>
      <c r="AH760" s="1">
        <v>12.0</v>
      </c>
      <c r="AI760" s="1">
        <v>2014.0</v>
      </c>
      <c r="AJ760" s="1">
        <v>2014.0</v>
      </c>
      <c r="AK760" s="1" t="s">
        <v>1878</v>
      </c>
    </row>
    <row r="761">
      <c r="A761" s="1" t="s">
        <v>1874</v>
      </c>
      <c r="B761" s="1" t="s">
        <v>1874</v>
      </c>
      <c r="C761" s="1" t="s">
        <v>389</v>
      </c>
      <c r="E761" s="1">
        <v>2.0636E7</v>
      </c>
      <c r="F761" s="2">
        <v>41855.0</v>
      </c>
      <c r="G761" s="1" t="s">
        <v>1875</v>
      </c>
      <c r="I761" s="1" t="s">
        <v>1875</v>
      </c>
      <c r="L761" s="1" t="s">
        <v>391</v>
      </c>
      <c r="M761" s="1">
        <v>1600.0</v>
      </c>
      <c r="N761" s="1" t="s">
        <v>391</v>
      </c>
      <c r="O761" s="1">
        <v>9.68755756E8</v>
      </c>
      <c r="P761" s="1" t="s">
        <v>1806</v>
      </c>
      <c r="R761" s="1" t="s">
        <v>1807</v>
      </c>
      <c r="S761" s="1" t="s">
        <v>44</v>
      </c>
      <c r="T761" s="1" t="s">
        <v>45</v>
      </c>
      <c r="U761" s="1">
        <v>4.82262917E8</v>
      </c>
      <c r="W761" s="1" t="s">
        <v>46</v>
      </c>
      <c r="X761" s="1" t="s">
        <v>45</v>
      </c>
      <c r="Y761" s="1">
        <v>4.82022943E8</v>
      </c>
      <c r="AB761" s="1">
        <v>1443000.0</v>
      </c>
      <c r="AC761" s="2">
        <v>41855.0</v>
      </c>
      <c r="AD761" s="1">
        <v>1600.0</v>
      </c>
      <c r="AE761" s="1" t="s">
        <v>391</v>
      </c>
      <c r="AF761" s="1" t="s">
        <v>1879</v>
      </c>
      <c r="AG761" s="1" t="s">
        <v>1880</v>
      </c>
      <c r="AH761" s="1">
        <v>12.0</v>
      </c>
      <c r="AI761" s="1">
        <v>2014.0</v>
      </c>
      <c r="AJ761" s="1">
        <v>2014.0</v>
      </c>
      <c r="AK761" s="1" t="s">
        <v>1878</v>
      </c>
    </row>
    <row r="762">
      <c r="A762" s="1" t="s">
        <v>1874</v>
      </c>
      <c r="B762" s="1" t="s">
        <v>1874</v>
      </c>
      <c r="C762" s="1" t="s">
        <v>389</v>
      </c>
      <c r="E762" s="1">
        <v>2.0636E7</v>
      </c>
      <c r="F762" s="2">
        <v>41556.0</v>
      </c>
      <c r="G762" s="1" t="s">
        <v>1875</v>
      </c>
      <c r="I762" s="1" t="s">
        <v>1875</v>
      </c>
      <c r="L762" s="1" t="s">
        <v>391</v>
      </c>
      <c r="M762" s="1">
        <v>1600.0</v>
      </c>
      <c r="N762" s="1" t="s">
        <v>391</v>
      </c>
      <c r="O762" s="1">
        <v>9.68755756E8</v>
      </c>
      <c r="P762" s="1" t="s">
        <v>1806</v>
      </c>
      <c r="R762" s="1" t="s">
        <v>1807</v>
      </c>
      <c r="S762" s="1" t="s">
        <v>44</v>
      </c>
      <c r="T762" s="1" t="s">
        <v>45</v>
      </c>
      <c r="U762" s="1">
        <v>4.82262917E8</v>
      </c>
      <c r="W762" s="1" t="s">
        <v>46</v>
      </c>
      <c r="X762" s="1" t="s">
        <v>45</v>
      </c>
      <c r="Y762" s="1">
        <v>4.82022943E8</v>
      </c>
      <c r="AB762" s="1">
        <v>2028600.0</v>
      </c>
      <c r="AC762" s="2">
        <v>41556.0</v>
      </c>
      <c r="AD762" s="1">
        <v>1600.0</v>
      </c>
      <c r="AE762" s="1" t="s">
        <v>391</v>
      </c>
      <c r="AF762" s="1" t="s">
        <v>1881</v>
      </c>
      <c r="AG762" s="1" t="s">
        <v>1882</v>
      </c>
      <c r="AH762" s="1">
        <v>12.0</v>
      </c>
      <c r="AI762" s="1">
        <v>2014.0</v>
      </c>
      <c r="AJ762" s="1">
        <v>2014.0</v>
      </c>
      <c r="AK762" s="1" t="s">
        <v>1878</v>
      </c>
    </row>
    <row r="763">
      <c r="A763" s="1" t="s">
        <v>1874</v>
      </c>
      <c r="B763" s="1" t="s">
        <v>1874</v>
      </c>
      <c r="C763" s="1" t="s">
        <v>389</v>
      </c>
      <c r="E763" s="1">
        <v>2.0636E7</v>
      </c>
      <c r="F763" s="2">
        <v>41800.0</v>
      </c>
      <c r="G763" s="1" t="s">
        <v>1875</v>
      </c>
      <c r="I763" s="1" t="s">
        <v>1875</v>
      </c>
      <c r="L763" s="1" t="s">
        <v>391</v>
      </c>
      <c r="M763" s="1">
        <v>1600.0</v>
      </c>
      <c r="N763" s="1" t="s">
        <v>391</v>
      </c>
      <c r="O763" s="1">
        <v>9.68755756E8</v>
      </c>
      <c r="P763" s="1" t="s">
        <v>1806</v>
      </c>
      <c r="R763" s="1" t="s">
        <v>1807</v>
      </c>
      <c r="S763" s="1" t="s">
        <v>44</v>
      </c>
      <c r="T763" s="1" t="s">
        <v>45</v>
      </c>
      <c r="U763" s="1">
        <v>4.82262917E8</v>
      </c>
      <c r="W763" s="1" t="s">
        <v>46</v>
      </c>
      <c r="X763" s="1" t="s">
        <v>45</v>
      </c>
      <c r="Y763" s="1">
        <v>4.82022943E8</v>
      </c>
      <c r="AB763" s="1">
        <v>584000.0</v>
      </c>
      <c r="AC763" s="2">
        <v>41800.0</v>
      </c>
      <c r="AD763" s="1">
        <v>1600.0</v>
      </c>
      <c r="AE763" s="1" t="s">
        <v>391</v>
      </c>
      <c r="AF763" s="1" t="s">
        <v>1883</v>
      </c>
      <c r="AG763" s="1" t="s">
        <v>1884</v>
      </c>
      <c r="AH763" s="1">
        <v>12.0</v>
      </c>
      <c r="AI763" s="1">
        <v>2014.0</v>
      </c>
      <c r="AJ763" s="1">
        <v>2014.0</v>
      </c>
      <c r="AK763" s="1" t="s">
        <v>1878</v>
      </c>
    </row>
    <row r="764">
      <c r="A764" s="1" t="s">
        <v>1739</v>
      </c>
      <c r="B764" s="1" t="s">
        <v>1739</v>
      </c>
      <c r="C764" s="1" t="s">
        <v>1740</v>
      </c>
      <c r="E764" s="1">
        <v>50000.0</v>
      </c>
      <c r="F764" s="2">
        <v>41957.0</v>
      </c>
      <c r="G764" s="1" t="s">
        <v>1741</v>
      </c>
      <c r="I764" s="1" t="s">
        <v>1741</v>
      </c>
      <c r="L764" s="1" t="s">
        <v>1305</v>
      </c>
      <c r="M764" s="1">
        <v>1300.0</v>
      </c>
      <c r="N764" s="1" t="s">
        <v>1305</v>
      </c>
      <c r="O764" s="1">
        <v>1962224.0</v>
      </c>
      <c r="P764" s="1" t="s">
        <v>52</v>
      </c>
      <c r="R764" s="1" t="s">
        <v>1885</v>
      </c>
      <c r="S764" s="1" t="s">
        <v>44</v>
      </c>
      <c r="T764" s="1" t="s">
        <v>45</v>
      </c>
      <c r="U764" s="1">
        <v>4.82021347E8</v>
      </c>
      <c r="W764" s="1" t="s">
        <v>46</v>
      </c>
      <c r="X764" s="1" t="s">
        <v>45</v>
      </c>
      <c r="Y764" s="1">
        <v>4.8202405E8</v>
      </c>
      <c r="Z764" s="1">
        <v>1962224.0</v>
      </c>
      <c r="AA764" s="1" t="s">
        <v>52</v>
      </c>
      <c r="AB764" s="1">
        <v>25000.0</v>
      </c>
      <c r="AC764" s="2">
        <v>41957.0</v>
      </c>
      <c r="AD764" s="1">
        <v>1300.0</v>
      </c>
      <c r="AE764" s="1" t="s">
        <v>1305</v>
      </c>
      <c r="AF764" s="1" t="s">
        <v>1742</v>
      </c>
      <c r="AG764" s="1" t="s">
        <v>1743</v>
      </c>
      <c r="AH764" s="1">
        <v>12.0</v>
      </c>
      <c r="AI764" s="1">
        <v>2014.0</v>
      </c>
      <c r="AJ764" s="1">
        <v>2015.0</v>
      </c>
      <c r="AK764" s="1" t="s">
        <v>1744</v>
      </c>
    </row>
    <row r="765">
      <c r="A765" s="1" t="s">
        <v>1886</v>
      </c>
      <c r="B765" s="1" t="s">
        <v>1886</v>
      </c>
      <c r="C765" s="1" t="s">
        <v>194</v>
      </c>
      <c r="E765" s="1">
        <v>3.7258736E7</v>
      </c>
      <c r="F765" s="2">
        <v>41872.0</v>
      </c>
      <c r="G765" s="1" t="s">
        <v>1380</v>
      </c>
      <c r="I765" s="1" t="s">
        <v>1380</v>
      </c>
      <c r="L765" s="1" t="s">
        <v>194</v>
      </c>
      <c r="M765" s="1">
        <v>9100.0</v>
      </c>
      <c r="N765" s="1" t="s">
        <v>194</v>
      </c>
      <c r="O765" s="1">
        <v>1962224.0</v>
      </c>
      <c r="P765" s="1" t="s">
        <v>52</v>
      </c>
      <c r="R765" s="1" t="s">
        <v>1885</v>
      </c>
      <c r="S765" s="1" t="s">
        <v>44</v>
      </c>
      <c r="T765" s="1" t="s">
        <v>45</v>
      </c>
      <c r="U765" s="1">
        <v>4.82021347E8</v>
      </c>
      <c r="W765" s="1" t="s">
        <v>44</v>
      </c>
      <c r="X765" s="1" t="s">
        <v>45</v>
      </c>
      <c r="Y765" s="1">
        <v>4.82023424E8</v>
      </c>
      <c r="Z765" s="1">
        <v>1962224.0</v>
      </c>
      <c r="AA765" s="1" t="s">
        <v>52</v>
      </c>
      <c r="AB765" s="1">
        <v>25000.0</v>
      </c>
      <c r="AC765" s="2">
        <v>41872.0</v>
      </c>
      <c r="AD765" s="1">
        <v>9100.0</v>
      </c>
      <c r="AE765" s="1" t="s">
        <v>194</v>
      </c>
      <c r="AF765" s="1" t="s">
        <v>1887</v>
      </c>
      <c r="AG765" s="1" t="s">
        <v>1382</v>
      </c>
      <c r="AH765" s="1">
        <v>12.0</v>
      </c>
      <c r="AI765" s="1">
        <v>2014.0</v>
      </c>
      <c r="AJ765" s="1">
        <v>2014.0</v>
      </c>
      <c r="AK765" s="1" t="s">
        <v>1383</v>
      </c>
    </row>
    <row r="766">
      <c r="A766" s="1" t="s">
        <v>1886</v>
      </c>
      <c r="B766" s="1" t="s">
        <v>1886</v>
      </c>
      <c r="C766" s="1" t="s">
        <v>194</v>
      </c>
      <c r="E766" s="1">
        <v>3.7258736E7</v>
      </c>
      <c r="F766" s="2">
        <v>41829.0</v>
      </c>
      <c r="G766" s="1" t="s">
        <v>1380</v>
      </c>
      <c r="I766" s="1" t="s">
        <v>1380</v>
      </c>
      <c r="L766" s="1" t="s">
        <v>194</v>
      </c>
      <c r="M766" s="1">
        <v>9100.0</v>
      </c>
      <c r="N766" s="1" t="s">
        <v>194</v>
      </c>
      <c r="O766" s="1">
        <v>7.6340843E7</v>
      </c>
      <c r="P766" s="1" t="s">
        <v>461</v>
      </c>
      <c r="R766" s="1" t="s">
        <v>1599</v>
      </c>
      <c r="S766" s="1" t="s">
        <v>44</v>
      </c>
      <c r="T766" s="1" t="s">
        <v>45</v>
      </c>
      <c r="U766" s="1">
        <v>4.8202301E8</v>
      </c>
      <c r="W766" s="1" t="s">
        <v>44</v>
      </c>
      <c r="X766" s="1" t="s">
        <v>45</v>
      </c>
      <c r="Y766" s="1">
        <v>4.82023096E8</v>
      </c>
      <c r="Z766" s="1">
        <v>7.6340843E7</v>
      </c>
      <c r="AA766" s="1" t="s">
        <v>461</v>
      </c>
      <c r="AB766" s="1">
        <v>3000819.0</v>
      </c>
      <c r="AC766" s="2">
        <v>41829.0</v>
      </c>
      <c r="AD766" s="1">
        <v>9100.0</v>
      </c>
      <c r="AE766" s="1" t="s">
        <v>194</v>
      </c>
      <c r="AF766" s="1" t="s">
        <v>1888</v>
      </c>
      <c r="AG766" s="1" t="s">
        <v>1382</v>
      </c>
      <c r="AH766" s="1">
        <v>12.0</v>
      </c>
      <c r="AI766" s="1">
        <v>2014.0</v>
      </c>
      <c r="AJ766" s="1">
        <v>2014.0</v>
      </c>
      <c r="AK766" s="1" t="s">
        <v>1383</v>
      </c>
    </row>
    <row r="767">
      <c r="A767" s="1" t="s">
        <v>1481</v>
      </c>
      <c r="B767" s="1" t="s">
        <v>1481</v>
      </c>
      <c r="C767" s="1" t="s">
        <v>1482</v>
      </c>
      <c r="E767" s="1">
        <v>522792.0</v>
      </c>
      <c r="F767" s="2">
        <v>41955.0</v>
      </c>
      <c r="G767" s="1" t="s">
        <v>1483</v>
      </c>
      <c r="I767" s="1" t="s">
        <v>1483</v>
      </c>
      <c r="L767" s="1" t="s">
        <v>431</v>
      </c>
      <c r="M767" s="1">
        <v>9700.0</v>
      </c>
      <c r="N767" s="1" t="s">
        <v>431</v>
      </c>
      <c r="O767" s="1">
        <v>7.4217316E7</v>
      </c>
      <c r="P767" s="1" t="s">
        <v>1484</v>
      </c>
      <c r="R767" s="1" t="s">
        <v>1485</v>
      </c>
      <c r="S767" s="1" t="s">
        <v>44</v>
      </c>
      <c r="T767" s="1" t="s">
        <v>45</v>
      </c>
      <c r="U767" s="1">
        <v>4.82012417E8</v>
      </c>
      <c r="W767" s="1" t="s">
        <v>46</v>
      </c>
      <c r="X767" s="1" t="s">
        <v>45</v>
      </c>
      <c r="Y767" s="1">
        <v>4.82012417E8</v>
      </c>
      <c r="Z767" s="1">
        <v>5.3866661E7</v>
      </c>
      <c r="AB767" s="1">
        <v>47927.0</v>
      </c>
      <c r="AC767" s="2">
        <v>41955.0</v>
      </c>
      <c r="AD767" s="1">
        <v>9700.0</v>
      </c>
      <c r="AE767" s="1" t="s">
        <v>431</v>
      </c>
      <c r="AF767" s="1">
        <v>3.002641509E9</v>
      </c>
      <c r="AG767" s="1" t="s">
        <v>1889</v>
      </c>
      <c r="AH767" s="1">
        <v>11.0</v>
      </c>
      <c r="AI767" s="1">
        <v>2014.0</v>
      </c>
      <c r="AJ767" s="1">
        <v>2015.0</v>
      </c>
      <c r="AK767" s="1" t="s">
        <v>435</v>
      </c>
    </row>
    <row r="768">
      <c r="A768" s="1" t="s">
        <v>1890</v>
      </c>
      <c r="B768" s="1" t="s">
        <v>1890</v>
      </c>
      <c r="C768" s="1" t="s">
        <v>38</v>
      </c>
      <c r="E768" s="1">
        <v>2357551.0</v>
      </c>
      <c r="F768" s="2">
        <v>41964.0</v>
      </c>
      <c r="G768" s="1" t="s">
        <v>1891</v>
      </c>
      <c r="I768" s="1" t="s">
        <v>1891</v>
      </c>
      <c r="L768" s="1" t="s">
        <v>40</v>
      </c>
      <c r="M768" s="1">
        <v>7500.0</v>
      </c>
      <c r="N768" s="1" t="s">
        <v>40</v>
      </c>
      <c r="O768" s="1">
        <v>7.3134603E7</v>
      </c>
      <c r="P768" s="1" t="s">
        <v>41</v>
      </c>
      <c r="Q768" s="1" t="s">
        <v>252</v>
      </c>
      <c r="R768" s="1" t="s">
        <v>253</v>
      </c>
      <c r="S768" s="1" t="s">
        <v>44</v>
      </c>
      <c r="T768" s="1" t="s">
        <v>45</v>
      </c>
      <c r="U768" s="1">
        <v>4.8202345E8</v>
      </c>
      <c r="W768" s="1" t="s">
        <v>46</v>
      </c>
      <c r="X768" s="1" t="s">
        <v>45</v>
      </c>
      <c r="Y768" s="1">
        <v>4.8202345E8</v>
      </c>
      <c r="Z768" s="1">
        <v>7.3134603E7</v>
      </c>
      <c r="AA768" s="1" t="s">
        <v>41</v>
      </c>
      <c r="AB768" s="1">
        <v>15205.0</v>
      </c>
      <c r="AC768" s="2">
        <v>41964.0</v>
      </c>
      <c r="AD768" s="1">
        <v>7500.0</v>
      </c>
      <c r="AE768" s="1" t="s">
        <v>40</v>
      </c>
      <c r="AF768" s="1" t="s">
        <v>1892</v>
      </c>
      <c r="AG768" s="1" t="s">
        <v>1893</v>
      </c>
      <c r="AH768" s="1">
        <v>12.0</v>
      </c>
      <c r="AI768" s="1">
        <v>2014.0</v>
      </c>
      <c r="AJ768" s="1">
        <v>2015.0</v>
      </c>
      <c r="AK768" s="1" t="s">
        <v>1813</v>
      </c>
    </row>
    <row r="769">
      <c r="A769" s="1" t="s">
        <v>1894</v>
      </c>
      <c r="B769" s="1" t="s">
        <v>1894</v>
      </c>
      <c r="C769" s="1" t="s">
        <v>645</v>
      </c>
      <c r="E769" s="1">
        <v>902980.0</v>
      </c>
      <c r="F769" s="2">
        <v>41942.0</v>
      </c>
      <c r="G769" s="1" t="s">
        <v>646</v>
      </c>
      <c r="I769" s="1" t="s">
        <v>646</v>
      </c>
      <c r="L769" s="1" t="s">
        <v>647</v>
      </c>
      <c r="M769" s="1">
        <v>1200.0</v>
      </c>
      <c r="N769" s="1" t="s">
        <v>647</v>
      </c>
      <c r="O769" s="1">
        <v>7.3134884E7</v>
      </c>
      <c r="P769" s="1" t="s">
        <v>1796</v>
      </c>
      <c r="R769" s="1" t="s">
        <v>1855</v>
      </c>
      <c r="S769" s="1" t="s">
        <v>44</v>
      </c>
      <c r="T769" s="1" t="s">
        <v>45</v>
      </c>
      <c r="U769" s="1">
        <v>48226.0</v>
      </c>
      <c r="W769" s="1" t="s">
        <v>648</v>
      </c>
      <c r="X769" s="1" t="s">
        <v>45</v>
      </c>
      <c r="Y769" s="1">
        <v>4.81865305E8</v>
      </c>
      <c r="Z769" s="1">
        <v>7.3134884E7</v>
      </c>
      <c r="AA769" s="1" t="s">
        <v>1796</v>
      </c>
      <c r="AB769" s="1">
        <v>70282.0</v>
      </c>
      <c r="AC769" s="2">
        <v>41942.0</v>
      </c>
      <c r="AD769" s="1">
        <v>1200.0</v>
      </c>
      <c r="AE769" s="1" t="s">
        <v>647</v>
      </c>
      <c r="AF769" s="1" t="s">
        <v>1895</v>
      </c>
      <c r="AG769" s="1" t="s">
        <v>712</v>
      </c>
      <c r="AH769" s="1">
        <v>12.0</v>
      </c>
      <c r="AI769" s="1">
        <v>2014.0</v>
      </c>
      <c r="AJ769" s="1">
        <v>2015.0</v>
      </c>
      <c r="AK769" s="1" t="s">
        <v>651</v>
      </c>
    </row>
    <row r="770">
      <c r="A770" s="1" t="s">
        <v>1896</v>
      </c>
      <c r="B770" s="1" t="s">
        <v>1896</v>
      </c>
      <c r="C770" s="1" t="s">
        <v>194</v>
      </c>
      <c r="E770" s="1">
        <v>4388433.0</v>
      </c>
      <c r="F770" s="2">
        <v>41708.0</v>
      </c>
      <c r="G770" s="1" t="s">
        <v>1897</v>
      </c>
      <c r="I770" s="1" t="s">
        <v>1897</v>
      </c>
      <c r="L770" s="1" t="s">
        <v>194</v>
      </c>
      <c r="M770" s="1">
        <v>9100.0</v>
      </c>
      <c r="N770" s="1" t="s">
        <v>194</v>
      </c>
      <c r="O770" s="1">
        <v>1962224.0</v>
      </c>
      <c r="P770" s="1" t="s">
        <v>52</v>
      </c>
      <c r="R770" s="1" t="s">
        <v>1885</v>
      </c>
      <c r="S770" s="1" t="s">
        <v>44</v>
      </c>
      <c r="T770" s="1" t="s">
        <v>45</v>
      </c>
      <c r="U770" s="1">
        <v>4.82021347E8</v>
      </c>
      <c r="W770" s="1" t="s">
        <v>44</v>
      </c>
      <c r="X770" s="1" t="s">
        <v>45</v>
      </c>
      <c r="Y770" s="1">
        <v>4.82023424E8</v>
      </c>
      <c r="Z770" s="1">
        <v>1962224.0</v>
      </c>
      <c r="AA770" s="1" t="s">
        <v>52</v>
      </c>
      <c r="AB770" s="1">
        <v>221776.0</v>
      </c>
      <c r="AC770" s="2">
        <v>41708.0</v>
      </c>
      <c r="AD770" s="1">
        <v>9100.0</v>
      </c>
      <c r="AE770" s="1" t="s">
        <v>194</v>
      </c>
      <c r="AF770" s="1" t="s">
        <v>1898</v>
      </c>
      <c r="AG770" s="1" t="s">
        <v>1899</v>
      </c>
      <c r="AH770" s="1">
        <v>12.0</v>
      </c>
      <c r="AI770" s="1">
        <v>2014.0</v>
      </c>
      <c r="AJ770" s="1">
        <v>2014.0</v>
      </c>
      <c r="AK770" s="1" t="s">
        <v>1900</v>
      </c>
    </row>
    <row r="771">
      <c r="A771" s="1" t="s">
        <v>1886</v>
      </c>
      <c r="B771" s="1" t="s">
        <v>1886</v>
      </c>
      <c r="C771" s="1" t="s">
        <v>194</v>
      </c>
      <c r="E771" s="1">
        <v>3.7258736E7</v>
      </c>
      <c r="F771" s="2">
        <v>41897.0</v>
      </c>
      <c r="G771" s="1" t="s">
        <v>1380</v>
      </c>
      <c r="I771" s="1" t="s">
        <v>1380</v>
      </c>
      <c r="L771" s="1" t="s">
        <v>194</v>
      </c>
      <c r="M771" s="1">
        <v>9100.0</v>
      </c>
      <c r="N771" s="1" t="s">
        <v>194</v>
      </c>
      <c r="O771" s="1">
        <v>7.6386556E7</v>
      </c>
      <c r="P771" s="1" t="s">
        <v>1242</v>
      </c>
      <c r="R771" s="1" t="s">
        <v>1243</v>
      </c>
      <c r="S771" s="1" t="s">
        <v>44</v>
      </c>
      <c r="T771" s="1" t="s">
        <v>45</v>
      </c>
      <c r="U771" s="1">
        <v>4.8226301E8</v>
      </c>
      <c r="W771" s="1" t="s">
        <v>44</v>
      </c>
      <c r="X771" s="1" t="s">
        <v>45</v>
      </c>
      <c r="Y771" s="1">
        <v>4.8226301E8</v>
      </c>
      <c r="Z771" s="1">
        <v>7.6386556E7</v>
      </c>
      <c r="AA771" s="1" t="s">
        <v>1242</v>
      </c>
      <c r="AB771" s="1">
        <v>1036513.0</v>
      </c>
      <c r="AC771" s="2">
        <v>41897.0</v>
      </c>
      <c r="AD771" s="1">
        <v>9100.0</v>
      </c>
      <c r="AE771" s="1" t="s">
        <v>194</v>
      </c>
      <c r="AF771" s="1" t="s">
        <v>1901</v>
      </c>
      <c r="AG771" s="1" t="s">
        <v>1382</v>
      </c>
      <c r="AH771" s="1">
        <v>12.0</v>
      </c>
      <c r="AI771" s="1">
        <v>2014.0</v>
      </c>
      <c r="AJ771" s="1">
        <v>2014.0</v>
      </c>
      <c r="AK771" s="1" t="s">
        <v>1383</v>
      </c>
    </row>
    <row r="772">
      <c r="A772" s="1" t="s">
        <v>1902</v>
      </c>
      <c r="B772" s="1" t="s">
        <v>1902</v>
      </c>
      <c r="C772" s="1" t="s">
        <v>194</v>
      </c>
      <c r="E772" s="1">
        <v>2399719.0</v>
      </c>
      <c r="F772" s="2">
        <v>41929.0</v>
      </c>
      <c r="G772" s="1" t="s">
        <v>274</v>
      </c>
      <c r="I772" s="1" t="s">
        <v>274</v>
      </c>
      <c r="L772" s="1" t="s">
        <v>194</v>
      </c>
      <c r="M772" s="1">
        <v>9100.0</v>
      </c>
      <c r="N772" s="1" t="s">
        <v>194</v>
      </c>
      <c r="O772" s="1">
        <v>1962224.0</v>
      </c>
      <c r="P772" s="1" t="s">
        <v>52</v>
      </c>
      <c r="R772" s="1" t="s">
        <v>1885</v>
      </c>
      <c r="S772" s="1" t="s">
        <v>44</v>
      </c>
      <c r="T772" s="1" t="s">
        <v>45</v>
      </c>
      <c r="U772" s="1">
        <v>4.82021347E8</v>
      </c>
      <c r="W772" s="1" t="s">
        <v>44</v>
      </c>
      <c r="X772" s="1" t="s">
        <v>45</v>
      </c>
      <c r="Y772" s="1">
        <v>4.82023424E8</v>
      </c>
      <c r="Z772" s="1">
        <v>1962224.0</v>
      </c>
      <c r="AA772" s="1" t="s">
        <v>52</v>
      </c>
      <c r="AB772" s="1">
        <v>281707.0</v>
      </c>
      <c r="AC772" s="2">
        <v>41929.0</v>
      </c>
      <c r="AD772" s="1">
        <v>9100.0</v>
      </c>
      <c r="AE772" s="1" t="s">
        <v>194</v>
      </c>
      <c r="AF772" s="1" t="s">
        <v>1903</v>
      </c>
      <c r="AG772" s="1" t="s">
        <v>276</v>
      </c>
      <c r="AH772" s="1">
        <v>12.0</v>
      </c>
      <c r="AI772" s="1">
        <v>2014.0</v>
      </c>
      <c r="AJ772" s="1">
        <v>2015.0</v>
      </c>
      <c r="AK772" s="1" t="s">
        <v>277</v>
      </c>
    </row>
    <row r="773">
      <c r="A773" s="1" t="s">
        <v>1904</v>
      </c>
      <c r="B773" s="1" t="s">
        <v>1904</v>
      </c>
      <c r="C773" s="1" t="s">
        <v>194</v>
      </c>
      <c r="E773" s="1">
        <v>1.1368562E7</v>
      </c>
      <c r="F773" s="2">
        <v>41547.0</v>
      </c>
      <c r="G773" s="1" t="s">
        <v>1905</v>
      </c>
      <c r="I773" s="1" t="s">
        <v>1905</v>
      </c>
      <c r="L773" s="1" t="s">
        <v>194</v>
      </c>
      <c r="M773" s="1">
        <v>9100.0</v>
      </c>
      <c r="N773" s="1" t="s">
        <v>194</v>
      </c>
      <c r="O773" s="1">
        <v>1962224.0</v>
      </c>
      <c r="P773" s="1" t="s">
        <v>52</v>
      </c>
      <c r="Q773" s="1" t="s">
        <v>1566</v>
      </c>
      <c r="R773" s="1" t="s">
        <v>53</v>
      </c>
      <c r="S773" s="1" t="s">
        <v>44</v>
      </c>
      <c r="T773" s="1" t="s">
        <v>45</v>
      </c>
      <c r="U773" s="1">
        <v>4.82023692E8</v>
      </c>
      <c r="W773" s="1" t="s">
        <v>44</v>
      </c>
      <c r="X773" s="1" t="s">
        <v>45</v>
      </c>
      <c r="Y773" s="1">
        <v>4.82023424E8</v>
      </c>
      <c r="Z773" s="1">
        <v>1962224.0</v>
      </c>
      <c r="AA773" s="1" t="s">
        <v>52</v>
      </c>
      <c r="AB773" s="1">
        <v>307331.0</v>
      </c>
      <c r="AC773" s="2">
        <v>41547.0</v>
      </c>
      <c r="AD773" s="1">
        <v>9100.0</v>
      </c>
      <c r="AE773" s="1" t="s">
        <v>194</v>
      </c>
      <c r="AF773" s="1" t="s">
        <v>1906</v>
      </c>
      <c r="AG773" s="1" t="s">
        <v>1907</v>
      </c>
      <c r="AH773" s="1">
        <v>12.0</v>
      </c>
      <c r="AI773" s="1">
        <v>2014.0</v>
      </c>
      <c r="AJ773" s="1">
        <v>2013.0</v>
      </c>
      <c r="AK773" s="1" t="s">
        <v>1908</v>
      </c>
    </row>
    <row r="774">
      <c r="A774" s="1" t="s">
        <v>1909</v>
      </c>
      <c r="B774" s="1" t="s">
        <v>1909</v>
      </c>
      <c r="C774" s="1" t="s">
        <v>38</v>
      </c>
      <c r="E774" s="1">
        <v>615470.0</v>
      </c>
      <c r="F774" s="2">
        <v>41960.0</v>
      </c>
      <c r="G774" s="1" t="s">
        <v>1910</v>
      </c>
      <c r="I774" s="1" t="s">
        <v>1910</v>
      </c>
      <c r="L774" s="1" t="s">
        <v>40</v>
      </c>
      <c r="M774" s="1">
        <v>7500.0</v>
      </c>
      <c r="N774" s="1" t="s">
        <v>40</v>
      </c>
      <c r="O774" s="1">
        <v>1962224.0</v>
      </c>
      <c r="P774" s="1" t="s">
        <v>52</v>
      </c>
      <c r="R774" s="1" t="s">
        <v>1885</v>
      </c>
      <c r="S774" s="1" t="s">
        <v>44</v>
      </c>
      <c r="T774" s="1" t="s">
        <v>45</v>
      </c>
      <c r="U774" s="1">
        <v>4.82021347E8</v>
      </c>
      <c r="W774" s="1" t="s">
        <v>46</v>
      </c>
      <c r="X774" s="1" t="s">
        <v>45</v>
      </c>
      <c r="Y774" s="1">
        <v>4.82021347E8</v>
      </c>
      <c r="Z774" s="1">
        <v>1962224.0</v>
      </c>
      <c r="AA774" s="1" t="s">
        <v>52</v>
      </c>
      <c r="AB774" s="1">
        <v>186335.0</v>
      </c>
      <c r="AC774" s="2">
        <v>41960.0</v>
      </c>
      <c r="AD774" s="1">
        <v>7500.0</v>
      </c>
      <c r="AE774" s="1" t="s">
        <v>40</v>
      </c>
      <c r="AF774" s="1" t="s">
        <v>1911</v>
      </c>
      <c r="AG774" s="1" t="s">
        <v>1912</v>
      </c>
      <c r="AH774" s="1">
        <v>11.0</v>
      </c>
      <c r="AI774" s="1">
        <v>2014.0</v>
      </c>
      <c r="AJ774" s="1">
        <v>2015.0</v>
      </c>
      <c r="AK774" s="1" t="s">
        <v>415</v>
      </c>
    </row>
    <row r="775">
      <c r="A775" s="1" t="s">
        <v>1853</v>
      </c>
      <c r="B775" s="1" t="s">
        <v>1853</v>
      </c>
      <c r="C775" s="1" t="s">
        <v>645</v>
      </c>
      <c r="E775" s="1">
        <v>5547372.0</v>
      </c>
      <c r="F775" s="2">
        <v>41844.0</v>
      </c>
      <c r="G775" s="1" t="s">
        <v>666</v>
      </c>
      <c r="I775" s="1" t="s">
        <v>666</v>
      </c>
      <c r="L775" s="1" t="s">
        <v>647</v>
      </c>
      <c r="M775" s="1">
        <v>1200.0</v>
      </c>
      <c r="N775" s="1" t="s">
        <v>647</v>
      </c>
      <c r="O775" s="1">
        <v>7.3134884E7</v>
      </c>
      <c r="P775" s="1" t="s">
        <v>1796</v>
      </c>
      <c r="R775" s="1" t="s">
        <v>1855</v>
      </c>
      <c r="S775" s="1" t="s">
        <v>44</v>
      </c>
      <c r="T775" s="1" t="s">
        <v>45</v>
      </c>
      <c r="U775" s="1">
        <v>48226.0</v>
      </c>
      <c r="W775" s="1" t="s">
        <v>648</v>
      </c>
      <c r="X775" s="1" t="s">
        <v>45</v>
      </c>
      <c r="Y775" s="1">
        <v>4.81865305E8</v>
      </c>
      <c r="Z775" s="1">
        <v>7.3134884E7</v>
      </c>
      <c r="AA775" s="1" t="s">
        <v>1796</v>
      </c>
      <c r="AB775" s="1">
        <v>145404.0</v>
      </c>
      <c r="AC775" s="2">
        <v>41844.0</v>
      </c>
      <c r="AD775" s="1">
        <v>1200.0</v>
      </c>
      <c r="AE775" s="1" t="s">
        <v>647</v>
      </c>
      <c r="AF775" s="1" t="s">
        <v>1856</v>
      </c>
      <c r="AG775" s="1" t="s">
        <v>1780</v>
      </c>
      <c r="AH775" s="1">
        <v>12.0</v>
      </c>
      <c r="AI775" s="1">
        <v>2014.0</v>
      </c>
      <c r="AJ775" s="1">
        <v>2014.0</v>
      </c>
      <c r="AK775" s="1" t="s">
        <v>671</v>
      </c>
    </row>
    <row r="776">
      <c r="A776" s="1" t="s">
        <v>1853</v>
      </c>
      <c r="B776" s="1" t="s">
        <v>1853</v>
      </c>
      <c r="C776" s="1" t="s">
        <v>645</v>
      </c>
      <c r="E776" s="1">
        <v>5547372.0</v>
      </c>
      <c r="F776" s="2">
        <v>41949.0</v>
      </c>
      <c r="G776" s="1" t="s">
        <v>666</v>
      </c>
      <c r="I776" s="1" t="s">
        <v>666</v>
      </c>
      <c r="L776" s="1" t="s">
        <v>647</v>
      </c>
      <c r="M776" s="1">
        <v>1200.0</v>
      </c>
      <c r="N776" s="1" t="s">
        <v>647</v>
      </c>
      <c r="O776" s="1">
        <v>7.2761299E7</v>
      </c>
      <c r="P776" s="1" t="s">
        <v>667</v>
      </c>
      <c r="R776" s="1" t="s">
        <v>668</v>
      </c>
      <c r="S776" s="1" t="s">
        <v>44</v>
      </c>
      <c r="T776" s="1" t="s">
        <v>45</v>
      </c>
      <c r="U776" s="1">
        <v>4.82382849E8</v>
      </c>
      <c r="W776" s="1" t="s">
        <v>44</v>
      </c>
      <c r="X776" s="1" t="s">
        <v>45</v>
      </c>
      <c r="Y776" s="1">
        <v>4.82382849E8</v>
      </c>
      <c r="Z776" s="1">
        <v>7.2761299E7</v>
      </c>
      <c r="AA776" s="1" t="s">
        <v>667</v>
      </c>
      <c r="AB776" s="1">
        <v>2963783.0</v>
      </c>
      <c r="AC776" s="2">
        <v>41949.0</v>
      </c>
      <c r="AD776" s="1">
        <v>1200.0</v>
      </c>
      <c r="AE776" s="1" t="s">
        <v>647</v>
      </c>
      <c r="AF776" s="1" t="s">
        <v>1854</v>
      </c>
      <c r="AG776" s="1" t="s">
        <v>1780</v>
      </c>
      <c r="AH776" s="1">
        <v>12.0</v>
      </c>
      <c r="AI776" s="1">
        <v>2014.0</v>
      </c>
      <c r="AJ776" s="1">
        <v>2015.0</v>
      </c>
      <c r="AK776" s="1" t="s">
        <v>671</v>
      </c>
    </row>
    <row r="777">
      <c r="A777" s="1" t="s">
        <v>1913</v>
      </c>
      <c r="B777" s="1" t="s">
        <v>1913</v>
      </c>
      <c r="C777" s="1" t="s">
        <v>645</v>
      </c>
      <c r="E777" s="1">
        <v>1.4642656E8</v>
      </c>
      <c r="F777" s="2">
        <v>41963.0</v>
      </c>
      <c r="G777" s="1" t="s">
        <v>710</v>
      </c>
      <c r="I777" s="1" t="s">
        <v>710</v>
      </c>
      <c r="L777" s="1" t="s">
        <v>647</v>
      </c>
      <c r="M777" s="1">
        <v>1200.0</v>
      </c>
      <c r="N777" s="1" t="s">
        <v>647</v>
      </c>
      <c r="O777" s="1">
        <v>2.0830303E7</v>
      </c>
      <c r="P777" s="1" t="s">
        <v>424</v>
      </c>
      <c r="Q777" s="1" t="s">
        <v>425</v>
      </c>
      <c r="R777" s="1" t="s">
        <v>426</v>
      </c>
      <c r="S777" s="1" t="s">
        <v>44</v>
      </c>
      <c r="T777" s="1" t="s">
        <v>45</v>
      </c>
      <c r="U777" s="1">
        <v>4.82012002E8</v>
      </c>
      <c r="W777" s="1" t="s">
        <v>44</v>
      </c>
      <c r="X777" s="1" t="s">
        <v>45</v>
      </c>
      <c r="Y777" s="1">
        <v>4.82012002E8</v>
      </c>
      <c r="Z777" s="1">
        <v>2.0830303E7</v>
      </c>
      <c r="AA777" s="1" t="s">
        <v>424</v>
      </c>
      <c r="AB777" s="1">
        <v>34248.06</v>
      </c>
      <c r="AC777" s="2">
        <v>41963.0</v>
      </c>
      <c r="AD777" s="1">
        <v>1200.0</v>
      </c>
      <c r="AE777" s="1" t="s">
        <v>647</v>
      </c>
      <c r="AF777" s="1" t="s">
        <v>1914</v>
      </c>
      <c r="AG777" s="1" t="s">
        <v>712</v>
      </c>
      <c r="AH777" s="1">
        <v>12.0</v>
      </c>
      <c r="AI777" s="1">
        <v>2014.0</v>
      </c>
      <c r="AJ777" s="1">
        <v>2015.0</v>
      </c>
      <c r="AK777" s="1" t="s">
        <v>713</v>
      </c>
    </row>
    <row r="778">
      <c r="A778" s="1" t="s">
        <v>1915</v>
      </c>
      <c r="B778" s="1" t="s">
        <v>1915</v>
      </c>
      <c r="C778" s="1">
        <v>7545.0</v>
      </c>
      <c r="E778" s="1">
        <v>1356943.0</v>
      </c>
      <c r="F778" s="2">
        <v>41913.0</v>
      </c>
      <c r="G778" s="1" t="s">
        <v>1916</v>
      </c>
      <c r="I778" s="1" t="s">
        <v>1916</v>
      </c>
      <c r="L778" s="1" t="s">
        <v>40</v>
      </c>
      <c r="M778" s="1">
        <v>7500.0</v>
      </c>
      <c r="N778" s="1" t="s">
        <v>40</v>
      </c>
      <c r="O778" s="1">
        <v>4.6842605E7</v>
      </c>
      <c r="P778" s="1" t="s">
        <v>165</v>
      </c>
      <c r="Q778" s="1" t="s">
        <v>166</v>
      </c>
      <c r="R778" s="1" t="s">
        <v>167</v>
      </c>
      <c r="S778" s="1" t="s">
        <v>44</v>
      </c>
      <c r="T778" s="1" t="s">
        <v>45</v>
      </c>
      <c r="U778" s="1">
        <v>4.82074544E8</v>
      </c>
      <c r="W778" s="1" t="s">
        <v>46</v>
      </c>
      <c r="X778" s="1" t="s">
        <v>45</v>
      </c>
      <c r="Y778" s="1">
        <v>4.82074544E8</v>
      </c>
      <c r="AB778" s="1">
        <v>186352.54</v>
      </c>
      <c r="AC778" s="2">
        <v>41913.0</v>
      </c>
      <c r="AD778" s="1">
        <v>7500.0</v>
      </c>
      <c r="AE778" s="1" t="s">
        <v>40</v>
      </c>
      <c r="AF778" s="1">
        <v>2.0152003E7</v>
      </c>
      <c r="AG778" s="1" t="s">
        <v>392</v>
      </c>
      <c r="AH778" s="1">
        <v>10.0</v>
      </c>
      <c r="AI778" s="1">
        <v>2014.0</v>
      </c>
      <c r="AJ778" s="1">
        <v>2015.0</v>
      </c>
      <c r="AK778" s="1" t="s">
        <v>1109</v>
      </c>
    </row>
    <row r="779">
      <c r="A779" s="1" t="s">
        <v>1917</v>
      </c>
      <c r="B779" s="1" t="s">
        <v>1917</v>
      </c>
      <c r="C779" s="1">
        <v>7545.0</v>
      </c>
      <c r="E779" s="1">
        <v>2187613.0</v>
      </c>
      <c r="F779" s="2">
        <v>41913.0</v>
      </c>
      <c r="G779" s="1" t="s">
        <v>1918</v>
      </c>
      <c r="I779" s="1" t="s">
        <v>1918</v>
      </c>
      <c r="L779" s="1" t="s">
        <v>40</v>
      </c>
      <c r="M779" s="1">
        <v>7500.0</v>
      </c>
      <c r="N779" s="1" t="s">
        <v>40</v>
      </c>
      <c r="O779" s="1">
        <v>4.6842605E7</v>
      </c>
      <c r="P779" s="1" t="s">
        <v>165</v>
      </c>
      <c r="Q779" s="1" t="s">
        <v>166</v>
      </c>
      <c r="R779" s="1" t="s">
        <v>167</v>
      </c>
      <c r="S779" s="1" t="s">
        <v>44</v>
      </c>
      <c r="T779" s="1" t="s">
        <v>45</v>
      </c>
      <c r="U779" s="1">
        <v>4.82074544E8</v>
      </c>
      <c r="W779" s="1" t="s">
        <v>46</v>
      </c>
      <c r="X779" s="1" t="s">
        <v>45</v>
      </c>
      <c r="Y779" s="1">
        <v>4.82074544E8</v>
      </c>
      <c r="AB779" s="1">
        <v>262220.18</v>
      </c>
      <c r="AC779" s="2">
        <v>41913.0</v>
      </c>
      <c r="AD779" s="1">
        <v>7500.0</v>
      </c>
      <c r="AE779" s="1" t="s">
        <v>40</v>
      </c>
      <c r="AF779" s="1">
        <v>2.0152003E7</v>
      </c>
      <c r="AG779" s="1" t="s">
        <v>392</v>
      </c>
      <c r="AH779" s="1">
        <v>10.0</v>
      </c>
      <c r="AI779" s="1">
        <v>2014.0</v>
      </c>
      <c r="AJ779" s="1">
        <v>2015.0</v>
      </c>
      <c r="AK779" s="1" t="s">
        <v>1919</v>
      </c>
    </row>
    <row r="780">
      <c r="A780" s="1" t="s">
        <v>1920</v>
      </c>
      <c r="B780" s="1" t="s">
        <v>1920</v>
      </c>
      <c r="C780" s="1">
        <v>7545.0</v>
      </c>
      <c r="E780" s="1">
        <v>99610.0</v>
      </c>
      <c r="F780" s="2">
        <v>41913.0</v>
      </c>
      <c r="G780" s="1" t="s">
        <v>1921</v>
      </c>
      <c r="I780" s="1" t="s">
        <v>1921</v>
      </c>
      <c r="L780" s="1" t="s">
        <v>40</v>
      </c>
      <c r="M780" s="1">
        <v>7500.0</v>
      </c>
      <c r="N780" s="1" t="s">
        <v>40</v>
      </c>
      <c r="O780" s="1">
        <v>4.6842605E7</v>
      </c>
      <c r="P780" s="1" t="s">
        <v>165</v>
      </c>
      <c r="Q780" s="1" t="s">
        <v>166</v>
      </c>
      <c r="R780" s="1" t="s">
        <v>167</v>
      </c>
      <c r="S780" s="1" t="s">
        <v>44</v>
      </c>
      <c r="T780" s="1" t="s">
        <v>45</v>
      </c>
      <c r="U780" s="1">
        <v>4.82074544E8</v>
      </c>
      <c r="W780" s="1" t="s">
        <v>46</v>
      </c>
      <c r="X780" s="1" t="s">
        <v>45</v>
      </c>
      <c r="Y780" s="1">
        <v>4.82074544E8</v>
      </c>
      <c r="AB780" s="1">
        <v>9840.8</v>
      </c>
      <c r="AC780" s="2">
        <v>41913.0</v>
      </c>
      <c r="AD780" s="1">
        <v>7500.0</v>
      </c>
      <c r="AE780" s="1" t="s">
        <v>40</v>
      </c>
      <c r="AF780" s="1">
        <v>2.0152003E7</v>
      </c>
      <c r="AG780" s="1" t="s">
        <v>392</v>
      </c>
      <c r="AH780" s="1">
        <v>10.0</v>
      </c>
      <c r="AI780" s="1">
        <v>2014.0</v>
      </c>
      <c r="AJ780" s="1">
        <v>2015.0</v>
      </c>
      <c r="AK780" s="1" t="s">
        <v>1139</v>
      </c>
    </row>
    <row r="781">
      <c r="A781" s="1" t="s">
        <v>1922</v>
      </c>
      <c r="B781" s="1" t="s">
        <v>1922</v>
      </c>
      <c r="C781" s="1" t="s">
        <v>38</v>
      </c>
      <c r="E781" s="1">
        <v>1.3829118E7</v>
      </c>
      <c r="F781" s="2">
        <v>41963.0</v>
      </c>
      <c r="G781" s="1" t="s">
        <v>1923</v>
      </c>
      <c r="I781" s="1" t="s">
        <v>1923</v>
      </c>
      <c r="L781" s="1" t="s">
        <v>40</v>
      </c>
      <c r="M781" s="1">
        <v>7500.0</v>
      </c>
      <c r="N781" s="1" t="s">
        <v>40</v>
      </c>
      <c r="O781" s="1">
        <v>1962224.0</v>
      </c>
      <c r="P781" s="1" t="s">
        <v>52</v>
      </c>
      <c r="R781" s="1" t="s">
        <v>1885</v>
      </c>
      <c r="S781" s="1" t="s">
        <v>44</v>
      </c>
      <c r="T781" s="1" t="s">
        <v>45</v>
      </c>
      <c r="U781" s="1">
        <v>4.82021347E8</v>
      </c>
      <c r="W781" s="1" t="s">
        <v>46</v>
      </c>
      <c r="X781" s="1" t="s">
        <v>45</v>
      </c>
      <c r="Y781" s="1">
        <v>4.82012013E8</v>
      </c>
      <c r="Z781" s="1">
        <v>1962224.0</v>
      </c>
      <c r="AA781" s="1" t="s">
        <v>52</v>
      </c>
      <c r="AB781" s="1">
        <v>45600.0</v>
      </c>
      <c r="AC781" s="2">
        <v>41963.0</v>
      </c>
      <c r="AD781" s="1">
        <v>7500.0</v>
      </c>
      <c r="AE781" s="1" t="s">
        <v>40</v>
      </c>
      <c r="AF781" s="1" t="s">
        <v>1924</v>
      </c>
      <c r="AG781" s="1" t="s">
        <v>1925</v>
      </c>
      <c r="AH781" s="1">
        <v>12.0</v>
      </c>
      <c r="AI781" s="1">
        <v>2014.0</v>
      </c>
      <c r="AJ781" s="1">
        <v>2015.0</v>
      </c>
      <c r="AK781" s="1" t="s">
        <v>973</v>
      </c>
    </row>
    <row r="782">
      <c r="A782" s="1" t="s">
        <v>1926</v>
      </c>
      <c r="B782" s="1" t="s">
        <v>1926</v>
      </c>
      <c r="C782" s="1" t="s">
        <v>38</v>
      </c>
      <c r="E782" s="1">
        <v>1420000.0</v>
      </c>
      <c r="F782" s="2">
        <v>41948.0</v>
      </c>
      <c r="G782" s="1" t="s">
        <v>1927</v>
      </c>
      <c r="I782" s="1" t="s">
        <v>1927</v>
      </c>
      <c r="L782" s="1" t="s">
        <v>40</v>
      </c>
      <c r="M782" s="1">
        <v>7500.0</v>
      </c>
      <c r="N782" s="1" t="s">
        <v>40</v>
      </c>
      <c r="O782" s="1">
        <v>1962224.0</v>
      </c>
      <c r="P782" s="1" t="s">
        <v>52</v>
      </c>
      <c r="R782" s="1" t="s">
        <v>1885</v>
      </c>
      <c r="S782" s="1" t="s">
        <v>44</v>
      </c>
      <c r="T782" s="1" t="s">
        <v>45</v>
      </c>
      <c r="U782" s="1">
        <v>4.82021347E8</v>
      </c>
      <c r="W782" s="1" t="s">
        <v>46</v>
      </c>
      <c r="X782" s="1" t="s">
        <v>45</v>
      </c>
      <c r="Y782" s="1">
        <v>4.82012013E8</v>
      </c>
      <c r="Z782" s="1">
        <v>1962224.0</v>
      </c>
      <c r="AA782" s="1" t="s">
        <v>52</v>
      </c>
      <c r="AB782" s="1">
        <v>82208.0</v>
      </c>
      <c r="AC782" s="2">
        <v>41948.0</v>
      </c>
      <c r="AD782" s="1">
        <v>7500.0</v>
      </c>
      <c r="AE782" s="1" t="s">
        <v>40</v>
      </c>
      <c r="AF782" s="1" t="s">
        <v>1928</v>
      </c>
      <c r="AG782" s="1" t="s">
        <v>1929</v>
      </c>
      <c r="AH782" s="1">
        <v>12.0</v>
      </c>
      <c r="AI782" s="1">
        <v>2014.0</v>
      </c>
      <c r="AJ782" s="1">
        <v>2015.0</v>
      </c>
      <c r="AK782" s="1" t="s">
        <v>973</v>
      </c>
    </row>
    <row r="783">
      <c r="A783" s="1" t="s">
        <v>1930</v>
      </c>
      <c r="B783" s="1" t="s">
        <v>1930</v>
      </c>
      <c r="C783" s="1">
        <v>7545.0</v>
      </c>
      <c r="E783" s="1">
        <v>31675.0</v>
      </c>
      <c r="F783" s="2">
        <v>41913.0</v>
      </c>
      <c r="G783" s="1" t="s">
        <v>1931</v>
      </c>
      <c r="I783" s="1" t="s">
        <v>1931</v>
      </c>
      <c r="L783" s="1" t="s">
        <v>40</v>
      </c>
      <c r="M783" s="1">
        <v>7500.0</v>
      </c>
      <c r="N783" s="1" t="s">
        <v>40</v>
      </c>
      <c r="O783" s="1">
        <v>4.6842605E7</v>
      </c>
      <c r="P783" s="1" t="s">
        <v>165</v>
      </c>
      <c r="Q783" s="1" t="s">
        <v>166</v>
      </c>
      <c r="R783" s="1" t="s">
        <v>167</v>
      </c>
      <c r="S783" s="1" t="s">
        <v>44</v>
      </c>
      <c r="T783" s="1" t="s">
        <v>45</v>
      </c>
      <c r="U783" s="1">
        <v>4.82074544E8</v>
      </c>
      <c r="W783" s="1" t="s">
        <v>46</v>
      </c>
      <c r="X783" s="1" t="s">
        <v>45</v>
      </c>
      <c r="Y783" s="1">
        <v>4.82074544E8</v>
      </c>
      <c r="AB783" s="1">
        <v>3477.53</v>
      </c>
      <c r="AC783" s="2">
        <v>41913.0</v>
      </c>
      <c r="AD783" s="1">
        <v>7500.0</v>
      </c>
      <c r="AE783" s="1" t="s">
        <v>40</v>
      </c>
      <c r="AF783" s="1">
        <v>2.0152003E7</v>
      </c>
      <c r="AG783" s="1" t="s">
        <v>392</v>
      </c>
      <c r="AH783" s="1">
        <v>10.0</v>
      </c>
      <c r="AI783" s="1">
        <v>2014.0</v>
      </c>
      <c r="AJ783" s="1">
        <v>2015.0</v>
      </c>
      <c r="AK783" s="1" t="s">
        <v>1932</v>
      </c>
    </row>
    <row r="784">
      <c r="A784" s="1" t="s">
        <v>1933</v>
      </c>
      <c r="B784" s="1" t="s">
        <v>1933</v>
      </c>
      <c r="C784" s="1" t="s">
        <v>100</v>
      </c>
      <c r="E784" s="1">
        <v>2297904.0</v>
      </c>
      <c r="F784" s="2">
        <v>41548.0</v>
      </c>
      <c r="G784" s="1" t="s">
        <v>1858</v>
      </c>
      <c r="I784" s="1" t="s">
        <v>1858</v>
      </c>
      <c r="L784" s="1" t="s">
        <v>102</v>
      </c>
      <c r="M784" s="1">
        <v>8600.0</v>
      </c>
      <c r="N784" s="1" t="s">
        <v>102</v>
      </c>
      <c r="O784" s="1">
        <v>1.93540515E8</v>
      </c>
      <c r="P784" s="1" t="s">
        <v>1022</v>
      </c>
      <c r="Q784" s="1" t="s">
        <v>1330</v>
      </c>
      <c r="R784" s="1" t="s">
        <v>1023</v>
      </c>
      <c r="S784" s="1" t="s">
        <v>44</v>
      </c>
      <c r="T784" s="1" t="s">
        <v>45</v>
      </c>
      <c r="U784" s="1">
        <v>4.82193653E8</v>
      </c>
      <c r="W784" s="1" t="s">
        <v>46</v>
      </c>
      <c r="X784" s="1" t="s">
        <v>45</v>
      </c>
      <c r="Y784" s="1">
        <v>4.82193165E8</v>
      </c>
      <c r="Z784" s="1">
        <v>1.93540515E8</v>
      </c>
      <c r="AA784" s="1" t="s">
        <v>1022</v>
      </c>
      <c r="AB784" s="1">
        <v>119460.94</v>
      </c>
      <c r="AC784" s="2">
        <v>41548.0</v>
      </c>
      <c r="AD784" s="1">
        <v>8600.0</v>
      </c>
      <c r="AE784" s="1" t="s">
        <v>102</v>
      </c>
      <c r="AF784" s="1">
        <v>2.0140896E7</v>
      </c>
      <c r="AG784" s="1" t="s">
        <v>978</v>
      </c>
      <c r="AH784" s="1">
        <v>10.0</v>
      </c>
      <c r="AI784" s="1">
        <v>2012.0</v>
      </c>
      <c r="AJ784" s="1">
        <v>2014.0</v>
      </c>
      <c r="AK784" s="1" t="s">
        <v>1860</v>
      </c>
    </row>
    <row r="785">
      <c r="A785" s="1" t="s">
        <v>1933</v>
      </c>
      <c r="B785" s="1" t="s">
        <v>1933</v>
      </c>
      <c r="C785" s="1" t="s">
        <v>100</v>
      </c>
      <c r="E785" s="1">
        <v>2297904.0</v>
      </c>
      <c r="F785" s="2">
        <v>41183.0</v>
      </c>
      <c r="G785" s="1" t="s">
        <v>1858</v>
      </c>
      <c r="I785" s="1" t="s">
        <v>1858</v>
      </c>
      <c r="L785" s="1" t="s">
        <v>102</v>
      </c>
      <c r="M785" s="1">
        <v>8600.0</v>
      </c>
      <c r="N785" s="1" t="s">
        <v>102</v>
      </c>
      <c r="O785" s="1">
        <v>7.6385699E7</v>
      </c>
      <c r="P785" s="1" t="s">
        <v>106</v>
      </c>
      <c r="Q785" s="1" t="s">
        <v>1005</v>
      </c>
      <c r="R785" s="1" t="s">
        <v>1006</v>
      </c>
      <c r="S785" s="1" t="s">
        <v>44</v>
      </c>
      <c r="T785" s="1" t="s">
        <v>45</v>
      </c>
      <c r="U785" s="1">
        <v>4.82092022E8</v>
      </c>
      <c r="W785" s="1" t="s">
        <v>46</v>
      </c>
      <c r="X785" s="1" t="s">
        <v>45</v>
      </c>
      <c r="Y785" s="1">
        <v>4.82092022E8</v>
      </c>
      <c r="Z785" s="1">
        <v>7.6385699E7</v>
      </c>
      <c r="AA785" s="1" t="s">
        <v>106</v>
      </c>
      <c r="AB785" s="1">
        <v>200907.72</v>
      </c>
      <c r="AC785" s="2">
        <v>41183.0</v>
      </c>
      <c r="AD785" s="1">
        <v>8600.0</v>
      </c>
      <c r="AE785" s="1" t="s">
        <v>102</v>
      </c>
      <c r="AF785" s="1">
        <v>2.0130878E7</v>
      </c>
      <c r="AG785" s="1" t="s">
        <v>978</v>
      </c>
      <c r="AH785" s="1">
        <v>10.0</v>
      </c>
      <c r="AI785" s="1">
        <v>2012.0</v>
      </c>
      <c r="AJ785" s="1">
        <v>2013.0</v>
      </c>
      <c r="AK785" s="1" t="s">
        <v>1860</v>
      </c>
    </row>
    <row r="786">
      <c r="A786" s="1" t="s">
        <v>1933</v>
      </c>
      <c r="B786" s="1" t="s">
        <v>1933</v>
      </c>
      <c r="C786" s="1" t="s">
        <v>100</v>
      </c>
      <c r="E786" s="1">
        <v>2297904.0</v>
      </c>
      <c r="F786" s="2">
        <v>41183.0</v>
      </c>
      <c r="G786" s="1" t="s">
        <v>1858</v>
      </c>
      <c r="I786" s="1" t="s">
        <v>1858</v>
      </c>
      <c r="L786" s="1" t="s">
        <v>102</v>
      </c>
      <c r="M786" s="1">
        <v>8600.0</v>
      </c>
      <c r="N786" s="1" t="s">
        <v>102</v>
      </c>
      <c r="O786" s="1">
        <v>1.4556403E8</v>
      </c>
      <c r="P786" s="1" t="s">
        <v>976</v>
      </c>
      <c r="R786" s="1" t="s">
        <v>977</v>
      </c>
      <c r="S786" s="1" t="s">
        <v>44</v>
      </c>
      <c r="T786" s="1" t="s">
        <v>45</v>
      </c>
      <c r="U786" s="1">
        <v>4.82133418E8</v>
      </c>
      <c r="W786" s="1" t="s">
        <v>46</v>
      </c>
      <c r="X786" s="1" t="s">
        <v>45</v>
      </c>
      <c r="Y786" s="1">
        <v>4.82133418E8</v>
      </c>
      <c r="AB786" s="1">
        <v>127719.52</v>
      </c>
      <c r="AC786" s="2">
        <v>41183.0</v>
      </c>
      <c r="AD786" s="1">
        <v>8600.0</v>
      </c>
      <c r="AE786" s="1" t="s">
        <v>102</v>
      </c>
      <c r="AF786" s="1">
        <v>2.0130879E7</v>
      </c>
      <c r="AG786" s="1" t="s">
        <v>978</v>
      </c>
      <c r="AH786" s="1">
        <v>10.0</v>
      </c>
      <c r="AI786" s="1">
        <v>2012.0</v>
      </c>
      <c r="AJ786" s="1">
        <v>2013.0</v>
      </c>
      <c r="AK786" s="1" t="s">
        <v>1860</v>
      </c>
    </row>
    <row r="787">
      <c r="A787" s="1" t="s">
        <v>1933</v>
      </c>
      <c r="B787" s="1" t="s">
        <v>1933</v>
      </c>
      <c r="C787" s="1" t="s">
        <v>100</v>
      </c>
      <c r="E787" s="1">
        <v>2297904.0</v>
      </c>
      <c r="F787" s="2">
        <v>41548.0</v>
      </c>
      <c r="G787" s="1" t="s">
        <v>1858</v>
      </c>
      <c r="I787" s="1" t="s">
        <v>1858</v>
      </c>
      <c r="L787" s="1" t="s">
        <v>102</v>
      </c>
      <c r="M787" s="1">
        <v>8600.0</v>
      </c>
      <c r="N787" s="1" t="s">
        <v>102</v>
      </c>
      <c r="O787" s="1">
        <v>1.4556403E8</v>
      </c>
      <c r="P787" s="1" t="s">
        <v>976</v>
      </c>
      <c r="R787" s="1" t="s">
        <v>977</v>
      </c>
      <c r="S787" s="1" t="s">
        <v>44</v>
      </c>
      <c r="T787" s="1" t="s">
        <v>45</v>
      </c>
      <c r="U787" s="1">
        <v>4.82133418E8</v>
      </c>
      <c r="W787" s="1" t="s">
        <v>46</v>
      </c>
      <c r="X787" s="1" t="s">
        <v>45</v>
      </c>
      <c r="Y787" s="1">
        <v>4.82133418E8</v>
      </c>
      <c r="AB787" s="1">
        <v>151981.62</v>
      </c>
      <c r="AC787" s="2">
        <v>41548.0</v>
      </c>
      <c r="AD787" s="1">
        <v>8600.0</v>
      </c>
      <c r="AE787" s="1" t="s">
        <v>102</v>
      </c>
      <c r="AF787" s="1">
        <v>2.0140895E7</v>
      </c>
      <c r="AG787" s="1" t="s">
        <v>978</v>
      </c>
      <c r="AH787" s="1">
        <v>10.0</v>
      </c>
      <c r="AI787" s="1">
        <v>2012.0</v>
      </c>
      <c r="AJ787" s="1">
        <v>2014.0</v>
      </c>
      <c r="AK787" s="1" t="s">
        <v>1860</v>
      </c>
    </row>
    <row r="788">
      <c r="A788" s="1" t="s">
        <v>1933</v>
      </c>
      <c r="B788" s="1" t="s">
        <v>1933</v>
      </c>
      <c r="C788" s="1" t="s">
        <v>100</v>
      </c>
      <c r="E788" s="1">
        <v>2297904.0</v>
      </c>
      <c r="F788" s="2">
        <v>41183.0</v>
      </c>
      <c r="G788" s="1" t="s">
        <v>1858</v>
      </c>
      <c r="I788" s="1" t="s">
        <v>1858</v>
      </c>
      <c r="L788" s="1" t="s">
        <v>102</v>
      </c>
      <c r="M788" s="1">
        <v>8600.0</v>
      </c>
      <c r="N788" s="1" t="s">
        <v>102</v>
      </c>
      <c r="O788" s="1">
        <v>4.3419399E7</v>
      </c>
      <c r="P788" s="1" t="s">
        <v>979</v>
      </c>
      <c r="R788" s="1" t="s">
        <v>1934</v>
      </c>
      <c r="S788" s="1" t="s">
        <v>44</v>
      </c>
      <c r="T788" s="1" t="s">
        <v>45</v>
      </c>
      <c r="U788" s="1">
        <v>4.82384019E8</v>
      </c>
      <c r="W788" s="1" t="s">
        <v>46</v>
      </c>
      <c r="X788" s="1" t="s">
        <v>45</v>
      </c>
      <c r="Y788" s="1">
        <v>4.82384019E8</v>
      </c>
      <c r="Z788" s="1">
        <v>4.3419399E7</v>
      </c>
      <c r="AA788" s="1" t="s">
        <v>979</v>
      </c>
      <c r="AB788" s="1">
        <v>117075.89</v>
      </c>
      <c r="AC788" s="2">
        <v>41183.0</v>
      </c>
      <c r="AD788" s="1">
        <v>8600.0</v>
      </c>
      <c r="AE788" s="1" t="s">
        <v>102</v>
      </c>
      <c r="AF788" s="1">
        <v>2.0130123E7</v>
      </c>
      <c r="AG788" s="1" t="s">
        <v>978</v>
      </c>
      <c r="AH788" s="1">
        <v>10.0</v>
      </c>
      <c r="AI788" s="1">
        <v>2012.0</v>
      </c>
      <c r="AJ788" s="1">
        <v>2013.0</v>
      </c>
      <c r="AK788" s="1" t="s">
        <v>1860</v>
      </c>
    </row>
    <row r="789">
      <c r="A789" s="1" t="s">
        <v>1933</v>
      </c>
      <c r="B789" s="1" t="s">
        <v>1933</v>
      </c>
      <c r="C789" s="1" t="s">
        <v>100</v>
      </c>
      <c r="E789" s="1">
        <v>2297904.0</v>
      </c>
      <c r="F789" s="2">
        <v>41183.0</v>
      </c>
      <c r="G789" s="1" t="s">
        <v>1858</v>
      </c>
      <c r="I789" s="1" t="s">
        <v>1858</v>
      </c>
      <c r="L789" s="1" t="s">
        <v>102</v>
      </c>
      <c r="M789" s="1">
        <v>8600.0</v>
      </c>
      <c r="N789" s="1" t="s">
        <v>102</v>
      </c>
      <c r="O789" s="1">
        <v>1.93540515E8</v>
      </c>
      <c r="P789" s="1" t="s">
        <v>1022</v>
      </c>
      <c r="Q789" s="1" t="s">
        <v>1330</v>
      </c>
      <c r="R789" s="1" t="s">
        <v>1023</v>
      </c>
      <c r="S789" s="1" t="s">
        <v>44</v>
      </c>
      <c r="T789" s="1" t="s">
        <v>45</v>
      </c>
      <c r="U789" s="1">
        <v>4.82193653E8</v>
      </c>
      <c r="W789" s="1" t="s">
        <v>46</v>
      </c>
      <c r="X789" s="1" t="s">
        <v>45</v>
      </c>
      <c r="Y789" s="1">
        <v>4.82193165E8</v>
      </c>
      <c r="Z789" s="1">
        <v>1.93540515E8</v>
      </c>
      <c r="AA789" s="1" t="s">
        <v>1022</v>
      </c>
      <c r="AB789" s="1">
        <v>118136.94</v>
      </c>
      <c r="AC789" s="2">
        <v>41183.0</v>
      </c>
      <c r="AD789" s="1">
        <v>8600.0</v>
      </c>
      <c r="AE789" s="1" t="s">
        <v>102</v>
      </c>
      <c r="AF789" s="1">
        <v>2.0130881E7</v>
      </c>
      <c r="AG789" s="1" t="s">
        <v>978</v>
      </c>
      <c r="AH789" s="1">
        <v>10.0</v>
      </c>
      <c r="AI789" s="1">
        <v>2012.0</v>
      </c>
      <c r="AJ789" s="1">
        <v>2013.0</v>
      </c>
      <c r="AK789" s="1" t="s">
        <v>1860</v>
      </c>
    </row>
    <row r="790">
      <c r="A790" s="1" t="s">
        <v>1933</v>
      </c>
      <c r="B790" s="1" t="s">
        <v>1933</v>
      </c>
      <c r="C790" s="1" t="s">
        <v>100</v>
      </c>
      <c r="E790" s="1">
        <v>2297904.0</v>
      </c>
      <c r="F790" s="2">
        <v>41548.0</v>
      </c>
      <c r="G790" s="1" t="s">
        <v>1858</v>
      </c>
      <c r="I790" s="1" t="s">
        <v>1858</v>
      </c>
      <c r="L790" s="1" t="s">
        <v>102</v>
      </c>
      <c r="M790" s="1">
        <v>8600.0</v>
      </c>
      <c r="N790" s="1" t="s">
        <v>102</v>
      </c>
      <c r="O790" s="1">
        <v>7.6385699E7</v>
      </c>
      <c r="P790" s="1" t="s">
        <v>106</v>
      </c>
      <c r="Q790" s="1" t="s">
        <v>1005</v>
      </c>
      <c r="R790" s="1" t="s">
        <v>1006</v>
      </c>
      <c r="S790" s="1" t="s">
        <v>44</v>
      </c>
      <c r="T790" s="1" t="s">
        <v>45</v>
      </c>
      <c r="U790" s="1">
        <v>4.82092022E8</v>
      </c>
      <c r="W790" s="1" t="s">
        <v>46</v>
      </c>
      <c r="X790" s="1" t="s">
        <v>45</v>
      </c>
      <c r="Y790" s="1">
        <v>4.82092022E8</v>
      </c>
      <c r="Z790" s="1">
        <v>7.6385699E7</v>
      </c>
      <c r="AA790" s="1" t="s">
        <v>106</v>
      </c>
      <c r="AB790" s="1">
        <v>291903.52</v>
      </c>
      <c r="AC790" s="2">
        <v>41548.0</v>
      </c>
      <c r="AD790" s="1">
        <v>8600.0</v>
      </c>
      <c r="AE790" s="1" t="s">
        <v>102</v>
      </c>
      <c r="AF790" s="1">
        <v>2.0140935E7</v>
      </c>
      <c r="AG790" s="1" t="s">
        <v>978</v>
      </c>
      <c r="AH790" s="1">
        <v>10.0</v>
      </c>
      <c r="AI790" s="1">
        <v>2012.0</v>
      </c>
      <c r="AJ790" s="1">
        <v>2014.0</v>
      </c>
      <c r="AK790" s="1" t="s">
        <v>1860</v>
      </c>
    </row>
    <row r="791">
      <c r="A791" s="1" t="s">
        <v>1935</v>
      </c>
      <c r="B791" s="1" t="s">
        <v>1935</v>
      </c>
      <c r="C791" s="1">
        <v>7545.0</v>
      </c>
      <c r="E791" s="1">
        <v>1.1417298E7</v>
      </c>
      <c r="F791" s="2">
        <v>41548.0</v>
      </c>
      <c r="G791" s="1" t="s">
        <v>1936</v>
      </c>
      <c r="I791" s="1" t="s">
        <v>1936</v>
      </c>
      <c r="L791" s="1" t="s">
        <v>40</v>
      </c>
      <c r="M791" s="1">
        <v>7500.0</v>
      </c>
      <c r="N791" s="1" t="s">
        <v>40</v>
      </c>
      <c r="O791" s="1">
        <v>4.6842605E7</v>
      </c>
      <c r="P791" s="1" t="s">
        <v>165</v>
      </c>
      <c r="Q791" s="1" t="s">
        <v>166</v>
      </c>
      <c r="R791" s="1" t="s">
        <v>167</v>
      </c>
      <c r="S791" s="1" t="s">
        <v>44</v>
      </c>
      <c r="T791" s="1" t="s">
        <v>45</v>
      </c>
      <c r="U791" s="1">
        <v>4.82074544E8</v>
      </c>
      <c r="W791" s="1" t="s">
        <v>46</v>
      </c>
      <c r="X791" s="1" t="s">
        <v>45</v>
      </c>
      <c r="Y791" s="1">
        <v>4.82074544E8</v>
      </c>
      <c r="AB791" s="1">
        <v>169679.0</v>
      </c>
      <c r="AC791" s="2">
        <v>41548.0</v>
      </c>
      <c r="AD791" s="1">
        <v>7500.0</v>
      </c>
      <c r="AE791" s="1" t="s">
        <v>40</v>
      </c>
      <c r="AF791" s="1">
        <v>2.0141854E7</v>
      </c>
      <c r="AG791" s="1" t="s">
        <v>392</v>
      </c>
      <c r="AH791" s="1">
        <v>10.0</v>
      </c>
      <c r="AI791" s="1">
        <v>2013.0</v>
      </c>
      <c r="AJ791" s="1">
        <v>2014.0</v>
      </c>
      <c r="AK791" s="1" t="s">
        <v>1919</v>
      </c>
    </row>
    <row r="792">
      <c r="A792" s="1" t="s">
        <v>1937</v>
      </c>
      <c r="B792" s="1" t="s">
        <v>1937</v>
      </c>
      <c r="C792" s="1" t="s">
        <v>389</v>
      </c>
      <c r="E792" s="1">
        <v>2832086.0</v>
      </c>
      <c r="F792" s="2">
        <v>41183.0</v>
      </c>
      <c r="G792" s="1" t="s">
        <v>390</v>
      </c>
      <c r="I792" s="1" t="s">
        <v>390</v>
      </c>
      <c r="L792" s="1" t="s">
        <v>391</v>
      </c>
      <c r="M792" s="1">
        <v>1600.0</v>
      </c>
      <c r="N792" s="1" t="s">
        <v>391</v>
      </c>
      <c r="O792" s="1">
        <v>4.6842605E7</v>
      </c>
      <c r="P792" s="1" t="s">
        <v>165</v>
      </c>
      <c r="Q792" s="1" t="s">
        <v>166</v>
      </c>
      <c r="R792" s="1" t="s">
        <v>167</v>
      </c>
      <c r="S792" s="1" t="s">
        <v>44</v>
      </c>
      <c r="T792" s="1" t="s">
        <v>45</v>
      </c>
      <c r="U792" s="1">
        <v>4.82074544E8</v>
      </c>
      <c r="W792" s="1" t="s">
        <v>46</v>
      </c>
      <c r="X792" s="1" t="s">
        <v>45</v>
      </c>
      <c r="Y792" s="1">
        <v>4.82074544E8</v>
      </c>
      <c r="AB792" s="1">
        <v>186264.0</v>
      </c>
      <c r="AC792" s="2">
        <v>41183.0</v>
      </c>
      <c r="AD792" s="1">
        <v>1600.0</v>
      </c>
      <c r="AE792" s="1" t="s">
        <v>391</v>
      </c>
      <c r="AF792" s="1">
        <v>2.0131585E7</v>
      </c>
      <c r="AG792" s="1" t="s">
        <v>390</v>
      </c>
      <c r="AH792" s="1">
        <v>10.0</v>
      </c>
      <c r="AI792" s="1">
        <v>2013.0</v>
      </c>
      <c r="AJ792" s="1">
        <v>2013.0</v>
      </c>
      <c r="AK792" s="1" t="s">
        <v>393</v>
      </c>
    </row>
    <row r="793">
      <c r="A793" s="1" t="s">
        <v>1938</v>
      </c>
      <c r="B793" s="1" t="s">
        <v>1938</v>
      </c>
      <c r="C793" s="1">
        <v>7545.0</v>
      </c>
      <c r="E793" s="1">
        <v>160862.0</v>
      </c>
      <c r="F793" s="2">
        <v>41548.0</v>
      </c>
      <c r="G793" s="1" t="s">
        <v>1939</v>
      </c>
      <c r="I793" s="1" t="s">
        <v>1939</v>
      </c>
      <c r="L793" s="1" t="s">
        <v>40</v>
      </c>
      <c r="M793" s="1">
        <v>7500.0</v>
      </c>
      <c r="N793" s="1" t="s">
        <v>40</v>
      </c>
      <c r="O793" s="1">
        <v>4.6842605E7</v>
      </c>
      <c r="P793" s="1" t="s">
        <v>165</v>
      </c>
      <c r="Q793" s="1" t="s">
        <v>166</v>
      </c>
      <c r="R793" s="1" t="s">
        <v>167</v>
      </c>
      <c r="S793" s="1" t="s">
        <v>44</v>
      </c>
      <c r="T793" s="1" t="s">
        <v>45</v>
      </c>
      <c r="U793" s="1">
        <v>4.82074544E8</v>
      </c>
      <c r="W793" s="1" t="s">
        <v>46</v>
      </c>
      <c r="X793" s="1" t="s">
        <v>45</v>
      </c>
      <c r="Y793" s="1">
        <v>4.82074544E8</v>
      </c>
      <c r="AB793" s="1">
        <v>17710.0</v>
      </c>
      <c r="AC793" s="2">
        <v>41548.0</v>
      </c>
      <c r="AD793" s="1">
        <v>7500.0</v>
      </c>
      <c r="AE793" s="1" t="s">
        <v>40</v>
      </c>
      <c r="AF793" s="1">
        <v>2.0141854E7</v>
      </c>
      <c r="AG793" s="1" t="s">
        <v>392</v>
      </c>
      <c r="AH793" s="1">
        <v>10.0</v>
      </c>
      <c r="AI793" s="1">
        <v>2013.0</v>
      </c>
      <c r="AJ793" s="1">
        <v>2014.0</v>
      </c>
      <c r="AK793" s="1" t="s">
        <v>1932</v>
      </c>
    </row>
    <row r="794">
      <c r="A794" s="1" t="s">
        <v>1940</v>
      </c>
      <c r="B794" s="1" t="s">
        <v>1940</v>
      </c>
      <c r="C794" s="1">
        <v>7545.0</v>
      </c>
      <c r="E794" s="1">
        <v>127890.0</v>
      </c>
      <c r="F794" s="2">
        <v>41913.0</v>
      </c>
      <c r="G794" s="1" t="s">
        <v>1941</v>
      </c>
      <c r="I794" s="1" t="s">
        <v>1941</v>
      </c>
      <c r="L794" s="1" t="s">
        <v>40</v>
      </c>
      <c r="M794" s="1">
        <v>7500.0</v>
      </c>
      <c r="N794" s="1" t="s">
        <v>40</v>
      </c>
      <c r="O794" s="1">
        <v>4.6842605E7</v>
      </c>
      <c r="P794" s="1" t="s">
        <v>165</v>
      </c>
      <c r="Q794" s="1" t="s">
        <v>166</v>
      </c>
      <c r="R794" s="1" t="s">
        <v>167</v>
      </c>
      <c r="S794" s="1" t="s">
        <v>44</v>
      </c>
      <c r="T794" s="1" t="s">
        <v>45</v>
      </c>
      <c r="U794" s="1">
        <v>4.82074544E8</v>
      </c>
      <c r="W794" s="1" t="s">
        <v>46</v>
      </c>
      <c r="X794" s="1" t="s">
        <v>45</v>
      </c>
      <c r="Y794" s="1">
        <v>4.82074544E8</v>
      </c>
      <c r="AB794" s="1">
        <v>13656.09</v>
      </c>
      <c r="AC794" s="2">
        <v>41913.0</v>
      </c>
      <c r="AD794" s="1">
        <v>7500.0</v>
      </c>
      <c r="AE794" s="1" t="s">
        <v>40</v>
      </c>
      <c r="AF794" s="1">
        <v>2.0152003E7</v>
      </c>
      <c r="AG794" s="1" t="s">
        <v>392</v>
      </c>
      <c r="AH794" s="1">
        <v>10.0</v>
      </c>
      <c r="AI794" s="1">
        <v>2014.0</v>
      </c>
      <c r="AJ794" s="1">
        <v>2015.0</v>
      </c>
      <c r="AK794" s="1" t="s">
        <v>1942</v>
      </c>
    </row>
    <row r="795">
      <c r="A795" s="1" t="s">
        <v>1943</v>
      </c>
      <c r="B795" s="1" t="s">
        <v>1943</v>
      </c>
      <c r="C795" s="1" t="s">
        <v>85</v>
      </c>
      <c r="E795" s="1">
        <v>1.3010049E7</v>
      </c>
      <c r="F795" s="2">
        <v>41548.0</v>
      </c>
      <c r="G795" s="1" t="s">
        <v>1097</v>
      </c>
      <c r="I795" s="1" t="s">
        <v>1097</v>
      </c>
      <c r="L795" s="1" t="s">
        <v>40</v>
      </c>
      <c r="M795" s="1">
        <v>7500.0</v>
      </c>
      <c r="N795" s="1" t="s">
        <v>40</v>
      </c>
      <c r="O795" s="1">
        <v>7.914812E7</v>
      </c>
      <c r="P795" s="1" t="s">
        <v>1944</v>
      </c>
      <c r="R795" s="1" t="s">
        <v>1945</v>
      </c>
      <c r="S795" s="1" t="s">
        <v>44</v>
      </c>
      <c r="T795" s="1" t="s">
        <v>45</v>
      </c>
      <c r="U795" s="1">
        <v>4.820125E8</v>
      </c>
      <c r="W795" s="1" t="s">
        <v>46</v>
      </c>
      <c r="X795" s="1" t="s">
        <v>45</v>
      </c>
      <c r="Y795" s="1">
        <v>4.820125E8</v>
      </c>
      <c r="AB795" s="1">
        <v>3494080.0</v>
      </c>
      <c r="AC795" s="2">
        <v>41548.0</v>
      </c>
      <c r="AD795" s="1">
        <v>7500.0</v>
      </c>
      <c r="AE795" s="1" t="s">
        <v>40</v>
      </c>
      <c r="AF795" s="1">
        <v>2.0141971E7</v>
      </c>
      <c r="AG795" s="1" t="s">
        <v>1098</v>
      </c>
      <c r="AH795" s="1">
        <v>10.0</v>
      </c>
      <c r="AI795" s="1">
        <v>2011.0</v>
      </c>
      <c r="AJ795" s="1">
        <v>2014.0</v>
      </c>
      <c r="AK795" s="1" t="s">
        <v>1099</v>
      </c>
    </row>
    <row r="796">
      <c r="A796" s="1" t="s">
        <v>1943</v>
      </c>
      <c r="B796" s="1" t="s">
        <v>1943</v>
      </c>
      <c r="C796" s="1" t="s">
        <v>85</v>
      </c>
      <c r="E796" s="1">
        <v>1.3010049E7</v>
      </c>
      <c r="F796" s="2">
        <v>41183.0</v>
      </c>
      <c r="G796" s="1" t="s">
        <v>1097</v>
      </c>
      <c r="I796" s="1" t="s">
        <v>1097</v>
      </c>
      <c r="L796" s="1" t="s">
        <v>40</v>
      </c>
      <c r="M796" s="1">
        <v>7500.0</v>
      </c>
      <c r="N796" s="1" t="s">
        <v>40</v>
      </c>
      <c r="O796" s="1">
        <v>3.8775243E7</v>
      </c>
      <c r="P796" s="1" t="s">
        <v>209</v>
      </c>
      <c r="Q796" s="1" t="s">
        <v>210</v>
      </c>
      <c r="R796" s="1" t="s">
        <v>211</v>
      </c>
      <c r="S796" s="1" t="s">
        <v>44</v>
      </c>
      <c r="T796" s="1" t="s">
        <v>45</v>
      </c>
      <c r="U796" s="1">
        <v>4.82023068E8</v>
      </c>
      <c r="W796" s="1" t="s">
        <v>46</v>
      </c>
      <c r="X796" s="1" t="s">
        <v>45</v>
      </c>
      <c r="Y796" s="1">
        <v>4.82023068E8</v>
      </c>
      <c r="Z796" s="1">
        <v>3.8775243E7</v>
      </c>
      <c r="AA796" s="1" t="s">
        <v>209</v>
      </c>
      <c r="AB796" s="1">
        <v>44186.47</v>
      </c>
      <c r="AC796" s="2">
        <v>41183.0</v>
      </c>
      <c r="AD796" s="1">
        <v>7500.0</v>
      </c>
      <c r="AE796" s="1" t="s">
        <v>40</v>
      </c>
      <c r="AF796" s="1">
        <v>2.0131082E7</v>
      </c>
      <c r="AG796" s="1" t="s">
        <v>1098</v>
      </c>
      <c r="AH796" s="1">
        <v>10.0</v>
      </c>
      <c r="AI796" s="1">
        <v>2011.0</v>
      </c>
      <c r="AJ796" s="1">
        <v>2013.0</v>
      </c>
      <c r="AK796" s="1" t="s">
        <v>1099</v>
      </c>
    </row>
    <row r="797">
      <c r="A797" s="1" t="s">
        <v>1946</v>
      </c>
      <c r="B797" s="1" t="s">
        <v>1946</v>
      </c>
      <c r="C797" s="1" t="s">
        <v>100</v>
      </c>
      <c r="E797" s="1">
        <v>1.4212536E7</v>
      </c>
      <c r="F797" s="2">
        <v>41934.0</v>
      </c>
      <c r="G797" s="1" t="s">
        <v>122</v>
      </c>
      <c r="I797" s="1" t="s">
        <v>122</v>
      </c>
      <c r="L797" s="1" t="s">
        <v>102</v>
      </c>
      <c r="M797" s="1">
        <v>8600.0</v>
      </c>
      <c r="N797" s="1" t="s">
        <v>102</v>
      </c>
      <c r="O797" s="1">
        <v>9.65680176E8</v>
      </c>
      <c r="P797" s="1" t="s">
        <v>353</v>
      </c>
      <c r="Q797" s="1" t="s">
        <v>354</v>
      </c>
      <c r="R797" s="1" t="s">
        <v>355</v>
      </c>
      <c r="S797" s="1" t="s">
        <v>44</v>
      </c>
      <c r="T797" s="1" t="s">
        <v>45</v>
      </c>
      <c r="U797" s="1">
        <v>4.8209344E8</v>
      </c>
      <c r="W797" s="1" t="s">
        <v>46</v>
      </c>
      <c r="X797" s="1" t="s">
        <v>45</v>
      </c>
      <c r="Y797" s="1">
        <v>4.82091859E8</v>
      </c>
      <c r="AB797" s="1">
        <v>88000.0</v>
      </c>
      <c r="AC797" s="2">
        <v>41934.0</v>
      </c>
      <c r="AD797" s="1">
        <v>8600.0</v>
      </c>
      <c r="AE797" s="1" t="s">
        <v>102</v>
      </c>
      <c r="AF797" s="1" t="s">
        <v>1947</v>
      </c>
      <c r="AG797" s="1" t="s">
        <v>1948</v>
      </c>
      <c r="AH797" s="1">
        <v>10.0</v>
      </c>
      <c r="AI797" s="1">
        <v>2014.0</v>
      </c>
      <c r="AJ797" s="1">
        <v>2015.0</v>
      </c>
      <c r="AK797" s="1" t="s">
        <v>127</v>
      </c>
    </row>
    <row r="798">
      <c r="A798" s="1" t="s">
        <v>1949</v>
      </c>
      <c r="B798" s="1" t="s">
        <v>1949</v>
      </c>
      <c r="C798" s="1" t="s">
        <v>194</v>
      </c>
      <c r="E798" s="1">
        <v>3.78525088E8</v>
      </c>
      <c r="F798" s="2">
        <v>41618.0</v>
      </c>
      <c r="G798" s="1" t="s">
        <v>1950</v>
      </c>
      <c r="I798" s="1" t="s">
        <v>1950</v>
      </c>
      <c r="L798" s="1" t="s">
        <v>194</v>
      </c>
      <c r="M798" s="1">
        <v>9100.0</v>
      </c>
      <c r="N798" s="1" t="s">
        <v>194</v>
      </c>
      <c r="O798" s="1">
        <v>7.8346351E7</v>
      </c>
      <c r="P798" s="1" t="s">
        <v>615</v>
      </c>
      <c r="R798" s="1" t="s">
        <v>1708</v>
      </c>
      <c r="S798" s="1" t="s">
        <v>44</v>
      </c>
      <c r="T798" s="1" t="s">
        <v>45</v>
      </c>
      <c r="U798" s="1">
        <v>4.82074457E8</v>
      </c>
      <c r="W798" s="1" t="s">
        <v>46</v>
      </c>
      <c r="X798" s="1" t="s">
        <v>45</v>
      </c>
      <c r="Y798" s="1">
        <v>4.82023037E8</v>
      </c>
      <c r="AB798" s="1">
        <v>50000.0</v>
      </c>
      <c r="AC798" s="2">
        <v>41618.0</v>
      </c>
      <c r="AD798" s="1">
        <v>9100.0</v>
      </c>
      <c r="AE798" s="1" t="s">
        <v>194</v>
      </c>
      <c r="AF798" s="1" t="s">
        <v>1951</v>
      </c>
      <c r="AG798" s="1" t="s">
        <v>1952</v>
      </c>
      <c r="AH798" s="1">
        <v>11.0</v>
      </c>
      <c r="AI798" s="1">
        <v>2014.0</v>
      </c>
      <c r="AJ798" s="1">
        <v>2014.0</v>
      </c>
      <c r="AK798" s="1" t="s">
        <v>1953</v>
      </c>
    </row>
    <row r="799">
      <c r="A799" s="1" t="s">
        <v>1276</v>
      </c>
      <c r="B799" s="1" t="s">
        <v>1276</v>
      </c>
      <c r="C799" s="1" t="s">
        <v>63</v>
      </c>
      <c r="E799" s="1">
        <v>4799999.0</v>
      </c>
      <c r="F799" s="2">
        <v>41915.0</v>
      </c>
      <c r="G799" s="1" t="s">
        <v>1954</v>
      </c>
      <c r="I799" s="1" t="s">
        <v>1954</v>
      </c>
      <c r="L799" s="1" t="s">
        <v>40</v>
      </c>
      <c r="M799" s="1">
        <v>7500.0</v>
      </c>
      <c r="N799" s="1" t="s">
        <v>40</v>
      </c>
      <c r="O799" s="1">
        <v>7.3134603E7</v>
      </c>
      <c r="P799" s="1" t="s">
        <v>41</v>
      </c>
      <c r="Q799" s="1" t="s">
        <v>252</v>
      </c>
      <c r="R799" s="1" t="s">
        <v>253</v>
      </c>
      <c r="S799" s="1" t="s">
        <v>44</v>
      </c>
      <c r="T799" s="1" t="s">
        <v>45</v>
      </c>
      <c r="U799" s="1">
        <v>4.8202345E8</v>
      </c>
      <c r="W799" s="1" t="s">
        <v>46</v>
      </c>
      <c r="X799" s="1" t="s">
        <v>45</v>
      </c>
      <c r="Y799" s="1">
        <v>4.8202345E8</v>
      </c>
      <c r="Z799" s="1">
        <v>7.3134603E7</v>
      </c>
      <c r="AA799" s="1" t="s">
        <v>41</v>
      </c>
      <c r="AB799" s="1">
        <v>198730.0</v>
      </c>
      <c r="AC799" s="2">
        <v>41915.0</v>
      </c>
      <c r="AD799" s="1">
        <v>7500.0</v>
      </c>
      <c r="AE799" s="1" t="s">
        <v>40</v>
      </c>
      <c r="AF799" s="1">
        <v>3.002147799E9</v>
      </c>
      <c r="AG799" s="1" t="s">
        <v>1955</v>
      </c>
      <c r="AH799" s="1">
        <v>10.0</v>
      </c>
      <c r="AI799" s="1">
        <v>2014.0</v>
      </c>
      <c r="AJ799" s="1">
        <v>2015.0</v>
      </c>
      <c r="AK799" s="1" t="s">
        <v>1279</v>
      </c>
    </row>
    <row r="800">
      <c r="A800" s="1" t="s">
        <v>1956</v>
      </c>
      <c r="B800" s="1" t="s">
        <v>1956</v>
      </c>
      <c r="C800" s="1" t="s">
        <v>70</v>
      </c>
      <c r="E800" s="1">
        <v>346472.0</v>
      </c>
      <c r="F800" s="2">
        <v>41913.0</v>
      </c>
      <c r="G800" s="1" t="s">
        <v>1957</v>
      </c>
      <c r="I800" s="1" t="s">
        <v>1957</v>
      </c>
      <c r="L800" s="1" t="s">
        <v>72</v>
      </c>
      <c r="M800" s="1">
        <v>1500.0</v>
      </c>
      <c r="N800" s="1" t="s">
        <v>72</v>
      </c>
      <c r="O800" s="1">
        <v>1.58142448E8</v>
      </c>
      <c r="P800" s="1" t="s">
        <v>1316</v>
      </c>
      <c r="Q800" s="1" t="s">
        <v>1317</v>
      </c>
      <c r="R800" s="1" t="s">
        <v>1318</v>
      </c>
      <c r="S800" s="1" t="s">
        <v>44</v>
      </c>
      <c r="T800" s="1" t="s">
        <v>45</v>
      </c>
      <c r="U800" s="1">
        <v>4.82093154E8</v>
      </c>
      <c r="W800" s="1" t="s">
        <v>44</v>
      </c>
      <c r="X800" s="1" t="s">
        <v>45</v>
      </c>
      <c r="Y800" s="1">
        <v>4.82093154E8</v>
      </c>
      <c r="Z800" s="1">
        <v>1.58142448E8</v>
      </c>
      <c r="AA800" s="1" t="s">
        <v>1316</v>
      </c>
      <c r="AB800" s="1">
        <v>71374.0</v>
      </c>
      <c r="AC800" s="2">
        <v>41913.0</v>
      </c>
      <c r="AD800" s="1">
        <v>1500.0</v>
      </c>
      <c r="AE800" s="1" t="s">
        <v>72</v>
      </c>
      <c r="AF800" s="1" t="s">
        <v>1958</v>
      </c>
      <c r="AG800" s="1" t="s">
        <v>1959</v>
      </c>
      <c r="AH800" s="1">
        <v>10.0</v>
      </c>
      <c r="AI800" s="1">
        <v>2014.0</v>
      </c>
      <c r="AJ800" s="1">
        <v>2015.0</v>
      </c>
      <c r="AK800" s="1" t="s">
        <v>1501</v>
      </c>
    </row>
    <row r="801">
      <c r="A801" s="1" t="s">
        <v>1960</v>
      </c>
      <c r="B801" s="1" t="s">
        <v>1960</v>
      </c>
      <c r="C801" s="1" t="s">
        <v>70</v>
      </c>
      <c r="E801" s="1">
        <v>458209.0</v>
      </c>
      <c r="F801" s="2">
        <v>41730.0</v>
      </c>
      <c r="G801" s="1" t="s">
        <v>404</v>
      </c>
      <c r="I801" s="1" t="s">
        <v>404</v>
      </c>
      <c r="L801" s="1" t="s">
        <v>72</v>
      </c>
      <c r="M801" s="1">
        <v>1500.0</v>
      </c>
      <c r="N801" s="1" t="s">
        <v>72</v>
      </c>
      <c r="O801" s="1">
        <v>6530661.0</v>
      </c>
      <c r="P801" s="1" t="s">
        <v>73</v>
      </c>
      <c r="Q801" s="1" t="s">
        <v>323</v>
      </c>
      <c r="R801" s="1" t="s">
        <v>1961</v>
      </c>
      <c r="S801" s="1" t="s">
        <v>44</v>
      </c>
      <c r="T801" s="1" t="s">
        <v>45</v>
      </c>
      <c r="U801" s="1">
        <v>4.82263443E8</v>
      </c>
      <c r="W801" s="1" t="s">
        <v>44</v>
      </c>
      <c r="X801" s="1" t="s">
        <v>45</v>
      </c>
      <c r="Y801" s="1">
        <v>4.82263443E8</v>
      </c>
      <c r="Z801" s="1">
        <v>6530661.0</v>
      </c>
      <c r="AA801" s="1" t="s">
        <v>76</v>
      </c>
      <c r="AB801" s="1">
        <v>84194.0</v>
      </c>
      <c r="AC801" s="2">
        <v>41730.0</v>
      </c>
      <c r="AD801" s="1">
        <v>1500.0</v>
      </c>
      <c r="AE801" s="1" t="s">
        <v>72</v>
      </c>
      <c r="AF801" s="1" t="s">
        <v>1962</v>
      </c>
      <c r="AG801" s="1" t="s">
        <v>1963</v>
      </c>
      <c r="AH801" s="1">
        <v>10.0</v>
      </c>
      <c r="AI801" s="1">
        <v>2014.0</v>
      </c>
      <c r="AJ801" s="1">
        <v>2014.0</v>
      </c>
      <c r="AK801" s="1" t="s">
        <v>407</v>
      </c>
    </row>
    <row r="802">
      <c r="A802" s="1" t="s">
        <v>1960</v>
      </c>
      <c r="B802" s="1" t="s">
        <v>1960</v>
      </c>
      <c r="C802" s="1" t="s">
        <v>70</v>
      </c>
      <c r="E802" s="1">
        <v>458209.0</v>
      </c>
      <c r="F802" s="2">
        <v>41730.0</v>
      </c>
      <c r="G802" s="1" t="s">
        <v>404</v>
      </c>
      <c r="I802" s="1" t="s">
        <v>404</v>
      </c>
      <c r="L802" s="1" t="s">
        <v>72</v>
      </c>
      <c r="M802" s="1">
        <v>1500.0</v>
      </c>
      <c r="N802" s="1" t="s">
        <v>72</v>
      </c>
      <c r="O802" s="1">
        <v>7.3134884E7</v>
      </c>
      <c r="P802" s="1" t="s">
        <v>1796</v>
      </c>
      <c r="R802" s="1" t="s">
        <v>1855</v>
      </c>
      <c r="S802" s="1" t="s">
        <v>44</v>
      </c>
      <c r="T802" s="1" t="s">
        <v>45</v>
      </c>
      <c r="U802" s="1">
        <v>48226.0</v>
      </c>
      <c r="W802" s="1" t="s">
        <v>44</v>
      </c>
      <c r="X802" s="1" t="s">
        <v>45</v>
      </c>
      <c r="Y802" s="1">
        <v>4.82263443E8</v>
      </c>
      <c r="Z802" s="1">
        <v>7.3134884E7</v>
      </c>
      <c r="AA802" s="1" t="s">
        <v>1796</v>
      </c>
      <c r="AB802" s="1">
        <v>84833.0</v>
      </c>
      <c r="AC802" s="2">
        <v>41730.0</v>
      </c>
      <c r="AD802" s="1">
        <v>1500.0</v>
      </c>
      <c r="AE802" s="1" t="s">
        <v>72</v>
      </c>
      <c r="AF802" s="1" t="s">
        <v>1964</v>
      </c>
      <c r="AG802" s="1" t="s">
        <v>1963</v>
      </c>
      <c r="AH802" s="1">
        <v>10.0</v>
      </c>
      <c r="AI802" s="1">
        <v>2014.0</v>
      </c>
      <c r="AJ802" s="1">
        <v>2014.0</v>
      </c>
      <c r="AK802" s="1" t="s">
        <v>407</v>
      </c>
    </row>
    <row r="803">
      <c r="A803" s="1" t="s">
        <v>1965</v>
      </c>
      <c r="B803" s="1" t="s">
        <v>1965</v>
      </c>
      <c r="C803" s="1" t="s">
        <v>70</v>
      </c>
      <c r="E803" s="1">
        <v>1500000.0</v>
      </c>
      <c r="F803" s="2">
        <v>41653.0</v>
      </c>
      <c r="G803" s="1" t="s">
        <v>1966</v>
      </c>
      <c r="I803" s="1" t="s">
        <v>1966</v>
      </c>
      <c r="L803" s="1" t="s">
        <v>72</v>
      </c>
      <c r="M803" s="1">
        <v>1500.0</v>
      </c>
      <c r="N803" s="1" t="s">
        <v>72</v>
      </c>
      <c r="O803" s="1">
        <v>1.26779763E8</v>
      </c>
      <c r="P803" s="1" t="s">
        <v>1967</v>
      </c>
      <c r="R803" s="1" t="s">
        <v>1968</v>
      </c>
      <c r="S803" s="1" t="s">
        <v>44</v>
      </c>
      <c r="T803" s="1" t="s">
        <v>45</v>
      </c>
      <c r="U803" s="1">
        <v>4.8226135E8</v>
      </c>
      <c r="W803" s="1" t="s">
        <v>46</v>
      </c>
      <c r="X803" s="1" t="s">
        <v>45</v>
      </c>
      <c r="Y803" s="1">
        <v>48226.0</v>
      </c>
      <c r="AB803" s="1">
        <v>365385.0</v>
      </c>
      <c r="AC803" s="2">
        <v>41653.0</v>
      </c>
      <c r="AD803" s="1">
        <v>1500.0</v>
      </c>
      <c r="AE803" s="1" t="s">
        <v>72</v>
      </c>
      <c r="AF803" s="1" t="s">
        <v>1969</v>
      </c>
      <c r="AG803" s="1" t="s">
        <v>1970</v>
      </c>
      <c r="AH803" s="1">
        <v>12.0</v>
      </c>
      <c r="AI803" s="1">
        <v>2014.0</v>
      </c>
      <c r="AJ803" s="1">
        <v>2014.0</v>
      </c>
      <c r="AK803" s="1" t="s">
        <v>1971</v>
      </c>
    </row>
    <row r="804">
      <c r="A804" s="1" t="s">
        <v>1972</v>
      </c>
      <c r="B804" s="1" t="s">
        <v>1972</v>
      </c>
      <c r="C804" s="1" t="s">
        <v>70</v>
      </c>
      <c r="E804" s="1">
        <v>49998.0</v>
      </c>
      <c r="F804" s="2">
        <v>41548.0</v>
      </c>
      <c r="G804" s="1" t="s">
        <v>1973</v>
      </c>
      <c r="I804" s="1" t="s">
        <v>1973</v>
      </c>
      <c r="L804" s="1" t="s">
        <v>72</v>
      </c>
      <c r="M804" s="1">
        <v>1500.0</v>
      </c>
      <c r="N804" s="1" t="s">
        <v>72</v>
      </c>
      <c r="O804" s="1">
        <v>1962224.0</v>
      </c>
      <c r="P804" s="1" t="s">
        <v>52</v>
      </c>
      <c r="R804" s="1" t="s">
        <v>1885</v>
      </c>
      <c r="S804" s="1" t="s">
        <v>44</v>
      </c>
      <c r="T804" s="1" t="s">
        <v>45</v>
      </c>
      <c r="U804" s="1">
        <v>4.82021347E8</v>
      </c>
      <c r="W804" s="1" t="s">
        <v>46</v>
      </c>
      <c r="X804" s="1" t="s">
        <v>45</v>
      </c>
      <c r="Y804" s="1">
        <v>48202.0</v>
      </c>
      <c r="Z804" s="1">
        <v>1962224.0</v>
      </c>
      <c r="AA804" s="1" t="s">
        <v>52</v>
      </c>
      <c r="AB804" s="1">
        <v>24967.0</v>
      </c>
      <c r="AC804" s="2">
        <v>41548.0</v>
      </c>
      <c r="AD804" s="1">
        <v>1500.0</v>
      </c>
      <c r="AE804" s="1" t="s">
        <v>72</v>
      </c>
      <c r="AF804" s="1" t="s">
        <v>1974</v>
      </c>
      <c r="AG804" s="1" t="s">
        <v>1975</v>
      </c>
      <c r="AH804" s="1">
        <v>12.0</v>
      </c>
      <c r="AI804" s="1">
        <v>2014.0</v>
      </c>
      <c r="AJ804" s="1">
        <v>2014.0</v>
      </c>
      <c r="AK804" s="1" t="s">
        <v>1976</v>
      </c>
    </row>
    <row r="805">
      <c r="A805" s="1" t="s">
        <v>1965</v>
      </c>
      <c r="B805" s="1" t="s">
        <v>1965</v>
      </c>
      <c r="C805" s="1" t="s">
        <v>70</v>
      </c>
      <c r="E805" s="1">
        <v>1500000.0</v>
      </c>
      <c r="F805" s="2">
        <v>41438.0</v>
      </c>
      <c r="G805" s="1" t="s">
        <v>1966</v>
      </c>
      <c r="I805" s="1" t="s">
        <v>1966</v>
      </c>
      <c r="L805" s="1" t="s">
        <v>72</v>
      </c>
      <c r="M805" s="1">
        <v>1500.0</v>
      </c>
      <c r="N805" s="1" t="s">
        <v>72</v>
      </c>
      <c r="O805" s="1">
        <v>7.6349331E7</v>
      </c>
      <c r="P805" s="1" t="s">
        <v>1977</v>
      </c>
      <c r="R805" s="1" t="s">
        <v>1978</v>
      </c>
      <c r="S805" s="1" t="s">
        <v>44</v>
      </c>
      <c r="T805" s="1" t="s">
        <v>45</v>
      </c>
      <c r="U805" s="1">
        <v>4.82023157E8</v>
      </c>
      <c r="W805" s="1" t="s">
        <v>46</v>
      </c>
      <c r="X805" s="1" t="s">
        <v>45</v>
      </c>
      <c r="Y805" s="1">
        <v>48202.0</v>
      </c>
      <c r="Z805" s="1">
        <v>7.6349331E7</v>
      </c>
      <c r="AA805" s="1" t="s">
        <v>1977</v>
      </c>
      <c r="AB805" s="1">
        <v>600000.0</v>
      </c>
      <c r="AC805" s="2">
        <v>41438.0</v>
      </c>
      <c r="AD805" s="1">
        <v>1500.0</v>
      </c>
      <c r="AE805" s="1" t="s">
        <v>72</v>
      </c>
      <c r="AF805" s="1" t="s">
        <v>1979</v>
      </c>
      <c r="AG805" s="1" t="s">
        <v>1980</v>
      </c>
      <c r="AH805" s="1">
        <v>12.0</v>
      </c>
      <c r="AI805" s="1">
        <v>2014.0</v>
      </c>
      <c r="AJ805" s="1">
        <v>2013.0</v>
      </c>
      <c r="AK805" s="1" t="s">
        <v>1971</v>
      </c>
    </row>
    <row r="806">
      <c r="A806" s="1" t="s">
        <v>1981</v>
      </c>
      <c r="B806" s="1" t="s">
        <v>1981</v>
      </c>
      <c r="C806" s="1" t="s">
        <v>63</v>
      </c>
      <c r="E806" s="1">
        <v>899959.0</v>
      </c>
      <c r="F806" s="2">
        <v>41183.0</v>
      </c>
      <c r="G806" s="1" t="s">
        <v>1982</v>
      </c>
      <c r="I806" s="1" t="s">
        <v>1982</v>
      </c>
      <c r="L806" s="1" t="s">
        <v>40</v>
      </c>
      <c r="M806" s="1">
        <v>7500.0</v>
      </c>
      <c r="N806" s="1" t="s">
        <v>40</v>
      </c>
      <c r="O806" s="1">
        <v>3.8775243E7</v>
      </c>
      <c r="P806" s="1" t="s">
        <v>209</v>
      </c>
      <c r="Q806" s="1" t="s">
        <v>210</v>
      </c>
      <c r="R806" s="1" t="s">
        <v>211</v>
      </c>
      <c r="S806" s="1" t="s">
        <v>44</v>
      </c>
      <c r="T806" s="1" t="s">
        <v>45</v>
      </c>
      <c r="U806" s="1">
        <v>4.82023068E8</v>
      </c>
      <c r="W806" s="1" t="s">
        <v>46</v>
      </c>
      <c r="X806" s="1" t="s">
        <v>45</v>
      </c>
      <c r="Y806" s="1">
        <v>4.82013096E8</v>
      </c>
      <c r="Z806" s="1">
        <v>3.8775243E7</v>
      </c>
      <c r="AA806" s="1" t="s">
        <v>209</v>
      </c>
      <c r="AB806" s="1">
        <v>0.0</v>
      </c>
      <c r="AC806" s="2">
        <v>41183.0</v>
      </c>
      <c r="AD806" s="1">
        <v>7500.0</v>
      </c>
      <c r="AE806" s="1" t="s">
        <v>40</v>
      </c>
      <c r="AF806" s="1">
        <v>2.0131248E7</v>
      </c>
      <c r="AG806" s="1" t="s">
        <v>1983</v>
      </c>
      <c r="AH806" s="1">
        <v>10.0</v>
      </c>
      <c r="AI806" s="1">
        <v>2011.0</v>
      </c>
      <c r="AJ806" s="1">
        <v>2013.0</v>
      </c>
      <c r="AK806" s="1" t="s">
        <v>342</v>
      </c>
    </row>
    <row r="807">
      <c r="A807" s="1">
        <v>0.0</v>
      </c>
      <c r="B807" s="1">
        <v>0.0</v>
      </c>
      <c r="C807" s="1" t="s">
        <v>1825</v>
      </c>
      <c r="E807" s="1">
        <v>1205590.0</v>
      </c>
      <c r="F807" s="2">
        <v>41479.0</v>
      </c>
      <c r="G807" s="1" t="s">
        <v>1984</v>
      </c>
      <c r="I807" s="1" t="s">
        <v>1984</v>
      </c>
      <c r="L807" s="1" t="s">
        <v>1825</v>
      </c>
      <c r="M807" s="1">
        <v>6800.0</v>
      </c>
      <c r="N807" s="1" t="s">
        <v>1825</v>
      </c>
      <c r="O807" s="1">
        <v>1.35963838E8</v>
      </c>
      <c r="P807" s="1" t="s">
        <v>1985</v>
      </c>
      <c r="R807" s="1" t="s">
        <v>1986</v>
      </c>
      <c r="S807" s="1" t="s">
        <v>44</v>
      </c>
      <c r="T807" s="1" t="s">
        <v>45</v>
      </c>
      <c r="U807" s="1">
        <v>4.82023419E8</v>
      </c>
      <c r="W807" s="1" t="s">
        <v>46</v>
      </c>
      <c r="X807" s="1" t="s">
        <v>45</v>
      </c>
      <c r="Y807" s="1">
        <v>4.82023419E8</v>
      </c>
      <c r="AB807" s="1">
        <v>37335.0</v>
      </c>
      <c r="AC807" s="2">
        <v>41479.0</v>
      </c>
      <c r="AD807" s="1">
        <v>6800.0</v>
      </c>
      <c r="AE807" s="1" t="s">
        <v>1825</v>
      </c>
      <c r="AF807" s="1">
        <v>3.0</v>
      </c>
      <c r="AG807" s="1" t="s">
        <v>1987</v>
      </c>
      <c r="AH807" s="1">
        <v>4.0</v>
      </c>
      <c r="AI807" s="1">
        <v>2014.0</v>
      </c>
      <c r="AJ807" s="1">
        <v>2013.0</v>
      </c>
      <c r="AK807" s="1" t="s">
        <v>1988</v>
      </c>
    </row>
    <row r="808">
      <c r="A808" s="1" t="s">
        <v>1989</v>
      </c>
      <c r="B808" s="1" t="s">
        <v>1989</v>
      </c>
      <c r="C808" s="1" t="s">
        <v>38</v>
      </c>
      <c r="E808" s="1">
        <v>1.114693E7</v>
      </c>
      <c r="F808" s="2">
        <v>41715.0</v>
      </c>
      <c r="G808" s="1" t="s">
        <v>1990</v>
      </c>
      <c r="I808" s="1" t="s">
        <v>1990</v>
      </c>
      <c r="L808" s="1" t="s">
        <v>40</v>
      </c>
      <c r="M808" s="1">
        <v>7500.0</v>
      </c>
      <c r="N808" s="1" t="s">
        <v>40</v>
      </c>
      <c r="O808" s="1">
        <v>8.09919418E8</v>
      </c>
      <c r="P808" s="1" t="s">
        <v>52</v>
      </c>
      <c r="Q808" s="1" t="s">
        <v>1991</v>
      </c>
      <c r="R808" s="1" t="s">
        <v>1885</v>
      </c>
      <c r="S808" s="1" t="s">
        <v>44</v>
      </c>
      <c r="T808" s="1" t="s">
        <v>45</v>
      </c>
      <c r="U808" s="1">
        <v>4.82011347E8</v>
      </c>
      <c r="W808" s="1" t="s">
        <v>46</v>
      </c>
      <c r="X808" s="1" t="s">
        <v>45</v>
      </c>
      <c r="Y808" s="1">
        <v>4.82011347E8</v>
      </c>
      <c r="Z808" s="1">
        <v>1962224.0</v>
      </c>
      <c r="AA808" s="1" t="s">
        <v>52</v>
      </c>
      <c r="AB808" s="1">
        <v>33003.0</v>
      </c>
      <c r="AC808" s="2">
        <v>41715.0</v>
      </c>
      <c r="AD808" s="1">
        <v>7500.0</v>
      </c>
      <c r="AE808" s="1" t="s">
        <v>40</v>
      </c>
      <c r="AF808" s="1">
        <v>2408022.0</v>
      </c>
      <c r="AG808" s="1" t="s">
        <v>1992</v>
      </c>
      <c r="AH808" s="1">
        <v>10.0</v>
      </c>
      <c r="AI808" s="1">
        <v>2014.0</v>
      </c>
      <c r="AJ808" s="1">
        <v>2014.0</v>
      </c>
      <c r="AK808" s="1" t="s">
        <v>1749</v>
      </c>
    </row>
    <row r="809">
      <c r="A809" s="1" t="s">
        <v>1981</v>
      </c>
      <c r="B809" s="1" t="s">
        <v>1981</v>
      </c>
      <c r="C809" s="1" t="s">
        <v>63</v>
      </c>
      <c r="E809" s="1">
        <v>899959.0</v>
      </c>
      <c r="F809" s="2">
        <v>41548.0</v>
      </c>
      <c r="G809" s="1" t="s">
        <v>1982</v>
      </c>
      <c r="I809" s="1" t="s">
        <v>1982</v>
      </c>
      <c r="L809" s="1" t="s">
        <v>40</v>
      </c>
      <c r="M809" s="1">
        <v>7500.0</v>
      </c>
      <c r="N809" s="1" t="s">
        <v>40</v>
      </c>
      <c r="O809" s="1">
        <v>1962224.0</v>
      </c>
      <c r="P809" s="1" t="s">
        <v>52</v>
      </c>
      <c r="Q809" s="1" t="s">
        <v>1566</v>
      </c>
      <c r="R809" s="1" t="s">
        <v>1885</v>
      </c>
      <c r="S809" s="1" t="s">
        <v>44</v>
      </c>
      <c r="T809" s="1" t="s">
        <v>45</v>
      </c>
      <c r="U809" s="1">
        <v>4.82021347E8</v>
      </c>
      <c r="W809" s="1" t="s">
        <v>46</v>
      </c>
      <c r="X809" s="1" t="s">
        <v>45</v>
      </c>
      <c r="Y809" s="1">
        <v>4.82024123E8</v>
      </c>
      <c r="Z809" s="1">
        <v>1962224.0</v>
      </c>
      <c r="AA809" s="1" t="s">
        <v>52</v>
      </c>
      <c r="AB809" s="1">
        <v>35432.0</v>
      </c>
      <c r="AC809" s="2">
        <v>41548.0</v>
      </c>
      <c r="AD809" s="1">
        <v>7500.0</v>
      </c>
      <c r="AE809" s="1" t="s">
        <v>40</v>
      </c>
      <c r="AF809" s="1">
        <v>2.0142272E7</v>
      </c>
      <c r="AG809" s="1" t="s">
        <v>1983</v>
      </c>
      <c r="AH809" s="1">
        <v>10.0</v>
      </c>
      <c r="AI809" s="1">
        <v>2011.0</v>
      </c>
      <c r="AJ809" s="1">
        <v>2014.0</v>
      </c>
      <c r="AK809" s="1" t="s">
        <v>342</v>
      </c>
    </row>
    <row r="810">
      <c r="A810" s="1" t="s">
        <v>1981</v>
      </c>
      <c r="B810" s="1" t="s">
        <v>1981</v>
      </c>
      <c r="C810" s="1" t="s">
        <v>63</v>
      </c>
      <c r="E810" s="1">
        <v>899959.0</v>
      </c>
      <c r="F810" s="2">
        <v>41548.0</v>
      </c>
      <c r="G810" s="1" t="s">
        <v>1982</v>
      </c>
      <c r="I810" s="1" t="s">
        <v>1982</v>
      </c>
      <c r="L810" s="1" t="s">
        <v>40</v>
      </c>
      <c r="M810" s="1">
        <v>7500.0</v>
      </c>
      <c r="N810" s="1" t="s">
        <v>40</v>
      </c>
      <c r="O810" s="1">
        <v>1.68159296E8</v>
      </c>
      <c r="P810" s="1" t="s">
        <v>1392</v>
      </c>
      <c r="Q810" s="1" t="s">
        <v>1993</v>
      </c>
      <c r="R810" s="1" t="s">
        <v>1994</v>
      </c>
      <c r="S810" s="1" t="s">
        <v>44</v>
      </c>
      <c r="T810" s="1" t="s">
        <v>45</v>
      </c>
      <c r="U810" s="1">
        <v>4.82012013E8</v>
      </c>
      <c r="W810" s="1" t="s">
        <v>46</v>
      </c>
      <c r="X810" s="1" t="s">
        <v>45</v>
      </c>
      <c r="Y810" s="1">
        <v>4.82012013E8</v>
      </c>
      <c r="Z810" s="1">
        <v>6.8835099E7</v>
      </c>
      <c r="AA810" s="1" t="s">
        <v>1392</v>
      </c>
      <c r="AB810" s="1">
        <v>14500.0</v>
      </c>
      <c r="AC810" s="2">
        <v>41548.0</v>
      </c>
      <c r="AD810" s="1">
        <v>7500.0</v>
      </c>
      <c r="AE810" s="1" t="s">
        <v>40</v>
      </c>
      <c r="AF810" s="1">
        <v>2.01416E7</v>
      </c>
      <c r="AG810" s="1" t="s">
        <v>1983</v>
      </c>
      <c r="AH810" s="1">
        <v>10.0</v>
      </c>
      <c r="AI810" s="1">
        <v>2011.0</v>
      </c>
      <c r="AJ810" s="1">
        <v>2014.0</v>
      </c>
      <c r="AK810" s="1" t="s">
        <v>342</v>
      </c>
    </row>
    <row r="811">
      <c r="A811" s="1" t="s">
        <v>1981</v>
      </c>
      <c r="B811" s="1" t="s">
        <v>1981</v>
      </c>
      <c r="C811" s="1" t="s">
        <v>63</v>
      </c>
      <c r="E811" s="1">
        <v>899959.0</v>
      </c>
      <c r="F811" s="2">
        <v>41548.0</v>
      </c>
      <c r="G811" s="1" t="s">
        <v>1982</v>
      </c>
      <c r="I811" s="1" t="s">
        <v>1982</v>
      </c>
      <c r="L811" s="1" t="s">
        <v>40</v>
      </c>
      <c r="M811" s="1">
        <v>7500.0</v>
      </c>
      <c r="N811" s="1" t="s">
        <v>40</v>
      </c>
      <c r="O811" s="1">
        <v>3.8775243E7</v>
      </c>
      <c r="P811" s="1" t="s">
        <v>209</v>
      </c>
      <c r="Q811" s="1" t="s">
        <v>210</v>
      </c>
      <c r="R811" s="1" t="s">
        <v>211</v>
      </c>
      <c r="S811" s="1" t="s">
        <v>44</v>
      </c>
      <c r="T811" s="1" t="s">
        <v>45</v>
      </c>
      <c r="U811" s="1">
        <v>4.82023068E8</v>
      </c>
      <c r="W811" s="1" t="s">
        <v>46</v>
      </c>
      <c r="X811" s="1" t="s">
        <v>45</v>
      </c>
      <c r="Y811" s="1">
        <v>4.82013096E8</v>
      </c>
      <c r="Z811" s="1">
        <v>3.8775243E7</v>
      </c>
      <c r="AA811" s="1" t="s">
        <v>209</v>
      </c>
      <c r="AB811" s="1">
        <v>5807.14</v>
      </c>
      <c r="AC811" s="2">
        <v>41548.0</v>
      </c>
      <c r="AD811" s="1">
        <v>7500.0</v>
      </c>
      <c r="AE811" s="1" t="s">
        <v>40</v>
      </c>
      <c r="AF811" s="1">
        <v>2.01407E7</v>
      </c>
      <c r="AG811" s="1" t="s">
        <v>1983</v>
      </c>
      <c r="AH811" s="1">
        <v>10.0</v>
      </c>
      <c r="AI811" s="1">
        <v>2011.0</v>
      </c>
      <c r="AJ811" s="1">
        <v>2014.0</v>
      </c>
      <c r="AK811" s="1" t="s">
        <v>342</v>
      </c>
    </row>
    <row r="812">
      <c r="A812" s="1" t="s">
        <v>1981</v>
      </c>
      <c r="B812" s="1" t="s">
        <v>1981</v>
      </c>
      <c r="C812" s="1" t="s">
        <v>63</v>
      </c>
      <c r="E812" s="1">
        <v>899959.0</v>
      </c>
      <c r="F812" s="2">
        <v>41183.0</v>
      </c>
      <c r="G812" s="1" t="s">
        <v>1982</v>
      </c>
      <c r="I812" s="1" t="s">
        <v>1982</v>
      </c>
      <c r="L812" s="1" t="s">
        <v>40</v>
      </c>
      <c r="M812" s="1">
        <v>7500.0</v>
      </c>
      <c r="N812" s="1" t="s">
        <v>40</v>
      </c>
      <c r="O812" s="1">
        <v>7.3134603E7</v>
      </c>
      <c r="P812" s="1" t="s">
        <v>41</v>
      </c>
      <c r="Q812" s="1" t="s">
        <v>252</v>
      </c>
      <c r="R812" s="1" t="s">
        <v>253</v>
      </c>
      <c r="S812" s="1" t="s">
        <v>44</v>
      </c>
      <c r="T812" s="1" t="s">
        <v>45</v>
      </c>
      <c r="U812" s="1">
        <v>4.8202345E8</v>
      </c>
      <c r="W812" s="1" t="s">
        <v>46</v>
      </c>
      <c r="X812" s="1" t="s">
        <v>45</v>
      </c>
      <c r="Y812" s="1">
        <v>4.8202345E8</v>
      </c>
      <c r="Z812" s="1">
        <v>7.3134603E7</v>
      </c>
      <c r="AA812" s="1" t="s">
        <v>41</v>
      </c>
      <c r="AB812" s="1">
        <v>9000.0</v>
      </c>
      <c r="AC812" s="2">
        <v>41183.0</v>
      </c>
      <c r="AD812" s="1">
        <v>7500.0</v>
      </c>
      <c r="AE812" s="1" t="s">
        <v>40</v>
      </c>
      <c r="AF812" s="1">
        <v>2.0130116E7</v>
      </c>
      <c r="AG812" s="1" t="s">
        <v>1983</v>
      </c>
      <c r="AH812" s="1">
        <v>10.0</v>
      </c>
      <c r="AI812" s="1">
        <v>2011.0</v>
      </c>
      <c r="AJ812" s="1">
        <v>2013.0</v>
      </c>
      <c r="AK812" s="1" t="s">
        <v>342</v>
      </c>
    </row>
    <row r="813">
      <c r="A813" s="1" t="s">
        <v>1995</v>
      </c>
      <c r="B813" s="1" t="s">
        <v>1995</v>
      </c>
      <c r="C813" s="1" t="s">
        <v>129</v>
      </c>
      <c r="E813" s="1">
        <v>5.8505696E8</v>
      </c>
      <c r="F813" s="2">
        <v>41821.0</v>
      </c>
      <c r="G813" s="1" t="s">
        <v>1326</v>
      </c>
      <c r="I813" s="1" t="s">
        <v>1326</v>
      </c>
      <c r="L813" s="1" t="s">
        <v>40</v>
      </c>
      <c r="M813" s="1">
        <v>7500.0</v>
      </c>
      <c r="N813" s="1" t="s">
        <v>40</v>
      </c>
      <c r="O813" s="1">
        <v>7.83491541E8</v>
      </c>
      <c r="P813" s="1" t="s">
        <v>1996</v>
      </c>
      <c r="R813" s="1" t="s">
        <v>1997</v>
      </c>
      <c r="S813" s="1" t="s">
        <v>44</v>
      </c>
      <c r="T813" s="1" t="s">
        <v>45</v>
      </c>
      <c r="U813" s="1">
        <v>4.82102038E8</v>
      </c>
      <c r="W813" s="1" t="s">
        <v>879</v>
      </c>
      <c r="X813" s="1" t="s">
        <v>880</v>
      </c>
      <c r="Y813" s="1">
        <v>6.06233738E8</v>
      </c>
      <c r="Z813" s="1">
        <v>1.8010168E8</v>
      </c>
      <c r="AB813" s="1">
        <v>283200.0</v>
      </c>
      <c r="AC813" s="2">
        <v>41821.0</v>
      </c>
      <c r="AD813" s="1">
        <v>7500.0</v>
      </c>
      <c r="AE813" s="1" t="s">
        <v>40</v>
      </c>
      <c r="AF813" s="1" t="s">
        <v>1998</v>
      </c>
      <c r="AG813" s="1" t="s">
        <v>1999</v>
      </c>
      <c r="AH813" s="1">
        <v>7.0</v>
      </c>
      <c r="AI813" s="1">
        <v>2014.0</v>
      </c>
      <c r="AJ813" s="1">
        <v>2014.0</v>
      </c>
      <c r="AK813" s="1" t="s">
        <v>385</v>
      </c>
    </row>
    <row r="814">
      <c r="A814" s="1" t="s">
        <v>2000</v>
      </c>
      <c r="B814" s="1" t="s">
        <v>2000</v>
      </c>
      <c r="C814" s="1" t="s">
        <v>964</v>
      </c>
      <c r="E814" s="1">
        <v>299822.0</v>
      </c>
      <c r="F814" s="2">
        <v>41548.0</v>
      </c>
      <c r="G814" s="1" t="s">
        <v>2001</v>
      </c>
      <c r="I814" s="1" t="s">
        <v>2001</v>
      </c>
      <c r="L814" s="1" t="s">
        <v>40</v>
      </c>
      <c r="M814" s="1">
        <v>7500.0</v>
      </c>
      <c r="N814" s="1" t="s">
        <v>40</v>
      </c>
      <c r="O814" s="1">
        <v>3.8775243E7</v>
      </c>
      <c r="P814" s="1" t="s">
        <v>209</v>
      </c>
      <c r="Q814" s="1" t="s">
        <v>210</v>
      </c>
      <c r="R814" s="1" t="s">
        <v>211</v>
      </c>
      <c r="S814" s="1" t="s">
        <v>44</v>
      </c>
      <c r="T814" s="1" t="s">
        <v>45</v>
      </c>
      <c r="U814" s="1">
        <v>4.82023068E8</v>
      </c>
      <c r="W814" s="1" t="s">
        <v>46</v>
      </c>
      <c r="X814" s="1" t="s">
        <v>45</v>
      </c>
      <c r="Y814" s="1">
        <v>4.82023068E8</v>
      </c>
      <c r="Z814" s="1">
        <v>3.8775243E7</v>
      </c>
      <c r="AA814" s="1" t="s">
        <v>209</v>
      </c>
      <c r="AB814" s="1">
        <v>2958.51</v>
      </c>
      <c r="AC814" s="2">
        <v>41548.0</v>
      </c>
      <c r="AD814" s="1">
        <v>7500.0</v>
      </c>
      <c r="AE814" s="1" t="s">
        <v>40</v>
      </c>
      <c r="AF814" s="1">
        <v>2.0140707E7</v>
      </c>
      <c r="AG814" s="1" t="s">
        <v>2002</v>
      </c>
      <c r="AH814" s="1">
        <v>10.0</v>
      </c>
      <c r="AI814" s="1">
        <v>2013.0</v>
      </c>
      <c r="AJ814" s="1">
        <v>2014.0</v>
      </c>
      <c r="AK814" s="1" t="s">
        <v>1439</v>
      </c>
    </row>
    <row r="815">
      <c r="A815" s="1" t="s">
        <v>2003</v>
      </c>
      <c r="B815" s="1" t="s">
        <v>2003</v>
      </c>
      <c r="C815" s="1" t="s">
        <v>964</v>
      </c>
      <c r="E815" s="1">
        <v>3000000.0</v>
      </c>
      <c r="F815" s="2">
        <v>41548.0</v>
      </c>
      <c r="G815" s="1" t="s">
        <v>2004</v>
      </c>
      <c r="I815" s="1" t="s">
        <v>2004</v>
      </c>
      <c r="L815" s="1" t="s">
        <v>40</v>
      </c>
      <c r="M815" s="1">
        <v>7500.0</v>
      </c>
      <c r="N815" s="1" t="s">
        <v>40</v>
      </c>
      <c r="O815" s="1">
        <v>8.01337445E8</v>
      </c>
      <c r="P815" s="1" t="s">
        <v>461</v>
      </c>
      <c r="Q815" s="1" t="s">
        <v>2005</v>
      </c>
      <c r="R815" s="1" t="s">
        <v>2006</v>
      </c>
      <c r="S815" s="1" t="s">
        <v>44</v>
      </c>
      <c r="T815" s="1" t="s">
        <v>45</v>
      </c>
      <c r="U815" s="1">
        <v>4.82082544E8</v>
      </c>
      <c r="W815" s="1" t="s">
        <v>46</v>
      </c>
      <c r="X815" s="1" t="s">
        <v>45</v>
      </c>
      <c r="Y815" s="1">
        <v>4.82082544E8</v>
      </c>
      <c r="Z815" s="1">
        <v>7.6340843E7</v>
      </c>
      <c r="AA815" s="1" t="s">
        <v>461</v>
      </c>
      <c r="AB815" s="1">
        <v>185000.0</v>
      </c>
      <c r="AC815" s="2">
        <v>41548.0</v>
      </c>
      <c r="AD815" s="1">
        <v>7500.0</v>
      </c>
      <c r="AE815" s="1" t="s">
        <v>40</v>
      </c>
      <c r="AF815" s="1">
        <v>2.0142374E7</v>
      </c>
      <c r="AG815" s="1" t="s">
        <v>2007</v>
      </c>
      <c r="AH815" s="1">
        <v>10.0</v>
      </c>
      <c r="AI815" s="1">
        <v>2013.0</v>
      </c>
      <c r="AJ815" s="1">
        <v>2014.0</v>
      </c>
      <c r="AK815" s="1" t="s">
        <v>2008</v>
      </c>
    </row>
    <row r="816">
      <c r="A816" s="1" t="s">
        <v>1946</v>
      </c>
      <c r="B816" s="1" t="s">
        <v>1946</v>
      </c>
      <c r="C816" s="1" t="s">
        <v>100</v>
      </c>
      <c r="E816" s="1">
        <v>1.4212536E7</v>
      </c>
      <c r="F816" s="2">
        <v>41947.0</v>
      </c>
      <c r="G816" s="1" t="s">
        <v>122</v>
      </c>
      <c r="I816" s="1" t="s">
        <v>122</v>
      </c>
      <c r="L816" s="1" t="s">
        <v>102</v>
      </c>
      <c r="M816" s="1">
        <v>8600.0</v>
      </c>
      <c r="N816" s="1" t="s">
        <v>102</v>
      </c>
      <c r="O816" s="1">
        <v>9.64523815E8</v>
      </c>
      <c r="P816" s="1" t="s">
        <v>123</v>
      </c>
      <c r="Q816" s="1" t="s">
        <v>124</v>
      </c>
      <c r="R816" s="1" t="s">
        <v>125</v>
      </c>
      <c r="S816" s="1" t="s">
        <v>44</v>
      </c>
      <c r="T816" s="1" t="s">
        <v>45</v>
      </c>
      <c r="U816" s="1">
        <v>4.82231227E8</v>
      </c>
      <c r="W816" s="1" t="s">
        <v>1366</v>
      </c>
      <c r="X816" s="1" t="s">
        <v>45</v>
      </c>
      <c r="Y816" s="1">
        <v>4.82231227E8</v>
      </c>
      <c r="AB816" s="1">
        <v>88000.0</v>
      </c>
      <c r="AC816" s="2">
        <v>41947.0</v>
      </c>
      <c r="AD816" s="1">
        <v>8600.0</v>
      </c>
      <c r="AE816" s="1" t="s">
        <v>102</v>
      </c>
      <c r="AF816" s="1" t="s">
        <v>2009</v>
      </c>
      <c r="AG816" s="1" t="s">
        <v>2010</v>
      </c>
      <c r="AH816" s="1">
        <v>11.0</v>
      </c>
      <c r="AI816" s="1">
        <v>2014.0</v>
      </c>
      <c r="AJ816" s="1">
        <v>2015.0</v>
      </c>
      <c r="AK816" s="1" t="s">
        <v>127</v>
      </c>
    </row>
    <row r="817">
      <c r="A817" s="1" t="s">
        <v>2011</v>
      </c>
      <c r="B817" s="1" t="s">
        <v>2011</v>
      </c>
      <c r="C817" s="1" t="s">
        <v>159</v>
      </c>
      <c r="E817" s="1">
        <v>522539.0</v>
      </c>
      <c r="F817" s="2">
        <v>41183.0</v>
      </c>
      <c r="G817" s="1" t="s">
        <v>2012</v>
      </c>
      <c r="I817" s="1" t="s">
        <v>2012</v>
      </c>
      <c r="L817" s="1" t="s">
        <v>40</v>
      </c>
      <c r="M817" s="1">
        <v>7500.0</v>
      </c>
      <c r="N817" s="1" t="s">
        <v>40</v>
      </c>
      <c r="O817" s="1">
        <v>3.8775243E7</v>
      </c>
      <c r="P817" s="1" t="s">
        <v>209</v>
      </c>
      <c r="Q817" s="1" t="s">
        <v>210</v>
      </c>
      <c r="R817" s="1" t="s">
        <v>211</v>
      </c>
      <c r="S817" s="1" t="s">
        <v>44</v>
      </c>
      <c r="T817" s="1" t="s">
        <v>45</v>
      </c>
      <c r="U817" s="1">
        <v>4.82023068E8</v>
      </c>
      <c r="W817" s="1" t="s">
        <v>46</v>
      </c>
      <c r="X817" s="1" t="s">
        <v>45</v>
      </c>
      <c r="Y817" s="1">
        <v>4.82023068E8</v>
      </c>
      <c r="Z817" s="1">
        <v>3.8775243E7</v>
      </c>
      <c r="AA817" s="1" t="s">
        <v>209</v>
      </c>
      <c r="AB817" s="1">
        <v>1800.0</v>
      </c>
      <c r="AC817" s="2">
        <v>41183.0</v>
      </c>
      <c r="AD817" s="1">
        <v>7500.0</v>
      </c>
      <c r="AE817" s="1" t="s">
        <v>40</v>
      </c>
      <c r="AF817" s="1">
        <v>2.013109E7</v>
      </c>
      <c r="AG817" s="1" t="s">
        <v>2013</v>
      </c>
      <c r="AH817" s="1">
        <v>10.0</v>
      </c>
      <c r="AI817" s="1">
        <v>2011.0</v>
      </c>
      <c r="AJ817" s="1">
        <v>2013.0</v>
      </c>
      <c r="AK817" s="1" t="s">
        <v>162</v>
      </c>
    </row>
    <row r="818">
      <c r="A818" s="1" t="s">
        <v>2000</v>
      </c>
      <c r="B818" s="1" t="s">
        <v>2000</v>
      </c>
      <c r="C818" s="1" t="s">
        <v>964</v>
      </c>
      <c r="E818" s="1">
        <v>299822.0</v>
      </c>
      <c r="F818" s="2">
        <v>41913.0</v>
      </c>
      <c r="G818" s="1" t="s">
        <v>2001</v>
      </c>
      <c r="I818" s="1" t="s">
        <v>2001</v>
      </c>
      <c r="L818" s="1" t="s">
        <v>40</v>
      </c>
      <c r="M818" s="1">
        <v>7500.0</v>
      </c>
      <c r="N818" s="1" t="s">
        <v>40</v>
      </c>
      <c r="O818" s="1">
        <v>1.41947783E8</v>
      </c>
      <c r="P818" s="1" t="s">
        <v>144</v>
      </c>
      <c r="Q818" s="1" t="s">
        <v>2014</v>
      </c>
      <c r="R818" s="1" t="s">
        <v>145</v>
      </c>
      <c r="S818" s="1" t="s">
        <v>44</v>
      </c>
      <c r="T818" s="1" t="s">
        <v>45</v>
      </c>
      <c r="U818" s="1">
        <v>4.82362148E8</v>
      </c>
      <c r="W818" s="1" t="s">
        <v>1454</v>
      </c>
      <c r="X818" s="1" t="s">
        <v>45</v>
      </c>
      <c r="Y818" s="1">
        <v>4.80922468E8</v>
      </c>
      <c r="Z818" s="1">
        <v>2.0111969E7</v>
      </c>
      <c r="AA818" s="1" t="s">
        <v>2015</v>
      </c>
      <c r="AB818" s="1">
        <v>6875.0</v>
      </c>
      <c r="AC818" s="2">
        <v>41913.0</v>
      </c>
      <c r="AD818" s="1">
        <v>7500.0</v>
      </c>
      <c r="AE818" s="1" t="s">
        <v>40</v>
      </c>
      <c r="AF818" s="1">
        <v>2.0150229E7</v>
      </c>
      <c r="AG818" s="1" t="s">
        <v>2002</v>
      </c>
      <c r="AH818" s="1">
        <v>10.0</v>
      </c>
      <c r="AI818" s="1">
        <v>2013.0</v>
      </c>
      <c r="AJ818" s="1">
        <v>2015.0</v>
      </c>
      <c r="AK818" s="1" t="s">
        <v>1439</v>
      </c>
    </row>
    <row r="819">
      <c r="A819" s="1" t="s">
        <v>2000</v>
      </c>
      <c r="B819" s="1" t="s">
        <v>2000</v>
      </c>
      <c r="C819" s="1" t="s">
        <v>964</v>
      </c>
      <c r="E819" s="1">
        <v>299822.0</v>
      </c>
      <c r="F819" s="2">
        <v>41548.0</v>
      </c>
      <c r="G819" s="1" t="s">
        <v>2001</v>
      </c>
      <c r="I819" s="1" t="s">
        <v>2001</v>
      </c>
      <c r="L819" s="1" t="s">
        <v>40</v>
      </c>
      <c r="M819" s="1">
        <v>7500.0</v>
      </c>
      <c r="N819" s="1" t="s">
        <v>40</v>
      </c>
      <c r="O819" s="1">
        <v>3.8775243E7</v>
      </c>
      <c r="P819" s="1" t="s">
        <v>209</v>
      </c>
      <c r="Q819" s="1" t="s">
        <v>210</v>
      </c>
      <c r="R819" s="1" t="s">
        <v>211</v>
      </c>
      <c r="S819" s="1" t="s">
        <v>44</v>
      </c>
      <c r="T819" s="1" t="s">
        <v>45</v>
      </c>
      <c r="U819" s="1">
        <v>4.82023068E8</v>
      </c>
      <c r="W819" s="1" t="s">
        <v>46</v>
      </c>
      <c r="X819" s="1" t="s">
        <v>45</v>
      </c>
      <c r="Y819" s="1">
        <v>4.82023068E8</v>
      </c>
      <c r="Z819" s="1">
        <v>3.8775243E7</v>
      </c>
      <c r="AA819" s="1" t="s">
        <v>209</v>
      </c>
      <c r="AB819" s="1">
        <v>106224.49</v>
      </c>
      <c r="AC819" s="2">
        <v>41548.0</v>
      </c>
      <c r="AD819" s="1">
        <v>7500.0</v>
      </c>
      <c r="AE819" s="1" t="s">
        <v>40</v>
      </c>
      <c r="AF819" s="1">
        <v>2.0140707E7</v>
      </c>
      <c r="AG819" s="1" t="s">
        <v>2002</v>
      </c>
      <c r="AH819" s="1">
        <v>10.0</v>
      </c>
      <c r="AI819" s="1">
        <v>2013.0</v>
      </c>
      <c r="AJ819" s="1">
        <v>2014.0</v>
      </c>
      <c r="AK819" s="1" t="s">
        <v>1439</v>
      </c>
    </row>
    <row r="820">
      <c r="A820" s="1" t="s">
        <v>2016</v>
      </c>
      <c r="B820" s="1" t="s">
        <v>2016</v>
      </c>
      <c r="C820" s="1" t="s">
        <v>159</v>
      </c>
      <c r="E820" s="1">
        <v>1375382.0</v>
      </c>
      <c r="F820" s="2">
        <v>41913.0</v>
      </c>
      <c r="G820" s="1" t="s">
        <v>2017</v>
      </c>
      <c r="I820" s="1" t="s">
        <v>2017</v>
      </c>
      <c r="L820" s="1" t="s">
        <v>40</v>
      </c>
      <c r="M820" s="1">
        <v>7500.0</v>
      </c>
      <c r="N820" s="1" t="s">
        <v>40</v>
      </c>
      <c r="O820" s="1">
        <v>6.0932517E7</v>
      </c>
      <c r="P820" s="1" t="s">
        <v>2018</v>
      </c>
      <c r="R820" s="1" t="s">
        <v>2019</v>
      </c>
      <c r="S820" s="1" t="s">
        <v>44</v>
      </c>
      <c r="T820" s="1" t="s">
        <v>45</v>
      </c>
      <c r="U820" s="1">
        <v>4.82352708E8</v>
      </c>
      <c r="W820" s="1" t="s">
        <v>46</v>
      </c>
      <c r="X820" s="1" t="s">
        <v>45</v>
      </c>
      <c r="Y820" s="1">
        <v>4.82352708E8</v>
      </c>
      <c r="AB820" s="1">
        <v>12500.0</v>
      </c>
      <c r="AC820" s="2">
        <v>41913.0</v>
      </c>
      <c r="AD820" s="1">
        <v>7500.0</v>
      </c>
      <c r="AE820" s="1" t="s">
        <v>40</v>
      </c>
      <c r="AF820" s="1">
        <v>2.0150157E7</v>
      </c>
      <c r="AG820" s="1" t="s">
        <v>2020</v>
      </c>
      <c r="AH820" s="1">
        <v>10.0</v>
      </c>
      <c r="AI820" s="1">
        <v>2011.0</v>
      </c>
      <c r="AJ820" s="1">
        <v>2015.0</v>
      </c>
      <c r="AK820" s="1" t="s">
        <v>2021</v>
      </c>
    </row>
    <row r="821">
      <c r="A821" s="1" t="s">
        <v>2000</v>
      </c>
      <c r="B821" s="1" t="s">
        <v>2000</v>
      </c>
      <c r="C821" s="1" t="s">
        <v>964</v>
      </c>
      <c r="E821" s="1">
        <v>299822.0</v>
      </c>
      <c r="F821" s="2">
        <v>41579.0</v>
      </c>
      <c r="G821" s="1" t="s">
        <v>2001</v>
      </c>
      <c r="I821" s="1" t="s">
        <v>2001</v>
      </c>
      <c r="L821" s="1" t="s">
        <v>40</v>
      </c>
      <c r="M821" s="1">
        <v>7500.0</v>
      </c>
      <c r="N821" s="1" t="s">
        <v>40</v>
      </c>
      <c r="O821" s="1">
        <v>1.41947783E8</v>
      </c>
      <c r="P821" s="1" t="s">
        <v>144</v>
      </c>
      <c r="Q821" s="1" t="s">
        <v>210</v>
      </c>
      <c r="R821" s="1" t="s">
        <v>145</v>
      </c>
      <c r="S821" s="1" t="s">
        <v>44</v>
      </c>
      <c r="T821" s="1" t="s">
        <v>45</v>
      </c>
      <c r="U821" s="1">
        <v>4.82362148E8</v>
      </c>
      <c r="W821" s="1" t="s">
        <v>1454</v>
      </c>
      <c r="X821" s="1" t="s">
        <v>45</v>
      </c>
      <c r="Y821" s="1">
        <v>4.80922468E8</v>
      </c>
      <c r="Z821" s="1">
        <v>3.8775243E7</v>
      </c>
      <c r="AA821" s="1" t="s">
        <v>209</v>
      </c>
      <c r="AB821" s="1">
        <v>6875.0</v>
      </c>
      <c r="AC821" s="2">
        <v>41579.0</v>
      </c>
      <c r="AD821" s="1">
        <v>7500.0</v>
      </c>
      <c r="AE821" s="1" t="s">
        <v>40</v>
      </c>
      <c r="AF821" s="1">
        <v>2.0140231E7</v>
      </c>
      <c r="AG821" s="1" t="s">
        <v>2002</v>
      </c>
      <c r="AH821" s="1">
        <v>10.0</v>
      </c>
      <c r="AI821" s="1">
        <v>2013.0</v>
      </c>
      <c r="AJ821" s="1">
        <v>2014.0</v>
      </c>
      <c r="AK821" s="1" t="s">
        <v>1439</v>
      </c>
    </row>
    <row r="822">
      <c r="A822" s="1" t="s">
        <v>2000</v>
      </c>
      <c r="B822" s="1" t="s">
        <v>2000</v>
      </c>
      <c r="C822" s="1" t="s">
        <v>964</v>
      </c>
      <c r="E822" s="1">
        <v>299822.0</v>
      </c>
      <c r="F822" s="2">
        <v>41183.0</v>
      </c>
      <c r="G822" s="1" t="s">
        <v>2001</v>
      </c>
      <c r="I822" s="1" t="s">
        <v>2001</v>
      </c>
      <c r="L822" s="1" t="s">
        <v>40</v>
      </c>
      <c r="M822" s="1">
        <v>7500.0</v>
      </c>
      <c r="N822" s="1" t="s">
        <v>40</v>
      </c>
      <c r="O822" s="1">
        <v>3.8775243E7</v>
      </c>
      <c r="P822" s="1" t="s">
        <v>209</v>
      </c>
      <c r="Q822" s="1" t="s">
        <v>210</v>
      </c>
      <c r="R822" s="1" t="s">
        <v>211</v>
      </c>
      <c r="S822" s="1" t="s">
        <v>44</v>
      </c>
      <c r="T822" s="1" t="s">
        <v>45</v>
      </c>
      <c r="U822" s="1">
        <v>4.82023068E8</v>
      </c>
      <c r="W822" s="1" t="s">
        <v>46</v>
      </c>
      <c r="X822" s="1" t="s">
        <v>45</v>
      </c>
      <c r="Y822" s="1">
        <v>4.82023068E8</v>
      </c>
      <c r="Z822" s="1">
        <v>3.8775243E7</v>
      </c>
      <c r="AA822" s="1" t="s">
        <v>209</v>
      </c>
      <c r="AB822" s="1">
        <v>3440.0</v>
      </c>
      <c r="AC822" s="2">
        <v>41183.0</v>
      </c>
      <c r="AD822" s="1">
        <v>7500.0</v>
      </c>
      <c r="AE822" s="1" t="s">
        <v>40</v>
      </c>
      <c r="AF822" s="1">
        <v>2.0131223E7</v>
      </c>
      <c r="AG822" s="1" t="s">
        <v>2002</v>
      </c>
      <c r="AH822" s="1">
        <v>10.0</v>
      </c>
      <c r="AI822" s="1">
        <v>2013.0</v>
      </c>
      <c r="AJ822" s="1">
        <v>2013.0</v>
      </c>
      <c r="AK822" s="1" t="s">
        <v>1439</v>
      </c>
    </row>
    <row r="823">
      <c r="A823" s="1" t="s">
        <v>1933</v>
      </c>
      <c r="B823" s="1" t="s">
        <v>1933</v>
      </c>
      <c r="C823" s="1" t="s">
        <v>100</v>
      </c>
      <c r="E823" s="1">
        <v>2297904.0</v>
      </c>
      <c r="F823" s="2">
        <v>41548.0</v>
      </c>
      <c r="G823" s="1" t="s">
        <v>1858</v>
      </c>
      <c r="I823" s="1" t="s">
        <v>1858</v>
      </c>
      <c r="L823" s="1" t="s">
        <v>102</v>
      </c>
      <c r="M823" s="1">
        <v>8600.0</v>
      </c>
      <c r="N823" s="1" t="s">
        <v>102</v>
      </c>
      <c r="O823" s="1">
        <v>1.61078902E8</v>
      </c>
      <c r="P823" s="1" t="s">
        <v>1010</v>
      </c>
      <c r="Q823" s="1" t="s">
        <v>1011</v>
      </c>
      <c r="R823" s="1" t="s">
        <v>1012</v>
      </c>
      <c r="S823" s="1" t="s">
        <v>44</v>
      </c>
      <c r="T823" s="1" t="s">
        <v>45</v>
      </c>
      <c r="U823" s="1">
        <v>4.82012722E8</v>
      </c>
      <c r="W823" s="1" t="s">
        <v>46</v>
      </c>
      <c r="X823" s="1" t="s">
        <v>45</v>
      </c>
      <c r="Y823" s="1">
        <v>4.82012722E8</v>
      </c>
      <c r="Z823" s="1">
        <v>1.61078902E8</v>
      </c>
      <c r="AA823" s="1" t="s">
        <v>1010</v>
      </c>
      <c r="AB823" s="1">
        <v>359938.19</v>
      </c>
      <c r="AC823" s="2">
        <v>41548.0</v>
      </c>
      <c r="AD823" s="1">
        <v>8600.0</v>
      </c>
      <c r="AE823" s="1" t="s">
        <v>102</v>
      </c>
      <c r="AF823" s="1">
        <v>2.0140892E7</v>
      </c>
      <c r="AG823" s="1" t="s">
        <v>978</v>
      </c>
      <c r="AH823" s="1">
        <v>10.0</v>
      </c>
      <c r="AI823" s="1">
        <v>2012.0</v>
      </c>
      <c r="AJ823" s="1">
        <v>2014.0</v>
      </c>
      <c r="AK823" s="1" t="s">
        <v>1860</v>
      </c>
    </row>
    <row r="824">
      <c r="A824" s="1" t="s">
        <v>1933</v>
      </c>
      <c r="B824" s="1" t="s">
        <v>1933</v>
      </c>
      <c r="C824" s="1" t="s">
        <v>100</v>
      </c>
      <c r="E824" s="1">
        <v>2297904.0</v>
      </c>
      <c r="F824" s="2">
        <v>41183.0</v>
      </c>
      <c r="G824" s="1" t="s">
        <v>1858</v>
      </c>
      <c r="I824" s="1" t="s">
        <v>1858</v>
      </c>
      <c r="L824" s="1" t="s">
        <v>102</v>
      </c>
      <c r="M824" s="1">
        <v>8600.0</v>
      </c>
      <c r="N824" s="1" t="s">
        <v>102</v>
      </c>
      <c r="O824" s="1">
        <v>6.07778081E8</v>
      </c>
      <c r="P824" s="1" t="s">
        <v>1002</v>
      </c>
      <c r="Q824" s="1" t="s">
        <v>1003</v>
      </c>
      <c r="R824" s="1" t="s">
        <v>1004</v>
      </c>
      <c r="S824" s="1" t="s">
        <v>44</v>
      </c>
      <c r="T824" s="1" t="s">
        <v>45</v>
      </c>
      <c r="U824" s="1">
        <v>4.82261986E8</v>
      </c>
      <c r="W824" s="1" t="s">
        <v>46</v>
      </c>
      <c r="X824" s="1" t="s">
        <v>45</v>
      </c>
      <c r="Y824" s="1">
        <v>4.8226288E8</v>
      </c>
      <c r="Z824" s="1">
        <v>6.07778081E8</v>
      </c>
      <c r="AA824" s="1" t="s">
        <v>1002</v>
      </c>
      <c r="AB824" s="1">
        <v>126939.0</v>
      </c>
      <c r="AC824" s="2">
        <v>41183.0</v>
      </c>
      <c r="AD824" s="1">
        <v>8600.0</v>
      </c>
      <c r="AE824" s="1" t="s">
        <v>102</v>
      </c>
      <c r="AF824" s="1">
        <v>2.0130877E7</v>
      </c>
      <c r="AG824" s="1" t="s">
        <v>978</v>
      </c>
      <c r="AH824" s="1">
        <v>10.0</v>
      </c>
      <c r="AI824" s="1">
        <v>2012.0</v>
      </c>
      <c r="AJ824" s="1">
        <v>2013.0</v>
      </c>
      <c r="AK824" s="1" t="s">
        <v>1860</v>
      </c>
    </row>
    <row r="825">
      <c r="A825" s="1" t="s">
        <v>1935</v>
      </c>
      <c r="B825" s="1" t="s">
        <v>1935</v>
      </c>
      <c r="C825" s="1">
        <v>7545.0</v>
      </c>
      <c r="E825" s="1">
        <v>1.1417298E7</v>
      </c>
      <c r="F825" s="2">
        <v>41913.0</v>
      </c>
      <c r="G825" s="1" t="s">
        <v>1936</v>
      </c>
      <c r="I825" s="1" t="s">
        <v>1936</v>
      </c>
      <c r="L825" s="1" t="s">
        <v>40</v>
      </c>
      <c r="M825" s="1">
        <v>7500.0</v>
      </c>
      <c r="N825" s="1" t="s">
        <v>40</v>
      </c>
      <c r="O825" s="1">
        <v>4.6842605E7</v>
      </c>
      <c r="P825" s="1" t="s">
        <v>165</v>
      </c>
      <c r="Q825" s="1" t="s">
        <v>166</v>
      </c>
      <c r="R825" s="1" t="s">
        <v>167</v>
      </c>
      <c r="S825" s="1" t="s">
        <v>44</v>
      </c>
      <c r="T825" s="1" t="s">
        <v>45</v>
      </c>
      <c r="U825" s="1">
        <v>4.82074544E8</v>
      </c>
      <c r="W825" s="1" t="s">
        <v>46</v>
      </c>
      <c r="X825" s="1" t="s">
        <v>45</v>
      </c>
      <c r="Y825" s="1">
        <v>4.82074544E8</v>
      </c>
      <c r="AB825" s="1">
        <v>1038596.0</v>
      </c>
      <c r="AC825" s="2">
        <v>41913.0</v>
      </c>
      <c r="AD825" s="1">
        <v>7500.0</v>
      </c>
      <c r="AE825" s="1" t="s">
        <v>40</v>
      </c>
      <c r="AF825" s="1">
        <v>2.0141854E7</v>
      </c>
      <c r="AG825" s="1" t="s">
        <v>392</v>
      </c>
      <c r="AH825" s="1">
        <v>10.0</v>
      </c>
      <c r="AI825" s="1">
        <v>2013.0</v>
      </c>
      <c r="AJ825" s="1">
        <v>2015.0</v>
      </c>
      <c r="AK825" s="1" t="s">
        <v>1919</v>
      </c>
    </row>
    <row r="826">
      <c r="A826" s="1" t="s">
        <v>2022</v>
      </c>
      <c r="B826" s="1" t="s">
        <v>2022</v>
      </c>
      <c r="C826" s="1" t="s">
        <v>100</v>
      </c>
      <c r="E826" s="1">
        <v>336484.0</v>
      </c>
      <c r="F826" s="2">
        <v>41456.0</v>
      </c>
      <c r="G826" s="1" t="s">
        <v>1433</v>
      </c>
      <c r="I826" s="1" t="s">
        <v>1433</v>
      </c>
      <c r="L826" s="1" t="s">
        <v>102</v>
      </c>
      <c r="M826" s="1">
        <v>8600.0</v>
      </c>
      <c r="N826" s="1" t="s">
        <v>102</v>
      </c>
      <c r="O826" s="1">
        <v>6.9840817E7</v>
      </c>
      <c r="P826" s="1" t="s">
        <v>131</v>
      </c>
      <c r="R826" s="1" t="s">
        <v>132</v>
      </c>
      <c r="S826" s="1" t="s">
        <v>44</v>
      </c>
      <c r="T826" s="1" t="s">
        <v>45</v>
      </c>
      <c r="U826" s="1">
        <v>4.8214261E8</v>
      </c>
      <c r="W826" s="1" t="s">
        <v>46</v>
      </c>
      <c r="X826" s="1" t="s">
        <v>45</v>
      </c>
      <c r="Y826" s="1">
        <v>4.8214261E8</v>
      </c>
      <c r="Z826" s="1">
        <v>6.9840817E7</v>
      </c>
      <c r="AA826" s="1" t="s">
        <v>131</v>
      </c>
      <c r="AB826" s="1">
        <v>377445.32</v>
      </c>
      <c r="AC826" s="2">
        <v>41456.0</v>
      </c>
      <c r="AD826" s="1">
        <v>8600.0</v>
      </c>
      <c r="AE826" s="1" t="s">
        <v>102</v>
      </c>
      <c r="AF826" s="1" t="s">
        <v>2023</v>
      </c>
      <c r="AG826" s="1" t="s">
        <v>2024</v>
      </c>
      <c r="AH826" s="1">
        <v>12.0</v>
      </c>
      <c r="AI826" s="1">
        <v>2014.0</v>
      </c>
      <c r="AJ826" s="1">
        <v>2013.0</v>
      </c>
      <c r="AK826" s="1" t="s">
        <v>367</v>
      </c>
    </row>
    <row r="827">
      <c r="A827" s="1" t="s">
        <v>2025</v>
      </c>
      <c r="B827" s="1" t="s">
        <v>2025</v>
      </c>
      <c r="C827" s="1" t="s">
        <v>100</v>
      </c>
      <c r="E827" s="1">
        <v>2266533.0</v>
      </c>
      <c r="F827" s="2">
        <v>41456.0</v>
      </c>
      <c r="G827" s="1" t="s">
        <v>332</v>
      </c>
      <c r="I827" s="1" t="s">
        <v>332</v>
      </c>
      <c r="L827" s="1" t="s">
        <v>102</v>
      </c>
      <c r="M827" s="1">
        <v>8600.0</v>
      </c>
      <c r="N827" s="1" t="s">
        <v>102</v>
      </c>
      <c r="O827" s="1">
        <v>8.29947949E8</v>
      </c>
      <c r="P827" s="1" t="s">
        <v>2026</v>
      </c>
      <c r="R827" s="1" t="s">
        <v>2027</v>
      </c>
      <c r="S827" s="1" t="s">
        <v>44</v>
      </c>
      <c r="T827" s="1" t="s">
        <v>45</v>
      </c>
      <c r="U827" s="1">
        <v>4.82263119E8</v>
      </c>
      <c r="W827" s="1" t="s">
        <v>46</v>
      </c>
      <c r="X827" s="1" t="s">
        <v>45</v>
      </c>
      <c r="Y827" s="1">
        <v>4.82263119E8</v>
      </c>
      <c r="AB827" s="1">
        <v>250000.0</v>
      </c>
      <c r="AC827" s="2">
        <v>41456.0</v>
      </c>
      <c r="AD827" s="1">
        <v>8600.0</v>
      </c>
      <c r="AE827" s="1" t="s">
        <v>102</v>
      </c>
      <c r="AF827" s="1" t="s">
        <v>2025</v>
      </c>
      <c r="AG827" s="1" t="s">
        <v>2028</v>
      </c>
      <c r="AH827" s="1">
        <v>12.0</v>
      </c>
      <c r="AI827" s="1">
        <v>2014.0</v>
      </c>
      <c r="AJ827" s="1">
        <v>2013.0</v>
      </c>
      <c r="AK827" s="1" t="s">
        <v>334</v>
      </c>
    </row>
    <row r="828">
      <c r="A828" s="1" t="s">
        <v>1933</v>
      </c>
      <c r="B828" s="1" t="s">
        <v>1933</v>
      </c>
      <c r="C828" s="1" t="s">
        <v>100</v>
      </c>
      <c r="E828" s="1">
        <v>2297904.0</v>
      </c>
      <c r="F828" s="2">
        <v>41548.0</v>
      </c>
      <c r="G828" s="1" t="s">
        <v>1858</v>
      </c>
      <c r="I828" s="1" t="s">
        <v>1858</v>
      </c>
      <c r="L828" s="1" t="s">
        <v>102</v>
      </c>
      <c r="M828" s="1">
        <v>8600.0</v>
      </c>
      <c r="N828" s="1" t="s">
        <v>102</v>
      </c>
      <c r="O828" s="1">
        <v>4.3419399E7</v>
      </c>
      <c r="P828" s="1" t="s">
        <v>979</v>
      </c>
      <c r="R828" s="1" t="s">
        <v>1934</v>
      </c>
      <c r="S828" s="1" t="s">
        <v>44</v>
      </c>
      <c r="T828" s="1" t="s">
        <v>45</v>
      </c>
      <c r="U828" s="1">
        <v>4.82384019E8</v>
      </c>
      <c r="W828" s="1" t="s">
        <v>46</v>
      </c>
      <c r="X828" s="1" t="s">
        <v>45</v>
      </c>
      <c r="Y828" s="1">
        <v>4.82384019E8</v>
      </c>
      <c r="Z828" s="1">
        <v>4.3419399E7</v>
      </c>
      <c r="AA828" s="1" t="s">
        <v>979</v>
      </c>
      <c r="AB828" s="1">
        <v>100492.57</v>
      </c>
      <c r="AC828" s="2">
        <v>41548.0</v>
      </c>
      <c r="AD828" s="1">
        <v>8600.0</v>
      </c>
      <c r="AE828" s="1" t="s">
        <v>102</v>
      </c>
      <c r="AF828" s="1">
        <v>2.0141498E7</v>
      </c>
      <c r="AG828" s="1" t="s">
        <v>978</v>
      </c>
      <c r="AH828" s="1">
        <v>10.0</v>
      </c>
      <c r="AI828" s="1">
        <v>2012.0</v>
      </c>
      <c r="AJ828" s="1">
        <v>2014.0</v>
      </c>
      <c r="AK828" s="1" t="s">
        <v>1860</v>
      </c>
    </row>
    <row r="829">
      <c r="A829" s="1" t="s">
        <v>1933</v>
      </c>
      <c r="B829" s="1" t="s">
        <v>1933</v>
      </c>
      <c r="C829" s="1" t="s">
        <v>100</v>
      </c>
      <c r="E829" s="1">
        <v>2297904.0</v>
      </c>
      <c r="F829" s="2">
        <v>41548.0</v>
      </c>
      <c r="G829" s="1" t="s">
        <v>1858</v>
      </c>
      <c r="I829" s="1" t="s">
        <v>1858</v>
      </c>
      <c r="L829" s="1" t="s">
        <v>102</v>
      </c>
      <c r="M829" s="1">
        <v>8600.0</v>
      </c>
      <c r="N829" s="1" t="s">
        <v>102</v>
      </c>
      <c r="O829" s="1">
        <v>6.07778081E8</v>
      </c>
      <c r="P829" s="1" t="s">
        <v>1002</v>
      </c>
      <c r="Q829" s="1" t="s">
        <v>1003</v>
      </c>
      <c r="R829" s="1" t="s">
        <v>1004</v>
      </c>
      <c r="S829" s="1" t="s">
        <v>44</v>
      </c>
      <c r="T829" s="1" t="s">
        <v>45</v>
      </c>
      <c r="U829" s="1">
        <v>4.82261986E8</v>
      </c>
      <c r="W829" s="1" t="s">
        <v>46</v>
      </c>
      <c r="X829" s="1" t="s">
        <v>45</v>
      </c>
      <c r="Y829" s="1">
        <v>4.8226288E8</v>
      </c>
      <c r="Z829" s="1">
        <v>6.07778081E8</v>
      </c>
      <c r="AA829" s="1" t="s">
        <v>1002</v>
      </c>
      <c r="AB829" s="1">
        <v>151931.08</v>
      </c>
      <c r="AC829" s="2">
        <v>41548.0</v>
      </c>
      <c r="AD829" s="1">
        <v>8600.0</v>
      </c>
      <c r="AE829" s="1" t="s">
        <v>102</v>
      </c>
      <c r="AF829" s="1">
        <v>2.0140941E7</v>
      </c>
      <c r="AG829" s="1" t="s">
        <v>978</v>
      </c>
      <c r="AH829" s="1">
        <v>10.0</v>
      </c>
      <c r="AI829" s="1">
        <v>2012.0</v>
      </c>
      <c r="AJ829" s="1">
        <v>2014.0</v>
      </c>
      <c r="AK829" s="1" t="s">
        <v>1860</v>
      </c>
    </row>
    <row r="830">
      <c r="A830" s="1" t="s">
        <v>1933</v>
      </c>
      <c r="B830" s="1" t="s">
        <v>1933</v>
      </c>
      <c r="C830" s="1" t="s">
        <v>100</v>
      </c>
      <c r="E830" s="1">
        <v>2297904.0</v>
      </c>
      <c r="F830" s="2">
        <v>41183.0</v>
      </c>
      <c r="G830" s="1" t="s">
        <v>1858</v>
      </c>
      <c r="I830" s="1" t="s">
        <v>1858</v>
      </c>
      <c r="L830" s="1" t="s">
        <v>102</v>
      </c>
      <c r="M830" s="1">
        <v>8600.0</v>
      </c>
      <c r="N830" s="1" t="s">
        <v>102</v>
      </c>
      <c r="O830" s="1">
        <v>1.61078902E8</v>
      </c>
      <c r="P830" s="1" t="s">
        <v>1010</v>
      </c>
      <c r="Q830" s="1" t="s">
        <v>1011</v>
      </c>
      <c r="R830" s="1" t="s">
        <v>1012</v>
      </c>
      <c r="S830" s="1" t="s">
        <v>44</v>
      </c>
      <c r="T830" s="1" t="s">
        <v>45</v>
      </c>
      <c r="U830" s="1">
        <v>4.82012722E8</v>
      </c>
      <c r="W830" s="1" t="s">
        <v>46</v>
      </c>
      <c r="X830" s="1" t="s">
        <v>45</v>
      </c>
      <c r="Y830" s="1">
        <v>4.82012722E8</v>
      </c>
      <c r="Z830" s="1">
        <v>1.61078902E8</v>
      </c>
      <c r="AA830" s="1" t="s">
        <v>1010</v>
      </c>
      <c r="AB830" s="1">
        <v>317565.54</v>
      </c>
      <c r="AC830" s="2">
        <v>41183.0</v>
      </c>
      <c r="AD830" s="1">
        <v>8600.0</v>
      </c>
      <c r="AE830" s="1" t="s">
        <v>102</v>
      </c>
      <c r="AF830" s="1">
        <v>2.0130882E7</v>
      </c>
      <c r="AG830" s="1" t="s">
        <v>978</v>
      </c>
      <c r="AH830" s="1">
        <v>10.0</v>
      </c>
      <c r="AI830" s="1">
        <v>2012.0</v>
      </c>
      <c r="AJ830" s="1">
        <v>2013.0</v>
      </c>
      <c r="AK830" s="1" t="s">
        <v>1860</v>
      </c>
    </row>
    <row r="831">
      <c r="A831" s="1" t="s">
        <v>2029</v>
      </c>
      <c r="B831" s="1" t="s">
        <v>2029</v>
      </c>
      <c r="C831" s="1" t="s">
        <v>389</v>
      </c>
      <c r="E831" s="1">
        <v>2881903.0</v>
      </c>
      <c r="F831" s="2">
        <v>41913.0</v>
      </c>
      <c r="G831" s="1" t="s">
        <v>390</v>
      </c>
      <c r="I831" s="1" t="s">
        <v>390</v>
      </c>
      <c r="L831" s="1" t="s">
        <v>391</v>
      </c>
      <c r="M831" s="1">
        <v>1600.0</v>
      </c>
      <c r="N831" s="1" t="s">
        <v>391</v>
      </c>
      <c r="O831" s="1">
        <v>4.6842605E7</v>
      </c>
      <c r="P831" s="1" t="s">
        <v>165</v>
      </c>
      <c r="Q831" s="1" t="s">
        <v>166</v>
      </c>
      <c r="R831" s="1" t="s">
        <v>167</v>
      </c>
      <c r="S831" s="1" t="s">
        <v>44</v>
      </c>
      <c r="T831" s="1" t="s">
        <v>45</v>
      </c>
      <c r="U831" s="1">
        <v>4.82074544E8</v>
      </c>
      <c r="W831" s="1" t="s">
        <v>46</v>
      </c>
      <c r="X831" s="1" t="s">
        <v>45</v>
      </c>
      <c r="Y831" s="1">
        <v>4.82074544E8</v>
      </c>
      <c r="AB831" s="1">
        <v>314607.3</v>
      </c>
      <c r="AC831" s="2">
        <v>41913.0</v>
      </c>
      <c r="AD831" s="1">
        <v>1600.0</v>
      </c>
      <c r="AE831" s="1" t="s">
        <v>391</v>
      </c>
      <c r="AF831" s="1">
        <v>2.0152003E7</v>
      </c>
      <c r="AG831" s="1" t="s">
        <v>390</v>
      </c>
      <c r="AH831" s="1">
        <v>10.0</v>
      </c>
      <c r="AI831" s="1">
        <v>2013.0</v>
      </c>
      <c r="AJ831" s="1">
        <v>2015.0</v>
      </c>
      <c r="AK831" s="1" t="s">
        <v>393</v>
      </c>
    </row>
    <row r="832">
      <c r="A832" s="1" t="s">
        <v>1937</v>
      </c>
      <c r="B832" s="1" t="s">
        <v>1937</v>
      </c>
      <c r="C832" s="1" t="s">
        <v>389</v>
      </c>
      <c r="E832" s="1">
        <v>2832086.0</v>
      </c>
      <c r="F832" s="2">
        <v>41548.0</v>
      </c>
      <c r="G832" s="1" t="s">
        <v>390</v>
      </c>
      <c r="I832" s="1" t="s">
        <v>390</v>
      </c>
      <c r="L832" s="1" t="s">
        <v>391</v>
      </c>
      <c r="M832" s="1">
        <v>1600.0</v>
      </c>
      <c r="N832" s="1" t="s">
        <v>391</v>
      </c>
      <c r="O832" s="1">
        <v>4.6842605E7</v>
      </c>
      <c r="P832" s="1" t="s">
        <v>165</v>
      </c>
      <c r="Q832" s="1" t="s">
        <v>166</v>
      </c>
      <c r="R832" s="1" t="s">
        <v>167</v>
      </c>
      <c r="S832" s="1" t="s">
        <v>44</v>
      </c>
      <c r="T832" s="1" t="s">
        <v>45</v>
      </c>
      <c r="U832" s="1">
        <v>4.82074544E8</v>
      </c>
      <c r="W832" s="1" t="s">
        <v>46</v>
      </c>
      <c r="X832" s="1" t="s">
        <v>45</v>
      </c>
      <c r="Y832" s="1">
        <v>4.82074544E8</v>
      </c>
      <c r="AB832" s="1">
        <v>188635.0</v>
      </c>
      <c r="AC832" s="2">
        <v>41548.0</v>
      </c>
      <c r="AD832" s="1">
        <v>1600.0</v>
      </c>
      <c r="AE832" s="1" t="s">
        <v>391</v>
      </c>
      <c r="AF832" s="1">
        <v>2.0141854E7</v>
      </c>
      <c r="AG832" s="1" t="s">
        <v>390</v>
      </c>
      <c r="AH832" s="1">
        <v>10.0</v>
      </c>
      <c r="AI832" s="1">
        <v>2013.0</v>
      </c>
      <c r="AJ832" s="1">
        <v>2014.0</v>
      </c>
      <c r="AK832" s="1" t="s">
        <v>393</v>
      </c>
    </row>
    <row r="833">
      <c r="A833" s="1" t="s">
        <v>2030</v>
      </c>
      <c r="B833" s="1" t="s">
        <v>2030</v>
      </c>
      <c r="C833" s="1" t="s">
        <v>70</v>
      </c>
      <c r="E833" s="1">
        <v>295220.0</v>
      </c>
      <c r="F833" s="2">
        <v>41709.0</v>
      </c>
      <c r="G833" s="1" t="s">
        <v>2031</v>
      </c>
      <c r="I833" s="1" t="s">
        <v>2031</v>
      </c>
      <c r="L833" s="1" t="s">
        <v>72</v>
      </c>
      <c r="M833" s="1">
        <v>1500.0</v>
      </c>
      <c r="N833" s="1" t="s">
        <v>72</v>
      </c>
      <c r="O833" s="1">
        <v>1.26779763E8</v>
      </c>
      <c r="P833" s="1" t="s">
        <v>1967</v>
      </c>
      <c r="R833" s="1" t="s">
        <v>1968</v>
      </c>
      <c r="S833" s="1" t="s">
        <v>44</v>
      </c>
      <c r="T833" s="1" t="s">
        <v>45</v>
      </c>
      <c r="U833" s="1">
        <v>4.8226135E8</v>
      </c>
      <c r="W833" s="1" t="s">
        <v>46</v>
      </c>
      <c r="X833" s="1" t="s">
        <v>45</v>
      </c>
      <c r="Y833" s="1">
        <v>48226.0</v>
      </c>
      <c r="AB833" s="1">
        <v>286755.0</v>
      </c>
      <c r="AC833" s="2">
        <v>41709.0</v>
      </c>
      <c r="AD833" s="1">
        <v>1500.0</v>
      </c>
      <c r="AE833" s="1" t="s">
        <v>72</v>
      </c>
      <c r="AF833" s="1" t="s">
        <v>2032</v>
      </c>
      <c r="AG833" s="1" t="s">
        <v>2033</v>
      </c>
      <c r="AH833" s="1">
        <v>12.0</v>
      </c>
      <c r="AI833" s="1">
        <v>2014.0</v>
      </c>
      <c r="AJ833" s="1">
        <v>2014.0</v>
      </c>
      <c r="AK833" s="1" t="s">
        <v>2034</v>
      </c>
    </row>
    <row r="834">
      <c r="A834" s="1" t="s">
        <v>2025</v>
      </c>
      <c r="B834" s="1" t="s">
        <v>2025</v>
      </c>
      <c r="C834" s="1" t="s">
        <v>100</v>
      </c>
      <c r="E834" s="1">
        <v>2266533.0</v>
      </c>
      <c r="F834" s="2">
        <v>41456.0</v>
      </c>
      <c r="G834" s="1" t="s">
        <v>332</v>
      </c>
      <c r="I834" s="1" t="s">
        <v>332</v>
      </c>
      <c r="L834" s="1" t="s">
        <v>102</v>
      </c>
      <c r="M834" s="1">
        <v>8600.0</v>
      </c>
      <c r="N834" s="1" t="s">
        <v>102</v>
      </c>
      <c r="O834" s="1">
        <v>6.03181835E8</v>
      </c>
      <c r="P834" s="1" t="s">
        <v>2035</v>
      </c>
      <c r="R834" s="1" t="s">
        <v>2036</v>
      </c>
      <c r="S834" s="1" t="s">
        <v>44</v>
      </c>
      <c r="T834" s="1" t="s">
        <v>45</v>
      </c>
      <c r="U834" s="1">
        <v>4.82054059E8</v>
      </c>
      <c r="W834" s="1" t="s">
        <v>607</v>
      </c>
      <c r="X834" s="1" t="s">
        <v>45</v>
      </c>
      <c r="Y834" s="1">
        <v>4.82054059E8</v>
      </c>
      <c r="AB834" s="1">
        <v>1062500.0</v>
      </c>
      <c r="AC834" s="2">
        <v>41456.0</v>
      </c>
      <c r="AD834" s="1">
        <v>8600.0</v>
      </c>
      <c r="AE834" s="1" t="s">
        <v>102</v>
      </c>
      <c r="AF834" s="1" t="s">
        <v>2025</v>
      </c>
      <c r="AG834" s="1" t="s">
        <v>2028</v>
      </c>
      <c r="AH834" s="1">
        <v>12.0</v>
      </c>
      <c r="AI834" s="1">
        <v>2014.0</v>
      </c>
      <c r="AJ834" s="1">
        <v>2013.0</v>
      </c>
      <c r="AK834" s="1" t="s">
        <v>334</v>
      </c>
    </row>
    <row r="835">
      <c r="A835" s="1" t="s">
        <v>2037</v>
      </c>
      <c r="B835" s="1" t="s">
        <v>2037</v>
      </c>
      <c r="C835" s="1">
        <v>7545.0</v>
      </c>
      <c r="E835" s="1">
        <v>651289.0</v>
      </c>
      <c r="F835" s="2">
        <v>41548.0</v>
      </c>
      <c r="G835" s="1" t="s">
        <v>2038</v>
      </c>
      <c r="I835" s="1" t="s">
        <v>2038</v>
      </c>
      <c r="L835" s="1" t="s">
        <v>40</v>
      </c>
      <c r="M835" s="1">
        <v>7500.0</v>
      </c>
      <c r="N835" s="1" t="s">
        <v>40</v>
      </c>
      <c r="O835" s="1">
        <v>4.6842605E7</v>
      </c>
      <c r="P835" s="1" t="s">
        <v>165</v>
      </c>
      <c r="Q835" s="1" t="s">
        <v>166</v>
      </c>
      <c r="R835" s="1" t="s">
        <v>167</v>
      </c>
      <c r="S835" s="1" t="s">
        <v>44</v>
      </c>
      <c r="T835" s="1" t="s">
        <v>45</v>
      </c>
      <c r="U835" s="1">
        <v>4.82074544E8</v>
      </c>
      <c r="W835" s="1" t="s">
        <v>46</v>
      </c>
      <c r="X835" s="1" t="s">
        <v>45</v>
      </c>
      <c r="Y835" s="1">
        <v>4.82074544E8</v>
      </c>
      <c r="AB835" s="1">
        <v>71702.0</v>
      </c>
      <c r="AC835" s="2">
        <v>41548.0</v>
      </c>
      <c r="AD835" s="1">
        <v>7500.0</v>
      </c>
      <c r="AE835" s="1" t="s">
        <v>40</v>
      </c>
      <c r="AF835" s="1">
        <v>2.0141854E7</v>
      </c>
      <c r="AG835" s="1" t="s">
        <v>392</v>
      </c>
      <c r="AH835" s="1">
        <v>10.0</v>
      </c>
      <c r="AI835" s="1">
        <v>2013.0</v>
      </c>
      <c r="AJ835" s="1">
        <v>2014.0</v>
      </c>
      <c r="AK835" s="1" t="s">
        <v>1942</v>
      </c>
    </row>
    <row r="836">
      <c r="A836" s="1" t="s">
        <v>2039</v>
      </c>
      <c r="B836" s="1" t="s">
        <v>2039</v>
      </c>
      <c r="C836" s="1">
        <v>7545.0</v>
      </c>
      <c r="E836" s="1">
        <v>7434636.0</v>
      </c>
      <c r="F836" s="2">
        <v>41548.0</v>
      </c>
      <c r="G836" s="1" t="s">
        <v>2040</v>
      </c>
      <c r="I836" s="1" t="s">
        <v>2040</v>
      </c>
      <c r="L836" s="1" t="s">
        <v>40</v>
      </c>
      <c r="M836" s="1">
        <v>7500.0</v>
      </c>
      <c r="N836" s="1" t="s">
        <v>40</v>
      </c>
      <c r="O836" s="1">
        <v>4.6842605E7</v>
      </c>
      <c r="P836" s="1" t="s">
        <v>165</v>
      </c>
      <c r="Q836" s="1" t="s">
        <v>166</v>
      </c>
      <c r="R836" s="1" t="s">
        <v>167</v>
      </c>
      <c r="S836" s="1" t="s">
        <v>44</v>
      </c>
      <c r="T836" s="1" t="s">
        <v>45</v>
      </c>
      <c r="U836" s="1">
        <v>4.82074544E8</v>
      </c>
      <c r="W836" s="1" t="s">
        <v>46</v>
      </c>
      <c r="X836" s="1" t="s">
        <v>45</v>
      </c>
      <c r="Y836" s="1">
        <v>4.82074544E8</v>
      </c>
      <c r="AB836" s="1">
        <v>621536.0</v>
      </c>
      <c r="AC836" s="2">
        <v>41548.0</v>
      </c>
      <c r="AD836" s="1">
        <v>7500.0</v>
      </c>
      <c r="AE836" s="1" t="s">
        <v>40</v>
      </c>
      <c r="AF836" s="1">
        <v>2.0141854E7</v>
      </c>
      <c r="AG836" s="1" t="s">
        <v>392</v>
      </c>
      <c r="AH836" s="1">
        <v>10.0</v>
      </c>
      <c r="AI836" s="1">
        <v>2013.0</v>
      </c>
      <c r="AJ836" s="1">
        <v>2014.0</v>
      </c>
      <c r="AK836" s="1" t="s">
        <v>1106</v>
      </c>
    </row>
    <row r="837">
      <c r="A837" s="1" t="s">
        <v>2041</v>
      </c>
      <c r="B837" s="1" t="s">
        <v>2041</v>
      </c>
      <c r="C837" s="1">
        <v>7545.0</v>
      </c>
      <c r="E837" s="1">
        <v>8966056.0</v>
      </c>
      <c r="F837" s="2">
        <v>41548.0</v>
      </c>
      <c r="G837" s="1" t="s">
        <v>2042</v>
      </c>
      <c r="I837" s="1" t="s">
        <v>2042</v>
      </c>
      <c r="L837" s="1" t="s">
        <v>40</v>
      </c>
      <c r="M837" s="1">
        <v>7500.0</v>
      </c>
      <c r="N837" s="1" t="s">
        <v>40</v>
      </c>
      <c r="O837" s="1">
        <v>4.6842605E7</v>
      </c>
      <c r="P837" s="1" t="s">
        <v>165</v>
      </c>
      <c r="Q837" s="1" t="s">
        <v>166</v>
      </c>
      <c r="R837" s="1" t="s">
        <v>167</v>
      </c>
      <c r="S837" s="1" t="s">
        <v>44</v>
      </c>
      <c r="T837" s="1" t="s">
        <v>45</v>
      </c>
      <c r="U837" s="1">
        <v>4.82074544E8</v>
      </c>
      <c r="W837" s="1" t="s">
        <v>46</v>
      </c>
      <c r="X837" s="1" t="s">
        <v>45</v>
      </c>
      <c r="Y837" s="1">
        <v>4.82074544E8</v>
      </c>
      <c r="AB837" s="1">
        <v>574536.0</v>
      </c>
      <c r="AC837" s="2">
        <v>41548.0</v>
      </c>
      <c r="AD837" s="1">
        <v>7500.0</v>
      </c>
      <c r="AE837" s="1" t="s">
        <v>40</v>
      </c>
      <c r="AF837" s="1">
        <v>2.0141854E7</v>
      </c>
      <c r="AG837" s="1" t="s">
        <v>392</v>
      </c>
      <c r="AH837" s="1">
        <v>10.0</v>
      </c>
      <c r="AI837" s="1">
        <v>2013.0</v>
      </c>
      <c r="AJ837" s="1">
        <v>2014.0</v>
      </c>
      <c r="AK837" s="1" t="s">
        <v>1109</v>
      </c>
    </row>
    <row r="838">
      <c r="A838" s="1" t="s">
        <v>2043</v>
      </c>
      <c r="B838" s="1" t="s">
        <v>2043</v>
      </c>
      <c r="C838" s="1">
        <v>7545.0</v>
      </c>
      <c r="E838" s="1">
        <v>1.1299164E7</v>
      </c>
      <c r="F838" s="2">
        <v>41548.0</v>
      </c>
      <c r="G838" s="1" t="s">
        <v>2044</v>
      </c>
      <c r="I838" s="1" t="s">
        <v>2044</v>
      </c>
      <c r="L838" s="1" t="s">
        <v>40</v>
      </c>
      <c r="M838" s="1">
        <v>7500.0</v>
      </c>
      <c r="N838" s="1" t="s">
        <v>40</v>
      </c>
      <c r="O838" s="1">
        <v>4.6842605E7</v>
      </c>
      <c r="P838" s="1" t="s">
        <v>165</v>
      </c>
      <c r="Q838" s="1" t="s">
        <v>166</v>
      </c>
      <c r="R838" s="1" t="s">
        <v>167</v>
      </c>
      <c r="S838" s="1" t="s">
        <v>44</v>
      </c>
      <c r="T838" s="1" t="s">
        <v>45</v>
      </c>
      <c r="U838" s="1">
        <v>4.82074544E8</v>
      </c>
      <c r="W838" s="1" t="s">
        <v>46</v>
      </c>
      <c r="X838" s="1" t="s">
        <v>45</v>
      </c>
      <c r="Y838" s="1">
        <v>4.82074544E8</v>
      </c>
      <c r="AB838" s="1">
        <v>1360834.0</v>
      </c>
      <c r="AC838" s="2">
        <v>41548.0</v>
      </c>
      <c r="AD838" s="1">
        <v>7500.0</v>
      </c>
      <c r="AE838" s="1" t="s">
        <v>40</v>
      </c>
      <c r="AF838" s="1">
        <v>2.0141854E7</v>
      </c>
      <c r="AG838" s="1" t="s">
        <v>392</v>
      </c>
      <c r="AH838" s="1">
        <v>10.0</v>
      </c>
      <c r="AI838" s="1">
        <v>2013.0</v>
      </c>
      <c r="AJ838" s="1">
        <v>2014.0</v>
      </c>
      <c r="AK838" s="1" t="s">
        <v>1109</v>
      </c>
    </row>
    <row r="839">
      <c r="A839" s="1" t="s">
        <v>2029</v>
      </c>
      <c r="B839" s="1" t="s">
        <v>2029</v>
      </c>
      <c r="C839" s="1" t="s">
        <v>389</v>
      </c>
      <c r="E839" s="1">
        <v>2881903.0</v>
      </c>
      <c r="F839" s="2">
        <v>41548.0</v>
      </c>
      <c r="G839" s="1" t="s">
        <v>390</v>
      </c>
      <c r="I839" s="1" t="s">
        <v>390</v>
      </c>
      <c r="L839" s="1" t="s">
        <v>391</v>
      </c>
      <c r="M839" s="1">
        <v>1600.0</v>
      </c>
      <c r="N839" s="1" t="s">
        <v>391</v>
      </c>
      <c r="O839" s="1">
        <v>4.6842605E7</v>
      </c>
      <c r="P839" s="1" t="s">
        <v>165</v>
      </c>
      <c r="Q839" s="1" t="s">
        <v>166</v>
      </c>
      <c r="R839" s="1" t="s">
        <v>167</v>
      </c>
      <c r="S839" s="1" t="s">
        <v>44</v>
      </c>
      <c r="T839" s="1" t="s">
        <v>45</v>
      </c>
      <c r="U839" s="1">
        <v>4.82074544E8</v>
      </c>
      <c r="W839" s="1" t="s">
        <v>46</v>
      </c>
      <c r="X839" s="1" t="s">
        <v>45</v>
      </c>
      <c r="Y839" s="1">
        <v>4.82074544E8</v>
      </c>
      <c r="AB839" s="1">
        <v>558792.0</v>
      </c>
      <c r="AC839" s="2">
        <v>41548.0</v>
      </c>
      <c r="AD839" s="1">
        <v>1600.0</v>
      </c>
      <c r="AE839" s="1" t="s">
        <v>391</v>
      </c>
      <c r="AF839" s="1">
        <v>2.0141854E7</v>
      </c>
      <c r="AG839" s="1" t="s">
        <v>390</v>
      </c>
      <c r="AH839" s="1">
        <v>10.0</v>
      </c>
      <c r="AI839" s="1">
        <v>2013.0</v>
      </c>
      <c r="AJ839" s="1">
        <v>2014.0</v>
      </c>
      <c r="AK839" s="1" t="s">
        <v>393</v>
      </c>
    </row>
    <row r="840">
      <c r="A840" s="1" t="s">
        <v>2045</v>
      </c>
      <c r="B840" s="1" t="s">
        <v>2045</v>
      </c>
      <c r="C840" s="1">
        <v>7545.0</v>
      </c>
      <c r="E840" s="1">
        <v>835265.0</v>
      </c>
      <c r="F840" s="2">
        <v>41548.0</v>
      </c>
      <c r="G840" s="1" t="s">
        <v>2046</v>
      </c>
      <c r="I840" s="1" t="s">
        <v>2046</v>
      </c>
      <c r="L840" s="1" t="s">
        <v>40</v>
      </c>
      <c r="M840" s="1">
        <v>7500.0</v>
      </c>
      <c r="N840" s="1" t="s">
        <v>40</v>
      </c>
      <c r="O840" s="1">
        <v>4.6842605E7</v>
      </c>
      <c r="P840" s="1" t="s">
        <v>165</v>
      </c>
      <c r="Q840" s="1" t="s">
        <v>166</v>
      </c>
      <c r="R840" s="1" t="s">
        <v>167</v>
      </c>
      <c r="S840" s="1" t="s">
        <v>44</v>
      </c>
      <c r="T840" s="1" t="s">
        <v>45</v>
      </c>
      <c r="U840" s="1">
        <v>4.82074544E8</v>
      </c>
      <c r="W840" s="1" t="s">
        <v>46</v>
      </c>
      <c r="X840" s="1" t="s">
        <v>45</v>
      </c>
      <c r="Y840" s="1">
        <v>4.82074544E8</v>
      </c>
      <c r="AB840" s="1">
        <v>26222.0</v>
      </c>
      <c r="AC840" s="2">
        <v>41548.0</v>
      </c>
      <c r="AD840" s="1">
        <v>7500.0</v>
      </c>
      <c r="AE840" s="1" t="s">
        <v>40</v>
      </c>
      <c r="AF840" s="1">
        <v>2.0141854E7</v>
      </c>
      <c r="AG840" s="1" t="s">
        <v>2047</v>
      </c>
      <c r="AH840" s="1">
        <v>10.0</v>
      </c>
      <c r="AI840" s="1">
        <v>2011.0</v>
      </c>
      <c r="AJ840" s="1">
        <v>2014.0</v>
      </c>
      <c r="AK840" s="1" t="s">
        <v>2048</v>
      </c>
    </row>
    <row r="841">
      <c r="A841" s="1" t="s">
        <v>1981</v>
      </c>
      <c r="B841" s="1" t="s">
        <v>1981</v>
      </c>
      <c r="C841" s="1" t="s">
        <v>63</v>
      </c>
      <c r="E841" s="1">
        <v>899959.0</v>
      </c>
      <c r="F841" s="2">
        <v>41183.0</v>
      </c>
      <c r="G841" s="1" t="s">
        <v>1982</v>
      </c>
      <c r="I841" s="1" t="s">
        <v>1982</v>
      </c>
      <c r="L841" s="1" t="s">
        <v>40</v>
      </c>
      <c r="M841" s="1">
        <v>7500.0</v>
      </c>
      <c r="N841" s="1" t="s">
        <v>40</v>
      </c>
      <c r="O841" s="1">
        <v>3.8775243E7</v>
      </c>
      <c r="P841" s="1" t="s">
        <v>209</v>
      </c>
      <c r="Q841" s="1" t="s">
        <v>210</v>
      </c>
      <c r="R841" s="1" t="s">
        <v>211</v>
      </c>
      <c r="S841" s="1" t="s">
        <v>44</v>
      </c>
      <c r="T841" s="1" t="s">
        <v>45</v>
      </c>
      <c r="U841" s="1">
        <v>4.82023068E8</v>
      </c>
      <c r="W841" s="1" t="s">
        <v>46</v>
      </c>
      <c r="X841" s="1" t="s">
        <v>45</v>
      </c>
      <c r="Y841" s="1">
        <v>4.82013096E8</v>
      </c>
      <c r="Z841" s="1">
        <v>3.8775243E7</v>
      </c>
      <c r="AA841" s="1" t="s">
        <v>209</v>
      </c>
      <c r="AB841" s="1">
        <v>121314.0</v>
      </c>
      <c r="AC841" s="2">
        <v>41183.0</v>
      </c>
      <c r="AD841" s="1">
        <v>7500.0</v>
      </c>
      <c r="AE841" s="1" t="s">
        <v>40</v>
      </c>
      <c r="AF841" s="1">
        <v>2.0131077E7</v>
      </c>
      <c r="AG841" s="1" t="s">
        <v>1983</v>
      </c>
      <c r="AH841" s="1">
        <v>10.0</v>
      </c>
      <c r="AI841" s="1">
        <v>2011.0</v>
      </c>
      <c r="AJ841" s="1">
        <v>2013.0</v>
      </c>
      <c r="AK841" s="1" t="s">
        <v>342</v>
      </c>
    </row>
    <row r="842">
      <c r="A842" s="1" t="s">
        <v>1981</v>
      </c>
      <c r="B842" s="1" t="s">
        <v>1981</v>
      </c>
      <c r="C842" s="1" t="s">
        <v>63</v>
      </c>
      <c r="E842" s="1">
        <v>899959.0</v>
      </c>
      <c r="F842" s="2">
        <v>41548.0</v>
      </c>
      <c r="G842" s="1" t="s">
        <v>1982</v>
      </c>
      <c r="I842" s="1" t="s">
        <v>1982</v>
      </c>
      <c r="L842" s="1" t="s">
        <v>40</v>
      </c>
      <c r="M842" s="1">
        <v>7500.0</v>
      </c>
      <c r="N842" s="1" t="s">
        <v>40</v>
      </c>
      <c r="O842" s="1">
        <v>7.3134603E7</v>
      </c>
      <c r="P842" s="1" t="s">
        <v>41</v>
      </c>
      <c r="Q842" s="1" t="s">
        <v>252</v>
      </c>
      <c r="R842" s="1" t="s">
        <v>253</v>
      </c>
      <c r="S842" s="1" t="s">
        <v>44</v>
      </c>
      <c r="T842" s="1" t="s">
        <v>45</v>
      </c>
      <c r="U842" s="1">
        <v>4.8202345E8</v>
      </c>
      <c r="W842" s="1" t="s">
        <v>46</v>
      </c>
      <c r="X842" s="1" t="s">
        <v>45</v>
      </c>
      <c r="Y842" s="1">
        <v>4.8202345E8</v>
      </c>
      <c r="Z842" s="1">
        <v>7.3134603E7</v>
      </c>
      <c r="AA842" s="1" t="s">
        <v>41</v>
      </c>
      <c r="AB842" s="1">
        <v>4500.0</v>
      </c>
      <c r="AC842" s="2">
        <v>41548.0</v>
      </c>
      <c r="AD842" s="1">
        <v>7500.0</v>
      </c>
      <c r="AE842" s="1" t="s">
        <v>40</v>
      </c>
      <c r="AF842" s="1">
        <v>2.0140042E7</v>
      </c>
      <c r="AG842" s="1" t="s">
        <v>1983</v>
      </c>
      <c r="AH842" s="1">
        <v>10.0</v>
      </c>
      <c r="AI842" s="1">
        <v>2011.0</v>
      </c>
      <c r="AJ842" s="1">
        <v>2014.0</v>
      </c>
      <c r="AK842" s="1" t="s">
        <v>342</v>
      </c>
    </row>
    <row r="843">
      <c r="A843" s="1" t="s">
        <v>1981</v>
      </c>
      <c r="B843" s="1" t="s">
        <v>1981</v>
      </c>
      <c r="C843" s="1" t="s">
        <v>63</v>
      </c>
      <c r="E843" s="1">
        <v>899959.0</v>
      </c>
      <c r="F843" s="2">
        <v>41183.0</v>
      </c>
      <c r="G843" s="1" t="s">
        <v>1982</v>
      </c>
      <c r="I843" s="1" t="s">
        <v>1982</v>
      </c>
      <c r="L843" s="1" t="s">
        <v>40</v>
      </c>
      <c r="M843" s="1">
        <v>7500.0</v>
      </c>
      <c r="N843" s="1" t="s">
        <v>40</v>
      </c>
      <c r="O843" s="1">
        <v>3.8775243E7</v>
      </c>
      <c r="P843" s="1" t="s">
        <v>209</v>
      </c>
      <c r="Q843" s="1" t="s">
        <v>210</v>
      </c>
      <c r="R843" s="1" t="s">
        <v>211</v>
      </c>
      <c r="S843" s="1" t="s">
        <v>44</v>
      </c>
      <c r="T843" s="1" t="s">
        <v>45</v>
      </c>
      <c r="U843" s="1">
        <v>4.82023068E8</v>
      </c>
      <c r="W843" s="1" t="s">
        <v>46</v>
      </c>
      <c r="X843" s="1" t="s">
        <v>45</v>
      </c>
      <c r="Y843" s="1">
        <v>4.82013096E8</v>
      </c>
      <c r="Z843" s="1">
        <v>3.8775243E7</v>
      </c>
      <c r="AA843" s="1" t="s">
        <v>209</v>
      </c>
      <c r="AB843" s="1">
        <v>7736.0</v>
      </c>
      <c r="AC843" s="2">
        <v>41183.0</v>
      </c>
      <c r="AD843" s="1">
        <v>7500.0</v>
      </c>
      <c r="AE843" s="1" t="s">
        <v>40</v>
      </c>
      <c r="AF843" s="1">
        <v>2.013109E7</v>
      </c>
      <c r="AG843" s="1" t="s">
        <v>1983</v>
      </c>
      <c r="AH843" s="1">
        <v>10.0</v>
      </c>
      <c r="AI843" s="1">
        <v>2011.0</v>
      </c>
      <c r="AJ843" s="1">
        <v>2013.0</v>
      </c>
      <c r="AK843" s="1" t="s">
        <v>342</v>
      </c>
    </row>
    <row r="844">
      <c r="A844" s="1" t="s">
        <v>1981</v>
      </c>
      <c r="B844" s="1" t="s">
        <v>1981</v>
      </c>
      <c r="C844" s="1" t="s">
        <v>63</v>
      </c>
      <c r="E844" s="1">
        <v>899959.0</v>
      </c>
      <c r="F844" s="2">
        <v>41183.0</v>
      </c>
      <c r="G844" s="1" t="s">
        <v>1982</v>
      </c>
      <c r="I844" s="1" t="s">
        <v>1982</v>
      </c>
      <c r="L844" s="1" t="s">
        <v>40</v>
      </c>
      <c r="M844" s="1">
        <v>7500.0</v>
      </c>
      <c r="N844" s="1" t="s">
        <v>40</v>
      </c>
      <c r="O844" s="1">
        <v>1.68159296E8</v>
      </c>
      <c r="P844" s="1" t="s">
        <v>1392</v>
      </c>
      <c r="Q844" s="1" t="s">
        <v>1993</v>
      </c>
      <c r="R844" s="1" t="s">
        <v>1994</v>
      </c>
      <c r="S844" s="1" t="s">
        <v>44</v>
      </c>
      <c r="T844" s="1" t="s">
        <v>45</v>
      </c>
      <c r="U844" s="1">
        <v>4.82012013E8</v>
      </c>
      <c r="W844" s="1" t="s">
        <v>46</v>
      </c>
      <c r="X844" s="1" t="s">
        <v>45</v>
      </c>
      <c r="Y844" s="1">
        <v>4.82012013E8</v>
      </c>
      <c r="Z844" s="1">
        <v>6.8835099E7</v>
      </c>
      <c r="AA844" s="1" t="s">
        <v>1392</v>
      </c>
      <c r="AB844" s="1">
        <v>9000.0</v>
      </c>
      <c r="AC844" s="2">
        <v>41183.0</v>
      </c>
      <c r="AD844" s="1">
        <v>7500.0</v>
      </c>
      <c r="AE844" s="1" t="s">
        <v>40</v>
      </c>
      <c r="AF844" s="1">
        <v>2.013167E7</v>
      </c>
      <c r="AG844" s="1" t="s">
        <v>1983</v>
      </c>
      <c r="AH844" s="1">
        <v>10.0</v>
      </c>
      <c r="AI844" s="1">
        <v>2011.0</v>
      </c>
      <c r="AJ844" s="1">
        <v>2013.0</v>
      </c>
      <c r="AK844" s="1" t="s">
        <v>342</v>
      </c>
    </row>
    <row r="845">
      <c r="A845" s="1" t="s">
        <v>2049</v>
      </c>
      <c r="B845" s="1" t="s">
        <v>2049</v>
      </c>
      <c r="C845" s="1" t="s">
        <v>38</v>
      </c>
      <c r="E845" s="1">
        <v>562558.0</v>
      </c>
      <c r="F845" s="2">
        <v>41946.0</v>
      </c>
      <c r="G845" s="1" t="s">
        <v>2050</v>
      </c>
      <c r="I845" s="1" t="s">
        <v>2050</v>
      </c>
      <c r="L845" s="1" t="s">
        <v>40</v>
      </c>
      <c r="M845" s="1">
        <v>7500.0</v>
      </c>
      <c r="N845" s="1" t="s">
        <v>40</v>
      </c>
      <c r="O845" s="1">
        <v>1962224.0</v>
      </c>
      <c r="P845" s="1" t="s">
        <v>52</v>
      </c>
      <c r="R845" s="1" t="s">
        <v>1885</v>
      </c>
      <c r="S845" s="1" t="s">
        <v>44</v>
      </c>
      <c r="T845" s="1" t="s">
        <v>45</v>
      </c>
      <c r="U845" s="1">
        <v>4.82021347E8</v>
      </c>
      <c r="W845" s="1" t="s">
        <v>46</v>
      </c>
      <c r="X845" s="1" t="s">
        <v>45</v>
      </c>
      <c r="Y845" s="1">
        <v>4.8202405E8</v>
      </c>
      <c r="Z845" s="1">
        <v>1962224.0</v>
      </c>
      <c r="AA845" s="1" t="s">
        <v>52</v>
      </c>
      <c r="AB845" s="1">
        <v>152500.0</v>
      </c>
      <c r="AC845" s="2">
        <v>41946.0</v>
      </c>
      <c r="AD845" s="1">
        <v>7500.0</v>
      </c>
      <c r="AE845" s="1" t="s">
        <v>40</v>
      </c>
      <c r="AF845" s="1" t="s">
        <v>2051</v>
      </c>
      <c r="AG845" s="1" t="s">
        <v>2052</v>
      </c>
      <c r="AH845" s="1">
        <v>12.0</v>
      </c>
      <c r="AI845" s="1">
        <v>2014.0</v>
      </c>
      <c r="AJ845" s="1">
        <v>2015.0</v>
      </c>
      <c r="AK845" s="1" t="s">
        <v>2053</v>
      </c>
    </row>
    <row r="846">
      <c r="A846" s="1" t="s">
        <v>2011</v>
      </c>
      <c r="B846" s="1" t="s">
        <v>2011</v>
      </c>
      <c r="C846" s="1" t="s">
        <v>159</v>
      </c>
      <c r="E846" s="1">
        <v>522539.0</v>
      </c>
      <c r="F846" s="2">
        <v>41548.0</v>
      </c>
      <c r="G846" s="1" t="s">
        <v>2012</v>
      </c>
      <c r="I846" s="1" t="s">
        <v>2012</v>
      </c>
      <c r="L846" s="1" t="s">
        <v>40</v>
      </c>
      <c r="M846" s="1">
        <v>7500.0</v>
      </c>
      <c r="N846" s="1" t="s">
        <v>40</v>
      </c>
      <c r="O846" s="1">
        <v>3.8775243E7</v>
      </c>
      <c r="P846" s="1" t="s">
        <v>209</v>
      </c>
      <c r="Q846" s="1" t="s">
        <v>210</v>
      </c>
      <c r="R846" s="1" t="s">
        <v>211</v>
      </c>
      <c r="S846" s="1" t="s">
        <v>44</v>
      </c>
      <c r="T846" s="1" t="s">
        <v>45</v>
      </c>
      <c r="U846" s="1">
        <v>4.82023068E8</v>
      </c>
      <c r="W846" s="1" t="s">
        <v>46</v>
      </c>
      <c r="X846" s="1" t="s">
        <v>45</v>
      </c>
      <c r="Y846" s="1">
        <v>4.82023068E8</v>
      </c>
      <c r="Z846" s="1">
        <v>3.8775243E7</v>
      </c>
      <c r="AA846" s="1" t="s">
        <v>209</v>
      </c>
      <c r="AB846" s="1">
        <v>1360.0</v>
      </c>
      <c r="AC846" s="2">
        <v>41548.0</v>
      </c>
      <c r="AD846" s="1">
        <v>7500.0</v>
      </c>
      <c r="AE846" s="1" t="s">
        <v>40</v>
      </c>
      <c r="AF846" s="1">
        <v>2.01407E7</v>
      </c>
      <c r="AG846" s="1" t="s">
        <v>2013</v>
      </c>
      <c r="AH846" s="1">
        <v>10.0</v>
      </c>
      <c r="AI846" s="1">
        <v>2011.0</v>
      </c>
      <c r="AJ846" s="1">
        <v>2014.0</v>
      </c>
      <c r="AK846" s="1" t="s">
        <v>162</v>
      </c>
    </row>
    <row r="847">
      <c r="A847" s="1" t="s">
        <v>2054</v>
      </c>
      <c r="B847" s="1" t="s">
        <v>2054</v>
      </c>
      <c r="C847" s="1" t="s">
        <v>224</v>
      </c>
      <c r="E847" s="1">
        <v>629967.0</v>
      </c>
      <c r="F847" s="2">
        <v>41942.0</v>
      </c>
      <c r="G847" s="1" t="s">
        <v>2055</v>
      </c>
      <c r="I847" s="1" t="s">
        <v>2055</v>
      </c>
      <c r="L847" s="1" t="s">
        <v>151</v>
      </c>
      <c r="M847" s="1">
        <v>6900.0</v>
      </c>
      <c r="N847" s="1" t="s">
        <v>151</v>
      </c>
      <c r="O847" s="1">
        <v>3.3334835E7</v>
      </c>
      <c r="P847" s="1" t="s">
        <v>1796</v>
      </c>
      <c r="Q847" s="1" t="s">
        <v>2056</v>
      </c>
      <c r="R847" s="1" t="s">
        <v>2057</v>
      </c>
      <c r="S847" s="1" t="s">
        <v>44</v>
      </c>
      <c r="T847" s="1" t="s">
        <v>45</v>
      </c>
      <c r="U847" s="1">
        <v>4.82262301E8</v>
      </c>
      <c r="W847" s="1" t="s">
        <v>46</v>
      </c>
      <c r="X847" s="1" t="s">
        <v>45</v>
      </c>
      <c r="Y847" s="1">
        <v>4.82262301E8</v>
      </c>
      <c r="Z847" s="1">
        <v>7.3134884E7</v>
      </c>
      <c r="AA847" s="1" t="s">
        <v>1796</v>
      </c>
      <c r="AB847" s="1">
        <v>629967.0</v>
      </c>
      <c r="AC847" s="2">
        <v>41942.0</v>
      </c>
      <c r="AD847" s="1">
        <v>6900.0</v>
      </c>
      <c r="AE847" s="1" t="s">
        <v>151</v>
      </c>
      <c r="AF847" s="1">
        <v>145616.0</v>
      </c>
      <c r="AG847" s="1" t="s">
        <v>2058</v>
      </c>
      <c r="AH847" s="1">
        <v>11.0</v>
      </c>
      <c r="AI847" s="1">
        <v>2014.0</v>
      </c>
      <c r="AJ847" s="1">
        <v>2015.0</v>
      </c>
      <c r="AK847" s="1" t="s">
        <v>229</v>
      </c>
    </row>
    <row r="848">
      <c r="A848" s="1" t="s">
        <v>2016</v>
      </c>
      <c r="B848" s="1" t="s">
        <v>2016</v>
      </c>
      <c r="C848" s="1" t="s">
        <v>159</v>
      </c>
      <c r="E848" s="1">
        <v>1375382.0</v>
      </c>
      <c r="F848" s="2">
        <v>41913.0</v>
      </c>
      <c r="G848" s="1" t="s">
        <v>2017</v>
      </c>
      <c r="I848" s="1" t="s">
        <v>2017</v>
      </c>
      <c r="L848" s="1" t="s">
        <v>40</v>
      </c>
      <c r="M848" s="1">
        <v>7500.0</v>
      </c>
      <c r="N848" s="1" t="s">
        <v>40</v>
      </c>
      <c r="O848" s="1">
        <v>6.0932517E7</v>
      </c>
      <c r="P848" s="1" t="s">
        <v>2018</v>
      </c>
      <c r="R848" s="1" t="s">
        <v>2019</v>
      </c>
      <c r="S848" s="1" t="s">
        <v>44</v>
      </c>
      <c r="T848" s="1" t="s">
        <v>45</v>
      </c>
      <c r="U848" s="1">
        <v>4.82352708E8</v>
      </c>
      <c r="W848" s="1" t="s">
        <v>46</v>
      </c>
      <c r="X848" s="1" t="s">
        <v>45</v>
      </c>
      <c r="Y848" s="1">
        <v>4.82352708E8</v>
      </c>
      <c r="AB848" s="1">
        <v>12500.0</v>
      </c>
      <c r="AC848" s="2">
        <v>41913.0</v>
      </c>
      <c r="AD848" s="1">
        <v>7500.0</v>
      </c>
      <c r="AE848" s="1" t="s">
        <v>40</v>
      </c>
      <c r="AF848" s="1">
        <v>2.0150157E7</v>
      </c>
      <c r="AG848" s="1" t="s">
        <v>2020</v>
      </c>
      <c r="AH848" s="1">
        <v>10.0</v>
      </c>
      <c r="AI848" s="1">
        <v>2011.0</v>
      </c>
      <c r="AJ848" s="1">
        <v>2015.0</v>
      </c>
      <c r="AK848" s="1" t="s">
        <v>2021</v>
      </c>
    </row>
    <row r="849">
      <c r="A849" s="1" t="s">
        <v>2000</v>
      </c>
      <c r="B849" s="1" t="s">
        <v>2000</v>
      </c>
      <c r="C849" s="1" t="s">
        <v>964</v>
      </c>
      <c r="E849" s="1">
        <v>299822.0</v>
      </c>
      <c r="F849" s="2">
        <v>41548.0</v>
      </c>
      <c r="G849" s="1" t="s">
        <v>2001</v>
      </c>
      <c r="I849" s="1" t="s">
        <v>2001</v>
      </c>
      <c r="L849" s="1" t="s">
        <v>40</v>
      </c>
      <c r="M849" s="1">
        <v>7500.0</v>
      </c>
      <c r="N849" s="1" t="s">
        <v>40</v>
      </c>
      <c r="O849" s="1">
        <v>1.41947783E8</v>
      </c>
      <c r="P849" s="1" t="s">
        <v>144</v>
      </c>
      <c r="Q849" s="1" t="s">
        <v>2059</v>
      </c>
      <c r="R849" s="1" t="s">
        <v>145</v>
      </c>
      <c r="S849" s="1" t="s">
        <v>44</v>
      </c>
      <c r="T849" s="1" t="s">
        <v>45</v>
      </c>
      <c r="U849" s="1">
        <v>4.82362148E8</v>
      </c>
      <c r="W849" s="1" t="s">
        <v>1454</v>
      </c>
      <c r="X849" s="1" t="s">
        <v>45</v>
      </c>
      <c r="Y849" s="1">
        <v>4.80922468E8</v>
      </c>
      <c r="Z849" s="1">
        <v>5.1214708E7</v>
      </c>
      <c r="AA849" s="1" t="s">
        <v>2060</v>
      </c>
      <c r="AB849" s="1">
        <v>625.0</v>
      </c>
      <c r="AC849" s="2">
        <v>41548.0</v>
      </c>
      <c r="AD849" s="1">
        <v>7500.0</v>
      </c>
      <c r="AE849" s="1" t="s">
        <v>40</v>
      </c>
      <c r="AF849" s="1">
        <v>2.0140231E7</v>
      </c>
      <c r="AG849" s="1" t="s">
        <v>2002</v>
      </c>
      <c r="AH849" s="1">
        <v>10.0</v>
      </c>
      <c r="AI849" s="1">
        <v>2013.0</v>
      </c>
      <c r="AJ849" s="1">
        <v>2014.0</v>
      </c>
      <c r="AK849" s="1" t="s">
        <v>1439</v>
      </c>
    </row>
    <row r="850">
      <c r="A850" s="1" t="s">
        <v>2061</v>
      </c>
      <c r="B850" s="1" t="s">
        <v>2061</v>
      </c>
      <c r="C850" s="1">
        <v>7545.0</v>
      </c>
      <c r="E850" s="1">
        <v>4637617.0</v>
      </c>
      <c r="F850" s="2">
        <v>41548.0</v>
      </c>
      <c r="G850" s="1" t="s">
        <v>2062</v>
      </c>
      <c r="I850" s="1" t="s">
        <v>2062</v>
      </c>
      <c r="L850" s="1" t="s">
        <v>40</v>
      </c>
      <c r="M850" s="1">
        <v>7500.0</v>
      </c>
      <c r="N850" s="1" t="s">
        <v>40</v>
      </c>
      <c r="O850" s="1">
        <v>4.6842605E7</v>
      </c>
      <c r="P850" s="1" t="s">
        <v>165</v>
      </c>
      <c r="Q850" s="1" t="s">
        <v>166</v>
      </c>
      <c r="R850" s="1" t="s">
        <v>167</v>
      </c>
      <c r="S850" s="1" t="s">
        <v>44</v>
      </c>
      <c r="T850" s="1" t="s">
        <v>45</v>
      </c>
      <c r="U850" s="1">
        <v>4.82074544E8</v>
      </c>
      <c r="W850" s="1" t="s">
        <v>46</v>
      </c>
      <c r="X850" s="1" t="s">
        <v>45</v>
      </c>
      <c r="Y850" s="1">
        <v>4.82074544E8</v>
      </c>
      <c r="AB850" s="1">
        <v>436935.0</v>
      </c>
      <c r="AC850" s="2">
        <v>41548.0</v>
      </c>
      <c r="AD850" s="1">
        <v>7500.0</v>
      </c>
      <c r="AE850" s="1" t="s">
        <v>40</v>
      </c>
      <c r="AF850" s="1">
        <v>2.0141854E7</v>
      </c>
      <c r="AG850" s="1" t="s">
        <v>392</v>
      </c>
      <c r="AH850" s="1">
        <v>10.0</v>
      </c>
      <c r="AI850" s="1">
        <v>2013.0</v>
      </c>
      <c r="AJ850" s="1">
        <v>2014.0</v>
      </c>
      <c r="AK850" s="1" t="s">
        <v>2063</v>
      </c>
    </row>
    <row r="851">
      <c r="A851" s="1" t="s">
        <v>2064</v>
      </c>
      <c r="B851" s="1" t="s">
        <v>2064</v>
      </c>
      <c r="C851" s="1" t="s">
        <v>224</v>
      </c>
      <c r="E851" s="1">
        <v>648300.0</v>
      </c>
      <c r="F851" s="2">
        <v>41942.0</v>
      </c>
      <c r="G851" s="1" t="s">
        <v>2065</v>
      </c>
      <c r="I851" s="1" t="s">
        <v>2065</v>
      </c>
      <c r="L851" s="1" t="s">
        <v>151</v>
      </c>
      <c r="M851" s="1">
        <v>6900.0</v>
      </c>
      <c r="N851" s="1" t="s">
        <v>151</v>
      </c>
      <c r="O851" s="1">
        <v>9.63886101E8</v>
      </c>
      <c r="P851" s="1" t="s">
        <v>259</v>
      </c>
      <c r="Q851" s="1" t="s">
        <v>1795</v>
      </c>
      <c r="R851" s="1" t="s">
        <v>260</v>
      </c>
      <c r="S851" s="1" t="s">
        <v>44</v>
      </c>
      <c r="T851" s="1" t="s">
        <v>45</v>
      </c>
      <c r="U851" s="1">
        <v>4.8226348E8</v>
      </c>
      <c r="W851" s="1" t="s">
        <v>46</v>
      </c>
      <c r="X851" s="1" t="s">
        <v>45</v>
      </c>
      <c r="Y851" s="1">
        <v>4.8226348E8</v>
      </c>
      <c r="Z851" s="1">
        <v>7.3134884E7</v>
      </c>
      <c r="AA851" s="1" t="s">
        <v>1796</v>
      </c>
      <c r="AB851" s="1">
        <v>648300.49</v>
      </c>
      <c r="AC851" s="2">
        <v>41942.0</v>
      </c>
      <c r="AD851" s="1">
        <v>6900.0</v>
      </c>
      <c r="AE851" s="1" t="s">
        <v>151</v>
      </c>
      <c r="AF851" s="1">
        <v>145615.0</v>
      </c>
      <c r="AG851" s="1" t="s">
        <v>2066</v>
      </c>
      <c r="AH851" s="1">
        <v>11.0</v>
      </c>
      <c r="AI851" s="1">
        <v>2014.0</v>
      </c>
      <c r="AJ851" s="1">
        <v>2015.0</v>
      </c>
      <c r="AK851" s="1" t="s">
        <v>229</v>
      </c>
    </row>
    <row r="852">
      <c r="A852" s="1" t="s">
        <v>2067</v>
      </c>
      <c r="B852" s="1" t="s">
        <v>2067</v>
      </c>
      <c r="C852" s="1">
        <v>7545.0</v>
      </c>
      <c r="E852" s="1">
        <v>510772.0</v>
      </c>
      <c r="F852" s="2">
        <v>41548.0</v>
      </c>
      <c r="G852" s="1" t="s">
        <v>2068</v>
      </c>
      <c r="I852" s="1" t="s">
        <v>2068</v>
      </c>
      <c r="L852" s="1" t="s">
        <v>40</v>
      </c>
      <c r="M852" s="1">
        <v>7500.0</v>
      </c>
      <c r="N852" s="1" t="s">
        <v>40</v>
      </c>
      <c r="O852" s="1">
        <v>4.6842605E7</v>
      </c>
      <c r="P852" s="1" t="s">
        <v>165</v>
      </c>
      <c r="Q852" s="1" t="s">
        <v>166</v>
      </c>
      <c r="R852" s="1" t="s">
        <v>167</v>
      </c>
      <c r="S852" s="1" t="s">
        <v>44</v>
      </c>
      <c r="T852" s="1" t="s">
        <v>45</v>
      </c>
      <c r="U852" s="1">
        <v>4.82074544E8</v>
      </c>
      <c r="W852" s="1" t="s">
        <v>46</v>
      </c>
      <c r="X852" s="1" t="s">
        <v>45</v>
      </c>
      <c r="Y852" s="1">
        <v>4.82074544E8</v>
      </c>
      <c r="AB852" s="1">
        <v>18349.0</v>
      </c>
      <c r="AC852" s="2">
        <v>41548.0</v>
      </c>
      <c r="AD852" s="1">
        <v>7500.0</v>
      </c>
      <c r="AE852" s="1" t="s">
        <v>40</v>
      </c>
      <c r="AF852" s="1">
        <v>2.0141854E7</v>
      </c>
      <c r="AG852" s="1" t="s">
        <v>392</v>
      </c>
      <c r="AH852" s="1">
        <v>10.0</v>
      </c>
      <c r="AI852" s="1">
        <v>2013.0</v>
      </c>
      <c r="AJ852" s="1">
        <v>2014.0</v>
      </c>
      <c r="AK852" s="1" t="s">
        <v>1139</v>
      </c>
    </row>
    <row r="853">
      <c r="A853" s="1" t="s">
        <v>2069</v>
      </c>
      <c r="B853" s="1" t="s">
        <v>2069</v>
      </c>
      <c r="C853" s="1">
        <v>7545.0</v>
      </c>
      <c r="E853" s="1">
        <v>2650059.0</v>
      </c>
      <c r="F853" s="2">
        <v>41913.0</v>
      </c>
      <c r="G853" s="1" t="s">
        <v>2070</v>
      </c>
      <c r="I853" s="1" t="s">
        <v>2070</v>
      </c>
      <c r="L853" s="1" t="s">
        <v>40</v>
      </c>
      <c r="M853" s="1">
        <v>7500.0</v>
      </c>
      <c r="N853" s="1" t="s">
        <v>40</v>
      </c>
      <c r="O853" s="1">
        <v>4.6842605E7</v>
      </c>
      <c r="P853" s="1" t="s">
        <v>165</v>
      </c>
      <c r="Q853" s="1" t="s">
        <v>166</v>
      </c>
      <c r="R853" s="1" t="s">
        <v>167</v>
      </c>
      <c r="S853" s="1" t="s">
        <v>44</v>
      </c>
      <c r="T853" s="1" t="s">
        <v>45</v>
      </c>
      <c r="U853" s="1">
        <v>4.82074544E8</v>
      </c>
      <c r="W853" s="1" t="s">
        <v>46</v>
      </c>
      <c r="X853" s="1" t="s">
        <v>45</v>
      </c>
      <c r="Y853" s="1">
        <v>4.82074544E8</v>
      </c>
      <c r="AB853" s="1">
        <v>237174.54</v>
      </c>
      <c r="AC853" s="2">
        <v>41913.0</v>
      </c>
      <c r="AD853" s="1">
        <v>7500.0</v>
      </c>
      <c r="AE853" s="1" t="s">
        <v>40</v>
      </c>
      <c r="AF853" s="1">
        <v>2.0152003E7</v>
      </c>
      <c r="AG853" s="1" t="s">
        <v>392</v>
      </c>
      <c r="AH853" s="1">
        <v>10.0</v>
      </c>
      <c r="AI853" s="1">
        <v>2014.0</v>
      </c>
      <c r="AJ853" s="1">
        <v>2015.0</v>
      </c>
      <c r="AK853" s="1" t="s">
        <v>1109</v>
      </c>
    </row>
    <row r="854">
      <c r="A854" s="1" t="s">
        <v>2071</v>
      </c>
      <c r="B854" s="1" t="s">
        <v>2071</v>
      </c>
      <c r="C854" s="1" t="s">
        <v>224</v>
      </c>
      <c r="E854" s="1">
        <v>98820.0</v>
      </c>
      <c r="F854" s="2">
        <v>41942.0</v>
      </c>
      <c r="G854" s="1" t="s">
        <v>2065</v>
      </c>
      <c r="I854" s="1" t="s">
        <v>2065</v>
      </c>
      <c r="L854" s="1" t="s">
        <v>151</v>
      </c>
      <c r="M854" s="1">
        <v>6900.0</v>
      </c>
      <c r="N854" s="1" t="s">
        <v>151</v>
      </c>
      <c r="O854" s="1">
        <v>9.63886101E8</v>
      </c>
      <c r="P854" s="1" t="s">
        <v>259</v>
      </c>
      <c r="Q854" s="1" t="s">
        <v>1795</v>
      </c>
      <c r="R854" s="1" t="s">
        <v>260</v>
      </c>
      <c r="S854" s="1" t="s">
        <v>44</v>
      </c>
      <c r="T854" s="1" t="s">
        <v>45</v>
      </c>
      <c r="U854" s="1">
        <v>4.8226348E8</v>
      </c>
      <c r="W854" s="1" t="s">
        <v>46</v>
      </c>
      <c r="X854" s="1" t="s">
        <v>45</v>
      </c>
      <c r="Y854" s="1">
        <v>4.8226348E8</v>
      </c>
      <c r="Z854" s="1">
        <v>7.3134884E7</v>
      </c>
      <c r="AA854" s="1" t="s">
        <v>1796</v>
      </c>
      <c r="AB854" s="1">
        <v>98820.69</v>
      </c>
      <c r="AC854" s="2">
        <v>41942.0</v>
      </c>
      <c r="AD854" s="1">
        <v>6900.0</v>
      </c>
      <c r="AE854" s="1" t="s">
        <v>151</v>
      </c>
      <c r="AF854" s="1">
        <v>145615.0</v>
      </c>
      <c r="AG854" s="1" t="s">
        <v>2072</v>
      </c>
      <c r="AH854" s="1">
        <v>11.0</v>
      </c>
      <c r="AI854" s="1">
        <v>2014.0</v>
      </c>
      <c r="AJ854" s="1">
        <v>2015.0</v>
      </c>
      <c r="AK854" s="1" t="s">
        <v>229</v>
      </c>
    </row>
    <row r="855">
      <c r="A855" s="1" t="s">
        <v>2073</v>
      </c>
      <c r="B855" s="1" t="s">
        <v>2073</v>
      </c>
      <c r="C855" s="1" t="s">
        <v>224</v>
      </c>
      <c r="E855" s="1">
        <v>96070.0</v>
      </c>
      <c r="F855" s="2">
        <v>41942.0</v>
      </c>
      <c r="G855" s="1" t="s">
        <v>2055</v>
      </c>
      <c r="I855" s="1" t="s">
        <v>2055</v>
      </c>
      <c r="L855" s="1" t="s">
        <v>151</v>
      </c>
      <c r="M855" s="1">
        <v>6900.0</v>
      </c>
      <c r="N855" s="1" t="s">
        <v>151</v>
      </c>
      <c r="O855" s="1">
        <v>3.3334835E7</v>
      </c>
      <c r="P855" s="1" t="s">
        <v>1796</v>
      </c>
      <c r="Q855" s="1" t="s">
        <v>2056</v>
      </c>
      <c r="R855" s="1" t="s">
        <v>2057</v>
      </c>
      <c r="S855" s="1" t="s">
        <v>44</v>
      </c>
      <c r="T855" s="1" t="s">
        <v>45</v>
      </c>
      <c r="U855" s="1">
        <v>4.82262301E8</v>
      </c>
      <c r="W855" s="1" t="s">
        <v>46</v>
      </c>
      <c r="X855" s="1" t="s">
        <v>45</v>
      </c>
      <c r="Y855" s="1">
        <v>4.82262301E8</v>
      </c>
      <c r="Z855" s="1">
        <v>7.3134884E7</v>
      </c>
      <c r="AA855" s="1" t="s">
        <v>1796</v>
      </c>
      <c r="AB855" s="1">
        <v>96070.66</v>
      </c>
      <c r="AC855" s="2">
        <v>41942.0</v>
      </c>
      <c r="AD855" s="1">
        <v>6900.0</v>
      </c>
      <c r="AE855" s="1" t="s">
        <v>151</v>
      </c>
      <c r="AF855" s="1">
        <v>145616.0</v>
      </c>
      <c r="AG855" s="1" t="s">
        <v>2058</v>
      </c>
      <c r="AH855" s="1">
        <v>11.0</v>
      </c>
      <c r="AI855" s="1">
        <v>2014.0</v>
      </c>
      <c r="AJ855" s="1">
        <v>2015.0</v>
      </c>
      <c r="AK855" s="1" t="s">
        <v>229</v>
      </c>
    </row>
    <row r="856">
      <c r="A856" s="1" t="s">
        <v>2074</v>
      </c>
      <c r="B856" s="1" t="s">
        <v>2074</v>
      </c>
      <c r="C856" s="1">
        <v>7545.0</v>
      </c>
      <c r="E856" s="1">
        <v>907730.0</v>
      </c>
      <c r="F856" s="2">
        <v>41913.0</v>
      </c>
      <c r="G856" s="1" t="s">
        <v>2075</v>
      </c>
      <c r="I856" s="1" t="s">
        <v>2075</v>
      </c>
      <c r="L856" s="1" t="s">
        <v>40</v>
      </c>
      <c r="M856" s="1">
        <v>7500.0</v>
      </c>
      <c r="N856" s="1" t="s">
        <v>40</v>
      </c>
      <c r="O856" s="1">
        <v>4.6842605E7</v>
      </c>
      <c r="P856" s="1" t="s">
        <v>165</v>
      </c>
      <c r="Q856" s="1" t="s">
        <v>166</v>
      </c>
      <c r="R856" s="1" t="s">
        <v>167</v>
      </c>
      <c r="S856" s="1" t="s">
        <v>44</v>
      </c>
      <c r="T856" s="1" t="s">
        <v>45</v>
      </c>
      <c r="U856" s="1">
        <v>4.82074544E8</v>
      </c>
      <c r="W856" s="1" t="s">
        <v>46</v>
      </c>
      <c r="X856" s="1" t="s">
        <v>45</v>
      </c>
      <c r="Y856" s="1">
        <v>4.82074544E8</v>
      </c>
      <c r="AB856" s="1">
        <v>107647.85</v>
      </c>
      <c r="AC856" s="2">
        <v>41913.0</v>
      </c>
      <c r="AD856" s="1">
        <v>7500.0</v>
      </c>
      <c r="AE856" s="1" t="s">
        <v>40</v>
      </c>
      <c r="AF856" s="1">
        <v>2.0152003E7</v>
      </c>
      <c r="AG856" s="1" t="s">
        <v>392</v>
      </c>
      <c r="AH856" s="1">
        <v>10.0</v>
      </c>
      <c r="AI856" s="1">
        <v>2014.0</v>
      </c>
      <c r="AJ856" s="1">
        <v>2015.0</v>
      </c>
      <c r="AK856" s="1" t="s">
        <v>2063</v>
      </c>
    </row>
    <row r="857">
      <c r="A857" s="1" t="s">
        <v>1943</v>
      </c>
      <c r="B857" s="1" t="s">
        <v>1943</v>
      </c>
      <c r="C857" s="1" t="s">
        <v>85</v>
      </c>
      <c r="E857" s="1">
        <v>1.3010049E7</v>
      </c>
      <c r="F857" s="2">
        <v>41548.0</v>
      </c>
      <c r="G857" s="1" t="s">
        <v>1097</v>
      </c>
      <c r="I857" s="1" t="s">
        <v>1097</v>
      </c>
      <c r="L857" s="1" t="s">
        <v>40</v>
      </c>
      <c r="M857" s="1">
        <v>7500.0</v>
      </c>
      <c r="N857" s="1" t="s">
        <v>40</v>
      </c>
      <c r="O857" s="1">
        <v>7.914812E7</v>
      </c>
      <c r="P857" s="1" t="s">
        <v>1944</v>
      </c>
      <c r="R857" s="1" t="s">
        <v>1945</v>
      </c>
      <c r="S857" s="1" t="s">
        <v>44</v>
      </c>
      <c r="T857" s="1" t="s">
        <v>45</v>
      </c>
      <c r="U857" s="1">
        <v>4.820125E8</v>
      </c>
      <c r="W857" s="1" t="s">
        <v>46</v>
      </c>
      <c r="X857" s="1" t="s">
        <v>45</v>
      </c>
      <c r="Y857" s="1">
        <v>4.820125E8</v>
      </c>
      <c r="AB857" s="1">
        <v>1043582.0</v>
      </c>
      <c r="AC857" s="2">
        <v>41548.0</v>
      </c>
      <c r="AD857" s="1">
        <v>7500.0</v>
      </c>
      <c r="AE857" s="1" t="s">
        <v>40</v>
      </c>
      <c r="AF857" s="1">
        <v>2.0141656E7</v>
      </c>
      <c r="AG857" s="1" t="s">
        <v>1098</v>
      </c>
      <c r="AH857" s="1">
        <v>10.0</v>
      </c>
      <c r="AI857" s="1">
        <v>2011.0</v>
      </c>
      <c r="AJ857" s="1">
        <v>2014.0</v>
      </c>
      <c r="AK857" s="1" t="s">
        <v>1099</v>
      </c>
    </row>
    <row r="858">
      <c r="A858" s="1" t="s">
        <v>1943</v>
      </c>
      <c r="B858" s="1" t="s">
        <v>1943</v>
      </c>
      <c r="C858" s="1" t="s">
        <v>85</v>
      </c>
      <c r="E858" s="1">
        <v>1.3010049E7</v>
      </c>
      <c r="F858" s="2">
        <v>41548.0</v>
      </c>
      <c r="G858" s="1" t="s">
        <v>1097</v>
      </c>
      <c r="I858" s="1" t="s">
        <v>1097</v>
      </c>
      <c r="L858" s="1" t="s">
        <v>40</v>
      </c>
      <c r="M858" s="1">
        <v>7500.0</v>
      </c>
      <c r="N858" s="1" t="s">
        <v>40</v>
      </c>
      <c r="O858" s="1">
        <v>7.914812E7</v>
      </c>
      <c r="P858" s="1" t="s">
        <v>1944</v>
      </c>
      <c r="R858" s="1" t="s">
        <v>1945</v>
      </c>
      <c r="S858" s="1" t="s">
        <v>44</v>
      </c>
      <c r="T858" s="1" t="s">
        <v>45</v>
      </c>
      <c r="U858" s="1">
        <v>4.820125E8</v>
      </c>
      <c r="W858" s="1" t="s">
        <v>46</v>
      </c>
      <c r="X858" s="1" t="s">
        <v>45</v>
      </c>
      <c r="Y858" s="1">
        <v>4.820125E8</v>
      </c>
      <c r="AB858" s="1">
        <v>49000.0</v>
      </c>
      <c r="AC858" s="2">
        <v>41548.0</v>
      </c>
      <c r="AD858" s="1">
        <v>7500.0</v>
      </c>
      <c r="AE858" s="1" t="s">
        <v>40</v>
      </c>
      <c r="AF858" s="1">
        <v>2.0140669E7</v>
      </c>
      <c r="AG858" s="1" t="s">
        <v>1098</v>
      </c>
      <c r="AH858" s="1">
        <v>10.0</v>
      </c>
      <c r="AI858" s="1">
        <v>2011.0</v>
      </c>
      <c r="AJ858" s="1">
        <v>2014.0</v>
      </c>
      <c r="AK858" s="1" t="s">
        <v>1099</v>
      </c>
    </row>
    <row r="859">
      <c r="A859" s="1" t="s">
        <v>1943</v>
      </c>
      <c r="B859" s="1" t="s">
        <v>1943</v>
      </c>
      <c r="C859" s="1" t="s">
        <v>85</v>
      </c>
      <c r="E859" s="1">
        <v>1.3010049E7</v>
      </c>
      <c r="F859" s="2">
        <v>41548.0</v>
      </c>
      <c r="G859" s="1" t="s">
        <v>1097</v>
      </c>
      <c r="I859" s="1" t="s">
        <v>1097</v>
      </c>
      <c r="L859" s="1" t="s">
        <v>40</v>
      </c>
      <c r="M859" s="1">
        <v>7500.0</v>
      </c>
      <c r="N859" s="1" t="s">
        <v>40</v>
      </c>
      <c r="O859" s="1">
        <v>3.8775243E7</v>
      </c>
      <c r="P859" s="1" t="s">
        <v>209</v>
      </c>
      <c r="Q859" s="1" t="s">
        <v>210</v>
      </c>
      <c r="R859" s="1" t="s">
        <v>211</v>
      </c>
      <c r="S859" s="1" t="s">
        <v>44</v>
      </c>
      <c r="T859" s="1" t="s">
        <v>45</v>
      </c>
      <c r="U859" s="1">
        <v>4.82023068E8</v>
      </c>
      <c r="W859" s="1" t="s">
        <v>46</v>
      </c>
      <c r="X859" s="1" t="s">
        <v>45</v>
      </c>
      <c r="Y859" s="1">
        <v>4.82023068E8</v>
      </c>
      <c r="Z859" s="1">
        <v>3.8775243E7</v>
      </c>
      <c r="AA859" s="1" t="s">
        <v>209</v>
      </c>
      <c r="AB859" s="1">
        <v>39845.62</v>
      </c>
      <c r="AC859" s="2">
        <v>41548.0</v>
      </c>
      <c r="AD859" s="1">
        <v>7500.0</v>
      </c>
      <c r="AE859" s="1" t="s">
        <v>40</v>
      </c>
      <c r="AF859" s="1">
        <v>2.0140694E7</v>
      </c>
      <c r="AG859" s="1" t="s">
        <v>1098</v>
      </c>
      <c r="AH859" s="1">
        <v>10.0</v>
      </c>
      <c r="AI859" s="1">
        <v>2011.0</v>
      </c>
      <c r="AJ859" s="1">
        <v>2014.0</v>
      </c>
      <c r="AK859" s="1" t="s">
        <v>1099</v>
      </c>
    </row>
    <row r="860">
      <c r="A860" s="1" t="s">
        <v>1943</v>
      </c>
      <c r="B860" s="1" t="s">
        <v>1943</v>
      </c>
      <c r="C860" s="1" t="s">
        <v>85</v>
      </c>
      <c r="E860" s="1">
        <v>1.3010049E7</v>
      </c>
      <c r="F860" s="2">
        <v>41183.0</v>
      </c>
      <c r="G860" s="1" t="s">
        <v>1097</v>
      </c>
      <c r="I860" s="1" t="s">
        <v>1097</v>
      </c>
      <c r="L860" s="1" t="s">
        <v>40</v>
      </c>
      <c r="M860" s="1">
        <v>7500.0</v>
      </c>
      <c r="N860" s="1" t="s">
        <v>40</v>
      </c>
      <c r="O860" s="1">
        <v>3.8775243E7</v>
      </c>
      <c r="P860" s="1" t="s">
        <v>209</v>
      </c>
      <c r="Q860" s="1" t="s">
        <v>210</v>
      </c>
      <c r="R860" s="1" t="s">
        <v>211</v>
      </c>
      <c r="S860" s="1" t="s">
        <v>44</v>
      </c>
      <c r="T860" s="1" t="s">
        <v>45</v>
      </c>
      <c r="U860" s="1">
        <v>4.82023068E8</v>
      </c>
      <c r="W860" s="1" t="s">
        <v>46</v>
      </c>
      <c r="X860" s="1" t="s">
        <v>45</v>
      </c>
      <c r="Y860" s="1">
        <v>4.82023068E8</v>
      </c>
      <c r="Z860" s="1">
        <v>3.8775243E7</v>
      </c>
      <c r="AA860" s="1" t="s">
        <v>209</v>
      </c>
      <c r="AB860" s="1">
        <v>6838.0</v>
      </c>
      <c r="AC860" s="2">
        <v>41183.0</v>
      </c>
      <c r="AD860" s="1">
        <v>7500.0</v>
      </c>
      <c r="AE860" s="1" t="s">
        <v>40</v>
      </c>
      <c r="AF860" s="1">
        <v>2.0131086E7</v>
      </c>
      <c r="AG860" s="1" t="s">
        <v>1098</v>
      </c>
      <c r="AH860" s="1">
        <v>10.0</v>
      </c>
      <c r="AI860" s="1">
        <v>2011.0</v>
      </c>
      <c r="AJ860" s="1">
        <v>2013.0</v>
      </c>
      <c r="AK860" s="1" t="s">
        <v>1099</v>
      </c>
    </row>
    <row r="861">
      <c r="A861" s="1" t="s">
        <v>1949</v>
      </c>
      <c r="B861" s="1" t="s">
        <v>1949</v>
      </c>
      <c r="C861" s="1" t="s">
        <v>194</v>
      </c>
      <c r="E861" s="1">
        <v>3.78525088E8</v>
      </c>
      <c r="F861" s="2">
        <v>41584.0</v>
      </c>
      <c r="G861" s="1" t="s">
        <v>1950</v>
      </c>
      <c r="I861" s="1" t="s">
        <v>1950</v>
      </c>
      <c r="L861" s="1" t="s">
        <v>194</v>
      </c>
      <c r="M861" s="1">
        <v>9100.0</v>
      </c>
      <c r="N861" s="1" t="s">
        <v>194</v>
      </c>
      <c r="O861" s="1">
        <v>7.8346351E7</v>
      </c>
      <c r="P861" s="1" t="s">
        <v>615</v>
      </c>
      <c r="R861" s="1" t="s">
        <v>1708</v>
      </c>
      <c r="S861" s="1" t="s">
        <v>44</v>
      </c>
      <c r="T861" s="1" t="s">
        <v>45</v>
      </c>
      <c r="U861" s="1">
        <v>4.82074457E8</v>
      </c>
      <c r="W861" s="1" t="s">
        <v>46</v>
      </c>
      <c r="X861" s="1" t="s">
        <v>45</v>
      </c>
      <c r="Y861" s="1">
        <v>4.82023037E8</v>
      </c>
      <c r="AB861" s="1">
        <v>2671018.0</v>
      </c>
      <c r="AC861" s="2">
        <v>41584.0</v>
      </c>
      <c r="AD861" s="1">
        <v>9100.0</v>
      </c>
      <c r="AE861" s="1" t="s">
        <v>194</v>
      </c>
      <c r="AF861" s="1" t="s">
        <v>2076</v>
      </c>
      <c r="AG861" s="1" t="s">
        <v>1952</v>
      </c>
      <c r="AH861" s="1">
        <v>11.0</v>
      </c>
      <c r="AI861" s="1">
        <v>2014.0</v>
      </c>
      <c r="AJ861" s="1">
        <v>2014.0</v>
      </c>
      <c r="AK861" s="1" t="s">
        <v>1953</v>
      </c>
    </row>
    <row r="862">
      <c r="A862" s="1" t="s">
        <v>1943</v>
      </c>
      <c r="B862" s="1" t="s">
        <v>1943</v>
      </c>
      <c r="C862" s="1" t="s">
        <v>85</v>
      </c>
      <c r="E862" s="1">
        <v>1.3010049E7</v>
      </c>
      <c r="F862" s="2">
        <v>41548.0</v>
      </c>
      <c r="G862" s="1" t="s">
        <v>1097</v>
      </c>
      <c r="I862" s="1" t="s">
        <v>1097</v>
      </c>
      <c r="L862" s="1" t="s">
        <v>40</v>
      </c>
      <c r="M862" s="1">
        <v>7500.0</v>
      </c>
      <c r="N862" s="1" t="s">
        <v>40</v>
      </c>
      <c r="O862" s="1">
        <v>3.8775243E7</v>
      </c>
      <c r="P862" s="1" t="s">
        <v>209</v>
      </c>
      <c r="Q862" s="1" t="s">
        <v>210</v>
      </c>
      <c r="R862" s="1" t="s">
        <v>211</v>
      </c>
      <c r="S862" s="1" t="s">
        <v>44</v>
      </c>
      <c r="T862" s="1" t="s">
        <v>45</v>
      </c>
      <c r="U862" s="1">
        <v>4.82023068E8</v>
      </c>
      <c r="W862" s="1" t="s">
        <v>46</v>
      </c>
      <c r="X862" s="1" t="s">
        <v>45</v>
      </c>
      <c r="Y862" s="1">
        <v>4.82023068E8</v>
      </c>
      <c r="Z862" s="1">
        <v>3.8775243E7</v>
      </c>
      <c r="AA862" s="1" t="s">
        <v>209</v>
      </c>
      <c r="AB862" s="1">
        <v>142147.67</v>
      </c>
      <c r="AC862" s="2">
        <v>41548.0</v>
      </c>
      <c r="AD862" s="1">
        <v>7500.0</v>
      </c>
      <c r="AE862" s="1" t="s">
        <v>40</v>
      </c>
      <c r="AF862" s="1">
        <v>2.0140692E7</v>
      </c>
      <c r="AG862" s="1" t="s">
        <v>1098</v>
      </c>
      <c r="AH862" s="1">
        <v>10.0</v>
      </c>
      <c r="AI862" s="1">
        <v>2011.0</v>
      </c>
      <c r="AJ862" s="1">
        <v>2014.0</v>
      </c>
      <c r="AK862" s="1" t="s">
        <v>1099</v>
      </c>
    </row>
    <row r="863">
      <c r="A863" s="1" t="s">
        <v>1943</v>
      </c>
      <c r="B863" s="1" t="s">
        <v>1943</v>
      </c>
      <c r="C863" s="1" t="s">
        <v>85</v>
      </c>
      <c r="E863" s="1">
        <v>1.3010049E7</v>
      </c>
      <c r="F863" s="2">
        <v>41183.0</v>
      </c>
      <c r="G863" s="1" t="s">
        <v>1097</v>
      </c>
      <c r="I863" s="1" t="s">
        <v>1097</v>
      </c>
      <c r="L863" s="1" t="s">
        <v>40</v>
      </c>
      <c r="M863" s="1">
        <v>7500.0</v>
      </c>
      <c r="N863" s="1" t="s">
        <v>40</v>
      </c>
      <c r="O863" s="1">
        <v>3.8775243E7</v>
      </c>
      <c r="P863" s="1" t="s">
        <v>209</v>
      </c>
      <c r="Q863" s="1" t="s">
        <v>210</v>
      </c>
      <c r="R863" s="1" t="s">
        <v>211</v>
      </c>
      <c r="S863" s="1" t="s">
        <v>44</v>
      </c>
      <c r="T863" s="1" t="s">
        <v>45</v>
      </c>
      <c r="U863" s="1">
        <v>4.82023068E8</v>
      </c>
      <c r="W863" s="1" t="s">
        <v>46</v>
      </c>
      <c r="X863" s="1" t="s">
        <v>45</v>
      </c>
      <c r="Y863" s="1">
        <v>4.82023068E8</v>
      </c>
      <c r="Z863" s="1">
        <v>3.8775243E7</v>
      </c>
      <c r="AA863" s="1" t="s">
        <v>209</v>
      </c>
      <c r="AB863" s="1">
        <v>54127.27</v>
      </c>
      <c r="AC863" s="2">
        <v>41183.0</v>
      </c>
      <c r="AD863" s="1">
        <v>7500.0</v>
      </c>
      <c r="AE863" s="1" t="s">
        <v>40</v>
      </c>
      <c r="AF863" s="1">
        <v>2.0131084E7</v>
      </c>
      <c r="AG863" s="1" t="s">
        <v>1098</v>
      </c>
      <c r="AH863" s="1">
        <v>10.0</v>
      </c>
      <c r="AI863" s="1">
        <v>2011.0</v>
      </c>
      <c r="AJ863" s="1">
        <v>2013.0</v>
      </c>
      <c r="AK863" s="1" t="s">
        <v>1099</v>
      </c>
    </row>
    <row r="864">
      <c r="A864" s="1" t="s">
        <v>1943</v>
      </c>
      <c r="B864" s="1" t="s">
        <v>1943</v>
      </c>
      <c r="C864" s="1" t="s">
        <v>85</v>
      </c>
      <c r="E864" s="1">
        <v>1.3010049E7</v>
      </c>
      <c r="F864" s="2">
        <v>41183.0</v>
      </c>
      <c r="G864" s="1" t="s">
        <v>1097</v>
      </c>
      <c r="I864" s="1" t="s">
        <v>1097</v>
      </c>
      <c r="L864" s="1" t="s">
        <v>40</v>
      </c>
      <c r="M864" s="1">
        <v>7500.0</v>
      </c>
      <c r="N864" s="1" t="s">
        <v>40</v>
      </c>
      <c r="O864" s="1">
        <v>8.09204196E8</v>
      </c>
      <c r="P864" s="1" t="s">
        <v>175</v>
      </c>
      <c r="Q864" s="1" t="s">
        <v>2077</v>
      </c>
      <c r="R864" s="1" t="s">
        <v>2078</v>
      </c>
      <c r="S864" s="1" t="s">
        <v>44</v>
      </c>
      <c r="T864" s="1" t="s">
        <v>45</v>
      </c>
      <c r="U864" s="1">
        <v>4.82023026E8</v>
      </c>
      <c r="W864" s="1" t="s">
        <v>46</v>
      </c>
      <c r="X864" s="1" t="s">
        <v>45</v>
      </c>
      <c r="Y864" s="1">
        <v>4.82023025E8</v>
      </c>
      <c r="Z864" s="1">
        <v>8.09204196E8</v>
      </c>
      <c r="AA864" s="1" t="s">
        <v>175</v>
      </c>
      <c r="AB864" s="1">
        <v>50000.0</v>
      </c>
      <c r="AC864" s="2">
        <v>41183.0</v>
      </c>
      <c r="AD864" s="1">
        <v>7500.0</v>
      </c>
      <c r="AE864" s="1" t="s">
        <v>40</v>
      </c>
      <c r="AF864" s="1">
        <v>2.0131357E7</v>
      </c>
      <c r="AG864" s="1" t="s">
        <v>1098</v>
      </c>
      <c r="AH864" s="1">
        <v>10.0</v>
      </c>
      <c r="AI864" s="1">
        <v>2011.0</v>
      </c>
      <c r="AJ864" s="1">
        <v>2013.0</v>
      </c>
      <c r="AK864" s="1" t="s">
        <v>1099</v>
      </c>
    </row>
    <row r="865">
      <c r="A865" s="1" t="s">
        <v>1949</v>
      </c>
      <c r="B865" s="1" t="s">
        <v>1949</v>
      </c>
      <c r="C865" s="1" t="s">
        <v>194</v>
      </c>
      <c r="E865" s="1">
        <v>3.78525088E8</v>
      </c>
      <c r="F865" s="2">
        <v>41787.0</v>
      </c>
      <c r="G865" s="1" t="s">
        <v>1950</v>
      </c>
      <c r="I865" s="1" t="s">
        <v>1950</v>
      </c>
      <c r="L865" s="1" t="s">
        <v>194</v>
      </c>
      <c r="M865" s="1">
        <v>9100.0</v>
      </c>
      <c r="N865" s="1" t="s">
        <v>194</v>
      </c>
      <c r="O865" s="1">
        <v>7.8346351E7</v>
      </c>
      <c r="P865" s="1" t="s">
        <v>615</v>
      </c>
      <c r="R865" s="1" t="s">
        <v>1708</v>
      </c>
      <c r="S865" s="1" t="s">
        <v>44</v>
      </c>
      <c r="T865" s="1" t="s">
        <v>45</v>
      </c>
      <c r="U865" s="1">
        <v>4.82074457E8</v>
      </c>
      <c r="W865" s="1" t="s">
        <v>46</v>
      </c>
      <c r="X865" s="1" t="s">
        <v>45</v>
      </c>
      <c r="Y865" s="1">
        <v>4.82023037E8</v>
      </c>
      <c r="AB865" s="1">
        <v>65000.0</v>
      </c>
      <c r="AC865" s="2">
        <v>41787.0</v>
      </c>
      <c r="AD865" s="1">
        <v>9100.0</v>
      </c>
      <c r="AE865" s="1" t="s">
        <v>194</v>
      </c>
      <c r="AF865" s="1" t="s">
        <v>2079</v>
      </c>
      <c r="AG865" s="1" t="s">
        <v>1952</v>
      </c>
      <c r="AH865" s="1">
        <v>11.0</v>
      </c>
      <c r="AI865" s="1">
        <v>2014.0</v>
      </c>
      <c r="AJ865" s="1">
        <v>2014.0</v>
      </c>
      <c r="AK865" s="1" t="s">
        <v>1953</v>
      </c>
    </row>
    <row r="866">
      <c r="A866" s="1">
        <v>1120923.0</v>
      </c>
      <c r="B866" s="1">
        <v>1120923.0</v>
      </c>
      <c r="C866" s="1" t="s">
        <v>109</v>
      </c>
      <c r="E866" s="1">
        <v>9645000.0</v>
      </c>
      <c r="F866" s="2">
        <v>41940.0</v>
      </c>
      <c r="G866" s="1" t="s">
        <v>1376</v>
      </c>
      <c r="I866" s="1" t="s">
        <v>1376</v>
      </c>
      <c r="L866" s="1" t="s">
        <v>109</v>
      </c>
      <c r="M866" s="1">
        <v>4900.0</v>
      </c>
      <c r="N866" s="1" t="s">
        <v>109</v>
      </c>
      <c r="O866" s="1">
        <v>1962224.0</v>
      </c>
      <c r="P866" s="1" t="s">
        <v>52</v>
      </c>
      <c r="R866" s="1" t="s">
        <v>1885</v>
      </c>
      <c r="S866" s="1" t="s">
        <v>44</v>
      </c>
      <c r="T866" s="1" t="s">
        <v>45</v>
      </c>
      <c r="U866" s="1">
        <v>4.82021347E8</v>
      </c>
      <c r="W866" s="1" t="s">
        <v>46</v>
      </c>
      <c r="X866" s="1" t="s">
        <v>45</v>
      </c>
      <c r="Y866" s="1">
        <v>4.82024E8</v>
      </c>
      <c r="Z866" s="1">
        <v>1962224.0</v>
      </c>
      <c r="AA866" s="1" t="s">
        <v>52</v>
      </c>
      <c r="AB866" s="1">
        <v>35000.0</v>
      </c>
      <c r="AC866" s="2">
        <v>41940.0</v>
      </c>
      <c r="AD866" s="1">
        <v>4900.0</v>
      </c>
      <c r="AE866" s="1" t="s">
        <v>109</v>
      </c>
      <c r="AF866" s="1">
        <v>3.002109091E9</v>
      </c>
      <c r="AG866" s="1" t="s">
        <v>2080</v>
      </c>
      <c r="AH866" s="1">
        <v>10.0</v>
      </c>
      <c r="AI866" s="1">
        <v>2014.0</v>
      </c>
      <c r="AJ866" s="1">
        <v>2015.0</v>
      </c>
      <c r="AK866" s="1" t="s">
        <v>1378</v>
      </c>
    </row>
    <row r="867">
      <c r="A867" s="1" t="s">
        <v>2081</v>
      </c>
      <c r="B867" s="1" t="s">
        <v>2081</v>
      </c>
      <c r="C867" s="1" t="s">
        <v>70</v>
      </c>
      <c r="E867" s="1">
        <v>691306.0</v>
      </c>
      <c r="F867" s="2">
        <v>41913.0</v>
      </c>
      <c r="G867" s="1" t="s">
        <v>2082</v>
      </c>
      <c r="I867" s="1" t="s">
        <v>2082</v>
      </c>
      <c r="L867" s="1" t="s">
        <v>72</v>
      </c>
      <c r="M867" s="1">
        <v>1500.0</v>
      </c>
      <c r="N867" s="1" t="s">
        <v>72</v>
      </c>
      <c r="O867" s="1">
        <v>7.8074923E8</v>
      </c>
      <c r="P867" s="1" t="s">
        <v>419</v>
      </c>
      <c r="R867" s="1" t="s">
        <v>420</v>
      </c>
      <c r="S867" s="1" t="s">
        <v>44</v>
      </c>
      <c r="T867" s="1" t="s">
        <v>45</v>
      </c>
      <c r="U867" s="1">
        <v>4.82082365E8</v>
      </c>
      <c r="W867" s="1" t="s">
        <v>44</v>
      </c>
      <c r="X867" s="1" t="s">
        <v>45</v>
      </c>
      <c r="Y867" s="1">
        <v>4.82082365E8</v>
      </c>
      <c r="AB867" s="1">
        <v>87500.0</v>
      </c>
      <c r="AC867" s="2">
        <v>41913.0</v>
      </c>
      <c r="AD867" s="1">
        <v>1500.0</v>
      </c>
      <c r="AE867" s="1" t="s">
        <v>72</v>
      </c>
      <c r="AF867" s="1" t="s">
        <v>2083</v>
      </c>
      <c r="AG867" s="1" t="s">
        <v>2084</v>
      </c>
      <c r="AH867" s="1">
        <v>10.0</v>
      </c>
      <c r="AI867" s="1">
        <v>2014.0</v>
      </c>
      <c r="AJ867" s="1">
        <v>2015.0</v>
      </c>
      <c r="AK867" s="1" t="s">
        <v>2085</v>
      </c>
    </row>
    <row r="868">
      <c r="A868" s="1" t="s">
        <v>198</v>
      </c>
      <c r="B868" s="1" t="s">
        <v>198</v>
      </c>
      <c r="C868" s="1" t="s">
        <v>38</v>
      </c>
      <c r="E868" s="1">
        <v>9391444.0</v>
      </c>
      <c r="F868" s="2">
        <v>41922.0</v>
      </c>
      <c r="G868" s="1" t="s">
        <v>2086</v>
      </c>
      <c r="I868" s="1" t="s">
        <v>2086</v>
      </c>
      <c r="L868" s="1" t="s">
        <v>40</v>
      </c>
      <c r="M868" s="1">
        <v>7500.0</v>
      </c>
      <c r="N868" s="1" t="s">
        <v>40</v>
      </c>
      <c r="O868" s="1">
        <v>7.3134603E7</v>
      </c>
      <c r="P868" s="1" t="s">
        <v>41</v>
      </c>
      <c r="Q868" s="1" t="s">
        <v>252</v>
      </c>
      <c r="R868" s="1" t="s">
        <v>253</v>
      </c>
      <c r="S868" s="1" t="s">
        <v>44</v>
      </c>
      <c r="T868" s="1" t="s">
        <v>45</v>
      </c>
      <c r="U868" s="1">
        <v>4.8202345E8</v>
      </c>
      <c r="W868" s="1" t="s">
        <v>46</v>
      </c>
      <c r="X868" s="1" t="s">
        <v>45</v>
      </c>
      <c r="Y868" s="1">
        <v>4.8202345E8</v>
      </c>
      <c r="Z868" s="1">
        <v>7.3134603E7</v>
      </c>
      <c r="AA868" s="1" t="s">
        <v>41</v>
      </c>
      <c r="AB868" s="1">
        <v>99979.0</v>
      </c>
      <c r="AC868" s="2">
        <v>41922.0</v>
      </c>
      <c r="AD868" s="1">
        <v>7500.0</v>
      </c>
      <c r="AE868" s="1" t="s">
        <v>40</v>
      </c>
      <c r="AF868" s="1" t="s">
        <v>1527</v>
      </c>
      <c r="AG868" s="1" t="s">
        <v>2087</v>
      </c>
      <c r="AH868" s="1">
        <v>11.0</v>
      </c>
      <c r="AI868" s="1">
        <v>2014.0</v>
      </c>
      <c r="AJ868" s="1">
        <v>2015.0</v>
      </c>
      <c r="AK868" s="1" t="s">
        <v>202</v>
      </c>
    </row>
    <row r="869">
      <c r="A869" s="1" t="s">
        <v>1782</v>
      </c>
      <c r="B869" s="1" t="s">
        <v>1782</v>
      </c>
      <c r="C869" s="1" t="s">
        <v>1303</v>
      </c>
      <c r="E869" s="1">
        <v>1699482.0</v>
      </c>
      <c r="F869" s="2">
        <v>41932.0</v>
      </c>
      <c r="G869" s="1" t="s">
        <v>2088</v>
      </c>
      <c r="I869" s="1" t="s">
        <v>2088</v>
      </c>
      <c r="L869" s="1" t="s">
        <v>1305</v>
      </c>
      <c r="M869" s="1">
        <v>1300.0</v>
      </c>
      <c r="N869" s="1" t="s">
        <v>1305</v>
      </c>
      <c r="O869" s="1">
        <v>1962224.0</v>
      </c>
      <c r="P869" s="1" t="s">
        <v>52</v>
      </c>
      <c r="R869" s="1" t="s">
        <v>1885</v>
      </c>
      <c r="S869" s="1" t="s">
        <v>44</v>
      </c>
      <c r="T869" s="1" t="s">
        <v>45</v>
      </c>
      <c r="U869" s="1">
        <v>4.82021347E8</v>
      </c>
      <c r="W869" s="1" t="s">
        <v>46</v>
      </c>
      <c r="X869" s="1" t="s">
        <v>45</v>
      </c>
      <c r="Y869" s="1">
        <v>4.82024E8</v>
      </c>
      <c r="Z869" s="1">
        <v>1962224.0</v>
      </c>
      <c r="AA869" s="1" t="s">
        <v>52</v>
      </c>
      <c r="AB869" s="1">
        <v>25000.0</v>
      </c>
      <c r="AC869" s="2">
        <v>41932.0</v>
      </c>
      <c r="AD869" s="1">
        <v>1300.0</v>
      </c>
      <c r="AE869" s="1" t="s">
        <v>1305</v>
      </c>
      <c r="AF869" s="1">
        <v>3.00300294E9</v>
      </c>
      <c r="AG869" s="1" t="s">
        <v>2089</v>
      </c>
      <c r="AH869" s="1">
        <v>10.0</v>
      </c>
      <c r="AI869" s="1">
        <v>2014.0</v>
      </c>
      <c r="AJ869" s="1">
        <v>2015.0</v>
      </c>
      <c r="AK869" s="1" t="s">
        <v>1785</v>
      </c>
    </row>
    <row r="870">
      <c r="A870" s="1" t="s">
        <v>2090</v>
      </c>
      <c r="B870" s="1" t="s">
        <v>2090</v>
      </c>
      <c r="C870" s="1" t="s">
        <v>2091</v>
      </c>
      <c r="E870" s="1">
        <v>7512885.0</v>
      </c>
      <c r="F870" s="2">
        <v>41436.0</v>
      </c>
      <c r="G870" s="1" t="s">
        <v>2092</v>
      </c>
      <c r="I870" s="1" t="s">
        <v>2092</v>
      </c>
      <c r="L870" s="1" t="s">
        <v>151</v>
      </c>
      <c r="M870" s="1">
        <v>6900.0</v>
      </c>
      <c r="N870" s="1" t="s">
        <v>151</v>
      </c>
      <c r="O870" s="1">
        <v>2.082621E7</v>
      </c>
      <c r="P870" s="1" t="s">
        <v>983</v>
      </c>
      <c r="Q870" s="1" t="s">
        <v>984</v>
      </c>
      <c r="R870" s="1" t="s">
        <v>2093</v>
      </c>
      <c r="S870" s="1" t="s">
        <v>44</v>
      </c>
      <c r="T870" s="1" t="s">
        <v>45</v>
      </c>
      <c r="U870" s="1">
        <v>4.82131204E8</v>
      </c>
      <c r="W870" s="1" t="s">
        <v>46</v>
      </c>
      <c r="X870" s="1" t="s">
        <v>45</v>
      </c>
      <c r="Y870" s="1">
        <v>4.82131204E8</v>
      </c>
      <c r="Z870" s="1">
        <v>6530661.0</v>
      </c>
      <c r="AA870" s="1" t="s">
        <v>76</v>
      </c>
      <c r="AB870" s="1">
        <v>28813.0</v>
      </c>
      <c r="AC870" s="2">
        <v>41436.0</v>
      </c>
      <c r="AD870" s="1">
        <v>6900.0</v>
      </c>
      <c r="AE870" s="1" t="s">
        <v>151</v>
      </c>
      <c r="AF870" s="1" t="s">
        <v>2094</v>
      </c>
      <c r="AG870" s="1" t="s">
        <v>2095</v>
      </c>
      <c r="AH870" s="1">
        <v>11.0</v>
      </c>
      <c r="AI870" s="1">
        <v>2014.0</v>
      </c>
      <c r="AJ870" s="1">
        <v>2013.0</v>
      </c>
      <c r="AK870" s="1" t="s">
        <v>2096</v>
      </c>
    </row>
    <row r="871">
      <c r="A871" s="1" t="s">
        <v>2097</v>
      </c>
      <c r="B871" s="1" t="s">
        <v>2097</v>
      </c>
      <c r="C871" s="1" t="s">
        <v>964</v>
      </c>
      <c r="E871" s="1">
        <v>4.2339816E7</v>
      </c>
      <c r="F871" s="2">
        <v>41183.0</v>
      </c>
      <c r="G871" s="1" t="s">
        <v>2098</v>
      </c>
      <c r="I871" s="1" t="s">
        <v>2098</v>
      </c>
      <c r="L871" s="1" t="s">
        <v>40</v>
      </c>
      <c r="M871" s="1">
        <v>7500.0</v>
      </c>
      <c r="N871" s="1" t="s">
        <v>40</v>
      </c>
      <c r="O871" s="1">
        <v>7.8583404E7</v>
      </c>
      <c r="P871" s="1" t="s">
        <v>65</v>
      </c>
      <c r="Q871" s="1" t="s">
        <v>210</v>
      </c>
      <c r="R871" s="1" t="s">
        <v>1573</v>
      </c>
      <c r="S871" s="1" t="s">
        <v>44</v>
      </c>
      <c r="T871" s="1" t="s">
        <v>45</v>
      </c>
      <c r="U871" s="1">
        <v>4.8207311E8</v>
      </c>
      <c r="W871" s="1" t="s">
        <v>46</v>
      </c>
      <c r="X871" s="1" t="s">
        <v>45</v>
      </c>
      <c r="Y871" s="1">
        <v>4.82021732E8</v>
      </c>
      <c r="Z871" s="1">
        <v>3.8775243E7</v>
      </c>
      <c r="AA871" s="1" t="s">
        <v>209</v>
      </c>
      <c r="AB871" s="1">
        <v>405991.0</v>
      </c>
      <c r="AC871" s="2">
        <v>41183.0</v>
      </c>
      <c r="AD871" s="1">
        <v>7500.0</v>
      </c>
      <c r="AE871" s="1" t="s">
        <v>40</v>
      </c>
      <c r="AF871" s="1">
        <v>2.01304E7</v>
      </c>
      <c r="AG871" s="1" t="s">
        <v>2099</v>
      </c>
      <c r="AH871" s="1">
        <v>10.0</v>
      </c>
      <c r="AI871" s="1">
        <v>2010.0</v>
      </c>
      <c r="AJ871" s="1">
        <v>2013.0</v>
      </c>
      <c r="AK871" s="1" t="s">
        <v>2100</v>
      </c>
    </row>
    <row r="872">
      <c r="A872" s="1" t="s">
        <v>2101</v>
      </c>
      <c r="B872" s="1" t="s">
        <v>2101</v>
      </c>
      <c r="C872" s="1" t="s">
        <v>389</v>
      </c>
      <c r="E872" s="1">
        <v>2.416402E7</v>
      </c>
      <c r="F872" s="2">
        <v>41340.0</v>
      </c>
      <c r="G872" s="1" t="s">
        <v>397</v>
      </c>
      <c r="I872" s="1" t="s">
        <v>397</v>
      </c>
      <c r="L872" s="1" t="s">
        <v>391</v>
      </c>
      <c r="M872" s="1">
        <v>1600.0</v>
      </c>
      <c r="N872" s="1" t="s">
        <v>391</v>
      </c>
      <c r="O872" s="1">
        <v>9.68755756E8</v>
      </c>
      <c r="P872" s="1" t="s">
        <v>1806</v>
      </c>
      <c r="R872" s="1" t="s">
        <v>1807</v>
      </c>
      <c r="S872" s="1" t="s">
        <v>44</v>
      </c>
      <c r="T872" s="1" t="s">
        <v>45</v>
      </c>
      <c r="U872" s="1">
        <v>4.82262917E8</v>
      </c>
      <c r="W872" s="1" t="s">
        <v>46</v>
      </c>
      <c r="X872" s="1" t="s">
        <v>45</v>
      </c>
      <c r="Y872" s="1">
        <v>4.82022943E8</v>
      </c>
      <c r="AB872" s="1">
        <v>1761784.0</v>
      </c>
      <c r="AC872" s="2">
        <v>41340.0</v>
      </c>
      <c r="AD872" s="1">
        <v>1600.0</v>
      </c>
      <c r="AE872" s="1" t="s">
        <v>391</v>
      </c>
      <c r="AF872" s="1" t="s">
        <v>2102</v>
      </c>
      <c r="AG872" s="1" t="s">
        <v>2103</v>
      </c>
      <c r="AH872" s="1">
        <v>8.0</v>
      </c>
      <c r="AI872" s="1">
        <v>2014.0</v>
      </c>
      <c r="AJ872" s="1">
        <v>2013.0</v>
      </c>
      <c r="AK872" s="1" t="s">
        <v>2104</v>
      </c>
    </row>
    <row r="873">
      <c r="A873" s="1" t="s">
        <v>2105</v>
      </c>
      <c r="B873" s="1" t="s">
        <v>2105</v>
      </c>
      <c r="C873" s="1" t="s">
        <v>224</v>
      </c>
      <c r="E873" s="1">
        <v>665854.0</v>
      </c>
      <c r="F873" s="2">
        <v>41834.0</v>
      </c>
      <c r="G873" s="1" t="s">
        <v>2106</v>
      </c>
      <c r="I873" s="1" t="s">
        <v>2106</v>
      </c>
      <c r="L873" s="1" t="s">
        <v>151</v>
      </c>
      <c r="M873" s="1">
        <v>6900.0</v>
      </c>
      <c r="N873" s="1" t="s">
        <v>151</v>
      </c>
      <c r="O873" s="1">
        <v>9.63886101E8</v>
      </c>
      <c r="P873" s="1" t="s">
        <v>259</v>
      </c>
      <c r="Q873" s="1" t="s">
        <v>1795</v>
      </c>
      <c r="R873" s="1" t="s">
        <v>260</v>
      </c>
      <c r="S873" s="1" t="s">
        <v>44</v>
      </c>
      <c r="T873" s="1" t="s">
        <v>45</v>
      </c>
      <c r="U873" s="1">
        <v>4.8226348E8</v>
      </c>
      <c r="W873" s="1" t="s">
        <v>46</v>
      </c>
      <c r="X873" s="1" t="s">
        <v>45</v>
      </c>
      <c r="Y873" s="1">
        <v>4.8226348E8</v>
      </c>
      <c r="Z873" s="1">
        <v>7.3134884E7</v>
      </c>
      <c r="AA873" s="1" t="s">
        <v>1796</v>
      </c>
      <c r="AB873" s="1">
        <v>665854.62</v>
      </c>
      <c r="AC873" s="2">
        <v>41834.0</v>
      </c>
      <c r="AD873" s="1">
        <v>6900.0</v>
      </c>
      <c r="AE873" s="1" t="s">
        <v>151</v>
      </c>
      <c r="AF873" s="1">
        <v>145459.0</v>
      </c>
      <c r="AG873" s="1" t="s">
        <v>2107</v>
      </c>
      <c r="AH873" s="1">
        <v>8.0</v>
      </c>
      <c r="AI873" s="1">
        <v>2014.0</v>
      </c>
      <c r="AJ873" s="1">
        <v>2014.0</v>
      </c>
      <c r="AK873" s="1" t="s">
        <v>229</v>
      </c>
    </row>
    <row r="874">
      <c r="A874" s="1" t="s">
        <v>2108</v>
      </c>
      <c r="B874" s="1" t="s">
        <v>2108</v>
      </c>
      <c r="C874" s="1" t="s">
        <v>224</v>
      </c>
      <c r="E874" s="1">
        <v>167368.0</v>
      </c>
      <c r="F874" s="2">
        <v>41837.0</v>
      </c>
      <c r="G874" s="1" t="s">
        <v>2109</v>
      </c>
      <c r="I874" s="1" t="s">
        <v>2109</v>
      </c>
      <c r="L874" s="1" t="s">
        <v>151</v>
      </c>
      <c r="M874" s="1">
        <v>6900.0</v>
      </c>
      <c r="N874" s="1" t="s">
        <v>151</v>
      </c>
      <c r="O874" s="1">
        <v>9.63886101E8</v>
      </c>
      <c r="P874" s="1" t="s">
        <v>259</v>
      </c>
      <c r="Q874" s="1" t="s">
        <v>1795</v>
      </c>
      <c r="R874" s="1" t="s">
        <v>260</v>
      </c>
      <c r="S874" s="1" t="s">
        <v>44</v>
      </c>
      <c r="T874" s="1" t="s">
        <v>45</v>
      </c>
      <c r="U874" s="1">
        <v>4.8226348E8</v>
      </c>
      <c r="W874" s="1" t="s">
        <v>46</v>
      </c>
      <c r="X874" s="1" t="s">
        <v>45</v>
      </c>
      <c r="Y874" s="1">
        <v>4.8226348E8</v>
      </c>
      <c r="Z874" s="1">
        <v>7.3134884E7</v>
      </c>
      <c r="AA874" s="1" t="s">
        <v>1796</v>
      </c>
      <c r="AB874" s="1">
        <v>167368.41</v>
      </c>
      <c r="AC874" s="2">
        <v>41837.0</v>
      </c>
      <c r="AD874" s="1">
        <v>6900.0</v>
      </c>
      <c r="AE874" s="1" t="s">
        <v>151</v>
      </c>
      <c r="AF874" s="1">
        <v>145479.0</v>
      </c>
      <c r="AG874" s="1" t="s">
        <v>2110</v>
      </c>
      <c r="AH874" s="1">
        <v>7.0</v>
      </c>
      <c r="AI874" s="1">
        <v>2014.0</v>
      </c>
      <c r="AJ874" s="1">
        <v>2014.0</v>
      </c>
      <c r="AK874" s="1" t="s">
        <v>229</v>
      </c>
    </row>
    <row r="875">
      <c r="A875" s="1" t="s">
        <v>2111</v>
      </c>
      <c r="B875" s="1" t="s">
        <v>2111</v>
      </c>
      <c r="C875" s="1" t="s">
        <v>224</v>
      </c>
      <c r="E875" s="1">
        <v>1136858.0</v>
      </c>
      <c r="F875" s="2">
        <v>41837.0</v>
      </c>
      <c r="G875" s="1" t="s">
        <v>2109</v>
      </c>
      <c r="I875" s="1" t="s">
        <v>2109</v>
      </c>
      <c r="L875" s="1" t="s">
        <v>151</v>
      </c>
      <c r="M875" s="1">
        <v>6900.0</v>
      </c>
      <c r="N875" s="1" t="s">
        <v>151</v>
      </c>
      <c r="O875" s="1">
        <v>9.63886101E8</v>
      </c>
      <c r="P875" s="1" t="s">
        <v>259</v>
      </c>
      <c r="Q875" s="1" t="s">
        <v>1795</v>
      </c>
      <c r="R875" s="1" t="s">
        <v>260</v>
      </c>
      <c r="S875" s="1" t="s">
        <v>44</v>
      </c>
      <c r="T875" s="1" t="s">
        <v>45</v>
      </c>
      <c r="U875" s="1">
        <v>4.8226348E8</v>
      </c>
      <c r="W875" s="1" t="s">
        <v>46</v>
      </c>
      <c r="X875" s="1" t="s">
        <v>45</v>
      </c>
      <c r="Y875" s="1">
        <v>4.8226348E8</v>
      </c>
      <c r="Z875" s="1">
        <v>7.3134884E7</v>
      </c>
      <c r="AA875" s="1" t="s">
        <v>1796</v>
      </c>
      <c r="AB875" s="1">
        <v>1136857.59</v>
      </c>
      <c r="AC875" s="2">
        <v>41837.0</v>
      </c>
      <c r="AD875" s="1">
        <v>6900.0</v>
      </c>
      <c r="AE875" s="1" t="s">
        <v>151</v>
      </c>
      <c r="AF875" s="1">
        <v>145479.0</v>
      </c>
      <c r="AG875" s="1" t="s">
        <v>2110</v>
      </c>
      <c r="AH875" s="1">
        <v>7.0</v>
      </c>
      <c r="AI875" s="1">
        <v>2014.0</v>
      </c>
      <c r="AJ875" s="1">
        <v>2014.0</v>
      </c>
      <c r="AK875" s="1" t="s">
        <v>229</v>
      </c>
    </row>
    <row r="876">
      <c r="A876" s="1" t="s">
        <v>2112</v>
      </c>
      <c r="B876" s="1" t="s">
        <v>2112</v>
      </c>
      <c r="C876" s="1" t="s">
        <v>224</v>
      </c>
      <c r="E876" s="1">
        <v>101453.0</v>
      </c>
      <c r="F876" s="2">
        <v>41834.0</v>
      </c>
      <c r="G876" s="1" t="s">
        <v>2106</v>
      </c>
      <c r="I876" s="1" t="s">
        <v>2106</v>
      </c>
      <c r="L876" s="1" t="s">
        <v>151</v>
      </c>
      <c r="M876" s="1">
        <v>6900.0</v>
      </c>
      <c r="N876" s="1" t="s">
        <v>151</v>
      </c>
      <c r="O876" s="1">
        <v>9.63886101E8</v>
      </c>
      <c r="P876" s="1" t="s">
        <v>259</v>
      </c>
      <c r="Q876" s="1" t="s">
        <v>1795</v>
      </c>
      <c r="R876" s="1" t="s">
        <v>260</v>
      </c>
      <c r="S876" s="1" t="s">
        <v>44</v>
      </c>
      <c r="T876" s="1" t="s">
        <v>45</v>
      </c>
      <c r="U876" s="1">
        <v>4.8226348E8</v>
      </c>
      <c r="W876" s="1" t="s">
        <v>46</v>
      </c>
      <c r="X876" s="1" t="s">
        <v>45</v>
      </c>
      <c r="Y876" s="1">
        <v>4.8226348E8</v>
      </c>
      <c r="Z876" s="1">
        <v>7.3134884E7</v>
      </c>
      <c r="AA876" s="1" t="s">
        <v>1796</v>
      </c>
      <c r="AB876" s="1">
        <v>101453.8</v>
      </c>
      <c r="AC876" s="2">
        <v>41834.0</v>
      </c>
      <c r="AD876" s="1">
        <v>6900.0</v>
      </c>
      <c r="AE876" s="1" t="s">
        <v>151</v>
      </c>
      <c r="AF876" s="1">
        <v>145459.0</v>
      </c>
      <c r="AG876" s="1" t="s">
        <v>2113</v>
      </c>
      <c r="AH876" s="1">
        <v>7.0</v>
      </c>
      <c r="AI876" s="1">
        <v>2014.0</v>
      </c>
      <c r="AJ876" s="1">
        <v>2014.0</v>
      </c>
      <c r="AK876" s="1" t="s">
        <v>229</v>
      </c>
    </row>
    <row r="877">
      <c r="A877" s="1" t="s">
        <v>89</v>
      </c>
      <c r="B877" s="1" t="s">
        <v>89</v>
      </c>
      <c r="C877" s="1" t="s">
        <v>38</v>
      </c>
      <c r="E877" s="1">
        <v>6684268.0</v>
      </c>
      <c r="F877" s="2">
        <v>41831.0</v>
      </c>
      <c r="G877" s="1" t="s">
        <v>2114</v>
      </c>
      <c r="I877" s="1" t="s">
        <v>2114</v>
      </c>
      <c r="L877" s="1" t="s">
        <v>40</v>
      </c>
      <c r="M877" s="1">
        <v>7500.0</v>
      </c>
      <c r="N877" s="1" t="s">
        <v>40</v>
      </c>
      <c r="O877" s="1">
        <v>1962224.0</v>
      </c>
      <c r="P877" s="1" t="s">
        <v>52</v>
      </c>
      <c r="Q877" s="1" t="s">
        <v>1566</v>
      </c>
      <c r="R877" s="1" t="s">
        <v>53</v>
      </c>
      <c r="S877" s="1" t="s">
        <v>44</v>
      </c>
      <c r="T877" s="1" t="s">
        <v>45</v>
      </c>
      <c r="U877" s="1">
        <v>4.82023692E8</v>
      </c>
      <c r="W877" s="1" t="s">
        <v>46</v>
      </c>
      <c r="X877" s="1" t="s">
        <v>45</v>
      </c>
      <c r="Y877" s="1">
        <v>4.82012013E8</v>
      </c>
      <c r="Z877" s="1">
        <v>1962224.0</v>
      </c>
      <c r="AA877" s="1" t="s">
        <v>52</v>
      </c>
      <c r="AB877" s="1">
        <v>80304.0</v>
      </c>
      <c r="AC877" s="2">
        <v>41831.0</v>
      </c>
      <c r="AD877" s="1">
        <v>7500.0</v>
      </c>
      <c r="AE877" s="1" t="s">
        <v>40</v>
      </c>
      <c r="AF877" s="1" t="s">
        <v>2115</v>
      </c>
      <c r="AG877" s="1" t="s">
        <v>92</v>
      </c>
      <c r="AH877" s="1">
        <v>8.0</v>
      </c>
      <c r="AI877" s="1">
        <v>2014.0</v>
      </c>
      <c r="AJ877" s="1">
        <v>2014.0</v>
      </c>
      <c r="AK877" s="1" t="s">
        <v>93</v>
      </c>
    </row>
    <row r="878">
      <c r="A878" s="1" t="s">
        <v>1064</v>
      </c>
      <c r="B878" s="1" t="s">
        <v>1064</v>
      </c>
      <c r="C878" s="1" t="s">
        <v>38</v>
      </c>
      <c r="E878" s="1">
        <v>7580537.0</v>
      </c>
      <c r="F878" s="2">
        <v>41836.0</v>
      </c>
      <c r="G878" s="1" t="s">
        <v>2116</v>
      </c>
      <c r="I878" s="1" t="s">
        <v>2116</v>
      </c>
      <c r="L878" s="1" t="s">
        <v>40</v>
      </c>
      <c r="M878" s="1">
        <v>7500.0</v>
      </c>
      <c r="N878" s="1" t="s">
        <v>40</v>
      </c>
      <c r="O878" s="1">
        <v>1962224.0</v>
      </c>
      <c r="P878" s="1" t="s">
        <v>52</v>
      </c>
      <c r="Q878" s="1" t="s">
        <v>1566</v>
      </c>
      <c r="R878" s="1" t="s">
        <v>53</v>
      </c>
      <c r="S878" s="1" t="s">
        <v>44</v>
      </c>
      <c r="T878" s="1" t="s">
        <v>45</v>
      </c>
      <c r="U878" s="1">
        <v>4.82023692E8</v>
      </c>
      <c r="W878" s="1" t="s">
        <v>46</v>
      </c>
      <c r="X878" s="1" t="s">
        <v>45</v>
      </c>
      <c r="Y878" s="1">
        <v>4.8202405E8</v>
      </c>
      <c r="Z878" s="1">
        <v>1962224.0</v>
      </c>
      <c r="AA878" s="1" t="s">
        <v>52</v>
      </c>
      <c r="AB878" s="1">
        <v>114000.0</v>
      </c>
      <c r="AC878" s="2">
        <v>41836.0</v>
      </c>
      <c r="AD878" s="1">
        <v>7500.0</v>
      </c>
      <c r="AE878" s="1" t="s">
        <v>40</v>
      </c>
      <c r="AF878" s="1" t="s">
        <v>2117</v>
      </c>
      <c r="AG878" s="1" t="s">
        <v>2118</v>
      </c>
      <c r="AH878" s="1">
        <v>8.0</v>
      </c>
      <c r="AI878" s="1">
        <v>2014.0</v>
      </c>
      <c r="AJ878" s="1">
        <v>2014.0</v>
      </c>
      <c r="AK878" s="1" t="s">
        <v>415</v>
      </c>
    </row>
    <row r="879">
      <c r="A879" s="1" t="s">
        <v>2119</v>
      </c>
      <c r="B879" s="1" t="s">
        <v>2119</v>
      </c>
      <c r="C879" s="1" t="s">
        <v>224</v>
      </c>
      <c r="E879" s="1">
        <v>308570.0</v>
      </c>
      <c r="F879" s="2">
        <v>41834.0</v>
      </c>
      <c r="G879" s="1" t="s">
        <v>2120</v>
      </c>
      <c r="I879" s="1" t="s">
        <v>2120</v>
      </c>
      <c r="L879" s="1" t="s">
        <v>151</v>
      </c>
      <c r="M879" s="1">
        <v>6900.0</v>
      </c>
      <c r="N879" s="1" t="s">
        <v>151</v>
      </c>
      <c r="O879" s="1">
        <v>1.1855476E8</v>
      </c>
      <c r="P879" s="1" t="s">
        <v>983</v>
      </c>
      <c r="Q879" s="1" t="s">
        <v>984</v>
      </c>
      <c r="R879" s="1" t="s">
        <v>227</v>
      </c>
      <c r="S879" s="1" t="s">
        <v>44</v>
      </c>
      <c r="T879" s="1" t="s">
        <v>45</v>
      </c>
      <c r="U879" s="1">
        <v>4.82262886E8</v>
      </c>
      <c r="W879" s="1" t="s">
        <v>46</v>
      </c>
      <c r="X879" s="1" t="s">
        <v>45</v>
      </c>
      <c r="Y879" s="1">
        <v>4.82262886E8</v>
      </c>
      <c r="Z879" s="1">
        <v>6530661.0</v>
      </c>
      <c r="AA879" s="1" t="s">
        <v>76</v>
      </c>
      <c r="AB879" s="1">
        <v>308570.85</v>
      </c>
      <c r="AC879" s="2">
        <v>41834.0</v>
      </c>
      <c r="AD879" s="1">
        <v>6900.0</v>
      </c>
      <c r="AE879" s="1" t="s">
        <v>151</v>
      </c>
      <c r="AF879" s="1">
        <v>145495.0</v>
      </c>
      <c r="AG879" s="1" t="s">
        <v>2121</v>
      </c>
      <c r="AH879" s="1">
        <v>8.0</v>
      </c>
      <c r="AI879" s="1">
        <v>2014.0</v>
      </c>
      <c r="AJ879" s="1">
        <v>2014.0</v>
      </c>
      <c r="AK879" s="1" t="s">
        <v>229</v>
      </c>
    </row>
    <row r="880">
      <c r="A880" s="1" t="s">
        <v>2122</v>
      </c>
      <c r="B880" s="1" t="s">
        <v>2122</v>
      </c>
      <c r="C880" s="1" t="s">
        <v>645</v>
      </c>
      <c r="E880" s="1">
        <v>1315177.0</v>
      </c>
      <c r="F880" s="2">
        <v>41795.0</v>
      </c>
      <c r="G880" s="1" t="s">
        <v>677</v>
      </c>
      <c r="I880" s="1" t="s">
        <v>677</v>
      </c>
      <c r="L880" s="1" t="s">
        <v>647</v>
      </c>
      <c r="M880" s="1">
        <v>1200.0</v>
      </c>
      <c r="N880" s="1" t="s">
        <v>647</v>
      </c>
      <c r="O880" s="1">
        <v>7.3832607E7</v>
      </c>
      <c r="P880" s="1" t="s">
        <v>482</v>
      </c>
      <c r="R880" s="1" t="s">
        <v>483</v>
      </c>
      <c r="S880" s="1" t="s">
        <v>44</v>
      </c>
      <c r="T880" s="1" t="s">
        <v>45</v>
      </c>
      <c r="U880" s="1">
        <v>4.82074288E8</v>
      </c>
      <c r="W880" s="1" t="s">
        <v>44</v>
      </c>
      <c r="X880" s="1" t="s">
        <v>45</v>
      </c>
      <c r="Y880" s="1">
        <v>4.82074288E8</v>
      </c>
      <c r="AB880" s="1">
        <v>39522.0</v>
      </c>
      <c r="AC880" s="2">
        <v>41795.0</v>
      </c>
      <c r="AD880" s="1">
        <v>1200.0</v>
      </c>
      <c r="AE880" s="1" t="s">
        <v>647</v>
      </c>
      <c r="AF880" s="1" t="s">
        <v>2123</v>
      </c>
      <c r="AG880" s="1" t="s">
        <v>712</v>
      </c>
      <c r="AH880" s="1">
        <v>8.0</v>
      </c>
      <c r="AI880" s="1">
        <v>2014.0</v>
      </c>
      <c r="AJ880" s="1">
        <v>2014.0</v>
      </c>
      <c r="AK880" s="1" t="s">
        <v>680</v>
      </c>
    </row>
    <row r="881">
      <c r="A881" s="1" t="s">
        <v>2122</v>
      </c>
      <c r="B881" s="1" t="s">
        <v>2122</v>
      </c>
      <c r="C881" s="1" t="s">
        <v>645</v>
      </c>
      <c r="E881" s="1">
        <v>1315177.0</v>
      </c>
      <c r="F881" s="2">
        <v>41802.0</v>
      </c>
      <c r="G881" s="1" t="s">
        <v>677</v>
      </c>
      <c r="I881" s="1" t="s">
        <v>677</v>
      </c>
      <c r="L881" s="1" t="s">
        <v>647</v>
      </c>
      <c r="M881" s="1">
        <v>1200.0</v>
      </c>
      <c r="N881" s="1" t="s">
        <v>647</v>
      </c>
      <c r="O881" s="1">
        <v>3.9866801E7</v>
      </c>
      <c r="P881" s="1" t="s">
        <v>612</v>
      </c>
      <c r="R881" s="1" t="s">
        <v>613</v>
      </c>
      <c r="S881" s="1" t="s">
        <v>44</v>
      </c>
      <c r="T881" s="1" t="s">
        <v>45</v>
      </c>
      <c r="U881" s="1">
        <v>4.8212E8</v>
      </c>
      <c r="W881" s="1" t="s">
        <v>607</v>
      </c>
      <c r="X881" s="1" t="s">
        <v>45</v>
      </c>
      <c r="Y881" s="1">
        <v>4.82120012E8</v>
      </c>
      <c r="Z881" s="1">
        <v>3.9866801E7</v>
      </c>
      <c r="AA881" s="1" t="s">
        <v>612</v>
      </c>
      <c r="AB881" s="1">
        <v>55779.0</v>
      </c>
      <c r="AC881" s="2">
        <v>41802.0</v>
      </c>
      <c r="AD881" s="1">
        <v>1200.0</v>
      </c>
      <c r="AE881" s="1" t="s">
        <v>647</v>
      </c>
      <c r="AF881" s="1" t="s">
        <v>2124</v>
      </c>
      <c r="AG881" s="1" t="s">
        <v>2125</v>
      </c>
      <c r="AH881" s="1">
        <v>8.0</v>
      </c>
      <c r="AI881" s="1">
        <v>2014.0</v>
      </c>
      <c r="AJ881" s="1">
        <v>2014.0</v>
      </c>
      <c r="AK881" s="1" t="s">
        <v>680</v>
      </c>
    </row>
    <row r="882">
      <c r="A882" s="1" t="s">
        <v>2126</v>
      </c>
      <c r="B882" s="1" t="s">
        <v>2126</v>
      </c>
      <c r="C882" s="1" t="s">
        <v>224</v>
      </c>
      <c r="E882" s="1">
        <v>499420.0</v>
      </c>
      <c r="F882" s="2">
        <v>41849.0</v>
      </c>
      <c r="G882" s="1" t="s">
        <v>2127</v>
      </c>
      <c r="I882" s="1" t="s">
        <v>2127</v>
      </c>
      <c r="L882" s="1" t="s">
        <v>151</v>
      </c>
      <c r="M882" s="1">
        <v>6900.0</v>
      </c>
      <c r="N882" s="1" t="s">
        <v>151</v>
      </c>
      <c r="O882" s="1">
        <v>1.1855476E8</v>
      </c>
      <c r="P882" s="1" t="s">
        <v>983</v>
      </c>
      <c r="Q882" s="1" t="s">
        <v>984</v>
      </c>
      <c r="R882" s="1" t="s">
        <v>227</v>
      </c>
      <c r="S882" s="1" t="s">
        <v>44</v>
      </c>
      <c r="T882" s="1" t="s">
        <v>45</v>
      </c>
      <c r="U882" s="1">
        <v>4.82262886E8</v>
      </c>
      <c r="W882" s="1" t="s">
        <v>46</v>
      </c>
      <c r="X882" s="1" t="s">
        <v>45</v>
      </c>
      <c r="Y882" s="1">
        <v>4.82262886E8</v>
      </c>
      <c r="Z882" s="1">
        <v>6530661.0</v>
      </c>
      <c r="AA882" s="1" t="s">
        <v>76</v>
      </c>
      <c r="AB882" s="1">
        <v>499420.05</v>
      </c>
      <c r="AC882" s="2">
        <v>41849.0</v>
      </c>
      <c r="AD882" s="1">
        <v>6900.0</v>
      </c>
      <c r="AE882" s="1" t="s">
        <v>151</v>
      </c>
      <c r="AF882" s="1">
        <v>1.0</v>
      </c>
      <c r="AG882" s="1" t="s">
        <v>2128</v>
      </c>
      <c r="AH882" s="1">
        <v>7.0</v>
      </c>
      <c r="AI882" s="1">
        <v>2014.0</v>
      </c>
      <c r="AJ882" s="1">
        <v>2014.0</v>
      </c>
      <c r="AK882" s="1" t="s">
        <v>229</v>
      </c>
    </row>
    <row r="883">
      <c r="A883" s="1" t="s">
        <v>2129</v>
      </c>
      <c r="B883" s="1" t="s">
        <v>2129</v>
      </c>
      <c r="C883" s="1" t="s">
        <v>100</v>
      </c>
      <c r="E883" s="1">
        <v>189725.0</v>
      </c>
      <c r="F883" s="2">
        <v>41548.0</v>
      </c>
      <c r="G883" s="1" t="s">
        <v>1858</v>
      </c>
      <c r="I883" s="1" t="s">
        <v>1858</v>
      </c>
      <c r="L883" s="1" t="s">
        <v>102</v>
      </c>
      <c r="M883" s="1">
        <v>8600.0</v>
      </c>
      <c r="N883" s="1" t="s">
        <v>102</v>
      </c>
      <c r="O883" s="1">
        <v>1.31984697E8</v>
      </c>
      <c r="P883" s="1" t="s">
        <v>103</v>
      </c>
      <c r="Q883" s="1" t="s">
        <v>104</v>
      </c>
      <c r="R883" s="1" t="s">
        <v>105</v>
      </c>
      <c r="S883" s="1" t="s">
        <v>44</v>
      </c>
      <c r="T883" s="1" t="s">
        <v>45</v>
      </c>
      <c r="U883" s="1">
        <v>4.82161435E8</v>
      </c>
      <c r="W883" s="1" t="s">
        <v>46</v>
      </c>
      <c r="X883" s="1" t="s">
        <v>45</v>
      </c>
      <c r="Y883" s="1">
        <v>4.82161435E8</v>
      </c>
      <c r="Z883" s="1">
        <v>7.6385699E7</v>
      </c>
      <c r="AA883" s="1" t="s">
        <v>106</v>
      </c>
      <c r="AB883" s="1">
        <v>94113.8</v>
      </c>
      <c r="AC883" s="2">
        <v>41548.0</v>
      </c>
      <c r="AD883" s="1">
        <v>8600.0</v>
      </c>
      <c r="AE883" s="1" t="s">
        <v>102</v>
      </c>
      <c r="AF883" s="1">
        <v>2.0140938E7</v>
      </c>
      <c r="AG883" s="1" t="s">
        <v>107</v>
      </c>
      <c r="AH883" s="1">
        <v>10.0</v>
      </c>
      <c r="AI883" s="1">
        <v>2011.0</v>
      </c>
      <c r="AJ883" s="1">
        <v>2014.0</v>
      </c>
      <c r="AK883" s="1" t="s">
        <v>1860</v>
      </c>
    </row>
    <row r="884">
      <c r="A884" s="1" t="s">
        <v>2122</v>
      </c>
      <c r="B884" s="1" t="s">
        <v>2122</v>
      </c>
      <c r="C884" s="1" t="s">
        <v>645</v>
      </c>
      <c r="E884" s="1">
        <v>1315177.0</v>
      </c>
      <c r="F884" s="2">
        <v>41830.0</v>
      </c>
      <c r="G884" s="1" t="s">
        <v>677</v>
      </c>
      <c r="I884" s="1" t="s">
        <v>677</v>
      </c>
      <c r="L884" s="1" t="s">
        <v>647</v>
      </c>
      <c r="M884" s="1">
        <v>1200.0</v>
      </c>
      <c r="N884" s="1" t="s">
        <v>647</v>
      </c>
      <c r="O884" s="1">
        <v>1.17726252E8</v>
      </c>
      <c r="P884" s="1" t="s">
        <v>512</v>
      </c>
      <c r="R884" s="1" t="s">
        <v>513</v>
      </c>
      <c r="S884" s="1" t="s">
        <v>44</v>
      </c>
      <c r="T884" s="1" t="s">
        <v>45</v>
      </c>
      <c r="U884" s="1">
        <v>4.82193259E8</v>
      </c>
      <c r="W884" s="1" t="s">
        <v>44</v>
      </c>
      <c r="X884" s="1" t="s">
        <v>45</v>
      </c>
      <c r="Y884" s="1">
        <v>4.82193259E8</v>
      </c>
      <c r="AB884" s="1">
        <v>41305.0</v>
      </c>
      <c r="AC884" s="2">
        <v>41830.0</v>
      </c>
      <c r="AD884" s="1">
        <v>1200.0</v>
      </c>
      <c r="AE884" s="1" t="s">
        <v>647</v>
      </c>
      <c r="AF884" s="1" t="s">
        <v>2130</v>
      </c>
      <c r="AG884" s="1" t="s">
        <v>712</v>
      </c>
      <c r="AH884" s="1">
        <v>8.0</v>
      </c>
      <c r="AI884" s="1">
        <v>2014.0</v>
      </c>
      <c r="AJ884" s="1">
        <v>2014.0</v>
      </c>
      <c r="AK884" s="1" t="s">
        <v>680</v>
      </c>
    </row>
    <row r="885">
      <c r="A885" s="1" t="s">
        <v>2131</v>
      </c>
      <c r="B885" s="1" t="s">
        <v>2131</v>
      </c>
      <c r="C885" s="1" t="s">
        <v>224</v>
      </c>
      <c r="E885" s="1">
        <v>750400.0</v>
      </c>
      <c r="F885" s="2">
        <v>41838.0</v>
      </c>
      <c r="G885" s="1" t="s">
        <v>2132</v>
      </c>
      <c r="I885" s="1" t="s">
        <v>2132</v>
      </c>
      <c r="L885" s="1" t="s">
        <v>151</v>
      </c>
      <c r="M885" s="1">
        <v>6900.0</v>
      </c>
      <c r="N885" s="1" t="s">
        <v>151</v>
      </c>
      <c r="O885" s="1">
        <v>1.1855476E8</v>
      </c>
      <c r="P885" s="1" t="s">
        <v>983</v>
      </c>
      <c r="Q885" s="1" t="s">
        <v>984</v>
      </c>
      <c r="R885" s="1" t="s">
        <v>227</v>
      </c>
      <c r="S885" s="1" t="s">
        <v>44</v>
      </c>
      <c r="T885" s="1" t="s">
        <v>45</v>
      </c>
      <c r="U885" s="1">
        <v>4.82262886E8</v>
      </c>
      <c r="W885" s="1" t="s">
        <v>46</v>
      </c>
      <c r="X885" s="1" t="s">
        <v>45</v>
      </c>
      <c r="Y885" s="1">
        <v>4.82262886E8</v>
      </c>
      <c r="Z885" s="1">
        <v>6530661.0</v>
      </c>
      <c r="AA885" s="1" t="s">
        <v>76</v>
      </c>
      <c r="AB885" s="1">
        <v>750400.0</v>
      </c>
      <c r="AC885" s="2">
        <v>41838.0</v>
      </c>
      <c r="AD885" s="1">
        <v>6900.0</v>
      </c>
      <c r="AE885" s="1" t="s">
        <v>151</v>
      </c>
      <c r="AF885" s="1">
        <v>145477.0</v>
      </c>
      <c r="AG885" s="1" t="s">
        <v>2133</v>
      </c>
      <c r="AH885" s="1">
        <v>7.0</v>
      </c>
      <c r="AI885" s="1">
        <v>2014.0</v>
      </c>
      <c r="AJ885" s="1">
        <v>2014.0</v>
      </c>
      <c r="AK885" s="1" t="s">
        <v>229</v>
      </c>
    </row>
    <row r="886">
      <c r="A886" s="1" t="s">
        <v>2129</v>
      </c>
      <c r="B886" s="1" t="s">
        <v>2129</v>
      </c>
      <c r="C886" s="1" t="s">
        <v>100</v>
      </c>
      <c r="E886" s="1">
        <v>189725.0</v>
      </c>
      <c r="F886" s="2">
        <v>41183.0</v>
      </c>
      <c r="G886" s="1" t="s">
        <v>1858</v>
      </c>
      <c r="I886" s="1" t="s">
        <v>1858</v>
      </c>
      <c r="L886" s="1" t="s">
        <v>102</v>
      </c>
      <c r="M886" s="1">
        <v>8600.0</v>
      </c>
      <c r="N886" s="1" t="s">
        <v>102</v>
      </c>
      <c r="O886" s="1">
        <v>1.31984697E8</v>
      </c>
      <c r="P886" s="1" t="s">
        <v>103</v>
      </c>
      <c r="Q886" s="1" t="s">
        <v>104</v>
      </c>
      <c r="R886" s="1" t="s">
        <v>105</v>
      </c>
      <c r="S886" s="1" t="s">
        <v>44</v>
      </c>
      <c r="T886" s="1" t="s">
        <v>45</v>
      </c>
      <c r="U886" s="1">
        <v>4.82161435E8</v>
      </c>
      <c r="W886" s="1" t="s">
        <v>46</v>
      </c>
      <c r="X886" s="1" t="s">
        <v>45</v>
      </c>
      <c r="Y886" s="1">
        <v>4.82161435E8</v>
      </c>
      <c r="Z886" s="1">
        <v>7.6385699E7</v>
      </c>
      <c r="AA886" s="1" t="s">
        <v>106</v>
      </c>
      <c r="AB886" s="1">
        <v>90473.56</v>
      </c>
      <c r="AC886" s="2">
        <v>41183.0</v>
      </c>
      <c r="AD886" s="1">
        <v>8600.0</v>
      </c>
      <c r="AE886" s="1" t="s">
        <v>102</v>
      </c>
      <c r="AF886" s="1">
        <v>2.0130876E7</v>
      </c>
      <c r="AG886" s="1" t="s">
        <v>107</v>
      </c>
      <c r="AH886" s="1">
        <v>10.0</v>
      </c>
      <c r="AI886" s="1">
        <v>2011.0</v>
      </c>
      <c r="AJ886" s="1">
        <v>2013.0</v>
      </c>
      <c r="AK886" s="1" t="s">
        <v>1860</v>
      </c>
    </row>
    <row r="887">
      <c r="A887" s="1" t="s">
        <v>2122</v>
      </c>
      <c r="B887" s="1" t="s">
        <v>2122</v>
      </c>
      <c r="C887" s="1" t="s">
        <v>645</v>
      </c>
      <c r="E887" s="1">
        <v>1315177.0</v>
      </c>
      <c r="F887" s="2">
        <v>41844.0</v>
      </c>
      <c r="G887" s="1" t="s">
        <v>677</v>
      </c>
      <c r="I887" s="1" t="s">
        <v>677</v>
      </c>
      <c r="L887" s="1" t="s">
        <v>647</v>
      </c>
      <c r="M887" s="1">
        <v>1200.0</v>
      </c>
      <c r="N887" s="1" t="s">
        <v>647</v>
      </c>
      <c r="O887" s="1">
        <v>7.6340843E7</v>
      </c>
      <c r="P887" s="1" t="s">
        <v>461</v>
      </c>
      <c r="R887" s="1" t="s">
        <v>1599</v>
      </c>
      <c r="S887" s="1" t="s">
        <v>44</v>
      </c>
      <c r="T887" s="1" t="s">
        <v>45</v>
      </c>
      <c r="U887" s="1">
        <v>4.8202301E8</v>
      </c>
      <c r="W887" s="1" t="s">
        <v>44</v>
      </c>
      <c r="X887" s="1" t="s">
        <v>45</v>
      </c>
      <c r="Y887" s="1">
        <v>4.82023096E8</v>
      </c>
      <c r="Z887" s="1">
        <v>7.6340843E7</v>
      </c>
      <c r="AA887" s="1" t="s">
        <v>461</v>
      </c>
      <c r="AB887" s="1">
        <v>1902557.0</v>
      </c>
      <c r="AC887" s="2">
        <v>41844.0</v>
      </c>
      <c r="AD887" s="1">
        <v>1200.0</v>
      </c>
      <c r="AE887" s="1" t="s">
        <v>647</v>
      </c>
      <c r="AF887" s="1" t="s">
        <v>2134</v>
      </c>
      <c r="AG887" s="1" t="s">
        <v>712</v>
      </c>
      <c r="AH887" s="1">
        <v>8.0</v>
      </c>
      <c r="AI887" s="1">
        <v>2014.0</v>
      </c>
      <c r="AJ887" s="1">
        <v>2014.0</v>
      </c>
      <c r="AK887" s="1" t="s">
        <v>680</v>
      </c>
    </row>
    <row r="888">
      <c r="A888" s="1" t="s">
        <v>2135</v>
      </c>
      <c r="B888" s="1" t="s">
        <v>2135</v>
      </c>
      <c r="C888" s="1" t="s">
        <v>224</v>
      </c>
      <c r="E888" s="1">
        <v>554157.0</v>
      </c>
      <c r="F888" s="2">
        <v>41835.0</v>
      </c>
      <c r="G888" s="1" t="s">
        <v>2136</v>
      </c>
      <c r="I888" s="1" t="s">
        <v>2136</v>
      </c>
      <c r="L888" s="1" t="s">
        <v>151</v>
      </c>
      <c r="M888" s="1">
        <v>6900.0</v>
      </c>
      <c r="N888" s="1" t="s">
        <v>151</v>
      </c>
      <c r="O888" s="1">
        <v>1.1855476E8</v>
      </c>
      <c r="P888" s="1" t="s">
        <v>983</v>
      </c>
      <c r="Q888" s="1" t="s">
        <v>984</v>
      </c>
      <c r="R888" s="1" t="s">
        <v>227</v>
      </c>
      <c r="S888" s="1" t="s">
        <v>44</v>
      </c>
      <c r="T888" s="1" t="s">
        <v>45</v>
      </c>
      <c r="U888" s="1">
        <v>4.82262886E8</v>
      </c>
      <c r="W888" s="1" t="s">
        <v>46</v>
      </c>
      <c r="X888" s="1" t="s">
        <v>45</v>
      </c>
      <c r="Y888" s="1">
        <v>4.82262886E8</v>
      </c>
      <c r="Z888" s="1">
        <v>6530661.0</v>
      </c>
      <c r="AA888" s="1" t="s">
        <v>76</v>
      </c>
      <c r="AB888" s="1">
        <v>554157.11</v>
      </c>
      <c r="AC888" s="2">
        <v>41835.0</v>
      </c>
      <c r="AD888" s="1">
        <v>6900.0</v>
      </c>
      <c r="AE888" s="1" t="s">
        <v>151</v>
      </c>
      <c r="AF888" s="1">
        <v>145476.0</v>
      </c>
      <c r="AG888" s="1" t="s">
        <v>2137</v>
      </c>
      <c r="AH888" s="1">
        <v>7.0</v>
      </c>
      <c r="AI888" s="1">
        <v>2014.0</v>
      </c>
      <c r="AJ888" s="1">
        <v>2014.0</v>
      </c>
      <c r="AK888" s="1" t="s">
        <v>229</v>
      </c>
    </row>
    <row r="889">
      <c r="A889" s="1" t="s">
        <v>2138</v>
      </c>
      <c r="B889" s="1" t="s">
        <v>2138</v>
      </c>
      <c r="C889" s="1" t="s">
        <v>224</v>
      </c>
      <c r="E889" s="1">
        <v>83842.0</v>
      </c>
      <c r="F889" s="2">
        <v>41835.0</v>
      </c>
      <c r="G889" s="1" t="s">
        <v>2136</v>
      </c>
      <c r="I889" s="1" t="s">
        <v>2136</v>
      </c>
      <c r="L889" s="1" t="s">
        <v>151</v>
      </c>
      <c r="M889" s="1">
        <v>6900.0</v>
      </c>
      <c r="N889" s="1" t="s">
        <v>151</v>
      </c>
      <c r="O889" s="1">
        <v>1.1855476E8</v>
      </c>
      <c r="P889" s="1" t="s">
        <v>983</v>
      </c>
      <c r="Q889" s="1" t="s">
        <v>984</v>
      </c>
      <c r="R889" s="1" t="s">
        <v>227</v>
      </c>
      <c r="S889" s="1" t="s">
        <v>44</v>
      </c>
      <c r="T889" s="1" t="s">
        <v>45</v>
      </c>
      <c r="U889" s="1">
        <v>4.82262886E8</v>
      </c>
      <c r="W889" s="1" t="s">
        <v>46</v>
      </c>
      <c r="X889" s="1" t="s">
        <v>45</v>
      </c>
      <c r="Y889" s="1">
        <v>4.82262886E8</v>
      </c>
      <c r="Z889" s="1">
        <v>6530661.0</v>
      </c>
      <c r="AA889" s="1" t="s">
        <v>76</v>
      </c>
      <c r="AB889" s="1">
        <v>83842.89</v>
      </c>
      <c r="AC889" s="2">
        <v>41835.0</v>
      </c>
      <c r="AD889" s="1">
        <v>6900.0</v>
      </c>
      <c r="AE889" s="1" t="s">
        <v>151</v>
      </c>
      <c r="AF889" s="1">
        <v>145476.0</v>
      </c>
      <c r="AG889" s="1" t="s">
        <v>2137</v>
      </c>
      <c r="AH889" s="1">
        <v>7.0</v>
      </c>
      <c r="AI889" s="1">
        <v>2014.0</v>
      </c>
      <c r="AJ889" s="1">
        <v>2014.0</v>
      </c>
      <c r="AK889" s="1" t="s">
        <v>229</v>
      </c>
    </row>
    <row r="890">
      <c r="A890" s="1" t="s">
        <v>2139</v>
      </c>
      <c r="B890" s="1" t="s">
        <v>2139</v>
      </c>
      <c r="C890" s="1" t="s">
        <v>100</v>
      </c>
      <c r="E890" s="1">
        <v>3.2109172E7</v>
      </c>
      <c r="F890" s="2">
        <v>41837.0</v>
      </c>
      <c r="G890" s="1" t="s">
        <v>297</v>
      </c>
      <c r="I890" s="1" t="s">
        <v>297</v>
      </c>
      <c r="L890" s="1" t="s">
        <v>102</v>
      </c>
      <c r="M890" s="1">
        <v>8600.0</v>
      </c>
      <c r="N890" s="1" t="s">
        <v>102</v>
      </c>
      <c r="O890" s="1">
        <v>7.2761299E7</v>
      </c>
      <c r="P890" s="1" t="s">
        <v>667</v>
      </c>
      <c r="R890" s="1" t="s">
        <v>668</v>
      </c>
      <c r="S890" s="1" t="s">
        <v>44</v>
      </c>
      <c r="T890" s="1" t="s">
        <v>45</v>
      </c>
      <c r="U890" s="1">
        <v>4.82382849E8</v>
      </c>
      <c r="W890" s="1" t="s">
        <v>46</v>
      </c>
      <c r="X890" s="1" t="s">
        <v>45</v>
      </c>
      <c r="Y890" s="1">
        <v>4.82382849E8</v>
      </c>
      <c r="Z890" s="1">
        <v>7.2761299E7</v>
      </c>
      <c r="AA890" s="1" t="s">
        <v>667</v>
      </c>
      <c r="AB890" s="1">
        <v>103700.0</v>
      </c>
      <c r="AC890" s="2">
        <v>41837.0</v>
      </c>
      <c r="AD890" s="1">
        <v>8600.0</v>
      </c>
      <c r="AE890" s="1" t="s">
        <v>102</v>
      </c>
      <c r="AF890" s="1">
        <v>3.0</v>
      </c>
      <c r="AG890" s="1" t="s">
        <v>2140</v>
      </c>
      <c r="AH890" s="1">
        <v>8.0</v>
      </c>
      <c r="AI890" s="1">
        <v>2014.0</v>
      </c>
      <c r="AJ890" s="1">
        <v>2014.0</v>
      </c>
      <c r="AK890" s="1" t="s">
        <v>305</v>
      </c>
    </row>
    <row r="891">
      <c r="A891" s="1" t="s">
        <v>2139</v>
      </c>
      <c r="B891" s="1" t="s">
        <v>2139</v>
      </c>
      <c r="C891" s="1" t="s">
        <v>100</v>
      </c>
      <c r="E891" s="1">
        <v>3.2109172E7</v>
      </c>
      <c r="F891" s="2">
        <v>41837.0</v>
      </c>
      <c r="G891" s="1" t="s">
        <v>297</v>
      </c>
      <c r="I891" s="1" t="s">
        <v>297</v>
      </c>
      <c r="L891" s="1" t="s">
        <v>102</v>
      </c>
      <c r="M891" s="1">
        <v>8600.0</v>
      </c>
      <c r="N891" s="1" t="s">
        <v>102</v>
      </c>
      <c r="O891" s="1">
        <v>1.0882231E7</v>
      </c>
      <c r="P891" s="1" t="s">
        <v>2141</v>
      </c>
      <c r="R891" s="1" t="s">
        <v>878</v>
      </c>
      <c r="S891" s="1" t="s">
        <v>44</v>
      </c>
      <c r="T891" s="1" t="s">
        <v>45</v>
      </c>
      <c r="U891" s="1">
        <v>4.82102038E8</v>
      </c>
      <c r="W891" s="1" t="s">
        <v>46</v>
      </c>
      <c r="X891" s="1" t="s">
        <v>45</v>
      </c>
      <c r="Y891" s="1">
        <v>4.82102038E8</v>
      </c>
      <c r="Z891" s="1">
        <v>1.0882231E7</v>
      </c>
      <c r="AA891" s="1" t="s">
        <v>2141</v>
      </c>
      <c r="AB891" s="1">
        <v>104000.0</v>
      </c>
      <c r="AC891" s="2">
        <v>41837.0</v>
      </c>
      <c r="AD891" s="1">
        <v>8600.0</v>
      </c>
      <c r="AE891" s="1" t="s">
        <v>102</v>
      </c>
      <c r="AF891" s="1">
        <v>7.0</v>
      </c>
      <c r="AG891" s="1" t="s">
        <v>2142</v>
      </c>
      <c r="AH891" s="1">
        <v>8.0</v>
      </c>
      <c r="AI891" s="1">
        <v>2014.0</v>
      </c>
      <c r="AJ891" s="1">
        <v>2014.0</v>
      </c>
      <c r="AK891" s="1" t="s">
        <v>305</v>
      </c>
    </row>
    <row r="892">
      <c r="A892" s="1" t="s">
        <v>2139</v>
      </c>
      <c r="B892" s="1" t="s">
        <v>2139</v>
      </c>
      <c r="C892" s="1" t="s">
        <v>100</v>
      </c>
      <c r="E892" s="1">
        <v>3.2109172E7</v>
      </c>
      <c r="F892" s="2">
        <v>41837.0</v>
      </c>
      <c r="G892" s="1" t="s">
        <v>297</v>
      </c>
      <c r="I892" s="1" t="s">
        <v>297</v>
      </c>
      <c r="L892" s="1" t="s">
        <v>102</v>
      </c>
      <c r="M892" s="1">
        <v>8600.0</v>
      </c>
      <c r="N892" s="1" t="s">
        <v>102</v>
      </c>
      <c r="O892" s="1">
        <v>1.43949258E8</v>
      </c>
      <c r="P892" s="1" t="s">
        <v>2143</v>
      </c>
      <c r="R892" s="1" t="s">
        <v>2144</v>
      </c>
      <c r="S892" s="1" t="s">
        <v>44</v>
      </c>
      <c r="T892" s="1" t="s">
        <v>45</v>
      </c>
      <c r="U892" s="1">
        <v>4.82132411E8</v>
      </c>
      <c r="W892" s="1" t="s">
        <v>46</v>
      </c>
      <c r="X892" s="1" t="s">
        <v>45</v>
      </c>
      <c r="Y892" s="1">
        <v>4.82132411E8</v>
      </c>
      <c r="AB892" s="1">
        <v>100000.0</v>
      </c>
      <c r="AC892" s="2">
        <v>41837.0</v>
      </c>
      <c r="AD892" s="1">
        <v>8600.0</v>
      </c>
      <c r="AE892" s="1" t="s">
        <v>102</v>
      </c>
      <c r="AF892" s="1">
        <v>12.0</v>
      </c>
      <c r="AG892" s="1" t="s">
        <v>2145</v>
      </c>
      <c r="AH892" s="1">
        <v>8.0</v>
      </c>
      <c r="AI892" s="1">
        <v>2014.0</v>
      </c>
      <c r="AJ892" s="1">
        <v>2014.0</v>
      </c>
      <c r="AK892" s="1" t="s">
        <v>305</v>
      </c>
    </row>
    <row r="893">
      <c r="A893" s="1" t="s">
        <v>2139</v>
      </c>
      <c r="B893" s="1" t="s">
        <v>2139</v>
      </c>
      <c r="C893" s="1" t="s">
        <v>100</v>
      </c>
      <c r="E893" s="1">
        <v>3.2109172E7</v>
      </c>
      <c r="F893" s="2">
        <v>41837.0</v>
      </c>
      <c r="G893" s="1" t="s">
        <v>297</v>
      </c>
      <c r="I893" s="1" t="s">
        <v>297</v>
      </c>
      <c r="L893" s="1" t="s">
        <v>102</v>
      </c>
      <c r="M893" s="1">
        <v>8600.0</v>
      </c>
      <c r="N893" s="1" t="s">
        <v>102</v>
      </c>
      <c r="O893" s="1">
        <v>6.0974268E7</v>
      </c>
      <c r="P893" s="1" t="s">
        <v>2146</v>
      </c>
      <c r="R893" s="1" t="s">
        <v>2147</v>
      </c>
      <c r="S893" s="1" t="s">
        <v>44</v>
      </c>
      <c r="T893" s="1" t="s">
        <v>45</v>
      </c>
      <c r="U893" s="1">
        <v>4.82261417E8</v>
      </c>
      <c r="W893" s="1" t="s">
        <v>46</v>
      </c>
      <c r="X893" s="1" t="s">
        <v>45</v>
      </c>
      <c r="Y893" s="1">
        <v>4.82261417E8</v>
      </c>
      <c r="AB893" s="1">
        <v>100000.0</v>
      </c>
      <c r="AC893" s="2">
        <v>41837.0</v>
      </c>
      <c r="AD893" s="1">
        <v>8600.0</v>
      </c>
      <c r="AE893" s="1" t="s">
        <v>102</v>
      </c>
      <c r="AF893" s="1">
        <v>30.0</v>
      </c>
      <c r="AG893" s="1" t="s">
        <v>2148</v>
      </c>
      <c r="AH893" s="1">
        <v>8.0</v>
      </c>
      <c r="AI893" s="1">
        <v>2014.0</v>
      </c>
      <c r="AJ893" s="1">
        <v>2014.0</v>
      </c>
      <c r="AK893" s="1" t="s">
        <v>305</v>
      </c>
    </row>
    <row r="894">
      <c r="A894" s="1" t="s">
        <v>2139</v>
      </c>
      <c r="B894" s="1" t="s">
        <v>2139</v>
      </c>
      <c r="C894" s="1" t="s">
        <v>100</v>
      </c>
      <c r="E894" s="1">
        <v>3.2109172E7</v>
      </c>
      <c r="F894" s="2">
        <v>41837.0</v>
      </c>
      <c r="G894" s="1" t="s">
        <v>297</v>
      </c>
      <c r="I894" s="1" t="s">
        <v>297</v>
      </c>
      <c r="L894" s="1" t="s">
        <v>102</v>
      </c>
      <c r="M894" s="1">
        <v>8600.0</v>
      </c>
      <c r="N894" s="1" t="s">
        <v>102</v>
      </c>
      <c r="O894" s="1">
        <v>1.21516199E8</v>
      </c>
      <c r="P894" s="1" t="s">
        <v>380</v>
      </c>
      <c r="Q894" s="1" t="s">
        <v>381</v>
      </c>
      <c r="R894" s="1" t="s">
        <v>382</v>
      </c>
      <c r="S894" s="1" t="s">
        <v>44</v>
      </c>
      <c r="T894" s="1" t="s">
        <v>45</v>
      </c>
      <c r="U894" s="1">
        <v>4.82073156E8</v>
      </c>
      <c r="W894" s="1" t="s">
        <v>46</v>
      </c>
      <c r="X894" s="1" t="s">
        <v>45</v>
      </c>
      <c r="Y894" s="1">
        <v>4.82073156E8</v>
      </c>
      <c r="Z894" s="1">
        <v>1.21516199E8</v>
      </c>
      <c r="AA894" s="1" t="s">
        <v>380</v>
      </c>
      <c r="AB894" s="1">
        <v>100000.0</v>
      </c>
      <c r="AC894" s="2">
        <v>41837.0</v>
      </c>
      <c r="AD894" s="1">
        <v>8600.0</v>
      </c>
      <c r="AE894" s="1" t="s">
        <v>102</v>
      </c>
      <c r="AF894" s="1">
        <v>62.0</v>
      </c>
      <c r="AG894" s="1" t="s">
        <v>2149</v>
      </c>
      <c r="AH894" s="1">
        <v>8.0</v>
      </c>
      <c r="AI894" s="1">
        <v>2014.0</v>
      </c>
      <c r="AJ894" s="1">
        <v>2014.0</v>
      </c>
      <c r="AK894" s="1" t="s">
        <v>305</v>
      </c>
    </row>
    <row r="895">
      <c r="A895" s="1" t="s">
        <v>2139</v>
      </c>
      <c r="B895" s="1" t="s">
        <v>2139</v>
      </c>
      <c r="C895" s="1" t="s">
        <v>100</v>
      </c>
      <c r="E895" s="1">
        <v>3.2109172E7</v>
      </c>
      <c r="F895" s="2">
        <v>41837.0</v>
      </c>
      <c r="G895" s="1" t="s">
        <v>297</v>
      </c>
      <c r="I895" s="1" t="s">
        <v>297</v>
      </c>
      <c r="L895" s="1" t="s">
        <v>102</v>
      </c>
      <c r="M895" s="1">
        <v>8600.0</v>
      </c>
      <c r="N895" s="1" t="s">
        <v>102</v>
      </c>
      <c r="O895" s="1">
        <v>2.0830303E7</v>
      </c>
      <c r="P895" s="1" t="s">
        <v>424</v>
      </c>
      <c r="Q895" s="1" t="s">
        <v>425</v>
      </c>
      <c r="R895" s="1" t="s">
        <v>426</v>
      </c>
      <c r="S895" s="1" t="s">
        <v>44</v>
      </c>
      <c r="T895" s="1" t="s">
        <v>45</v>
      </c>
      <c r="U895" s="1">
        <v>4.82012002E8</v>
      </c>
      <c r="W895" s="1" t="s">
        <v>46</v>
      </c>
      <c r="X895" s="1" t="s">
        <v>45</v>
      </c>
      <c r="Y895" s="1">
        <v>4.82012002E8</v>
      </c>
      <c r="Z895" s="1">
        <v>2.0830303E7</v>
      </c>
      <c r="AA895" s="1" t="s">
        <v>424</v>
      </c>
      <c r="AB895" s="1">
        <v>100000.0</v>
      </c>
      <c r="AC895" s="2">
        <v>41837.0</v>
      </c>
      <c r="AD895" s="1">
        <v>8600.0</v>
      </c>
      <c r="AE895" s="1" t="s">
        <v>102</v>
      </c>
      <c r="AF895" s="1">
        <v>28.0</v>
      </c>
      <c r="AG895" s="1" t="s">
        <v>2150</v>
      </c>
      <c r="AH895" s="1">
        <v>8.0</v>
      </c>
      <c r="AI895" s="1">
        <v>2014.0</v>
      </c>
      <c r="AJ895" s="1">
        <v>2014.0</v>
      </c>
      <c r="AK895" s="1" t="s">
        <v>305</v>
      </c>
    </row>
    <row r="896">
      <c r="A896" s="1" t="s">
        <v>2139</v>
      </c>
      <c r="B896" s="1" t="s">
        <v>2139</v>
      </c>
      <c r="C896" s="1" t="s">
        <v>100</v>
      </c>
      <c r="E896" s="1">
        <v>3.2109172E7</v>
      </c>
      <c r="F896" s="2">
        <v>41837.0</v>
      </c>
      <c r="G896" s="1" t="s">
        <v>297</v>
      </c>
      <c r="I896" s="1" t="s">
        <v>297</v>
      </c>
      <c r="L896" s="1" t="s">
        <v>102</v>
      </c>
      <c r="M896" s="1">
        <v>8600.0</v>
      </c>
      <c r="N896" s="1" t="s">
        <v>102</v>
      </c>
      <c r="O896" s="1">
        <v>8.2218256E7</v>
      </c>
      <c r="P896" s="1" t="s">
        <v>2151</v>
      </c>
      <c r="R896" s="1" t="s">
        <v>2152</v>
      </c>
      <c r="S896" s="1" t="s">
        <v>44</v>
      </c>
      <c r="T896" s="1" t="s">
        <v>45</v>
      </c>
      <c r="U896" s="1">
        <v>4.82271419E8</v>
      </c>
      <c r="W896" s="1" t="s">
        <v>46</v>
      </c>
      <c r="X896" s="1" t="s">
        <v>45</v>
      </c>
      <c r="Y896" s="1">
        <v>4.82271419E8</v>
      </c>
      <c r="AB896" s="1">
        <v>100000.0</v>
      </c>
      <c r="AC896" s="2">
        <v>41837.0</v>
      </c>
      <c r="AD896" s="1">
        <v>8600.0</v>
      </c>
      <c r="AE896" s="1" t="s">
        <v>102</v>
      </c>
      <c r="AF896" s="1">
        <v>22.0</v>
      </c>
      <c r="AG896" s="1" t="s">
        <v>2153</v>
      </c>
      <c r="AH896" s="1">
        <v>8.0</v>
      </c>
      <c r="AI896" s="1">
        <v>2014.0</v>
      </c>
      <c r="AJ896" s="1">
        <v>2014.0</v>
      </c>
      <c r="AK896" s="1" t="s">
        <v>305</v>
      </c>
    </row>
    <row r="897">
      <c r="A897" s="1" t="s">
        <v>2139</v>
      </c>
      <c r="B897" s="1" t="s">
        <v>2139</v>
      </c>
      <c r="C897" s="1" t="s">
        <v>100</v>
      </c>
      <c r="E897" s="1">
        <v>3.2109172E7</v>
      </c>
      <c r="F897" s="2">
        <v>41837.0</v>
      </c>
      <c r="G897" s="1" t="s">
        <v>297</v>
      </c>
      <c r="I897" s="1" t="s">
        <v>297</v>
      </c>
      <c r="L897" s="1" t="s">
        <v>102</v>
      </c>
      <c r="M897" s="1">
        <v>8600.0</v>
      </c>
      <c r="N897" s="1" t="s">
        <v>102</v>
      </c>
      <c r="O897" s="1">
        <v>7.8671071E8</v>
      </c>
      <c r="P897" s="1" t="s">
        <v>2154</v>
      </c>
      <c r="R897" s="1" t="s">
        <v>2155</v>
      </c>
      <c r="S897" s="1" t="s">
        <v>44</v>
      </c>
      <c r="T897" s="1" t="s">
        <v>45</v>
      </c>
      <c r="U897" s="1">
        <v>4.8228305E8</v>
      </c>
      <c r="W897" s="1" t="s">
        <v>46</v>
      </c>
      <c r="X897" s="1" t="s">
        <v>45</v>
      </c>
      <c r="Y897" s="1">
        <v>4.8228305E8</v>
      </c>
      <c r="AB897" s="1">
        <v>100000.0</v>
      </c>
      <c r="AC897" s="2">
        <v>41837.0</v>
      </c>
      <c r="AD897" s="1">
        <v>8600.0</v>
      </c>
      <c r="AE897" s="1" t="s">
        <v>102</v>
      </c>
      <c r="AF897" s="1">
        <v>25.0</v>
      </c>
      <c r="AG897" s="1" t="s">
        <v>2156</v>
      </c>
      <c r="AH897" s="1">
        <v>8.0</v>
      </c>
      <c r="AI897" s="1">
        <v>2014.0</v>
      </c>
      <c r="AJ897" s="1">
        <v>2014.0</v>
      </c>
      <c r="AK897" s="1" t="s">
        <v>305</v>
      </c>
    </row>
    <row r="898">
      <c r="A898" s="1" t="s">
        <v>2139</v>
      </c>
      <c r="B898" s="1" t="s">
        <v>2139</v>
      </c>
      <c r="C898" s="1" t="s">
        <v>100</v>
      </c>
      <c r="E898" s="1">
        <v>3.2109172E7</v>
      </c>
      <c r="F898" s="2">
        <v>41837.0</v>
      </c>
      <c r="G898" s="1" t="s">
        <v>297</v>
      </c>
      <c r="I898" s="1" t="s">
        <v>297</v>
      </c>
      <c r="L898" s="1" t="s">
        <v>102</v>
      </c>
      <c r="M898" s="1">
        <v>8600.0</v>
      </c>
      <c r="N898" s="1" t="s">
        <v>102</v>
      </c>
      <c r="O898" s="1">
        <v>1.24022237E8</v>
      </c>
      <c r="P898" s="1" t="s">
        <v>2157</v>
      </c>
      <c r="R898" s="1" t="s">
        <v>2158</v>
      </c>
      <c r="S898" s="1" t="s">
        <v>44</v>
      </c>
      <c r="T898" s="1" t="s">
        <v>45</v>
      </c>
      <c r="U898" s="1">
        <v>4.82352507E8</v>
      </c>
      <c r="W898" s="1" t="s">
        <v>46</v>
      </c>
      <c r="X898" s="1" t="s">
        <v>45</v>
      </c>
      <c r="Y898" s="1">
        <v>4.82352507E8</v>
      </c>
      <c r="Z898" s="1">
        <v>1.24022237E8</v>
      </c>
      <c r="AB898" s="1">
        <v>100000.0</v>
      </c>
      <c r="AC898" s="2">
        <v>41837.0</v>
      </c>
      <c r="AD898" s="1">
        <v>8600.0</v>
      </c>
      <c r="AE898" s="1" t="s">
        <v>102</v>
      </c>
      <c r="AF898" s="1">
        <v>8.0</v>
      </c>
      <c r="AG898" s="1" t="s">
        <v>2159</v>
      </c>
      <c r="AH898" s="1">
        <v>8.0</v>
      </c>
      <c r="AI898" s="1">
        <v>2014.0</v>
      </c>
      <c r="AJ898" s="1">
        <v>2014.0</v>
      </c>
      <c r="AK898" s="1" t="s">
        <v>305</v>
      </c>
    </row>
    <row r="899">
      <c r="A899" s="1" t="s">
        <v>2139</v>
      </c>
      <c r="B899" s="1" t="s">
        <v>2139</v>
      </c>
      <c r="C899" s="1" t="s">
        <v>100</v>
      </c>
      <c r="E899" s="1">
        <v>3.2109172E7</v>
      </c>
      <c r="F899" s="2">
        <v>41837.0</v>
      </c>
      <c r="G899" s="1" t="s">
        <v>297</v>
      </c>
      <c r="I899" s="1" t="s">
        <v>297</v>
      </c>
      <c r="L899" s="1" t="s">
        <v>102</v>
      </c>
      <c r="M899" s="1">
        <v>8600.0</v>
      </c>
      <c r="N899" s="1" t="s">
        <v>102</v>
      </c>
      <c r="O899" s="1">
        <v>7.8074923E8</v>
      </c>
      <c r="P899" s="1" t="s">
        <v>419</v>
      </c>
      <c r="R899" s="1" t="s">
        <v>420</v>
      </c>
      <c r="S899" s="1" t="s">
        <v>44</v>
      </c>
      <c r="T899" s="1" t="s">
        <v>45</v>
      </c>
      <c r="U899" s="1">
        <v>4.82082365E8</v>
      </c>
      <c r="W899" s="1" t="s">
        <v>46</v>
      </c>
      <c r="X899" s="1" t="s">
        <v>45</v>
      </c>
      <c r="Y899" s="1">
        <v>4.82082365E8</v>
      </c>
      <c r="AB899" s="1">
        <v>100000.0</v>
      </c>
      <c r="AC899" s="2">
        <v>41837.0</v>
      </c>
      <c r="AD899" s="1">
        <v>8600.0</v>
      </c>
      <c r="AE899" s="1" t="s">
        <v>102</v>
      </c>
      <c r="AF899" s="1">
        <v>40.0</v>
      </c>
      <c r="AG899" s="1" t="s">
        <v>2160</v>
      </c>
      <c r="AH899" s="1">
        <v>8.0</v>
      </c>
      <c r="AI899" s="1">
        <v>2014.0</v>
      </c>
      <c r="AJ899" s="1">
        <v>2014.0</v>
      </c>
      <c r="AK899" s="1" t="s">
        <v>305</v>
      </c>
    </row>
    <row r="900">
      <c r="A900" s="1" t="s">
        <v>2139</v>
      </c>
      <c r="B900" s="1" t="s">
        <v>2139</v>
      </c>
      <c r="C900" s="1" t="s">
        <v>100</v>
      </c>
      <c r="E900" s="1">
        <v>3.2109172E7</v>
      </c>
      <c r="F900" s="2">
        <v>41837.0</v>
      </c>
      <c r="G900" s="1" t="s">
        <v>297</v>
      </c>
      <c r="I900" s="1" t="s">
        <v>297</v>
      </c>
      <c r="L900" s="1" t="s">
        <v>102</v>
      </c>
      <c r="M900" s="1">
        <v>8600.0</v>
      </c>
      <c r="N900" s="1" t="s">
        <v>102</v>
      </c>
      <c r="O900" s="1">
        <v>1.61078902E8</v>
      </c>
      <c r="P900" s="1" t="s">
        <v>1010</v>
      </c>
      <c r="Q900" s="1" t="s">
        <v>1011</v>
      </c>
      <c r="R900" s="1" t="s">
        <v>1012</v>
      </c>
      <c r="S900" s="1" t="s">
        <v>44</v>
      </c>
      <c r="T900" s="1" t="s">
        <v>45</v>
      </c>
      <c r="U900" s="1">
        <v>4.82012722E8</v>
      </c>
      <c r="W900" s="1" t="s">
        <v>46</v>
      </c>
      <c r="X900" s="1" t="s">
        <v>45</v>
      </c>
      <c r="Y900" s="1">
        <v>4.82012722E8</v>
      </c>
      <c r="Z900" s="1">
        <v>1.61078902E8</v>
      </c>
      <c r="AA900" s="1" t="s">
        <v>1010</v>
      </c>
      <c r="AB900" s="1">
        <v>100000.0</v>
      </c>
      <c r="AC900" s="2">
        <v>41837.0</v>
      </c>
      <c r="AD900" s="1">
        <v>8600.0</v>
      </c>
      <c r="AE900" s="1" t="s">
        <v>102</v>
      </c>
      <c r="AF900" s="1">
        <v>43.0</v>
      </c>
      <c r="AG900" s="1" t="s">
        <v>2161</v>
      </c>
      <c r="AH900" s="1">
        <v>8.0</v>
      </c>
      <c r="AI900" s="1">
        <v>2014.0</v>
      </c>
      <c r="AJ900" s="1">
        <v>2014.0</v>
      </c>
      <c r="AK900" s="1" t="s">
        <v>305</v>
      </c>
    </row>
    <row r="901">
      <c r="A901" s="1" t="s">
        <v>2139</v>
      </c>
      <c r="B901" s="1" t="s">
        <v>2139</v>
      </c>
      <c r="C901" s="1" t="s">
        <v>100</v>
      </c>
      <c r="E901" s="1">
        <v>3.2109172E7</v>
      </c>
      <c r="F901" s="2">
        <v>41837.0</v>
      </c>
      <c r="G901" s="1" t="s">
        <v>297</v>
      </c>
      <c r="I901" s="1" t="s">
        <v>297</v>
      </c>
      <c r="L901" s="1" t="s">
        <v>102</v>
      </c>
      <c r="M901" s="1">
        <v>8600.0</v>
      </c>
      <c r="N901" s="1" t="s">
        <v>102</v>
      </c>
      <c r="O901" s="1">
        <v>5.1034718E7</v>
      </c>
      <c r="P901" s="1" t="s">
        <v>2162</v>
      </c>
      <c r="R901" s="1" t="s">
        <v>2163</v>
      </c>
      <c r="S901" s="1" t="s">
        <v>44</v>
      </c>
      <c r="T901" s="1" t="s">
        <v>45</v>
      </c>
      <c r="U901" s="1">
        <v>4.82261472E8</v>
      </c>
      <c r="W901" s="1" t="s">
        <v>46</v>
      </c>
      <c r="X901" s="1" t="s">
        <v>45</v>
      </c>
      <c r="Y901" s="1">
        <v>4.82261472E8</v>
      </c>
      <c r="AB901" s="1">
        <v>75000.0</v>
      </c>
      <c r="AC901" s="2">
        <v>41837.0</v>
      </c>
      <c r="AD901" s="1">
        <v>8600.0</v>
      </c>
      <c r="AE901" s="1" t="s">
        <v>102</v>
      </c>
      <c r="AF901" s="1">
        <v>61.0</v>
      </c>
      <c r="AG901" s="1" t="s">
        <v>2164</v>
      </c>
      <c r="AH901" s="1">
        <v>8.0</v>
      </c>
      <c r="AI901" s="1">
        <v>2014.0</v>
      </c>
      <c r="AJ901" s="1">
        <v>2014.0</v>
      </c>
      <c r="AK901" s="1" t="s">
        <v>305</v>
      </c>
    </row>
    <row r="902">
      <c r="A902" s="1" t="s">
        <v>2139</v>
      </c>
      <c r="B902" s="1" t="s">
        <v>2139</v>
      </c>
      <c r="C902" s="1" t="s">
        <v>100</v>
      </c>
      <c r="E902" s="1">
        <v>3.2109172E7</v>
      </c>
      <c r="F902" s="2">
        <v>41837.0</v>
      </c>
      <c r="G902" s="1" t="s">
        <v>297</v>
      </c>
      <c r="I902" s="1" t="s">
        <v>297</v>
      </c>
      <c r="L902" s="1" t="s">
        <v>102</v>
      </c>
      <c r="M902" s="1">
        <v>8600.0</v>
      </c>
      <c r="N902" s="1" t="s">
        <v>102</v>
      </c>
      <c r="O902" s="1">
        <v>8.61422566E8</v>
      </c>
      <c r="P902" s="1" t="s">
        <v>2165</v>
      </c>
      <c r="R902" s="1" t="s">
        <v>2166</v>
      </c>
      <c r="S902" s="1" t="s">
        <v>44</v>
      </c>
      <c r="T902" s="1" t="s">
        <v>45</v>
      </c>
      <c r="U902" s="1">
        <v>4.82013473E8</v>
      </c>
      <c r="W902" s="1" t="s">
        <v>46</v>
      </c>
      <c r="X902" s="1" t="s">
        <v>45</v>
      </c>
      <c r="Y902" s="1">
        <v>4.82013473E8</v>
      </c>
      <c r="AB902" s="1">
        <v>75000.0</v>
      </c>
      <c r="AC902" s="2">
        <v>41837.0</v>
      </c>
      <c r="AD902" s="1">
        <v>8600.0</v>
      </c>
      <c r="AE902" s="1" t="s">
        <v>102</v>
      </c>
      <c r="AF902" s="1">
        <v>16.0</v>
      </c>
      <c r="AG902" s="1" t="s">
        <v>2167</v>
      </c>
      <c r="AH902" s="1">
        <v>8.0</v>
      </c>
      <c r="AI902" s="1">
        <v>2014.0</v>
      </c>
      <c r="AJ902" s="1">
        <v>2014.0</v>
      </c>
      <c r="AK902" s="1" t="s">
        <v>305</v>
      </c>
    </row>
    <row r="903">
      <c r="A903" s="1" t="s">
        <v>2139</v>
      </c>
      <c r="B903" s="1" t="s">
        <v>2139</v>
      </c>
      <c r="C903" s="1" t="s">
        <v>100</v>
      </c>
      <c r="E903" s="1">
        <v>3.2109172E7</v>
      </c>
      <c r="F903" s="2">
        <v>41837.0</v>
      </c>
      <c r="G903" s="1" t="s">
        <v>297</v>
      </c>
      <c r="I903" s="1" t="s">
        <v>297</v>
      </c>
      <c r="L903" s="1" t="s">
        <v>102</v>
      </c>
      <c r="M903" s="1">
        <v>8600.0</v>
      </c>
      <c r="N903" s="1" t="s">
        <v>102</v>
      </c>
      <c r="O903" s="1">
        <v>8.29087881E8</v>
      </c>
      <c r="P903" s="1" t="s">
        <v>2168</v>
      </c>
      <c r="R903" s="1" t="s">
        <v>2169</v>
      </c>
      <c r="S903" s="1" t="s">
        <v>44</v>
      </c>
      <c r="T903" s="1" t="s">
        <v>45</v>
      </c>
      <c r="U903" s="1">
        <v>4.82354107E8</v>
      </c>
      <c r="W903" s="1" t="s">
        <v>46</v>
      </c>
      <c r="X903" s="1" t="s">
        <v>45</v>
      </c>
      <c r="Y903" s="1">
        <v>4.82354107E8</v>
      </c>
      <c r="AB903" s="1">
        <v>100000.0</v>
      </c>
      <c r="AC903" s="2">
        <v>41837.0</v>
      </c>
      <c r="AD903" s="1">
        <v>8600.0</v>
      </c>
      <c r="AE903" s="1" t="s">
        <v>102</v>
      </c>
      <c r="AF903" s="1">
        <v>49.0</v>
      </c>
      <c r="AG903" s="1" t="s">
        <v>2170</v>
      </c>
      <c r="AH903" s="1">
        <v>8.0</v>
      </c>
      <c r="AI903" s="1">
        <v>2014.0</v>
      </c>
      <c r="AJ903" s="1">
        <v>2014.0</v>
      </c>
      <c r="AK903" s="1" t="s">
        <v>305</v>
      </c>
    </row>
    <row r="904">
      <c r="A904" s="1" t="s">
        <v>2139</v>
      </c>
      <c r="B904" s="1" t="s">
        <v>2139</v>
      </c>
      <c r="C904" s="1" t="s">
        <v>100</v>
      </c>
      <c r="E904" s="1">
        <v>3.2109172E7</v>
      </c>
      <c r="F904" s="2">
        <v>41837.0</v>
      </c>
      <c r="G904" s="1" t="s">
        <v>297</v>
      </c>
      <c r="I904" s="1" t="s">
        <v>297</v>
      </c>
      <c r="L904" s="1" t="s">
        <v>102</v>
      </c>
      <c r="M904" s="1">
        <v>8600.0</v>
      </c>
      <c r="N904" s="1" t="s">
        <v>102</v>
      </c>
      <c r="O904" s="1">
        <v>6.2962068E7</v>
      </c>
      <c r="P904" s="1" t="s">
        <v>1252</v>
      </c>
      <c r="R904" s="1" t="s">
        <v>1253</v>
      </c>
      <c r="S904" s="1" t="s">
        <v>44</v>
      </c>
      <c r="T904" s="1" t="s">
        <v>45</v>
      </c>
      <c r="U904" s="1">
        <v>4.82161917E8</v>
      </c>
      <c r="W904" s="1" t="s">
        <v>46</v>
      </c>
      <c r="X904" s="1" t="s">
        <v>45</v>
      </c>
      <c r="Y904" s="1">
        <v>4.82161917E8</v>
      </c>
      <c r="AB904" s="1">
        <v>75000.0</v>
      </c>
      <c r="AC904" s="2">
        <v>41837.0</v>
      </c>
      <c r="AD904" s="1">
        <v>8600.0</v>
      </c>
      <c r="AE904" s="1" t="s">
        <v>102</v>
      </c>
      <c r="AF904" s="1">
        <v>29.0</v>
      </c>
      <c r="AG904" s="1" t="s">
        <v>2171</v>
      </c>
      <c r="AH904" s="1">
        <v>8.0</v>
      </c>
      <c r="AI904" s="1">
        <v>2014.0</v>
      </c>
      <c r="AJ904" s="1">
        <v>2014.0</v>
      </c>
      <c r="AK904" s="1" t="s">
        <v>305</v>
      </c>
    </row>
    <row r="905">
      <c r="A905" s="1" t="s">
        <v>2139</v>
      </c>
      <c r="B905" s="1" t="s">
        <v>2139</v>
      </c>
      <c r="C905" s="1" t="s">
        <v>100</v>
      </c>
      <c r="E905" s="1">
        <v>3.2109172E7</v>
      </c>
      <c r="F905" s="2">
        <v>41837.0</v>
      </c>
      <c r="G905" s="1" t="s">
        <v>297</v>
      </c>
      <c r="I905" s="1" t="s">
        <v>297</v>
      </c>
      <c r="L905" s="1" t="s">
        <v>102</v>
      </c>
      <c r="M905" s="1">
        <v>8600.0</v>
      </c>
      <c r="N905" s="1" t="s">
        <v>102</v>
      </c>
      <c r="O905" s="1">
        <v>1.12914697E8</v>
      </c>
      <c r="P905" s="1" t="s">
        <v>2172</v>
      </c>
      <c r="Q905" s="1" t="s">
        <v>2173</v>
      </c>
      <c r="R905" s="1" t="s">
        <v>2174</v>
      </c>
      <c r="S905" s="1" t="s">
        <v>44</v>
      </c>
      <c r="T905" s="1" t="s">
        <v>45</v>
      </c>
      <c r="U905" s="1">
        <v>4.82341265E8</v>
      </c>
      <c r="W905" s="1" t="s">
        <v>46</v>
      </c>
      <c r="X905" s="1" t="s">
        <v>45</v>
      </c>
      <c r="Y905" s="1">
        <v>4.82341965E8</v>
      </c>
      <c r="AB905" s="1">
        <v>75000.0</v>
      </c>
      <c r="AC905" s="2">
        <v>41837.0</v>
      </c>
      <c r="AD905" s="1">
        <v>8600.0</v>
      </c>
      <c r="AE905" s="1" t="s">
        <v>102</v>
      </c>
      <c r="AF905" s="1">
        <v>26.0</v>
      </c>
      <c r="AG905" s="1" t="s">
        <v>2175</v>
      </c>
      <c r="AH905" s="1">
        <v>8.0</v>
      </c>
      <c r="AI905" s="1">
        <v>2014.0</v>
      </c>
      <c r="AJ905" s="1">
        <v>2014.0</v>
      </c>
      <c r="AK905" s="1" t="s">
        <v>305</v>
      </c>
    </row>
    <row r="906">
      <c r="A906" s="1" t="s">
        <v>2139</v>
      </c>
      <c r="B906" s="1" t="s">
        <v>2139</v>
      </c>
      <c r="C906" s="1" t="s">
        <v>100</v>
      </c>
      <c r="E906" s="1">
        <v>3.2109172E7</v>
      </c>
      <c r="F906" s="2">
        <v>41837.0</v>
      </c>
      <c r="G906" s="1" t="s">
        <v>297</v>
      </c>
      <c r="I906" s="1" t="s">
        <v>297</v>
      </c>
      <c r="L906" s="1" t="s">
        <v>102</v>
      </c>
      <c r="M906" s="1">
        <v>8600.0</v>
      </c>
      <c r="N906" s="1" t="s">
        <v>102</v>
      </c>
      <c r="O906" s="1">
        <v>1962224.0</v>
      </c>
      <c r="P906" s="1" t="s">
        <v>52</v>
      </c>
      <c r="Q906" s="1" t="s">
        <v>1566</v>
      </c>
      <c r="R906" s="1" t="s">
        <v>53</v>
      </c>
      <c r="S906" s="1" t="s">
        <v>44</v>
      </c>
      <c r="T906" s="1" t="s">
        <v>45</v>
      </c>
      <c r="U906" s="1">
        <v>4.82023692E8</v>
      </c>
      <c r="W906" s="1" t="s">
        <v>46</v>
      </c>
      <c r="X906" s="1" t="s">
        <v>45</v>
      </c>
      <c r="Y906" s="1">
        <v>4.82023692E8</v>
      </c>
      <c r="Z906" s="1">
        <v>1962224.0</v>
      </c>
      <c r="AA906" s="1" t="s">
        <v>52</v>
      </c>
      <c r="AB906" s="1">
        <v>75000.0</v>
      </c>
      <c r="AC906" s="2">
        <v>41837.0</v>
      </c>
      <c r="AD906" s="1">
        <v>8600.0</v>
      </c>
      <c r="AE906" s="1" t="s">
        <v>102</v>
      </c>
      <c r="AF906" s="1">
        <v>37.0</v>
      </c>
      <c r="AG906" s="1" t="s">
        <v>2176</v>
      </c>
      <c r="AH906" s="1">
        <v>8.0</v>
      </c>
      <c r="AI906" s="1">
        <v>2014.0</v>
      </c>
      <c r="AJ906" s="1">
        <v>2014.0</v>
      </c>
      <c r="AK906" s="1" t="s">
        <v>305</v>
      </c>
    </row>
    <row r="907">
      <c r="A907" s="1" t="s">
        <v>2139</v>
      </c>
      <c r="B907" s="1" t="s">
        <v>2139</v>
      </c>
      <c r="C907" s="1" t="s">
        <v>100</v>
      </c>
      <c r="E907" s="1">
        <v>3.2109172E7</v>
      </c>
      <c r="F907" s="2">
        <v>41837.0</v>
      </c>
      <c r="G907" s="1" t="s">
        <v>297</v>
      </c>
      <c r="I907" s="1" t="s">
        <v>297</v>
      </c>
      <c r="L907" s="1" t="s">
        <v>102</v>
      </c>
      <c r="M907" s="1">
        <v>8600.0</v>
      </c>
      <c r="N907" s="1" t="s">
        <v>102</v>
      </c>
      <c r="O907" s="1">
        <v>8.07778837E8</v>
      </c>
      <c r="P907" s="1" t="s">
        <v>2177</v>
      </c>
      <c r="R907" s="1" t="s">
        <v>2178</v>
      </c>
      <c r="S907" s="1" t="s">
        <v>44</v>
      </c>
      <c r="T907" s="1" t="s">
        <v>45</v>
      </c>
      <c r="U907" s="1">
        <v>4.82101936E8</v>
      </c>
      <c r="W907" s="1" t="s">
        <v>46</v>
      </c>
      <c r="X907" s="1" t="s">
        <v>45</v>
      </c>
      <c r="Y907" s="1">
        <v>4.82101936E8</v>
      </c>
      <c r="AB907" s="1">
        <v>75000.0</v>
      </c>
      <c r="AC907" s="2">
        <v>41837.0</v>
      </c>
      <c r="AD907" s="1">
        <v>8600.0</v>
      </c>
      <c r="AE907" s="1" t="s">
        <v>102</v>
      </c>
      <c r="AF907" s="1">
        <v>14.0</v>
      </c>
      <c r="AG907" s="1" t="s">
        <v>2179</v>
      </c>
      <c r="AH907" s="1">
        <v>8.0</v>
      </c>
      <c r="AI907" s="1">
        <v>2014.0</v>
      </c>
      <c r="AJ907" s="1">
        <v>2014.0</v>
      </c>
      <c r="AK907" s="1" t="s">
        <v>305</v>
      </c>
    </row>
    <row r="908">
      <c r="A908" s="1" t="s">
        <v>2139</v>
      </c>
      <c r="B908" s="1" t="s">
        <v>2139</v>
      </c>
      <c r="C908" s="1" t="s">
        <v>100</v>
      </c>
      <c r="E908" s="1">
        <v>3.2109172E7</v>
      </c>
      <c r="F908" s="2">
        <v>41837.0</v>
      </c>
      <c r="G908" s="1" t="s">
        <v>297</v>
      </c>
      <c r="I908" s="1" t="s">
        <v>297</v>
      </c>
      <c r="L908" s="1" t="s">
        <v>102</v>
      </c>
      <c r="M908" s="1">
        <v>8600.0</v>
      </c>
      <c r="N908" s="1" t="s">
        <v>102</v>
      </c>
      <c r="O908" s="1">
        <v>8.44806708E8</v>
      </c>
      <c r="P908" s="1" t="s">
        <v>103</v>
      </c>
      <c r="Q908" s="1" t="s">
        <v>1507</v>
      </c>
      <c r="R908" s="1" t="s">
        <v>1006</v>
      </c>
      <c r="S908" s="1" t="s">
        <v>44</v>
      </c>
      <c r="T908" s="1" t="s">
        <v>45</v>
      </c>
      <c r="U908" s="1">
        <v>4.82092022E8</v>
      </c>
      <c r="W908" s="1" t="s">
        <v>46</v>
      </c>
      <c r="X908" s="1" t="s">
        <v>45</v>
      </c>
      <c r="Y908" s="1">
        <v>4.82092022E8</v>
      </c>
      <c r="Z908" s="1">
        <v>7.6385699E7</v>
      </c>
      <c r="AA908" s="1" t="s">
        <v>106</v>
      </c>
      <c r="AB908" s="1">
        <v>100000.0</v>
      </c>
      <c r="AC908" s="2">
        <v>41837.0</v>
      </c>
      <c r="AD908" s="1">
        <v>8600.0</v>
      </c>
      <c r="AE908" s="1" t="s">
        <v>102</v>
      </c>
      <c r="AF908" s="1">
        <v>56.0</v>
      </c>
      <c r="AG908" s="1" t="s">
        <v>2180</v>
      </c>
      <c r="AH908" s="1">
        <v>8.0</v>
      </c>
      <c r="AI908" s="1">
        <v>2014.0</v>
      </c>
      <c r="AJ908" s="1">
        <v>2014.0</v>
      </c>
      <c r="AK908" s="1" t="s">
        <v>305</v>
      </c>
    </row>
    <row r="909">
      <c r="A909" s="1" t="s">
        <v>2139</v>
      </c>
      <c r="B909" s="1" t="s">
        <v>2139</v>
      </c>
      <c r="C909" s="1" t="s">
        <v>100</v>
      </c>
      <c r="E909" s="1">
        <v>3.2109172E7</v>
      </c>
      <c r="F909" s="2">
        <v>41837.0</v>
      </c>
      <c r="G909" s="1" t="s">
        <v>297</v>
      </c>
      <c r="I909" s="1" t="s">
        <v>297</v>
      </c>
      <c r="L909" s="1" t="s">
        <v>102</v>
      </c>
      <c r="M909" s="1">
        <v>8600.0</v>
      </c>
      <c r="N909" s="1" t="s">
        <v>102</v>
      </c>
      <c r="O909" s="1">
        <v>1.2380762E8</v>
      </c>
      <c r="P909" s="1" t="s">
        <v>2181</v>
      </c>
      <c r="Q909" s="1" t="s">
        <v>2182</v>
      </c>
      <c r="R909" s="1" t="s">
        <v>2183</v>
      </c>
      <c r="S909" s="1" t="s">
        <v>44</v>
      </c>
      <c r="T909" s="1" t="s">
        <v>45</v>
      </c>
      <c r="U909" s="1">
        <v>4.82013473E8</v>
      </c>
      <c r="W909" s="1" t="s">
        <v>46</v>
      </c>
      <c r="X909" s="1" t="s">
        <v>45</v>
      </c>
      <c r="Y909" s="1">
        <v>4.82013473E8</v>
      </c>
      <c r="AB909" s="1">
        <v>17.0</v>
      </c>
      <c r="AC909" s="2">
        <v>41837.0</v>
      </c>
      <c r="AD909" s="1">
        <v>8600.0</v>
      </c>
      <c r="AE909" s="1" t="s">
        <v>102</v>
      </c>
      <c r="AF909" s="1">
        <v>17.0</v>
      </c>
      <c r="AG909" s="1" t="s">
        <v>2184</v>
      </c>
      <c r="AH909" s="1">
        <v>8.0</v>
      </c>
      <c r="AI909" s="1">
        <v>2014.0</v>
      </c>
      <c r="AJ909" s="1">
        <v>2014.0</v>
      </c>
      <c r="AK909" s="1" t="s">
        <v>305</v>
      </c>
    </row>
    <row r="910">
      <c r="A910" s="1" t="s">
        <v>2139</v>
      </c>
      <c r="B910" s="1" t="s">
        <v>2139</v>
      </c>
      <c r="C910" s="1" t="s">
        <v>100</v>
      </c>
      <c r="E910" s="1">
        <v>3.2109172E7</v>
      </c>
      <c r="F910" s="2">
        <v>41837.0</v>
      </c>
      <c r="G910" s="1" t="s">
        <v>297</v>
      </c>
      <c r="I910" s="1" t="s">
        <v>297</v>
      </c>
      <c r="L910" s="1" t="s">
        <v>102</v>
      </c>
      <c r="M910" s="1">
        <v>8600.0</v>
      </c>
      <c r="N910" s="1" t="s">
        <v>102</v>
      </c>
      <c r="O910" s="1">
        <v>1.42440143E8</v>
      </c>
      <c r="P910" s="1" t="s">
        <v>2185</v>
      </c>
      <c r="Q910" s="1" t="s">
        <v>2186</v>
      </c>
      <c r="R910" s="1" t="s">
        <v>2187</v>
      </c>
      <c r="S910" s="1" t="s">
        <v>44</v>
      </c>
      <c r="T910" s="1" t="s">
        <v>45</v>
      </c>
      <c r="U910" s="1">
        <v>4.82021821E8</v>
      </c>
      <c r="W910" s="1" t="s">
        <v>46</v>
      </c>
      <c r="X910" s="1" t="s">
        <v>45</v>
      </c>
      <c r="Y910" s="1">
        <v>4.82021821E8</v>
      </c>
      <c r="AB910" s="1">
        <v>75000.0</v>
      </c>
      <c r="AC910" s="2">
        <v>41837.0</v>
      </c>
      <c r="AD910" s="1">
        <v>8600.0</v>
      </c>
      <c r="AE910" s="1" t="s">
        <v>102</v>
      </c>
      <c r="AF910" s="1">
        <v>19.0</v>
      </c>
      <c r="AG910" s="1" t="s">
        <v>2188</v>
      </c>
      <c r="AH910" s="1">
        <v>8.0</v>
      </c>
      <c r="AI910" s="1">
        <v>2014.0</v>
      </c>
      <c r="AJ910" s="1">
        <v>2014.0</v>
      </c>
      <c r="AK910" s="1" t="s">
        <v>305</v>
      </c>
    </row>
    <row r="911">
      <c r="A911" s="1" t="s">
        <v>2139</v>
      </c>
      <c r="B911" s="1" t="s">
        <v>2139</v>
      </c>
      <c r="C911" s="1" t="s">
        <v>100</v>
      </c>
      <c r="E911" s="1">
        <v>3.2109172E7</v>
      </c>
      <c r="F911" s="2">
        <v>41837.0</v>
      </c>
      <c r="G911" s="1" t="s">
        <v>297</v>
      </c>
      <c r="I911" s="1" t="s">
        <v>297</v>
      </c>
      <c r="L911" s="1" t="s">
        <v>102</v>
      </c>
      <c r="M911" s="1">
        <v>8600.0</v>
      </c>
      <c r="N911" s="1" t="s">
        <v>102</v>
      </c>
      <c r="O911" s="1">
        <v>4.9254014E7</v>
      </c>
      <c r="P911" s="1" t="s">
        <v>2189</v>
      </c>
      <c r="R911" s="1" t="s">
        <v>2190</v>
      </c>
      <c r="S911" s="1" t="s">
        <v>44</v>
      </c>
      <c r="T911" s="1" t="s">
        <v>45</v>
      </c>
      <c r="U911" s="1">
        <v>4.82024003E8</v>
      </c>
      <c r="W911" s="1" t="s">
        <v>46</v>
      </c>
      <c r="X911" s="1" t="s">
        <v>45</v>
      </c>
      <c r="Y911" s="1">
        <v>4.82024003E8</v>
      </c>
      <c r="Z911" s="1">
        <v>4.9254014E7</v>
      </c>
      <c r="AA911" s="1" t="s">
        <v>2189</v>
      </c>
      <c r="AB911" s="1">
        <v>100000.0</v>
      </c>
      <c r="AC911" s="2">
        <v>41837.0</v>
      </c>
      <c r="AD911" s="1">
        <v>8600.0</v>
      </c>
      <c r="AE911" s="1" t="s">
        <v>102</v>
      </c>
      <c r="AF911" s="1">
        <v>23.0</v>
      </c>
      <c r="AG911" s="1" t="s">
        <v>2191</v>
      </c>
      <c r="AH911" s="1">
        <v>8.0</v>
      </c>
      <c r="AI911" s="1">
        <v>2014.0</v>
      </c>
      <c r="AJ911" s="1">
        <v>2014.0</v>
      </c>
      <c r="AK911" s="1" t="s">
        <v>305</v>
      </c>
    </row>
    <row r="912">
      <c r="A912" s="1" t="s">
        <v>2139</v>
      </c>
      <c r="B912" s="1" t="s">
        <v>2139</v>
      </c>
      <c r="C912" s="1" t="s">
        <v>100</v>
      </c>
      <c r="E912" s="1">
        <v>3.2109172E7</v>
      </c>
      <c r="F912" s="2">
        <v>41837.0</v>
      </c>
      <c r="G912" s="1" t="s">
        <v>297</v>
      </c>
      <c r="I912" s="1" t="s">
        <v>297</v>
      </c>
      <c r="L912" s="1" t="s">
        <v>102</v>
      </c>
      <c r="M912" s="1">
        <v>8600.0</v>
      </c>
      <c r="N912" s="1" t="s">
        <v>102</v>
      </c>
      <c r="O912" s="1">
        <v>6.2371729E8</v>
      </c>
      <c r="P912" s="1" t="s">
        <v>2192</v>
      </c>
      <c r="R912" s="1" t="s">
        <v>2193</v>
      </c>
      <c r="S912" s="1" t="s">
        <v>44</v>
      </c>
      <c r="T912" s="1" t="s">
        <v>45</v>
      </c>
      <c r="U912" s="1">
        <v>4.82021424E8</v>
      </c>
      <c r="W912" s="1" t="s">
        <v>46</v>
      </c>
      <c r="X912" s="1" t="s">
        <v>45</v>
      </c>
      <c r="Y912" s="1">
        <v>4.82021424E8</v>
      </c>
      <c r="AB912" s="1">
        <v>100000.0</v>
      </c>
      <c r="AC912" s="2">
        <v>41837.0</v>
      </c>
      <c r="AD912" s="1">
        <v>8600.0</v>
      </c>
      <c r="AE912" s="1" t="s">
        <v>102</v>
      </c>
      <c r="AF912" s="1">
        <v>42.0</v>
      </c>
      <c r="AG912" s="1" t="s">
        <v>2194</v>
      </c>
      <c r="AH912" s="1">
        <v>8.0</v>
      </c>
      <c r="AI912" s="1">
        <v>2014.0</v>
      </c>
      <c r="AJ912" s="1">
        <v>2014.0</v>
      </c>
      <c r="AK912" s="1" t="s">
        <v>305</v>
      </c>
    </row>
    <row r="913">
      <c r="A913" s="1" t="s">
        <v>2139</v>
      </c>
      <c r="B913" s="1" t="s">
        <v>2139</v>
      </c>
      <c r="C913" s="1" t="s">
        <v>100</v>
      </c>
      <c r="E913" s="1">
        <v>3.2109172E7</v>
      </c>
      <c r="F913" s="2">
        <v>41837.0</v>
      </c>
      <c r="G913" s="1" t="s">
        <v>297</v>
      </c>
      <c r="I913" s="1" t="s">
        <v>297</v>
      </c>
      <c r="L913" s="1" t="s">
        <v>102</v>
      </c>
      <c r="M913" s="1">
        <v>8600.0</v>
      </c>
      <c r="N913" s="1" t="s">
        <v>102</v>
      </c>
      <c r="O913" s="1">
        <v>1.27458909E8</v>
      </c>
      <c r="P913" s="1" t="s">
        <v>2195</v>
      </c>
      <c r="R913" s="1" t="s">
        <v>2196</v>
      </c>
      <c r="S913" s="1" t="s">
        <v>44</v>
      </c>
      <c r="T913" s="1" t="s">
        <v>45</v>
      </c>
      <c r="U913" s="1">
        <v>4.82012641E8</v>
      </c>
      <c r="W913" s="1" t="s">
        <v>46</v>
      </c>
      <c r="X913" s="1" t="s">
        <v>45</v>
      </c>
      <c r="Y913" s="1">
        <v>4.82012641E8</v>
      </c>
      <c r="AB913" s="1">
        <v>100000.0</v>
      </c>
      <c r="AC913" s="2">
        <v>41837.0</v>
      </c>
      <c r="AD913" s="1">
        <v>8600.0</v>
      </c>
      <c r="AE913" s="1" t="s">
        <v>102</v>
      </c>
      <c r="AF913" s="1">
        <v>51.0</v>
      </c>
      <c r="AG913" s="1" t="s">
        <v>2197</v>
      </c>
      <c r="AH913" s="1">
        <v>8.0</v>
      </c>
      <c r="AI913" s="1">
        <v>2014.0</v>
      </c>
      <c r="AJ913" s="1">
        <v>2014.0</v>
      </c>
      <c r="AK913" s="1" t="s">
        <v>305</v>
      </c>
    </row>
    <row r="914">
      <c r="A914" s="1" t="s">
        <v>2139</v>
      </c>
      <c r="B914" s="1" t="s">
        <v>2139</v>
      </c>
      <c r="C914" s="1" t="s">
        <v>100</v>
      </c>
      <c r="E914" s="1">
        <v>3.2109172E7</v>
      </c>
      <c r="F914" s="2">
        <v>41837.0</v>
      </c>
      <c r="G914" s="1" t="s">
        <v>297</v>
      </c>
      <c r="I914" s="1" t="s">
        <v>297</v>
      </c>
      <c r="L914" s="1" t="s">
        <v>102</v>
      </c>
      <c r="M914" s="1">
        <v>8600.0</v>
      </c>
      <c r="N914" s="1" t="s">
        <v>102</v>
      </c>
      <c r="O914" s="1">
        <v>6.23610313E8</v>
      </c>
      <c r="P914" s="1" t="s">
        <v>2198</v>
      </c>
      <c r="R914" s="1" t="s">
        <v>2199</v>
      </c>
      <c r="S914" s="1" t="s">
        <v>44</v>
      </c>
      <c r="T914" s="1" t="s">
        <v>45</v>
      </c>
      <c r="U914" s="1">
        <v>4.82133487E8</v>
      </c>
      <c r="W914" s="1" t="s">
        <v>46</v>
      </c>
      <c r="X914" s="1" t="s">
        <v>45</v>
      </c>
      <c r="Y914" s="1">
        <v>4.82133487E8</v>
      </c>
      <c r="AB914" s="1">
        <v>100000.0</v>
      </c>
      <c r="AC914" s="2">
        <v>41837.0</v>
      </c>
      <c r="AD914" s="1">
        <v>8600.0</v>
      </c>
      <c r="AE914" s="1" t="s">
        <v>102</v>
      </c>
      <c r="AF914" s="1">
        <v>6.0</v>
      </c>
      <c r="AG914" s="1" t="s">
        <v>2200</v>
      </c>
      <c r="AH914" s="1">
        <v>8.0</v>
      </c>
      <c r="AI914" s="1">
        <v>2014.0</v>
      </c>
      <c r="AJ914" s="1">
        <v>2014.0</v>
      </c>
      <c r="AK914" s="1" t="s">
        <v>305</v>
      </c>
    </row>
    <row r="915">
      <c r="A915" s="1" t="s">
        <v>2139</v>
      </c>
      <c r="B915" s="1" t="s">
        <v>2139</v>
      </c>
      <c r="C915" s="1" t="s">
        <v>100</v>
      </c>
      <c r="E915" s="1">
        <v>3.2109172E7</v>
      </c>
      <c r="F915" s="2">
        <v>41837.0</v>
      </c>
      <c r="G915" s="1" t="s">
        <v>297</v>
      </c>
      <c r="I915" s="1" t="s">
        <v>297</v>
      </c>
      <c r="L915" s="1" t="s">
        <v>102</v>
      </c>
      <c r="M915" s="1">
        <v>8600.0</v>
      </c>
      <c r="N915" s="1" t="s">
        <v>102</v>
      </c>
      <c r="O915" s="1">
        <v>9.4547247E7</v>
      </c>
      <c r="P915" s="1" t="s">
        <v>2201</v>
      </c>
      <c r="Q915" s="1" t="s">
        <v>2202</v>
      </c>
      <c r="R915" s="1" t="s">
        <v>2203</v>
      </c>
      <c r="S915" s="1" t="s">
        <v>44</v>
      </c>
      <c r="T915" s="1" t="s">
        <v>45</v>
      </c>
      <c r="U915" s="1">
        <v>4.8201241E8</v>
      </c>
      <c r="W915" s="1" t="s">
        <v>46</v>
      </c>
      <c r="X915" s="1" t="s">
        <v>45</v>
      </c>
      <c r="Y915" s="1">
        <v>4.8201241E8</v>
      </c>
      <c r="Z915" s="1">
        <v>9.4547247E7</v>
      </c>
      <c r="AA915" s="1" t="s">
        <v>2201</v>
      </c>
      <c r="AB915" s="1">
        <v>100000.0</v>
      </c>
      <c r="AC915" s="2">
        <v>41837.0</v>
      </c>
      <c r="AD915" s="1">
        <v>8600.0</v>
      </c>
      <c r="AE915" s="1" t="s">
        <v>102</v>
      </c>
      <c r="AF915" s="1">
        <v>45.0</v>
      </c>
      <c r="AG915" s="1" t="s">
        <v>2204</v>
      </c>
      <c r="AH915" s="1">
        <v>8.0</v>
      </c>
      <c r="AI915" s="1">
        <v>2014.0</v>
      </c>
      <c r="AJ915" s="1">
        <v>2014.0</v>
      </c>
      <c r="AK915" s="1" t="s">
        <v>305</v>
      </c>
    </row>
    <row r="916">
      <c r="A916" s="1" t="s">
        <v>2139</v>
      </c>
      <c r="B916" s="1" t="s">
        <v>2139</v>
      </c>
      <c r="C916" s="1" t="s">
        <v>100</v>
      </c>
      <c r="E916" s="1">
        <v>3.2109172E7</v>
      </c>
      <c r="F916" s="2">
        <v>41837.0</v>
      </c>
      <c r="G916" s="1" t="s">
        <v>297</v>
      </c>
      <c r="I916" s="1" t="s">
        <v>297</v>
      </c>
      <c r="L916" s="1" t="s">
        <v>102</v>
      </c>
      <c r="M916" s="1">
        <v>8600.0</v>
      </c>
      <c r="N916" s="1" t="s">
        <v>102</v>
      </c>
      <c r="O916" s="1">
        <v>8.06464913E8</v>
      </c>
      <c r="P916" s="1" t="s">
        <v>2205</v>
      </c>
      <c r="Q916" s="1" t="s">
        <v>2206</v>
      </c>
      <c r="R916" s="1" t="s">
        <v>2207</v>
      </c>
      <c r="S916" s="1" t="s">
        <v>44</v>
      </c>
      <c r="T916" s="1" t="s">
        <v>45</v>
      </c>
      <c r="U916" s="1">
        <v>4.82082475E8</v>
      </c>
      <c r="W916" s="1" t="s">
        <v>46</v>
      </c>
      <c r="X916" s="1" t="s">
        <v>45</v>
      </c>
      <c r="Y916" s="1">
        <v>4.82082475E8</v>
      </c>
      <c r="AB916" s="1">
        <v>100000.0</v>
      </c>
      <c r="AC916" s="2">
        <v>41837.0</v>
      </c>
      <c r="AD916" s="1">
        <v>8600.0</v>
      </c>
      <c r="AE916" s="1" t="s">
        <v>102</v>
      </c>
      <c r="AF916" s="1">
        <v>44.0</v>
      </c>
      <c r="AG916" s="1" t="s">
        <v>2208</v>
      </c>
      <c r="AH916" s="1">
        <v>8.0</v>
      </c>
      <c r="AI916" s="1">
        <v>2014.0</v>
      </c>
      <c r="AJ916" s="1">
        <v>2014.0</v>
      </c>
      <c r="AK916" s="1" t="s">
        <v>305</v>
      </c>
    </row>
    <row r="917">
      <c r="A917" s="1" t="s">
        <v>2139</v>
      </c>
      <c r="B917" s="1" t="s">
        <v>2139</v>
      </c>
      <c r="C917" s="1" t="s">
        <v>100</v>
      </c>
      <c r="E917" s="1">
        <v>3.2109172E7</v>
      </c>
      <c r="F917" s="2">
        <v>41837.0</v>
      </c>
      <c r="G917" s="1" t="s">
        <v>297</v>
      </c>
      <c r="I917" s="1" t="s">
        <v>297</v>
      </c>
      <c r="L917" s="1" t="s">
        <v>102</v>
      </c>
      <c r="M917" s="1">
        <v>8600.0</v>
      </c>
      <c r="N917" s="1" t="s">
        <v>102</v>
      </c>
      <c r="O917" s="1">
        <v>9.33501314E8</v>
      </c>
      <c r="P917" s="1" t="s">
        <v>2209</v>
      </c>
      <c r="Q917" s="1" t="s">
        <v>2210</v>
      </c>
      <c r="R917" s="1" t="s">
        <v>2211</v>
      </c>
      <c r="S917" s="1" t="s">
        <v>44</v>
      </c>
      <c r="T917" s="1" t="s">
        <v>45</v>
      </c>
      <c r="U917" s="1">
        <v>4.82152967E8</v>
      </c>
      <c r="W917" s="1" t="s">
        <v>46</v>
      </c>
      <c r="X917" s="1" t="s">
        <v>45</v>
      </c>
      <c r="Y917" s="1">
        <v>4.82152697E8</v>
      </c>
      <c r="AB917" s="1">
        <v>100000.0</v>
      </c>
      <c r="AC917" s="2">
        <v>41837.0</v>
      </c>
      <c r="AD917" s="1">
        <v>8600.0</v>
      </c>
      <c r="AE917" s="1" t="s">
        <v>102</v>
      </c>
      <c r="AF917" s="1">
        <v>24.0</v>
      </c>
      <c r="AG917" s="1" t="s">
        <v>2212</v>
      </c>
      <c r="AH917" s="1">
        <v>8.0</v>
      </c>
      <c r="AI917" s="1">
        <v>2014.0</v>
      </c>
      <c r="AJ917" s="1">
        <v>2014.0</v>
      </c>
      <c r="AK917" s="1" t="s">
        <v>305</v>
      </c>
    </row>
    <row r="918">
      <c r="A918" s="1" t="s">
        <v>2139</v>
      </c>
      <c r="B918" s="1" t="s">
        <v>2139</v>
      </c>
      <c r="C918" s="1" t="s">
        <v>100</v>
      </c>
      <c r="E918" s="1">
        <v>3.2109172E7</v>
      </c>
      <c r="F918" s="2">
        <v>41837.0</v>
      </c>
      <c r="G918" s="1" t="s">
        <v>297</v>
      </c>
      <c r="I918" s="1" t="s">
        <v>297</v>
      </c>
      <c r="L918" s="1" t="s">
        <v>102</v>
      </c>
      <c r="M918" s="1">
        <v>8600.0</v>
      </c>
      <c r="N918" s="1" t="s">
        <v>102</v>
      </c>
      <c r="O918" s="1">
        <v>9.68670828E8</v>
      </c>
      <c r="P918" s="1" t="s">
        <v>2213</v>
      </c>
      <c r="Q918" s="1" t="s">
        <v>2214</v>
      </c>
      <c r="R918" s="1" t="s">
        <v>2215</v>
      </c>
      <c r="S918" s="1" t="s">
        <v>44</v>
      </c>
      <c r="T918" s="1" t="s">
        <v>45</v>
      </c>
      <c r="U918" s="1">
        <v>4.82152804E8</v>
      </c>
      <c r="W918" s="1" t="s">
        <v>46</v>
      </c>
      <c r="X918" s="1" t="s">
        <v>45</v>
      </c>
      <c r="Y918" s="1">
        <v>4.82152804E8</v>
      </c>
      <c r="AB918" s="1">
        <v>100000.0</v>
      </c>
      <c r="AC918" s="2">
        <v>41837.0</v>
      </c>
      <c r="AD918" s="1">
        <v>8600.0</v>
      </c>
      <c r="AE918" s="1" t="s">
        <v>102</v>
      </c>
      <c r="AF918" s="1">
        <v>57.0</v>
      </c>
      <c r="AG918" s="1" t="s">
        <v>2216</v>
      </c>
      <c r="AH918" s="1">
        <v>8.0</v>
      </c>
      <c r="AI918" s="1">
        <v>2014.0</v>
      </c>
      <c r="AJ918" s="1">
        <v>2014.0</v>
      </c>
      <c r="AK918" s="1" t="s">
        <v>305</v>
      </c>
    </row>
    <row r="919">
      <c r="A919" s="1" t="s">
        <v>2139</v>
      </c>
      <c r="B919" s="1" t="s">
        <v>2139</v>
      </c>
      <c r="C919" s="1" t="s">
        <v>100</v>
      </c>
      <c r="E919" s="1">
        <v>3.2109172E7</v>
      </c>
      <c r="F919" s="2">
        <v>41837.0</v>
      </c>
      <c r="G919" s="1" t="s">
        <v>297</v>
      </c>
      <c r="I919" s="1" t="s">
        <v>297</v>
      </c>
      <c r="L919" s="1" t="s">
        <v>102</v>
      </c>
      <c r="M919" s="1">
        <v>8600.0</v>
      </c>
      <c r="N919" s="1" t="s">
        <v>102</v>
      </c>
      <c r="O919" s="1">
        <v>7.8274513E7</v>
      </c>
      <c r="P919" s="1" t="s">
        <v>2217</v>
      </c>
      <c r="R919" s="1" t="s">
        <v>2218</v>
      </c>
      <c r="S919" s="1" t="s">
        <v>44</v>
      </c>
      <c r="T919" s="1" t="s">
        <v>45</v>
      </c>
      <c r="U919" s="1">
        <v>4.82211964E8</v>
      </c>
      <c r="W919" s="1" t="s">
        <v>46</v>
      </c>
      <c r="X919" s="1" t="s">
        <v>45</v>
      </c>
      <c r="Y919" s="1">
        <v>4.82211964E8</v>
      </c>
      <c r="AB919" s="1">
        <v>100000.0</v>
      </c>
      <c r="AC919" s="2">
        <v>41837.0</v>
      </c>
      <c r="AD919" s="1">
        <v>8600.0</v>
      </c>
      <c r="AE919" s="1" t="s">
        <v>102</v>
      </c>
      <c r="AF919" s="1">
        <v>21.0</v>
      </c>
      <c r="AG919" s="1" t="s">
        <v>2219</v>
      </c>
      <c r="AH919" s="1">
        <v>8.0</v>
      </c>
      <c r="AI919" s="1">
        <v>2014.0</v>
      </c>
      <c r="AJ919" s="1">
        <v>2014.0</v>
      </c>
      <c r="AK919" s="1" t="s">
        <v>305</v>
      </c>
    </row>
    <row r="920">
      <c r="A920" s="1" t="s">
        <v>2139</v>
      </c>
      <c r="B920" s="1" t="s">
        <v>2139</v>
      </c>
      <c r="C920" s="1" t="s">
        <v>100</v>
      </c>
      <c r="E920" s="1">
        <v>3.2109172E7</v>
      </c>
      <c r="F920" s="2">
        <v>41837.0</v>
      </c>
      <c r="G920" s="1" t="s">
        <v>297</v>
      </c>
      <c r="I920" s="1" t="s">
        <v>297</v>
      </c>
      <c r="L920" s="1" t="s">
        <v>102</v>
      </c>
      <c r="M920" s="1">
        <v>8600.0</v>
      </c>
      <c r="N920" s="1" t="s">
        <v>102</v>
      </c>
      <c r="O920" s="1">
        <v>2.183979E7</v>
      </c>
      <c r="P920" s="1" t="s">
        <v>2220</v>
      </c>
      <c r="R920" s="1" t="s">
        <v>2221</v>
      </c>
      <c r="S920" s="1" t="s">
        <v>44</v>
      </c>
      <c r="T920" s="1" t="s">
        <v>45</v>
      </c>
      <c r="U920" s="1">
        <v>4.82072372E8</v>
      </c>
      <c r="W920" s="1" t="s">
        <v>46</v>
      </c>
      <c r="X920" s="1" t="s">
        <v>45</v>
      </c>
      <c r="Y920" s="1">
        <v>4.82072372E8</v>
      </c>
      <c r="Z920" s="1">
        <v>2.183979E7</v>
      </c>
      <c r="AA920" s="1" t="s">
        <v>2220</v>
      </c>
      <c r="AB920" s="1">
        <v>100000.0</v>
      </c>
      <c r="AC920" s="2">
        <v>41837.0</v>
      </c>
      <c r="AD920" s="1">
        <v>8600.0</v>
      </c>
      <c r="AE920" s="1" t="s">
        <v>102</v>
      </c>
      <c r="AF920" s="1">
        <v>35.0</v>
      </c>
      <c r="AG920" s="1" t="s">
        <v>2222</v>
      </c>
      <c r="AH920" s="1">
        <v>8.0</v>
      </c>
      <c r="AI920" s="1">
        <v>2014.0</v>
      </c>
      <c r="AJ920" s="1">
        <v>2014.0</v>
      </c>
      <c r="AK920" s="1" t="s">
        <v>305</v>
      </c>
    </row>
    <row r="921">
      <c r="A921" s="1" t="s">
        <v>2139</v>
      </c>
      <c r="B921" s="1" t="s">
        <v>2139</v>
      </c>
      <c r="C921" s="1" t="s">
        <v>100</v>
      </c>
      <c r="E921" s="1">
        <v>3.2109172E7</v>
      </c>
      <c r="F921" s="2">
        <v>41837.0</v>
      </c>
      <c r="G921" s="1" t="s">
        <v>297</v>
      </c>
      <c r="I921" s="1" t="s">
        <v>297</v>
      </c>
      <c r="L921" s="1" t="s">
        <v>102</v>
      </c>
      <c r="M921" s="1">
        <v>8600.0</v>
      </c>
      <c r="N921" s="1" t="s">
        <v>102</v>
      </c>
      <c r="O921" s="1">
        <v>9.65680176E8</v>
      </c>
      <c r="P921" s="1" t="s">
        <v>353</v>
      </c>
      <c r="Q921" s="1" t="s">
        <v>354</v>
      </c>
      <c r="R921" s="1" t="s">
        <v>355</v>
      </c>
      <c r="S921" s="1" t="s">
        <v>44</v>
      </c>
      <c r="T921" s="1" t="s">
        <v>45</v>
      </c>
      <c r="U921" s="1">
        <v>4.8209344E8</v>
      </c>
      <c r="W921" s="1" t="s">
        <v>46</v>
      </c>
      <c r="X921" s="1" t="s">
        <v>45</v>
      </c>
      <c r="Y921" s="1">
        <v>4.8209344E8</v>
      </c>
      <c r="AB921" s="1">
        <v>200000.0</v>
      </c>
      <c r="AC921" s="2">
        <v>41837.0</v>
      </c>
      <c r="AD921" s="1">
        <v>8600.0</v>
      </c>
      <c r="AE921" s="1" t="s">
        <v>102</v>
      </c>
      <c r="AF921" s="1">
        <v>10.0</v>
      </c>
      <c r="AG921" s="1" t="s">
        <v>2223</v>
      </c>
      <c r="AH921" s="1">
        <v>8.0</v>
      </c>
      <c r="AI921" s="1">
        <v>2014.0</v>
      </c>
      <c r="AJ921" s="1">
        <v>2014.0</v>
      </c>
      <c r="AK921" s="1" t="s">
        <v>305</v>
      </c>
    </row>
    <row r="922">
      <c r="A922" s="1" t="s">
        <v>2139</v>
      </c>
      <c r="B922" s="1" t="s">
        <v>2139</v>
      </c>
      <c r="C922" s="1" t="s">
        <v>100</v>
      </c>
      <c r="E922" s="1">
        <v>3.2109172E7</v>
      </c>
      <c r="F922" s="2">
        <v>41837.0</v>
      </c>
      <c r="G922" s="1" t="s">
        <v>297</v>
      </c>
      <c r="I922" s="1" t="s">
        <v>297</v>
      </c>
      <c r="L922" s="1" t="s">
        <v>102</v>
      </c>
      <c r="M922" s="1">
        <v>8600.0</v>
      </c>
      <c r="N922" s="1" t="s">
        <v>102</v>
      </c>
      <c r="O922" s="1">
        <v>8.37073782E8</v>
      </c>
      <c r="P922" s="1" t="s">
        <v>2224</v>
      </c>
      <c r="R922" s="1" t="s">
        <v>2225</v>
      </c>
      <c r="S922" s="1" t="s">
        <v>44</v>
      </c>
      <c r="T922" s="1" t="s">
        <v>45</v>
      </c>
      <c r="U922" s="1">
        <v>4.82161324E8</v>
      </c>
      <c r="W922" s="1" t="s">
        <v>46</v>
      </c>
      <c r="X922" s="1" t="s">
        <v>45</v>
      </c>
      <c r="Y922" s="1">
        <v>4.82161324E8</v>
      </c>
      <c r="AB922" s="1">
        <v>100000.0</v>
      </c>
      <c r="AC922" s="2">
        <v>41837.0</v>
      </c>
      <c r="AD922" s="1">
        <v>8600.0</v>
      </c>
      <c r="AE922" s="1" t="s">
        <v>102</v>
      </c>
      <c r="AF922" s="1">
        <v>37.0</v>
      </c>
      <c r="AG922" s="1" t="s">
        <v>2226</v>
      </c>
      <c r="AH922" s="1">
        <v>8.0</v>
      </c>
      <c r="AI922" s="1">
        <v>2014.0</v>
      </c>
      <c r="AJ922" s="1">
        <v>2014.0</v>
      </c>
      <c r="AK922" s="1" t="s">
        <v>305</v>
      </c>
    </row>
    <row r="923">
      <c r="A923" s="1" t="s">
        <v>2139</v>
      </c>
      <c r="B923" s="1" t="s">
        <v>2139</v>
      </c>
      <c r="C923" s="1" t="s">
        <v>100</v>
      </c>
      <c r="E923" s="1">
        <v>3.2109172E7</v>
      </c>
      <c r="F923" s="2">
        <v>41837.0</v>
      </c>
      <c r="G923" s="1" t="s">
        <v>297</v>
      </c>
      <c r="I923" s="1" t="s">
        <v>297</v>
      </c>
      <c r="L923" s="1" t="s">
        <v>102</v>
      </c>
      <c r="M923" s="1">
        <v>8600.0</v>
      </c>
      <c r="N923" s="1" t="s">
        <v>102</v>
      </c>
      <c r="O923" s="1">
        <v>2.0396122E7</v>
      </c>
      <c r="P923" s="1" t="s">
        <v>2227</v>
      </c>
      <c r="R923" s="1" t="s">
        <v>2228</v>
      </c>
      <c r="S923" s="1" t="s">
        <v>44</v>
      </c>
      <c r="T923" s="1" t="s">
        <v>45</v>
      </c>
      <c r="U923" s="1">
        <v>4.82263285E8</v>
      </c>
      <c r="W923" s="1" t="s">
        <v>46</v>
      </c>
      <c r="X923" s="1" t="s">
        <v>45</v>
      </c>
      <c r="Y923" s="1">
        <v>4.82263285E8</v>
      </c>
      <c r="AB923" s="1">
        <v>100000.0</v>
      </c>
      <c r="AC923" s="2">
        <v>41837.0</v>
      </c>
      <c r="AD923" s="1">
        <v>8600.0</v>
      </c>
      <c r="AE923" s="1" t="s">
        <v>102</v>
      </c>
      <c r="AF923" s="1">
        <v>58.0</v>
      </c>
      <c r="AG923" s="1" t="s">
        <v>2229</v>
      </c>
      <c r="AH923" s="1">
        <v>8.0</v>
      </c>
      <c r="AI923" s="1">
        <v>2014.0</v>
      </c>
      <c r="AJ923" s="1">
        <v>2014.0</v>
      </c>
      <c r="AK923" s="1" t="s">
        <v>305</v>
      </c>
    </row>
    <row r="924">
      <c r="A924" s="1" t="s">
        <v>2139</v>
      </c>
      <c r="B924" s="1" t="s">
        <v>2139</v>
      </c>
      <c r="C924" s="1" t="s">
        <v>100</v>
      </c>
      <c r="E924" s="1">
        <v>3.2109172E7</v>
      </c>
      <c r="F924" s="2">
        <v>41837.0</v>
      </c>
      <c r="G924" s="1" t="s">
        <v>297</v>
      </c>
      <c r="I924" s="1" t="s">
        <v>297</v>
      </c>
      <c r="L924" s="1" t="s">
        <v>102</v>
      </c>
      <c r="M924" s="1">
        <v>8600.0</v>
      </c>
      <c r="N924" s="1" t="s">
        <v>102</v>
      </c>
      <c r="O924" s="1">
        <v>1.44744369E8</v>
      </c>
      <c r="P924" s="1" t="s">
        <v>2230</v>
      </c>
      <c r="R924" s="1" t="s">
        <v>2231</v>
      </c>
      <c r="S924" s="1" t="s">
        <v>44</v>
      </c>
      <c r="T924" s="1" t="s">
        <v>45</v>
      </c>
      <c r="U924" s="1">
        <v>4.82161595E8</v>
      </c>
      <c r="W924" s="1" t="s">
        <v>46</v>
      </c>
      <c r="X924" s="1" t="s">
        <v>45</v>
      </c>
      <c r="Y924" s="1">
        <v>4.82161595E8</v>
      </c>
      <c r="AB924" s="1">
        <v>100000.0</v>
      </c>
      <c r="AC924" s="2">
        <v>41837.0</v>
      </c>
      <c r="AD924" s="1">
        <v>8600.0</v>
      </c>
      <c r="AE924" s="1" t="s">
        <v>102</v>
      </c>
      <c r="AF924" s="1">
        <v>18.0</v>
      </c>
      <c r="AG924" s="1" t="s">
        <v>2232</v>
      </c>
      <c r="AH924" s="1">
        <v>8.0</v>
      </c>
      <c r="AI924" s="1">
        <v>2014.0</v>
      </c>
      <c r="AJ924" s="1">
        <v>2014.0</v>
      </c>
      <c r="AK924" s="1" t="s">
        <v>305</v>
      </c>
    </row>
    <row r="925">
      <c r="A925" s="1" t="s">
        <v>2139</v>
      </c>
      <c r="B925" s="1" t="s">
        <v>2139</v>
      </c>
      <c r="C925" s="1" t="s">
        <v>100</v>
      </c>
      <c r="E925" s="1">
        <v>3.2109172E7</v>
      </c>
      <c r="F925" s="2">
        <v>41837.0</v>
      </c>
      <c r="G925" s="1" t="s">
        <v>297</v>
      </c>
      <c r="I925" s="1" t="s">
        <v>297</v>
      </c>
      <c r="L925" s="1" t="s">
        <v>102</v>
      </c>
      <c r="M925" s="1">
        <v>8600.0</v>
      </c>
      <c r="N925" s="1" t="s">
        <v>102</v>
      </c>
      <c r="O925" s="1">
        <v>1.75587161E8</v>
      </c>
      <c r="P925" s="1" t="s">
        <v>2233</v>
      </c>
      <c r="Q925" s="1" t="s">
        <v>2234</v>
      </c>
      <c r="R925" s="1" t="s">
        <v>2235</v>
      </c>
      <c r="S925" s="1" t="s">
        <v>44</v>
      </c>
      <c r="T925" s="1" t="s">
        <v>45</v>
      </c>
      <c r="U925" s="1">
        <v>4.82022411E8</v>
      </c>
      <c r="W925" s="1" t="s">
        <v>46</v>
      </c>
      <c r="X925" s="1" t="s">
        <v>45</v>
      </c>
      <c r="Y925" s="1">
        <v>4.82022411E8</v>
      </c>
      <c r="Z925" s="1">
        <v>1.75587161E8</v>
      </c>
      <c r="AA925" s="1" t="s">
        <v>2236</v>
      </c>
      <c r="AB925" s="1">
        <v>100000.0</v>
      </c>
      <c r="AC925" s="2">
        <v>41837.0</v>
      </c>
      <c r="AD925" s="1">
        <v>8600.0</v>
      </c>
      <c r="AE925" s="1" t="s">
        <v>102</v>
      </c>
      <c r="AF925" s="1">
        <v>11.0</v>
      </c>
      <c r="AG925" s="1" t="s">
        <v>2237</v>
      </c>
      <c r="AH925" s="1">
        <v>8.0</v>
      </c>
      <c r="AI925" s="1">
        <v>2014.0</v>
      </c>
      <c r="AJ925" s="1">
        <v>2014.0</v>
      </c>
      <c r="AK925" s="1" t="s">
        <v>305</v>
      </c>
    </row>
    <row r="926">
      <c r="A926" s="1" t="s">
        <v>2139</v>
      </c>
      <c r="B926" s="1" t="s">
        <v>2139</v>
      </c>
      <c r="C926" s="1" t="s">
        <v>100</v>
      </c>
      <c r="E926" s="1">
        <v>3.2109172E7</v>
      </c>
      <c r="F926" s="2">
        <v>41837.0</v>
      </c>
      <c r="G926" s="1" t="s">
        <v>297</v>
      </c>
      <c r="I926" s="1" t="s">
        <v>297</v>
      </c>
      <c r="L926" s="1" t="s">
        <v>102</v>
      </c>
      <c r="M926" s="1">
        <v>8600.0</v>
      </c>
      <c r="N926" s="1" t="s">
        <v>102</v>
      </c>
      <c r="O926" s="1">
        <v>1.42793053E8</v>
      </c>
      <c r="P926" s="1" t="s">
        <v>994</v>
      </c>
      <c r="R926" s="1" t="s">
        <v>995</v>
      </c>
      <c r="S926" s="1" t="s">
        <v>44</v>
      </c>
      <c r="T926" s="1" t="s">
        <v>45</v>
      </c>
      <c r="U926" s="1">
        <v>4.82282721E8</v>
      </c>
      <c r="W926" s="1" t="s">
        <v>46</v>
      </c>
      <c r="X926" s="1" t="s">
        <v>45</v>
      </c>
      <c r="Y926" s="1">
        <v>4.82282721E8</v>
      </c>
      <c r="AB926" s="1">
        <v>100000.0</v>
      </c>
      <c r="AC926" s="2">
        <v>41837.0</v>
      </c>
      <c r="AD926" s="1">
        <v>8600.0</v>
      </c>
      <c r="AE926" s="1" t="s">
        <v>102</v>
      </c>
      <c r="AF926" s="1">
        <v>41.0</v>
      </c>
      <c r="AG926" s="1" t="s">
        <v>2238</v>
      </c>
      <c r="AH926" s="1">
        <v>8.0</v>
      </c>
      <c r="AI926" s="1">
        <v>2014.0</v>
      </c>
      <c r="AJ926" s="1">
        <v>2014.0</v>
      </c>
      <c r="AK926" s="1" t="s">
        <v>305</v>
      </c>
    </row>
    <row r="927">
      <c r="A927" s="1" t="s">
        <v>2139</v>
      </c>
      <c r="B927" s="1" t="s">
        <v>2139</v>
      </c>
      <c r="C927" s="1" t="s">
        <v>100</v>
      </c>
      <c r="E927" s="1">
        <v>3.2109172E7</v>
      </c>
      <c r="F927" s="2">
        <v>41837.0</v>
      </c>
      <c r="G927" s="1" t="s">
        <v>297</v>
      </c>
      <c r="I927" s="1" t="s">
        <v>297</v>
      </c>
      <c r="L927" s="1" t="s">
        <v>102</v>
      </c>
      <c r="M927" s="1">
        <v>8600.0</v>
      </c>
      <c r="N927" s="1" t="s">
        <v>102</v>
      </c>
      <c r="O927" s="1">
        <v>6.07778081E8</v>
      </c>
      <c r="P927" s="1" t="s">
        <v>1002</v>
      </c>
      <c r="Q927" s="1" t="s">
        <v>1003</v>
      </c>
      <c r="R927" s="1" t="s">
        <v>1004</v>
      </c>
      <c r="S927" s="1" t="s">
        <v>44</v>
      </c>
      <c r="T927" s="1" t="s">
        <v>45</v>
      </c>
      <c r="U927" s="1">
        <v>4.82261986E8</v>
      </c>
      <c r="W927" s="1" t="s">
        <v>46</v>
      </c>
      <c r="X927" s="1" t="s">
        <v>45</v>
      </c>
      <c r="Y927" s="1">
        <v>4.82261986E8</v>
      </c>
      <c r="Z927" s="1">
        <v>6.07778081E8</v>
      </c>
      <c r="AA927" s="1" t="s">
        <v>1002</v>
      </c>
      <c r="AB927" s="1">
        <v>100000.0</v>
      </c>
      <c r="AC927" s="2">
        <v>41837.0</v>
      </c>
      <c r="AD927" s="1">
        <v>8600.0</v>
      </c>
      <c r="AE927" s="1" t="s">
        <v>102</v>
      </c>
      <c r="AF927" s="1">
        <v>59.0</v>
      </c>
      <c r="AG927" s="1" t="s">
        <v>2239</v>
      </c>
      <c r="AH927" s="1">
        <v>8.0</v>
      </c>
      <c r="AI927" s="1">
        <v>2014.0</v>
      </c>
      <c r="AJ927" s="1">
        <v>2014.0</v>
      </c>
      <c r="AK927" s="1" t="s">
        <v>305</v>
      </c>
    </row>
    <row r="928">
      <c r="A928" s="1" t="s">
        <v>2139</v>
      </c>
      <c r="B928" s="1" t="s">
        <v>2139</v>
      </c>
      <c r="C928" s="1" t="s">
        <v>100</v>
      </c>
      <c r="E928" s="1">
        <v>3.2109172E7</v>
      </c>
      <c r="F928" s="2">
        <v>41837.0</v>
      </c>
      <c r="G928" s="1" t="s">
        <v>297</v>
      </c>
      <c r="I928" s="1" t="s">
        <v>297</v>
      </c>
      <c r="L928" s="1" t="s">
        <v>102</v>
      </c>
      <c r="M928" s="1">
        <v>8600.0</v>
      </c>
      <c r="N928" s="1" t="s">
        <v>102</v>
      </c>
      <c r="O928" s="1">
        <v>1.06504459E8</v>
      </c>
      <c r="P928" s="1" t="s">
        <v>2240</v>
      </c>
      <c r="R928" s="1" t="s">
        <v>2241</v>
      </c>
      <c r="S928" s="1" t="s">
        <v>44</v>
      </c>
      <c r="T928" s="1" t="s">
        <v>45</v>
      </c>
      <c r="U928" s="1">
        <v>4.82133112E8</v>
      </c>
      <c r="W928" s="1" t="s">
        <v>46</v>
      </c>
      <c r="X928" s="1" t="s">
        <v>45</v>
      </c>
      <c r="Y928" s="1">
        <v>4.82133112E8</v>
      </c>
      <c r="AB928" s="1">
        <v>100000.0</v>
      </c>
      <c r="AC928" s="2">
        <v>41837.0</v>
      </c>
      <c r="AD928" s="1">
        <v>8600.0</v>
      </c>
      <c r="AE928" s="1" t="s">
        <v>102</v>
      </c>
      <c r="AF928" s="1">
        <v>55.0</v>
      </c>
      <c r="AG928" s="1" t="s">
        <v>2242</v>
      </c>
      <c r="AH928" s="1">
        <v>8.0</v>
      </c>
      <c r="AI928" s="1">
        <v>2014.0</v>
      </c>
      <c r="AJ928" s="1">
        <v>2014.0</v>
      </c>
      <c r="AK928" s="1" t="s">
        <v>305</v>
      </c>
    </row>
    <row r="929">
      <c r="A929" s="1" t="s">
        <v>2139</v>
      </c>
      <c r="B929" s="1" t="s">
        <v>2139</v>
      </c>
      <c r="C929" s="1" t="s">
        <v>100</v>
      </c>
      <c r="E929" s="1">
        <v>3.2109172E7</v>
      </c>
      <c r="F929" s="2">
        <v>41837.0</v>
      </c>
      <c r="G929" s="1" t="s">
        <v>297</v>
      </c>
      <c r="I929" s="1" t="s">
        <v>297</v>
      </c>
      <c r="L929" s="1" t="s">
        <v>102</v>
      </c>
      <c r="M929" s="1">
        <v>8600.0</v>
      </c>
      <c r="N929" s="1" t="s">
        <v>102</v>
      </c>
      <c r="O929" s="1">
        <v>7.9832754E8</v>
      </c>
      <c r="P929" s="1" t="s">
        <v>2243</v>
      </c>
      <c r="Q929" s="1" t="s">
        <v>2244</v>
      </c>
      <c r="R929" s="1" t="s">
        <v>2245</v>
      </c>
      <c r="S929" s="1" t="s">
        <v>44</v>
      </c>
      <c r="T929" s="1" t="s">
        <v>45</v>
      </c>
      <c r="U929" s="1">
        <v>4.82013012E8</v>
      </c>
      <c r="W929" s="1" t="s">
        <v>46</v>
      </c>
      <c r="X929" s="1" t="s">
        <v>45</v>
      </c>
      <c r="Y929" s="1">
        <v>4.82013012E8</v>
      </c>
      <c r="AB929" s="1">
        <v>100000.0</v>
      </c>
      <c r="AC929" s="2">
        <v>41837.0</v>
      </c>
      <c r="AD929" s="1">
        <v>8600.0</v>
      </c>
      <c r="AE929" s="1" t="s">
        <v>102</v>
      </c>
      <c r="AF929" s="1">
        <v>52.0</v>
      </c>
      <c r="AG929" s="1" t="s">
        <v>2246</v>
      </c>
      <c r="AH929" s="1">
        <v>8.0</v>
      </c>
      <c r="AI929" s="1">
        <v>2014.0</v>
      </c>
      <c r="AJ929" s="1">
        <v>2014.0</v>
      </c>
      <c r="AK929" s="1" t="s">
        <v>305</v>
      </c>
    </row>
    <row r="930">
      <c r="A930" s="1" t="s">
        <v>2247</v>
      </c>
      <c r="B930" s="1" t="s">
        <v>2247</v>
      </c>
      <c r="C930" s="1" t="s">
        <v>100</v>
      </c>
      <c r="E930" s="1">
        <v>4698558.0</v>
      </c>
      <c r="F930" s="2">
        <v>41837.0</v>
      </c>
      <c r="G930" s="1" t="s">
        <v>332</v>
      </c>
      <c r="I930" s="1" t="s">
        <v>332</v>
      </c>
      <c r="L930" s="1" t="s">
        <v>102</v>
      </c>
      <c r="M930" s="1">
        <v>8600.0</v>
      </c>
      <c r="N930" s="1" t="s">
        <v>102</v>
      </c>
      <c r="O930" s="1">
        <v>6530661.0</v>
      </c>
      <c r="P930" s="1" t="s">
        <v>73</v>
      </c>
      <c r="Q930" s="1" t="s">
        <v>323</v>
      </c>
      <c r="R930" s="1" t="s">
        <v>1961</v>
      </c>
      <c r="S930" s="1" t="s">
        <v>44</v>
      </c>
      <c r="T930" s="1" t="s">
        <v>45</v>
      </c>
      <c r="U930" s="1">
        <v>4.82263443E8</v>
      </c>
      <c r="W930" s="1" t="s">
        <v>46</v>
      </c>
      <c r="X930" s="1" t="s">
        <v>45</v>
      </c>
      <c r="Y930" s="1">
        <v>4.82263443E8</v>
      </c>
      <c r="Z930" s="1">
        <v>6530661.0</v>
      </c>
      <c r="AA930" s="1" t="s">
        <v>76</v>
      </c>
      <c r="AB930" s="1">
        <v>4698558.0</v>
      </c>
      <c r="AC930" s="2">
        <v>41837.0</v>
      </c>
      <c r="AD930" s="1">
        <v>8600.0</v>
      </c>
      <c r="AE930" s="1" t="s">
        <v>102</v>
      </c>
      <c r="AF930" s="1">
        <v>1.0</v>
      </c>
      <c r="AG930" s="1" t="s">
        <v>2248</v>
      </c>
      <c r="AH930" s="1">
        <v>8.0</v>
      </c>
      <c r="AI930" s="1">
        <v>2014.0</v>
      </c>
      <c r="AJ930" s="1">
        <v>2014.0</v>
      </c>
      <c r="AK930" s="1" t="s">
        <v>334</v>
      </c>
    </row>
    <row r="931">
      <c r="A931" s="1" t="s">
        <v>2249</v>
      </c>
      <c r="B931" s="1" t="s">
        <v>2249</v>
      </c>
      <c r="C931" s="1" t="s">
        <v>100</v>
      </c>
      <c r="E931" s="1">
        <v>2351114.0</v>
      </c>
      <c r="F931" s="2">
        <v>41837.0</v>
      </c>
      <c r="G931" s="1" t="s">
        <v>2250</v>
      </c>
      <c r="I931" s="1" t="s">
        <v>2250</v>
      </c>
      <c r="L931" s="1" t="s">
        <v>102</v>
      </c>
      <c r="M931" s="1">
        <v>8600.0</v>
      </c>
      <c r="N931" s="1" t="s">
        <v>102</v>
      </c>
      <c r="O931" s="1">
        <v>6.03005542E8</v>
      </c>
      <c r="P931" s="1" t="s">
        <v>73</v>
      </c>
      <c r="Q931" s="1" t="s">
        <v>2251</v>
      </c>
      <c r="R931" s="1" t="s">
        <v>2252</v>
      </c>
      <c r="S931" s="1" t="s">
        <v>44</v>
      </c>
      <c r="T931" s="1" t="s">
        <v>45</v>
      </c>
      <c r="U931" s="1">
        <v>4.82021732E8</v>
      </c>
      <c r="W931" s="1" t="s">
        <v>46</v>
      </c>
      <c r="X931" s="1" t="s">
        <v>45</v>
      </c>
      <c r="Y931" s="1">
        <v>4.82021732E8</v>
      </c>
      <c r="Z931" s="1">
        <v>6530661.0</v>
      </c>
      <c r="AA931" s="1" t="s">
        <v>76</v>
      </c>
      <c r="AB931" s="1">
        <v>2351114.0</v>
      </c>
      <c r="AC931" s="2">
        <v>41837.0</v>
      </c>
      <c r="AD931" s="1">
        <v>8600.0</v>
      </c>
      <c r="AE931" s="1" t="s">
        <v>102</v>
      </c>
      <c r="AF931" s="1">
        <v>1.0</v>
      </c>
      <c r="AG931" s="1" t="s">
        <v>2253</v>
      </c>
      <c r="AH931" s="1">
        <v>8.0</v>
      </c>
      <c r="AI931" s="1">
        <v>2014.0</v>
      </c>
      <c r="AJ931" s="1">
        <v>2014.0</v>
      </c>
      <c r="AK931" s="1" t="s">
        <v>326</v>
      </c>
    </row>
    <row r="932">
      <c r="A932" s="1" t="s">
        <v>2139</v>
      </c>
      <c r="B932" s="1" t="s">
        <v>2139</v>
      </c>
      <c r="C932" s="1" t="s">
        <v>100</v>
      </c>
      <c r="E932" s="1">
        <v>3.2109172E7</v>
      </c>
      <c r="F932" s="2">
        <v>41837.0</v>
      </c>
      <c r="G932" s="1" t="s">
        <v>297</v>
      </c>
      <c r="I932" s="1" t="s">
        <v>297</v>
      </c>
      <c r="L932" s="1" t="s">
        <v>102</v>
      </c>
      <c r="M932" s="1">
        <v>8600.0</v>
      </c>
      <c r="N932" s="1" t="s">
        <v>102</v>
      </c>
      <c r="O932" s="1">
        <v>8.840899E8</v>
      </c>
      <c r="P932" s="1" t="s">
        <v>2254</v>
      </c>
      <c r="R932" s="1" t="s">
        <v>2255</v>
      </c>
      <c r="S932" s="1" t="s">
        <v>44</v>
      </c>
      <c r="T932" s="1" t="s">
        <v>45</v>
      </c>
      <c r="U932" s="1">
        <v>4.82193761E8</v>
      </c>
      <c r="W932" s="1" t="s">
        <v>46</v>
      </c>
      <c r="X932" s="1" t="s">
        <v>45</v>
      </c>
      <c r="Y932" s="1">
        <v>4.82193761E8</v>
      </c>
      <c r="AB932" s="1">
        <v>75000.0</v>
      </c>
      <c r="AC932" s="2">
        <v>41837.0</v>
      </c>
      <c r="AD932" s="1">
        <v>8600.0</v>
      </c>
      <c r="AE932" s="1" t="s">
        <v>102</v>
      </c>
      <c r="AF932" s="1">
        <v>38.0</v>
      </c>
      <c r="AG932" s="1" t="s">
        <v>2256</v>
      </c>
      <c r="AH932" s="1">
        <v>8.0</v>
      </c>
      <c r="AI932" s="1">
        <v>2014.0</v>
      </c>
      <c r="AJ932" s="1">
        <v>2014.0</v>
      </c>
      <c r="AK932" s="1" t="s">
        <v>305</v>
      </c>
    </row>
    <row r="933">
      <c r="A933" s="1" t="s">
        <v>2139</v>
      </c>
      <c r="B933" s="1" t="s">
        <v>2139</v>
      </c>
      <c r="C933" s="1" t="s">
        <v>100</v>
      </c>
      <c r="E933" s="1">
        <v>3.2109172E7</v>
      </c>
      <c r="F933" s="2">
        <v>41837.0</v>
      </c>
      <c r="G933" s="1" t="s">
        <v>297</v>
      </c>
      <c r="I933" s="1" t="s">
        <v>297</v>
      </c>
      <c r="L933" s="1" t="s">
        <v>102</v>
      </c>
      <c r="M933" s="1">
        <v>8600.0</v>
      </c>
      <c r="N933" s="1" t="s">
        <v>102</v>
      </c>
      <c r="O933" s="1">
        <v>2.1100599E7</v>
      </c>
      <c r="P933" s="1" t="s">
        <v>2257</v>
      </c>
      <c r="R933" s="1" t="s">
        <v>2258</v>
      </c>
      <c r="S933" s="1" t="s">
        <v>44</v>
      </c>
      <c r="T933" s="1" t="s">
        <v>45</v>
      </c>
      <c r="U933" s="1">
        <v>4.8207322E8</v>
      </c>
      <c r="W933" s="1" t="s">
        <v>46</v>
      </c>
      <c r="X933" s="1" t="s">
        <v>45</v>
      </c>
      <c r="Y933" s="1">
        <v>4.8207322E8</v>
      </c>
      <c r="Z933" s="1">
        <v>2.1100599E7</v>
      </c>
      <c r="AA933" s="1" t="s">
        <v>2257</v>
      </c>
      <c r="AB933" s="1">
        <v>120000.0</v>
      </c>
      <c r="AC933" s="2">
        <v>41837.0</v>
      </c>
      <c r="AD933" s="1">
        <v>8600.0</v>
      </c>
      <c r="AE933" s="1" t="s">
        <v>102</v>
      </c>
      <c r="AF933" s="1">
        <v>4.0</v>
      </c>
      <c r="AG933" s="1" t="s">
        <v>2259</v>
      </c>
      <c r="AH933" s="1">
        <v>8.0</v>
      </c>
      <c r="AI933" s="1">
        <v>2014.0</v>
      </c>
      <c r="AJ933" s="1">
        <v>2014.0</v>
      </c>
      <c r="AK933" s="1" t="s">
        <v>305</v>
      </c>
    </row>
    <row r="934">
      <c r="A934" s="1" t="s">
        <v>2139</v>
      </c>
      <c r="B934" s="1" t="s">
        <v>2139</v>
      </c>
      <c r="C934" s="1" t="s">
        <v>100</v>
      </c>
      <c r="E934" s="1">
        <v>3.2109172E7</v>
      </c>
      <c r="F934" s="2">
        <v>41837.0</v>
      </c>
      <c r="G934" s="1" t="s">
        <v>297</v>
      </c>
      <c r="I934" s="1" t="s">
        <v>297</v>
      </c>
      <c r="L934" s="1" t="s">
        <v>102</v>
      </c>
      <c r="M934" s="1">
        <v>8600.0</v>
      </c>
      <c r="N934" s="1" t="s">
        <v>102</v>
      </c>
      <c r="O934" s="1">
        <v>3.3965752E7</v>
      </c>
      <c r="P934" s="1" t="s">
        <v>2260</v>
      </c>
      <c r="Q934" s="1" t="s">
        <v>2261</v>
      </c>
      <c r="R934" s="1" t="s">
        <v>2262</v>
      </c>
      <c r="S934" s="1" t="s">
        <v>44</v>
      </c>
      <c r="T934" s="1" t="s">
        <v>45</v>
      </c>
      <c r="U934" s="1">
        <v>4.82281411E8</v>
      </c>
      <c r="W934" s="1">
        <v>100000.0</v>
      </c>
      <c r="X934" s="1" t="s">
        <v>45</v>
      </c>
      <c r="Y934" s="1">
        <v>4.82281411E8</v>
      </c>
      <c r="Z934" s="1">
        <v>3.3965752E7</v>
      </c>
      <c r="AA934" s="1" t="s">
        <v>2260</v>
      </c>
      <c r="AB934" s="1">
        <v>100000.0</v>
      </c>
      <c r="AC934" s="2">
        <v>41837.0</v>
      </c>
      <c r="AD934" s="1">
        <v>8600.0</v>
      </c>
      <c r="AE934" s="1" t="s">
        <v>102</v>
      </c>
      <c r="AF934" s="1">
        <v>46.0</v>
      </c>
      <c r="AG934" s="1" t="s">
        <v>2263</v>
      </c>
      <c r="AH934" s="1">
        <v>8.0</v>
      </c>
      <c r="AI934" s="1">
        <v>2014.0</v>
      </c>
      <c r="AJ934" s="1">
        <v>2014.0</v>
      </c>
      <c r="AK934" s="1" t="s">
        <v>305</v>
      </c>
    </row>
    <row r="935">
      <c r="A935" s="1" t="s">
        <v>2139</v>
      </c>
      <c r="B935" s="1" t="s">
        <v>2139</v>
      </c>
      <c r="C935" s="1" t="s">
        <v>100</v>
      </c>
      <c r="E935" s="1">
        <v>3.2109172E7</v>
      </c>
      <c r="F935" s="2">
        <v>41837.0</v>
      </c>
      <c r="G935" s="1" t="s">
        <v>297</v>
      </c>
      <c r="I935" s="1" t="s">
        <v>297</v>
      </c>
      <c r="L935" s="1" t="s">
        <v>102</v>
      </c>
      <c r="M935" s="1">
        <v>8600.0</v>
      </c>
      <c r="N935" s="1" t="s">
        <v>102</v>
      </c>
      <c r="O935" s="1">
        <v>2.183979E7</v>
      </c>
      <c r="P935" s="1" t="s">
        <v>2220</v>
      </c>
      <c r="R935" s="1" t="s">
        <v>2221</v>
      </c>
      <c r="S935" s="1" t="s">
        <v>44</v>
      </c>
      <c r="T935" s="1" t="s">
        <v>45</v>
      </c>
      <c r="U935" s="1">
        <v>4.82072372E8</v>
      </c>
      <c r="W935" s="1" t="s">
        <v>46</v>
      </c>
      <c r="X935" s="1" t="s">
        <v>45</v>
      </c>
      <c r="Y935" s="1">
        <v>4.82072372E8</v>
      </c>
      <c r="Z935" s="1">
        <v>2.183979E7</v>
      </c>
      <c r="AA935" s="1" t="s">
        <v>2220</v>
      </c>
      <c r="AB935" s="1">
        <v>100000.0</v>
      </c>
      <c r="AC935" s="2">
        <v>41837.0</v>
      </c>
      <c r="AD935" s="1">
        <v>8600.0</v>
      </c>
      <c r="AE935" s="1" t="s">
        <v>102</v>
      </c>
      <c r="AF935" s="1">
        <v>33.0</v>
      </c>
      <c r="AG935" s="1" t="s">
        <v>2264</v>
      </c>
      <c r="AH935" s="1">
        <v>8.0</v>
      </c>
      <c r="AI935" s="1">
        <v>2014.0</v>
      </c>
      <c r="AJ935" s="1">
        <v>2014.0</v>
      </c>
      <c r="AK935" s="1" t="s">
        <v>305</v>
      </c>
    </row>
    <row r="936">
      <c r="A936" s="1" t="s">
        <v>2139</v>
      </c>
      <c r="B936" s="1" t="s">
        <v>2139</v>
      </c>
      <c r="C936" s="1" t="s">
        <v>100</v>
      </c>
      <c r="E936" s="1">
        <v>3.2109172E7</v>
      </c>
      <c r="F936" s="2">
        <v>41837.0</v>
      </c>
      <c r="G936" s="1" t="s">
        <v>297</v>
      </c>
      <c r="I936" s="1" t="s">
        <v>297</v>
      </c>
      <c r="L936" s="1" t="s">
        <v>102</v>
      </c>
      <c r="M936" s="1">
        <v>8600.0</v>
      </c>
      <c r="N936" s="1" t="s">
        <v>102</v>
      </c>
      <c r="O936" s="1">
        <v>9.4544095E7</v>
      </c>
      <c r="P936" s="1" t="s">
        <v>2265</v>
      </c>
      <c r="R936" s="1" t="s">
        <v>2266</v>
      </c>
      <c r="S936" s="1" t="s">
        <v>44</v>
      </c>
      <c r="T936" s="1" t="s">
        <v>45</v>
      </c>
      <c r="U936" s="1">
        <v>4.82142321E8</v>
      </c>
      <c r="W936" s="1" t="s">
        <v>46</v>
      </c>
      <c r="X936" s="1" t="s">
        <v>45</v>
      </c>
      <c r="Y936" s="1">
        <v>4.82142321E8</v>
      </c>
      <c r="Z936" s="1">
        <v>9.4544095E7</v>
      </c>
      <c r="AA936" s="1" t="s">
        <v>2265</v>
      </c>
      <c r="AB936" s="1">
        <v>134690.0</v>
      </c>
      <c r="AC936" s="2">
        <v>41837.0</v>
      </c>
      <c r="AD936" s="1">
        <v>8600.0</v>
      </c>
      <c r="AE936" s="1" t="s">
        <v>102</v>
      </c>
      <c r="AF936" s="1">
        <v>1.0</v>
      </c>
      <c r="AG936" s="1" t="s">
        <v>2267</v>
      </c>
      <c r="AH936" s="1">
        <v>8.0</v>
      </c>
      <c r="AI936" s="1">
        <v>2014.0</v>
      </c>
      <c r="AJ936" s="1">
        <v>2014.0</v>
      </c>
      <c r="AK936" s="1" t="s">
        <v>305</v>
      </c>
    </row>
    <row r="937">
      <c r="A937" s="1" t="s">
        <v>2139</v>
      </c>
      <c r="B937" s="1" t="s">
        <v>2139</v>
      </c>
      <c r="C937" s="1" t="s">
        <v>100</v>
      </c>
      <c r="E937" s="1">
        <v>3.2109172E7</v>
      </c>
      <c r="F937" s="2">
        <v>41837.0</v>
      </c>
      <c r="G937" s="1" t="s">
        <v>297</v>
      </c>
      <c r="I937" s="1" t="s">
        <v>297</v>
      </c>
      <c r="L937" s="1" t="s">
        <v>102</v>
      </c>
      <c r="M937" s="1">
        <v>8600.0</v>
      </c>
      <c r="N937" s="1" t="s">
        <v>102</v>
      </c>
      <c r="O937" s="1">
        <v>1.97862014E8</v>
      </c>
      <c r="P937" s="1" t="s">
        <v>1056</v>
      </c>
      <c r="Q937" s="1" t="s">
        <v>1057</v>
      </c>
      <c r="R937" s="1" t="s">
        <v>1058</v>
      </c>
      <c r="S937" s="1" t="s">
        <v>44</v>
      </c>
      <c r="T937" s="1" t="s">
        <v>45</v>
      </c>
      <c r="U937" s="1">
        <v>4.82023165E8</v>
      </c>
      <c r="W937" s="1" t="s">
        <v>46</v>
      </c>
      <c r="X937" s="1" t="s">
        <v>45</v>
      </c>
      <c r="Y937" s="1">
        <v>4.82023165E8</v>
      </c>
      <c r="Z937" s="1">
        <v>1.97862014E8</v>
      </c>
      <c r="AA937" s="1" t="s">
        <v>1056</v>
      </c>
      <c r="AB937" s="1">
        <v>100000.0</v>
      </c>
      <c r="AC937" s="2">
        <v>41837.0</v>
      </c>
      <c r="AD937" s="1">
        <v>8600.0</v>
      </c>
      <c r="AE937" s="1" t="s">
        <v>102</v>
      </c>
      <c r="AF937" s="1">
        <v>53.0</v>
      </c>
      <c r="AG937" s="1" t="s">
        <v>2268</v>
      </c>
      <c r="AH937" s="1">
        <v>8.0</v>
      </c>
      <c r="AI937" s="1">
        <v>2014.0</v>
      </c>
      <c r="AJ937" s="1">
        <v>2014.0</v>
      </c>
      <c r="AK937" s="1" t="s">
        <v>305</v>
      </c>
    </row>
    <row r="938">
      <c r="A938" s="1" t="s">
        <v>2139</v>
      </c>
      <c r="B938" s="1" t="s">
        <v>2139</v>
      </c>
      <c r="C938" s="1" t="s">
        <v>100</v>
      </c>
      <c r="E938" s="1">
        <v>3.2109172E7</v>
      </c>
      <c r="F938" s="2">
        <v>41837.0</v>
      </c>
      <c r="G938" s="1" t="s">
        <v>297</v>
      </c>
      <c r="I938" s="1" t="s">
        <v>297</v>
      </c>
      <c r="L938" s="1" t="s">
        <v>102</v>
      </c>
      <c r="M938" s="1">
        <v>8600.0</v>
      </c>
      <c r="N938" s="1" t="s">
        <v>102</v>
      </c>
      <c r="O938" s="1">
        <v>1.37445396E8</v>
      </c>
      <c r="P938" s="1" t="s">
        <v>2269</v>
      </c>
      <c r="R938" s="1" t="s">
        <v>2270</v>
      </c>
      <c r="S938" s="1" t="s">
        <v>44</v>
      </c>
      <c r="T938" s="1" t="s">
        <v>45</v>
      </c>
      <c r="U938" s="1">
        <v>4.820942E8</v>
      </c>
      <c r="W938" s="1" t="s">
        <v>46</v>
      </c>
      <c r="X938" s="1" t="s">
        <v>45</v>
      </c>
      <c r="Y938" s="1">
        <v>4.820942E8</v>
      </c>
      <c r="AB938" s="1">
        <v>75000.0</v>
      </c>
      <c r="AC938" s="2">
        <v>41837.0</v>
      </c>
      <c r="AD938" s="1">
        <v>8600.0</v>
      </c>
      <c r="AE938" s="1" t="s">
        <v>102</v>
      </c>
      <c r="AF938" s="1">
        <v>15.0</v>
      </c>
      <c r="AG938" s="1" t="s">
        <v>2271</v>
      </c>
      <c r="AH938" s="1">
        <v>8.0</v>
      </c>
      <c r="AI938" s="1">
        <v>2014.0</v>
      </c>
      <c r="AJ938" s="1">
        <v>2014.0</v>
      </c>
      <c r="AK938" s="1" t="s">
        <v>305</v>
      </c>
    </row>
    <row r="939">
      <c r="A939" s="1" t="s">
        <v>2139</v>
      </c>
      <c r="B939" s="1" t="s">
        <v>2139</v>
      </c>
      <c r="C939" s="1" t="s">
        <v>100</v>
      </c>
      <c r="E939" s="1">
        <v>3.2109172E7</v>
      </c>
      <c r="F939" s="2">
        <v>41837.0</v>
      </c>
      <c r="G939" s="1" t="s">
        <v>297</v>
      </c>
      <c r="I939" s="1" t="s">
        <v>297</v>
      </c>
      <c r="L939" s="1" t="s">
        <v>102</v>
      </c>
      <c r="M939" s="1">
        <v>8600.0</v>
      </c>
      <c r="N939" s="1" t="s">
        <v>102</v>
      </c>
      <c r="O939" s="1">
        <v>6.9835866E7</v>
      </c>
      <c r="P939" s="1" t="s">
        <v>2272</v>
      </c>
      <c r="R939" s="1" t="s">
        <v>2273</v>
      </c>
      <c r="S939" s="1" t="s">
        <v>44</v>
      </c>
      <c r="T939" s="1" t="s">
        <v>45</v>
      </c>
      <c r="U939" s="1">
        <v>4.82061269E8</v>
      </c>
      <c r="W939" s="1" t="s">
        <v>46</v>
      </c>
      <c r="X939" s="1" t="s">
        <v>45</v>
      </c>
      <c r="Y939" s="1">
        <v>4.82061269E8</v>
      </c>
      <c r="AB939" s="1">
        <v>75000.0</v>
      </c>
      <c r="AC939" s="2">
        <v>41837.0</v>
      </c>
      <c r="AD939" s="1">
        <v>8600.0</v>
      </c>
      <c r="AE939" s="1" t="s">
        <v>102</v>
      </c>
      <c r="AF939" s="1">
        <v>39.0</v>
      </c>
      <c r="AG939" s="1" t="s">
        <v>2274</v>
      </c>
      <c r="AH939" s="1">
        <v>8.0</v>
      </c>
      <c r="AI939" s="1">
        <v>2014.0</v>
      </c>
      <c r="AJ939" s="1">
        <v>2014.0</v>
      </c>
      <c r="AK939" s="1" t="s">
        <v>305</v>
      </c>
    </row>
    <row r="940">
      <c r="A940" s="1" t="s">
        <v>2139</v>
      </c>
      <c r="B940" s="1" t="s">
        <v>2139</v>
      </c>
      <c r="C940" s="1" t="s">
        <v>100</v>
      </c>
      <c r="E940" s="1">
        <v>3.2109172E7</v>
      </c>
      <c r="F940" s="2">
        <v>41837.0</v>
      </c>
      <c r="G940" s="1" t="s">
        <v>297</v>
      </c>
      <c r="I940" s="1" t="s">
        <v>297</v>
      </c>
      <c r="L940" s="1" t="s">
        <v>102</v>
      </c>
      <c r="M940" s="1">
        <v>8600.0</v>
      </c>
      <c r="N940" s="1" t="s">
        <v>102</v>
      </c>
      <c r="O940" s="1">
        <v>8.44806708E8</v>
      </c>
      <c r="P940" s="1" t="s">
        <v>103</v>
      </c>
      <c r="Q940" s="1" t="s">
        <v>1507</v>
      </c>
      <c r="R940" s="1" t="s">
        <v>1006</v>
      </c>
      <c r="S940" s="1" t="s">
        <v>44</v>
      </c>
      <c r="T940" s="1" t="s">
        <v>45</v>
      </c>
      <c r="U940" s="1">
        <v>4.82092022E8</v>
      </c>
      <c r="W940" s="1" t="s">
        <v>46</v>
      </c>
      <c r="X940" s="1" t="s">
        <v>45</v>
      </c>
      <c r="Y940" s="1">
        <v>4.82092022E8</v>
      </c>
      <c r="Z940" s="1">
        <v>7.6385699E7</v>
      </c>
      <c r="AA940" s="1" t="s">
        <v>106</v>
      </c>
      <c r="AB940" s="1">
        <v>125000.0</v>
      </c>
      <c r="AC940" s="2">
        <v>41837.0</v>
      </c>
      <c r="AD940" s="1">
        <v>8600.0</v>
      </c>
      <c r="AE940" s="1" t="s">
        <v>102</v>
      </c>
      <c r="AF940" s="1">
        <v>9.0</v>
      </c>
      <c r="AG940" s="1" t="s">
        <v>2275</v>
      </c>
      <c r="AH940" s="1">
        <v>8.0</v>
      </c>
      <c r="AI940" s="1">
        <v>2014.0</v>
      </c>
      <c r="AJ940" s="1">
        <v>2014.0</v>
      </c>
      <c r="AK940" s="1" t="s">
        <v>305</v>
      </c>
    </row>
    <row r="941">
      <c r="A941" s="1" t="s">
        <v>2139</v>
      </c>
      <c r="B941" s="1" t="s">
        <v>2139</v>
      </c>
      <c r="C941" s="1" t="s">
        <v>100</v>
      </c>
      <c r="E941" s="1">
        <v>3.2109172E7</v>
      </c>
      <c r="F941" s="2">
        <v>41837.0</v>
      </c>
      <c r="G941" s="1" t="s">
        <v>297</v>
      </c>
      <c r="I941" s="1" t="s">
        <v>297</v>
      </c>
      <c r="L941" s="1" t="s">
        <v>102</v>
      </c>
      <c r="M941" s="1">
        <v>8600.0</v>
      </c>
      <c r="N941" s="1" t="s">
        <v>102</v>
      </c>
      <c r="O941" s="1">
        <v>8.76583006E8</v>
      </c>
      <c r="P941" s="1" t="s">
        <v>2276</v>
      </c>
      <c r="R941" s="1" t="s">
        <v>2277</v>
      </c>
      <c r="S941" s="1" t="s">
        <v>44</v>
      </c>
      <c r="T941" s="1" t="s">
        <v>45</v>
      </c>
      <c r="U941" s="1">
        <v>4.82073879E8</v>
      </c>
      <c r="W941" s="1" t="s">
        <v>46</v>
      </c>
      <c r="X941" s="1" t="s">
        <v>45</v>
      </c>
      <c r="Y941" s="1">
        <v>4.82073839E8</v>
      </c>
      <c r="AB941" s="1">
        <v>75000.0</v>
      </c>
      <c r="AC941" s="2">
        <v>41837.0</v>
      </c>
      <c r="AD941" s="1">
        <v>8600.0</v>
      </c>
      <c r="AE941" s="1" t="s">
        <v>102</v>
      </c>
      <c r="AF941" s="1">
        <v>31.0</v>
      </c>
      <c r="AG941" s="1" t="s">
        <v>2278</v>
      </c>
      <c r="AH941" s="1">
        <v>8.0</v>
      </c>
      <c r="AI941" s="1">
        <v>2014.0</v>
      </c>
      <c r="AJ941" s="1">
        <v>2014.0</v>
      </c>
      <c r="AK941" s="1" t="s">
        <v>305</v>
      </c>
    </row>
    <row r="942">
      <c r="A942" s="1" t="s">
        <v>2279</v>
      </c>
      <c r="B942" s="1" t="s">
        <v>2279</v>
      </c>
      <c r="C942" s="1" t="s">
        <v>63</v>
      </c>
      <c r="E942" s="1">
        <v>292500.0</v>
      </c>
      <c r="F942" s="2">
        <v>41183.0</v>
      </c>
      <c r="G942" s="1" t="s">
        <v>2280</v>
      </c>
      <c r="I942" s="1" t="s">
        <v>2280</v>
      </c>
      <c r="L942" s="1" t="s">
        <v>40</v>
      </c>
      <c r="M942" s="1">
        <v>7500.0</v>
      </c>
      <c r="N942" s="1" t="s">
        <v>40</v>
      </c>
      <c r="O942" s="1">
        <v>1962224.0</v>
      </c>
      <c r="P942" s="1" t="s">
        <v>52</v>
      </c>
      <c r="Q942" s="1" t="s">
        <v>1566</v>
      </c>
      <c r="R942" s="1" t="s">
        <v>53</v>
      </c>
      <c r="S942" s="1" t="s">
        <v>44</v>
      </c>
      <c r="T942" s="1" t="s">
        <v>45</v>
      </c>
      <c r="U942" s="1">
        <v>4.82023692E8</v>
      </c>
      <c r="W942" s="1" t="s">
        <v>46</v>
      </c>
      <c r="X942" s="1" t="s">
        <v>45</v>
      </c>
      <c r="Y942" s="1">
        <v>4.82023692E8</v>
      </c>
      <c r="Z942" s="1">
        <v>1962224.0</v>
      </c>
      <c r="AA942" s="1" t="s">
        <v>52</v>
      </c>
      <c r="AB942" s="1">
        <v>2952.47</v>
      </c>
      <c r="AC942" s="2">
        <v>41183.0</v>
      </c>
      <c r="AD942" s="1">
        <v>7500.0</v>
      </c>
      <c r="AE942" s="1" t="s">
        <v>40</v>
      </c>
      <c r="AF942" s="1">
        <v>2.0131983E7</v>
      </c>
      <c r="AG942" s="1" t="s">
        <v>2281</v>
      </c>
      <c r="AH942" s="1">
        <v>10.0</v>
      </c>
      <c r="AI942" s="1">
        <v>2011.0</v>
      </c>
      <c r="AJ942" s="1">
        <v>2013.0</v>
      </c>
      <c r="AK942" s="1" t="s">
        <v>342</v>
      </c>
    </row>
    <row r="943">
      <c r="A943" s="1" t="s">
        <v>2139</v>
      </c>
      <c r="B943" s="1" t="s">
        <v>2139</v>
      </c>
      <c r="C943" s="1" t="s">
        <v>100</v>
      </c>
      <c r="E943" s="1">
        <v>3.2109172E7</v>
      </c>
      <c r="F943" s="2">
        <v>41837.0</v>
      </c>
      <c r="G943" s="1" t="s">
        <v>297</v>
      </c>
      <c r="I943" s="1" t="s">
        <v>297</v>
      </c>
      <c r="L943" s="1" t="s">
        <v>102</v>
      </c>
      <c r="M943" s="1">
        <v>8600.0</v>
      </c>
      <c r="N943" s="1" t="s">
        <v>102</v>
      </c>
      <c r="O943" s="1">
        <v>6.07532215E8</v>
      </c>
      <c r="P943" s="1" t="s">
        <v>2282</v>
      </c>
      <c r="R943" s="1" t="s">
        <v>2283</v>
      </c>
      <c r="S943" s="1" t="s">
        <v>44</v>
      </c>
      <c r="T943" s="1" t="s">
        <v>45</v>
      </c>
      <c r="U943" s="1">
        <v>4.82162019E8</v>
      </c>
      <c r="W943" s="1" t="s">
        <v>46</v>
      </c>
      <c r="X943" s="1" t="s">
        <v>45</v>
      </c>
      <c r="Y943" s="1">
        <v>4.82162019E8</v>
      </c>
      <c r="AB943" s="1">
        <v>100000.0</v>
      </c>
      <c r="AC943" s="2">
        <v>41837.0</v>
      </c>
      <c r="AD943" s="1">
        <v>8600.0</v>
      </c>
      <c r="AE943" s="1" t="s">
        <v>102</v>
      </c>
      <c r="AF943" s="1">
        <v>48.0</v>
      </c>
      <c r="AG943" s="1" t="s">
        <v>2284</v>
      </c>
      <c r="AH943" s="1">
        <v>8.0</v>
      </c>
      <c r="AI943" s="1">
        <v>2014.0</v>
      </c>
      <c r="AJ943" s="1">
        <v>2014.0</v>
      </c>
      <c r="AK943" s="1" t="s">
        <v>305</v>
      </c>
    </row>
    <row r="944">
      <c r="A944" s="1" t="s">
        <v>2139</v>
      </c>
      <c r="B944" s="1" t="s">
        <v>2139</v>
      </c>
      <c r="C944" s="1" t="s">
        <v>100</v>
      </c>
      <c r="E944" s="1">
        <v>3.2109172E7</v>
      </c>
      <c r="F944" s="2">
        <v>41837.0</v>
      </c>
      <c r="G944" s="1" t="s">
        <v>297</v>
      </c>
      <c r="I944" s="1" t="s">
        <v>297</v>
      </c>
      <c r="L944" s="1" t="s">
        <v>102</v>
      </c>
      <c r="M944" s="1">
        <v>8600.0</v>
      </c>
      <c r="N944" s="1" t="s">
        <v>102</v>
      </c>
      <c r="O944" s="1">
        <v>6.07770427E8</v>
      </c>
      <c r="P944" s="1" t="s">
        <v>1249</v>
      </c>
      <c r="R944" s="1" t="s">
        <v>1250</v>
      </c>
      <c r="S944" s="1" t="s">
        <v>44</v>
      </c>
      <c r="T944" s="1" t="s">
        <v>45</v>
      </c>
      <c r="U944" s="1">
        <v>4.82133364E8</v>
      </c>
      <c r="W944" s="1" t="s">
        <v>46</v>
      </c>
      <c r="X944" s="1" t="s">
        <v>45</v>
      </c>
      <c r="Y944" s="1">
        <v>4.82133364E8</v>
      </c>
      <c r="AB944" s="1">
        <v>100000.0</v>
      </c>
      <c r="AC944" s="2">
        <v>41837.0</v>
      </c>
      <c r="AD944" s="1">
        <v>8600.0</v>
      </c>
      <c r="AE944" s="1" t="s">
        <v>102</v>
      </c>
      <c r="AF944" s="1">
        <v>20.0</v>
      </c>
      <c r="AG944" s="1" t="s">
        <v>2285</v>
      </c>
      <c r="AH944" s="1">
        <v>8.0</v>
      </c>
      <c r="AI944" s="1">
        <v>2014.0</v>
      </c>
      <c r="AJ944" s="1">
        <v>2014.0</v>
      </c>
      <c r="AK944" s="1" t="s">
        <v>305</v>
      </c>
    </row>
    <row r="945">
      <c r="A945" s="1" t="s">
        <v>2139</v>
      </c>
      <c r="B945" s="1" t="s">
        <v>2139</v>
      </c>
      <c r="C945" s="1" t="s">
        <v>100</v>
      </c>
      <c r="E945" s="1">
        <v>3.2109172E7</v>
      </c>
      <c r="F945" s="2">
        <v>41837.0</v>
      </c>
      <c r="G945" s="1" t="s">
        <v>297</v>
      </c>
      <c r="I945" s="1" t="s">
        <v>297</v>
      </c>
      <c r="L945" s="1" t="s">
        <v>102</v>
      </c>
      <c r="M945" s="1">
        <v>8600.0</v>
      </c>
      <c r="N945" s="1" t="s">
        <v>102</v>
      </c>
      <c r="O945" s="1">
        <v>8.7741088E7</v>
      </c>
      <c r="P945" s="1" t="s">
        <v>2286</v>
      </c>
      <c r="Q945" s="1" t="s">
        <v>2287</v>
      </c>
      <c r="R945" s="1" t="s">
        <v>2288</v>
      </c>
      <c r="S945" s="1" t="s">
        <v>44</v>
      </c>
      <c r="T945" s="1" t="s">
        <v>45</v>
      </c>
      <c r="U945" s="1">
        <v>4.82011443E8</v>
      </c>
      <c r="W945" s="1" t="s">
        <v>46</v>
      </c>
      <c r="X945" s="1" t="s">
        <v>45</v>
      </c>
      <c r="Y945" s="1">
        <v>4.82011443E8</v>
      </c>
      <c r="AB945" s="1">
        <v>85000.0</v>
      </c>
      <c r="AC945" s="2">
        <v>41837.0</v>
      </c>
      <c r="AD945" s="1">
        <v>8600.0</v>
      </c>
      <c r="AE945" s="1" t="s">
        <v>102</v>
      </c>
      <c r="AF945" s="1">
        <v>2.0</v>
      </c>
      <c r="AG945" s="1" t="s">
        <v>2289</v>
      </c>
      <c r="AH945" s="1">
        <v>8.0</v>
      </c>
      <c r="AI945" s="1">
        <v>2014.0</v>
      </c>
      <c r="AJ945" s="1">
        <v>2014.0</v>
      </c>
      <c r="AK945" s="1" t="s">
        <v>305</v>
      </c>
    </row>
    <row r="946">
      <c r="A946" s="1" t="s">
        <v>2139</v>
      </c>
      <c r="B946" s="1" t="s">
        <v>2139</v>
      </c>
      <c r="C946" s="1" t="s">
        <v>100</v>
      </c>
      <c r="E946" s="1">
        <v>3.2109172E7</v>
      </c>
      <c r="F946" s="2">
        <v>41837.0</v>
      </c>
      <c r="G946" s="1" t="s">
        <v>297</v>
      </c>
      <c r="I946" s="1" t="s">
        <v>297</v>
      </c>
      <c r="L946" s="1" t="s">
        <v>102</v>
      </c>
      <c r="M946" s="1">
        <v>8600.0</v>
      </c>
      <c r="N946" s="1" t="s">
        <v>102</v>
      </c>
      <c r="O946" s="1">
        <v>1.06502784E8</v>
      </c>
      <c r="P946" s="1" t="s">
        <v>2290</v>
      </c>
      <c r="R946" s="1" t="s">
        <v>2291</v>
      </c>
      <c r="S946" s="1" t="s">
        <v>44</v>
      </c>
      <c r="T946" s="1" t="s">
        <v>45</v>
      </c>
      <c r="U946" s="1">
        <v>4.82012002E8</v>
      </c>
      <c r="W946" s="1" t="s">
        <v>46</v>
      </c>
      <c r="X946" s="1" t="s">
        <v>45</v>
      </c>
      <c r="Y946" s="1">
        <v>4.82012002E8</v>
      </c>
      <c r="AB946" s="1">
        <v>100000.0</v>
      </c>
      <c r="AC946" s="2">
        <v>41837.0</v>
      </c>
      <c r="AD946" s="1">
        <v>8600.0</v>
      </c>
      <c r="AE946" s="1" t="s">
        <v>102</v>
      </c>
      <c r="AF946" s="1">
        <v>34.0</v>
      </c>
      <c r="AG946" s="1" t="s">
        <v>2292</v>
      </c>
      <c r="AH946" s="1">
        <v>8.0</v>
      </c>
      <c r="AI946" s="1">
        <v>2014.0</v>
      </c>
      <c r="AJ946" s="1">
        <v>2014.0</v>
      </c>
      <c r="AK946" s="1" t="s">
        <v>305</v>
      </c>
    </row>
    <row r="947">
      <c r="A947" s="1" t="s">
        <v>2139</v>
      </c>
      <c r="B947" s="1" t="s">
        <v>2139</v>
      </c>
      <c r="C947" s="1" t="s">
        <v>100</v>
      </c>
      <c r="E947" s="1">
        <v>3.2109172E7</v>
      </c>
      <c r="F947" s="2">
        <v>41837.0</v>
      </c>
      <c r="G947" s="1" t="s">
        <v>297</v>
      </c>
      <c r="I947" s="1" t="s">
        <v>297</v>
      </c>
      <c r="L947" s="1" t="s">
        <v>102</v>
      </c>
      <c r="M947" s="1">
        <v>8600.0</v>
      </c>
      <c r="N947" s="1" t="s">
        <v>102</v>
      </c>
      <c r="O947" s="1">
        <v>4.3419399E7</v>
      </c>
      <c r="P947" s="1" t="s">
        <v>979</v>
      </c>
      <c r="R947" s="1" t="s">
        <v>1934</v>
      </c>
      <c r="S947" s="1" t="s">
        <v>44</v>
      </c>
      <c r="T947" s="1" t="s">
        <v>45</v>
      </c>
      <c r="U947" s="1">
        <v>4.82384019E8</v>
      </c>
      <c r="W947" s="1" t="s">
        <v>46</v>
      </c>
      <c r="X947" s="1" t="s">
        <v>45</v>
      </c>
      <c r="Y947" s="1">
        <v>4.82384019E8</v>
      </c>
      <c r="Z947" s="1">
        <v>4.3419399E7</v>
      </c>
      <c r="AA947" s="1" t="s">
        <v>979</v>
      </c>
      <c r="AB947" s="1">
        <v>100000.0</v>
      </c>
      <c r="AC947" s="2">
        <v>41837.0</v>
      </c>
      <c r="AD947" s="1">
        <v>8600.0</v>
      </c>
      <c r="AE947" s="1" t="s">
        <v>102</v>
      </c>
      <c r="AF947" s="1">
        <v>54.0</v>
      </c>
      <c r="AG947" s="1" t="s">
        <v>2293</v>
      </c>
      <c r="AH947" s="1">
        <v>8.0</v>
      </c>
      <c r="AI947" s="1">
        <v>2014.0</v>
      </c>
      <c r="AJ947" s="1">
        <v>2014.0</v>
      </c>
      <c r="AK947" s="1" t="s">
        <v>305</v>
      </c>
    </row>
    <row r="948">
      <c r="A948" s="1" t="s">
        <v>2139</v>
      </c>
      <c r="B948" s="1" t="s">
        <v>2139</v>
      </c>
      <c r="C948" s="1" t="s">
        <v>100</v>
      </c>
      <c r="E948" s="1">
        <v>3.2109172E7</v>
      </c>
      <c r="F948" s="2">
        <v>41837.0</v>
      </c>
      <c r="G948" s="1" t="s">
        <v>297</v>
      </c>
      <c r="I948" s="1" t="s">
        <v>297</v>
      </c>
      <c r="L948" s="1" t="s">
        <v>102</v>
      </c>
      <c r="M948" s="1">
        <v>8600.0</v>
      </c>
      <c r="N948" s="1" t="s">
        <v>102</v>
      </c>
      <c r="O948" s="1">
        <v>1.69757358E8</v>
      </c>
      <c r="P948" s="1" t="s">
        <v>2294</v>
      </c>
      <c r="Q948" s="1" t="s">
        <v>2295</v>
      </c>
      <c r="R948" s="1" t="s">
        <v>2296</v>
      </c>
      <c r="S948" s="1" t="s">
        <v>44</v>
      </c>
      <c r="T948" s="1" t="s">
        <v>45</v>
      </c>
      <c r="U948" s="1">
        <v>4.82261602E8</v>
      </c>
      <c r="W948" s="1" t="s">
        <v>46</v>
      </c>
      <c r="X948" s="1" t="s">
        <v>45</v>
      </c>
      <c r="Y948" s="1">
        <v>4.82261602E8</v>
      </c>
      <c r="Z948" s="1">
        <v>4.8774095E7</v>
      </c>
      <c r="AB948" s="1">
        <v>100000.0</v>
      </c>
      <c r="AC948" s="2">
        <v>41837.0</v>
      </c>
      <c r="AD948" s="1">
        <v>8600.0</v>
      </c>
      <c r="AE948" s="1" t="s">
        <v>102</v>
      </c>
      <c r="AF948" s="1">
        <v>60.0</v>
      </c>
      <c r="AG948" s="1" t="s">
        <v>2297</v>
      </c>
      <c r="AH948" s="1">
        <v>8.0</v>
      </c>
      <c r="AI948" s="1">
        <v>2014.0</v>
      </c>
      <c r="AJ948" s="1">
        <v>2014.0</v>
      </c>
      <c r="AK948" s="1" t="s">
        <v>305</v>
      </c>
    </row>
    <row r="949">
      <c r="A949" s="1" t="s">
        <v>2139</v>
      </c>
      <c r="B949" s="1" t="s">
        <v>2139</v>
      </c>
      <c r="C949" s="1" t="s">
        <v>100</v>
      </c>
      <c r="E949" s="1">
        <v>3.2109172E7</v>
      </c>
      <c r="F949" s="2">
        <v>41837.0</v>
      </c>
      <c r="G949" s="1" t="s">
        <v>297</v>
      </c>
      <c r="I949" s="1" t="s">
        <v>297</v>
      </c>
      <c r="L949" s="1" t="s">
        <v>102</v>
      </c>
      <c r="M949" s="1">
        <v>8600.0</v>
      </c>
      <c r="N949" s="1" t="s">
        <v>102</v>
      </c>
      <c r="O949" s="1">
        <v>1.5141952E8</v>
      </c>
      <c r="P949" s="1" t="s">
        <v>2298</v>
      </c>
      <c r="Q949" s="1" t="s">
        <v>2299</v>
      </c>
      <c r="R949" s="1" t="s">
        <v>2300</v>
      </c>
      <c r="S949" s="1" t="s">
        <v>44</v>
      </c>
      <c r="T949" s="1" t="s">
        <v>45</v>
      </c>
      <c r="U949" s="1">
        <v>4.82092145E8</v>
      </c>
      <c r="W949" s="1" t="s">
        <v>46</v>
      </c>
      <c r="X949" s="1" t="s">
        <v>45</v>
      </c>
      <c r="Y949" s="1">
        <v>4.82022145E8</v>
      </c>
      <c r="AB949" s="1">
        <v>75000.0</v>
      </c>
      <c r="AC949" s="2">
        <v>41837.0</v>
      </c>
      <c r="AD949" s="1">
        <v>8600.0</v>
      </c>
      <c r="AE949" s="1" t="s">
        <v>102</v>
      </c>
      <c r="AF949" s="1">
        <v>27.0</v>
      </c>
      <c r="AG949" s="1" t="s">
        <v>2301</v>
      </c>
      <c r="AH949" s="1">
        <v>8.0</v>
      </c>
      <c r="AI949" s="1">
        <v>2014.0</v>
      </c>
      <c r="AJ949" s="1">
        <v>2014.0</v>
      </c>
      <c r="AK949" s="1" t="s">
        <v>305</v>
      </c>
    </row>
    <row r="950">
      <c r="A950" s="1" t="s">
        <v>2279</v>
      </c>
      <c r="B950" s="1" t="s">
        <v>2279</v>
      </c>
      <c r="C950" s="1" t="s">
        <v>63</v>
      </c>
      <c r="E950" s="1">
        <v>292500.0</v>
      </c>
      <c r="F950" s="2">
        <v>41183.0</v>
      </c>
      <c r="G950" s="1" t="s">
        <v>2280</v>
      </c>
      <c r="I950" s="1" t="s">
        <v>2280</v>
      </c>
      <c r="L950" s="1" t="s">
        <v>40</v>
      </c>
      <c r="M950" s="1">
        <v>7500.0</v>
      </c>
      <c r="N950" s="1" t="s">
        <v>40</v>
      </c>
      <c r="O950" s="1">
        <v>7.6377316E7</v>
      </c>
      <c r="P950" s="1" t="s">
        <v>2302</v>
      </c>
      <c r="Q950" s="1" t="s">
        <v>210</v>
      </c>
      <c r="R950" s="1" t="s">
        <v>2303</v>
      </c>
      <c r="S950" s="1" t="s">
        <v>44</v>
      </c>
      <c r="T950" s="1" t="s">
        <v>45</v>
      </c>
      <c r="U950" s="1">
        <v>4.82012119E8</v>
      </c>
      <c r="W950" s="1" t="s">
        <v>46</v>
      </c>
      <c r="X950" s="1" t="s">
        <v>45</v>
      </c>
      <c r="Y950" s="1">
        <v>4.82012119E8</v>
      </c>
      <c r="Z950" s="1">
        <v>5.3866661E7</v>
      </c>
      <c r="AB950" s="1">
        <v>0.0</v>
      </c>
      <c r="AC950" s="2">
        <v>41183.0</v>
      </c>
      <c r="AD950" s="1">
        <v>7500.0</v>
      </c>
      <c r="AE950" s="1" t="s">
        <v>40</v>
      </c>
      <c r="AF950" s="1">
        <v>2.0131715E7</v>
      </c>
      <c r="AG950" s="1" t="s">
        <v>2281</v>
      </c>
      <c r="AH950" s="1">
        <v>10.0</v>
      </c>
      <c r="AI950" s="1">
        <v>2011.0</v>
      </c>
      <c r="AJ950" s="1">
        <v>2013.0</v>
      </c>
      <c r="AK950" s="1" t="s">
        <v>342</v>
      </c>
    </row>
    <row r="951">
      <c r="A951" s="1" t="s">
        <v>2139</v>
      </c>
      <c r="B951" s="1" t="s">
        <v>2139</v>
      </c>
      <c r="C951" s="1" t="s">
        <v>100</v>
      </c>
      <c r="E951" s="1">
        <v>3.2109172E7</v>
      </c>
      <c r="F951" s="2">
        <v>41837.0</v>
      </c>
      <c r="G951" s="1" t="s">
        <v>297</v>
      </c>
      <c r="I951" s="1" t="s">
        <v>297</v>
      </c>
      <c r="L951" s="1" t="s">
        <v>102</v>
      </c>
      <c r="M951" s="1">
        <v>8600.0</v>
      </c>
      <c r="N951" s="1" t="s">
        <v>102</v>
      </c>
      <c r="O951" s="1">
        <v>4.0560898E7</v>
      </c>
      <c r="P951" s="1" t="s">
        <v>2304</v>
      </c>
      <c r="R951" s="1" t="s">
        <v>2305</v>
      </c>
      <c r="S951" s="1" t="s">
        <v>44</v>
      </c>
      <c r="T951" s="1" t="s">
        <v>45</v>
      </c>
      <c r="U951" s="1">
        <v>4.82261348E8</v>
      </c>
      <c r="W951" s="1" t="s">
        <v>46</v>
      </c>
      <c r="X951" s="1" t="s">
        <v>45</v>
      </c>
      <c r="Y951" s="1">
        <v>4.82261348E8</v>
      </c>
      <c r="Z951" s="1">
        <v>4.0560898E7</v>
      </c>
      <c r="AA951" s="1" t="s">
        <v>2304</v>
      </c>
      <c r="AB951" s="1">
        <v>100000.0</v>
      </c>
      <c r="AC951" s="2">
        <v>41837.0</v>
      </c>
      <c r="AD951" s="1">
        <v>8600.0</v>
      </c>
      <c r="AE951" s="1" t="s">
        <v>102</v>
      </c>
      <c r="AF951" s="1">
        <v>50.0</v>
      </c>
      <c r="AG951" s="1" t="s">
        <v>2306</v>
      </c>
      <c r="AH951" s="1">
        <v>8.0</v>
      </c>
      <c r="AI951" s="1">
        <v>2014.0</v>
      </c>
      <c r="AJ951" s="1">
        <v>2014.0</v>
      </c>
      <c r="AK951" s="1" t="s">
        <v>305</v>
      </c>
    </row>
    <row r="952">
      <c r="A952" s="1" t="s">
        <v>2307</v>
      </c>
      <c r="B952" s="1" t="s">
        <v>2307</v>
      </c>
      <c r="C952" s="1" t="s">
        <v>100</v>
      </c>
      <c r="E952" s="1">
        <v>2670892.0</v>
      </c>
      <c r="F952" s="2">
        <v>41837.0</v>
      </c>
      <c r="G952" s="1" t="s">
        <v>1433</v>
      </c>
      <c r="I952" s="1" t="s">
        <v>1433</v>
      </c>
      <c r="L952" s="1" t="s">
        <v>102</v>
      </c>
      <c r="M952" s="1">
        <v>8600.0</v>
      </c>
      <c r="N952" s="1" t="s">
        <v>102</v>
      </c>
      <c r="O952" s="1">
        <v>6530661.0</v>
      </c>
      <c r="P952" s="1" t="s">
        <v>73</v>
      </c>
      <c r="Q952" s="1" t="s">
        <v>323</v>
      </c>
      <c r="R952" s="1" t="s">
        <v>1961</v>
      </c>
      <c r="S952" s="1" t="s">
        <v>44</v>
      </c>
      <c r="T952" s="1" t="s">
        <v>45</v>
      </c>
      <c r="U952" s="1">
        <v>4.82263443E8</v>
      </c>
      <c r="W952" s="1" t="s">
        <v>46</v>
      </c>
      <c r="X952" s="1" t="s">
        <v>45</v>
      </c>
      <c r="Y952" s="1">
        <v>4.82263443E8</v>
      </c>
      <c r="Z952" s="1">
        <v>6530661.0</v>
      </c>
      <c r="AA952" s="1" t="s">
        <v>76</v>
      </c>
      <c r="AB952" s="1">
        <v>2670892.0</v>
      </c>
      <c r="AC952" s="2">
        <v>41837.0</v>
      </c>
      <c r="AD952" s="1">
        <v>8600.0</v>
      </c>
      <c r="AE952" s="1" t="s">
        <v>102</v>
      </c>
      <c r="AF952" s="1">
        <v>1.0</v>
      </c>
      <c r="AG952" s="1" t="s">
        <v>2308</v>
      </c>
      <c r="AH952" s="1">
        <v>8.0</v>
      </c>
      <c r="AI952" s="1">
        <v>2014.0</v>
      </c>
      <c r="AJ952" s="1">
        <v>2014.0</v>
      </c>
      <c r="AK952" s="1" t="s">
        <v>367</v>
      </c>
    </row>
    <row r="953">
      <c r="A953" s="1" t="s">
        <v>2279</v>
      </c>
      <c r="B953" s="1" t="s">
        <v>2279</v>
      </c>
      <c r="C953" s="1" t="s">
        <v>63</v>
      </c>
      <c r="E953" s="1">
        <v>292500.0</v>
      </c>
      <c r="F953" s="2">
        <v>41548.0</v>
      </c>
      <c r="G953" s="1" t="s">
        <v>2280</v>
      </c>
      <c r="I953" s="1" t="s">
        <v>2280</v>
      </c>
      <c r="L953" s="1" t="s">
        <v>40</v>
      </c>
      <c r="M953" s="1">
        <v>7500.0</v>
      </c>
      <c r="N953" s="1" t="s">
        <v>40</v>
      </c>
      <c r="O953" s="1">
        <v>1962224.0</v>
      </c>
      <c r="P953" s="1" t="s">
        <v>52</v>
      </c>
      <c r="Q953" s="1" t="s">
        <v>1566</v>
      </c>
      <c r="R953" s="1" t="s">
        <v>53</v>
      </c>
      <c r="S953" s="1" t="s">
        <v>44</v>
      </c>
      <c r="T953" s="1" t="s">
        <v>45</v>
      </c>
      <c r="U953" s="1">
        <v>4.82023692E8</v>
      </c>
      <c r="W953" s="1" t="s">
        <v>46</v>
      </c>
      <c r="X953" s="1" t="s">
        <v>45</v>
      </c>
      <c r="Y953" s="1">
        <v>4.82023692E8</v>
      </c>
      <c r="Z953" s="1">
        <v>1962224.0</v>
      </c>
      <c r="AA953" s="1" t="s">
        <v>52</v>
      </c>
      <c r="AB953" s="1">
        <v>44416.33</v>
      </c>
      <c r="AC953" s="2">
        <v>41548.0</v>
      </c>
      <c r="AD953" s="1">
        <v>7500.0</v>
      </c>
      <c r="AE953" s="1" t="s">
        <v>40</v>
      </c>
      <c r="AF953" s="1">
        <v>2.0141508E7</v>
      </c>
      <c r="AG953" s="1" t="s">
        <v>2281</v>
      </c>
      <c r="AH953" s="1">
        <v>10.0</v>
      </c>
      <c r="AI953" s="1">
        <v>2011.0</v>
      </c>
      <c r="AJ953" s="1">
        <v>2014.0</v>
      </c>
      <c r="AK953" s="1" t="s">
        <v>342</v>
      </c>
    </row>
    <row r="954">
      <c r="A954" s="1" t="s">
        <v>2279</v>
      </c>
      <c r="B954" s="1" t="s">
        <v>2279</v>
      </c>
      <c r="C954" s="1" t="s">
        <v>63</v>
      </c>
      <c r="E954" s="1">
        <v>292500.0</v>
      </c>
      <c r="F954" s="2">
        <v>41183.0</v>
      </c>
      <c r="G954" s="1" t="s">
        <v>2280</v>
      </c>
      <c r="I954" s="1" t="s">
        <v>2280</v>
      </c>
      <c r="L954" s="1" t="s">
        <v>40</v>
      </c>
      <c r="M954" s="1">
        <v>7500.0</v>
      </c>
      <c r="N954" s="1" t="s">
        <v>40</v>
      </c>
      <c r="O954" s="1">
        <v>3.8775243E7</v>
      </c>
      <c r="P954" s="1" t="s">
        <v>209</v>
      </c>
      <c r="Q954" s="1" t="s">
        <v>210</v>
      </c>
      <c r="R954" s="1" t="s">
        <v>211</v>
      </c>
      <c r="S954" s="1" t="s">
        <v>44</v>
      </c>
      <c r="T954" s="1" t="s">
        <v>45</v>
      </c>
      <c r="U954" s="1">
        <v>4.82023068E8</v>
      </c>
      <c r="W954" s="1" t="s">
        <v>46</v>
      </c>
      <c r="X954" s="1" t="s">
        <v>45</v>
      </c>
      <c r="Y954" s="1">
        <v>4.82023068E8</v>
      </c>
      <c r="Z954" s="1">
        <v>3.8775243E7</v>
      </c>
      <c r="AA954" s="1" t="s">
        <v>209</v>
      </c>
      <c r="AB954" s="1">
        <v>0.0</v>
      </c>
      <c r="AC954" s="2">
        <v>41183.0</v>
      </c>
      <c r="AD954" s="1">
        <v>7500.0</v>
      </c>
      <c r="AE954" s="1" t="s">
        <v>40</v>
      </c>
      <c r="AF954" s="1">
        <v>2.0131247E7</v>
      </c>
      <c r="AG954" s="1" t="s">
        <v>2281</v>
      </c>
      <c r="AH954" s="1">
        <v>10.0</v>
      </c>
      <c r="AI954" s="1">
        <v>2011.0</v>
      </c>
      <c r="AJ954" s="1">
        <v>2013.0</v>
      </c>
      <c r="AK954" s="1" t="s">
        <v>342</v>
      </c>
    </row>
    <row r="955">
      <c r="A955" s="1" t="s">
        <v>2279</v>
      </c>
      <c r="B955" s="1" t="s">
        <v>2279</v>
      </c>
      <c r="C955" s="1" t="s">
        <v>63</v>
      </c>
      <c r="E955" s="1">
        <v>292500.0</v>
      </c>
      <c r="F955" s="2">
        <v>41548.0</v>
      </c>
      <c r="G955" s="1" t="s">
        <v>2280</v>
      </c>
      <c r="I955" s="1" t="s">
        <v>2280</v>
      </c>
      <c r="L955" s="1" t="s">
        <v>40</v>
      </c>
      <c r="M955" s="1">
        <v>7500.0</v>
      </c>
      <c r="N955" s="1" t="s">
        <v>40</v>
      </c>
      <c r="O955" s="1">
        <v>7.6377316E7</v>
      </c>
      <c r="P955" s="1" t="s">
        <v>2302</v>
      </c>
      <c r="Q955" s="1" t="s">
        <v>2309</v>
      </c>
      <c r="R955" s="1" t="s">
        <v>2303</v>
      </c>
      <c r="S955" s="1" t="s">
        <v>44</v>
      </c>
      <c r="T955" s="1" t="s">
        <v>45</v>
      </c>
      <c r="U955" s="1">
        <v>4.82012119E8</v>
      </c>
      <c r="W955" s="1" t="s">
        <v>46</v>
      </c>
      <c r="X955" s="1" t="s">
        <v>45</v>
      </c>
      <c r="Y955" s="1">
        <v>4.82012119E8</v>
      </c>
      <c r="Z955" s="1">
        <v>5.3866661E7</v>
      </c>
      <c r="AB955" s="1">
        <v>33795.05</v>
      </c>
      <c r="AC955" s="2">
        <v>41548.0</v>
      </c>
      <c r="AD955" s="1">
        <v>7500.0</v>
      </c>
      <c r="AE955" s="1" t="s">
        <v>40</v>
      </c>
      <c r="AF955" s="1">
        <v>2.0140062E7</v>
      </c>
      <c r="AG955" s="1" t="s">
        <v>2281</v>
      </c>
      <c r="AH955" s="1">
        <v>10.0</v>
      </c>
      <c r="AI955" s="1">
        <v>2011.0</v>
      </c>
      <c r="AJ955" s="1">
        <v>2014.0</v>
      </c>
      <c r="AK955" s="1" t="s">
        <v>342</v>
      </c>
    </row>
    <row r="956">
      <c r="A956" s="1" t="s">
        <v>2279</v>
      </c>
      <c r="B956" s="1" t="s">
        <v>2279</v>
      </c>
      <c r="C956" s="1" t="s">
        <v>63</v>
      </c>
      <c r="E956" s="1">
        <v>292500.0</v>
      </c>
      <c r="F956" s="2">
        <v>41183.0</v>
      </c>
      <c r="G956" s="1" t="s">
        <v>2280</v>
      </c>
      <c r="I956" s="1" t="s">
        <v>2280</v>
      </c>
      <c r="L956" s="1" t="s">
        <v>40</v>
      </c>
      <c r="M956" s="1">
        <v>7500.0</v>
      </c>
      <c r="N956" s="1" t="s">
        <v>40</v>
      </c>
      <c r="O956" s="1">
        <v>1962224.0</v>
      </c>
      <c r="P956" s="1" t="s">
        <v>52</v>
      </c>
      <c r="Q956" s="1" t="s">
        <v>1566</v>
      </c>
      <c r="R956" s="1" t="s">
        <v>53</v>
      </c>
      <c r="S956" s="1" t="s">
        <v>44</v>
      </c>
      <c r="T956" s="1" t="s">
        <v>45</v>
      </c>
      <c r="U956" s="1">
        <v>4.82023692E8</v>
      </c>
      <c r="W956" s="1" t="s">
        <v>46</v>
      </c>
      <c r="X956" s="1" t="s">
        <v>45</v>
      </c>
      <c r="Y956" s="1">
        <v>4.82023692E8</v>
      </c>
      <c r="Z956" s="1">
        <v>1962224.0</v>
      </c>
      <c r="AA956" s="1" t="s">
        <v>52</v>
      </c>
      <c r="AB956" s="1">
        <v>57267.53</v>
      </c>
      <c r="AC956" s="2">
        <v>41183.0</v>
      </c>
      <c r="AD956" s="1">
        <v>7500.0</v>
      </c>
      <c r="AE956" s="1" t="s">
        <v>40</v>
      </c>
      <c r="AF956" s="1">
        <v>2.0131983E7</v>
      </c>
      <c r="AG956" s="1" t="s">
        <v>2281</v>
      </c>
      <c r="AH956" s="1">
        <v>10.0</v>
      </c>
      <c r="AI956" s="1">
        <v>2011.0</v>
      </c>
      <c r="AJ956" s="1">
        <v>2013.0</v>
      </c>
      <c r="AK956" s="1" t="s">
        <v>342</v>
      </c>
    </row>
    <row r="957">
      <c r="A957" s="1" t="s">
        <v>2279</v>
      </c>
      <c r="B957" s="1" t="s">
        <v>2279</v>
      </c>
      <c r="C957" s="1" t="s">
        <v>63</v>
      </c>
      <c r="E957" s="1">
        <v>292500.0</v>
      </c>
      <c r="F957" s="2">
        <v>41183.0</v>
      </c>
      <c r="G957" s="1" t="s">
        <v>2280</v>
      </c>
      <c r="I957" s="1" t="s">
        <v>2280</v>
      </c>
      <c r="L957" s="1" t="s">
        <v>40</v>
      </c>
      <c r="M957" s="1">
        <v>7500.0</v>
      </c>
      <c r="N957" s="1" t="s">
        <v>40</v>
      </c>
      <c r="O957" s="1">
        <v>7.6377316E7</v>
      </c>
      <c r="P957" s="1" t="s">
        <v>2302</v>
      </c>
      <c r="Q957" s="1" t="s">
        <v>2309</v>
      </c>
      <c r="R957" s="1" t="s">
        <v>2303</v>
      </c>
      <c r="S957" s="1" t="s">
        <v>44</v>
      </c>
      <c r="T957" s="1" t="s">
        <v>45</v>
      </c>
      <c r="U957" s="1">
        <v>4.82012119E8</v>
      </c>
      <c r="W957" s="1" t="s">
        <v>46</v>
      </c>
      <c r="X957" s="1" t="s">
        <v>45</v>
      </c>
      <c r="Y957" s="1">
        <v>4.82012119E8</v>
      </c>
      <c r="Z957" s="1">
        <v>5.3866661E7</v>
      </c>
      <c r="AB957" s="1">
        <v>23500.0</v>
      </c>
      <c r="AC957" s="2">
        <v>41183.0</v>
      </c>
      <c r="AD957" s="1">
        <v>7500.0</v>
      </c>
      <c r="AE957" s="1" t="s">
        <v>40</v>
      </c>
      <c r="AF957" s="1">
        <v>2.0131715E7</v>
      </c>
      <c r="AG957" s="1" t="s">
        <v>2281</v>
      </c>
      <c r="AH957" s="1">
        <v>10.0</v>
      </c>
      <c r="AI957" s="1">
        <v>2011.0</v>
      </c>
      <c r="AJ957" s="1">
        <v>2013.0</v>
      </c>
      <c r="AK957" s="1" t="s">
        <v>342</v>
      </c>
    </row>
    <row r="958">
      <c r="A958" s="1" t="s">
        <v>2310</v>
      </c>
      <c r="B958" s="1" t="s">
        <v>2310</v>
      </c>
      <c r="C958" s="1" t="s">
        <v>85</v>
      </c>
      <c r="E958" s="1">
        <v>3913584.0</v>
      </c>
      <c r="F958" s="2">
        <v>41183.0</v>
      </c>
      <c r="G958" s="1" t="s">
        <v>2311</v>
      </c>
      <c r="I958" s="1" t="s">
        <v>2311</v>
      </c>
      <c r="L958" s="1" t="s">
        <v>40</v>
      </c>
      <c r="M958" s="1">
        <v>7500.0</v>
      </c>
      <c r="N958" s="1" t="s">
        <v>40</v>
      </c>
      <c r="O958" s="1">
        <v>1962224.0</v>
      </c>
      <c r="P958" s="1" t="s">
        <v>52</v>
      </c>
      <c r="Q958" s="1" t="s">
        <v>1566</v>
      </c>
      <c r="R958" s="1" t="s">
        <v>53</v>
      </c>
      <c r="S958" s="1" t="s">
        <v>44</v>
      </c>
      <c r="T958" s="1" t="s">
        <v>45</v>
      </c>
      <c r="U958" s="1">
        <v>4.82023692E8</v>
      </c>
      <c r="W958" s="1" t="s">
        <v>46</v>
      </c>
      <c r="X958" s="1" t="s">
        <v>45</v>
      </c>
      <c r="Y958" s="1">
        <v>4.82024123E8</v>
      </c>
      <c r="Z958" s="1">
        <v>1962224.0</v>
      </c>
      <c r="AA958" s="1" t="s">
        <v>52</v>
      </c>
      <c r="AB958" s="1">
        <v>34924.0</v>
      </c>
      <c r="AC958" s="2">
        <v>41183.0</v>
      </c>
      <c r="AD958" s="1">
        <v>7500.0</v>
      </c>
      <c r="AE958" s="1" t="s">
        <v>40</v>
      </c>
      <c r="AF958" s="1">
        <v>2.0131984E7</v>
      </c>
      <c r="AG958" s="1" t="s">
        <v>2312</v>
      </c>
      <c r="AH958" s="1">
        <v>10.0</v>
      </c>
      <c r="AI958" s="1">
        <v>2012.0</v>
      </c>
      <c r="AJ958" s="1">
        <v>2013.0</v>
      </c>
      <c r="AK958" s="1" t="s">
        <v>88</v>
      </c>
    </row>
    <row r="959">
      <c r="A959" s="1" t="s">
        <v>2310</v>
      </c>
      <c r="B959" s="1" t="s">
        <v>2310</v>
      </c>
      <c r="C959" s="1" t="s">
        <v>85</v>
      </c>
      <c r="E959" s="1">
        <v>3913584.0</v>
      </c>
      <c r="F959" s="2">
        <v>41548.0</v>
      </c>
      <c r="G959" s="1" t="s">
        <v>2311</v>
      </c>
      <c r="I959" s="1" t="s">
        <v>2311</v>
      </c>
      <c r="L959" s="1" t="s">
        <v>40</v>
      </c>
      <c r="M959" s="1">
        <v>7500.0</v>
      </c>
      <c r="N959" s="1" t="s">
        <v>40</v>
      </c>
      <c r="O959" s="1">
        <v>1962224.0</v>
      </c>
      <c r="P959" s="1" t="s">
        <v>52</v>
      </c>
      <c r="Q959" s="1" t="s">
        <v>1566</v>
      </c>
      <c r="R959" s="1" t="s">
        <v>53</v>
      </c>
      <c r="S959" s="1" t="s">
        <v>44</v>
      </c>
      <c r="T959" s="1" t="s">
        <v>45</v>
      </c>
      <c r="U959" s="1">
        <v>4.82023692E8</v>
      </c>
      <c r="W959" s="1" t="s">
        <v>46</v>
      </c>
      <c r="X959" s="1" t="s">
        <v>45</v>
      </c>
      <c r="Y959" s="1">
        <v>4.82024123E8</v>
      </c>
      <c r="Z959" s="1">
        <v>1962224.0</v>
      </c>
      <c r="AA959" s="1" t="s">
        <v>52</v>
      </c>
      <c r="AB959" s="1">
        <v>102430.0</v>
      </c>
      <c r="AC959" s="2">
        <v>41548.0</v>
      </c>
      <c r="AD959" s="1">
        <v>7500.0</v>
      </c>
      <c r="AE959" s="1" t="s">
        <v>40</v>
      </c>
      <c r="AF959" s="1">
        <v>2.0141518E7</v>
      </c>
      <c r="AG959" s="1" t="s">
        <v>2312</v>
      </c>
      <c r="AH959" s="1">
        <v>10.0</v>
      </c>
      <c r="AI959" s="1">
        <v>2012.0</v>
      </c>
      <c r="AJ959" s="1">
        <v>2014.0</v>
      </c>
      <c r="AK959" s="1" t="s">
        <v>88</v>
      </c>
    </row>
    <row r="960">
      <c r="A960" s="1" t="s">
        <v>2310</v>
      </c>
      <c r="B960" s="1" t="s">
        <v>2310</v>
      </c>
      <c r="C960" s="1" t="s">
        <v>85</v>
      </c>
      <c r="E960" s="1">
        <v>3913584.0</v>
      </c>
      <c r="F960" s="2">
        <v>41548.0</v>
      </c>
      <c r="G960" s="1" t="s">
        <v>2311</v>
      </c>
      <c r="I960" s="1" t="s">
        <v>2311</v>
      </c>
      <c r="L960" s="1" t="s">
        <v>40</v>
      </c>
      <c r="M960" s="1">
        <v>7500.0</v>
      </c>
      <c r="N960" s="1" t="s">
        <v>40</v>
      </c>
      <c r="O960" s="1">
        <v>7596352.0</v>
      </c>
      <c r="P960" s="1" t="s">
        <v>73</v>
      </c>
      <c r="R960" s="1" t="s">
        <v>1578</v>
      </c>
      <c r="S960" s="1" t="s">
        <v>44</v>
      </c>
      <c r="T960" s="1" t="s">
        <v>45</v>
      </c>
      <c r="U960" s="1">
        <v>4.82263269E8</v>
      </c>
      <c r="W960" s="1" t="s">
        <v>46</v>
      </c>
      <c r="X960" s="1" t="s">
        <v>45</v>
      </c>
      <c r="Y960" s="1">
        <v>4.82263269E8</v>
      </c>
      <c r="Z960" s="1">
        <v>6530661.0</v>
      </c>
      <c r="AA960" s="1" t="s">
        <v>76</v>
      </c>
      <c r="AB960" s="1">
        <v>88773.0</v>
      </c>
      <c r="AC960" s="2">
        <v>41548.0</v>
      </c>
      <c r="AD960" s="1">
        <v>7500.0</v>
      </c>
      <c r="AE960" s="1" t="s">
        <v>40</v>
      </c>
      <c r="AF960" s="1">
        <v>2.014095E7</v>
      </c>
      <c r="AG960" s="1" t="s">
        <v>2312</v>
      </c>
      <c r="AH960" s="1">
        <v>10.0</v>
      </c>
      <c r="AI960" s="1">
        <v>2012.0</v>
      </c>
      <c r="AJ960" s="1">
        <v>2014.0</v>
      </c>
      <c r="AK960" s="1" t="s">
        <v>88</v>
      </c>
    </row>
    <row r="961">
      <c r="A961" s="1" t="s">
        <v>2310</v>
      </c>
      <c r="B961" s="1" t="s">
        <v>2310</v>
      </c>
      <c r="C961" s="1" t="s">
        <v>85</v>
      </c>
      <c r="E961" s="1">
        <v>3913584.0</v>
      </c>
      <c r="F961" s="2">
        <v>41183.0</v>
      </c>
      <c r="G961" s="1" t="s">
        <v>2311</v>
      </c>
      <c r="I961" s="1" t="s">
        <v>2311</v>
      </c>
      <c r="L961" s="1" t="s">
        <v>40</v>
      </c>
      <c r="M961" s="1">
        <v>7500.0</v>
      </c>
      <c r="N961" s="1" t="s">
        <v>40</v>
      </c>
      <c r="O961" s="1">
        <v>7.8583404E7</v>
      </c>
      <c r="P961" s="1" t="s">
        <v>65</v>
      </c>
      <c r="Q961" s="1" t="s">
        <v>2313</v>
      </c>
      <c r="R961" s="1" t="s">
        <v>1573</v>
      </c>
      <c r="S961" s="1" t="s">
        <v>44</v>
      </c>
      <c r="T961" s="1" t="s">
        <v>45</v>
      </c>
      <c r="U961" s="1">
        <v>4.8207311E8</v>
      </c>
      <c r="W961" s="1" t="s">
        <v>46</v>
      </c>
      <c r="X961" s="1" t="s">
        <v>45</v>
      </c>
      <c r="Y961" s="1">
        <v>4.82021732E8</v>
      </c>
      <c r="Z961" s="1">
        <v>8.6185592E7</v>
      </c>
      <c r="AB961" s="1">
        <v>81585.0</v>
      </c>
      <c r="AC961" s="2">
        <v>41183.0</v>
      </c>
      <c r="AD961" s="1">
        <v>7500.0</v>
      </c>
      <c r="AE961" s="1" t="s">
        <v>40</v>
      </c>
      <c r="AF961" s="1">
        <v>2.0130787E7</v>
      </c>
      <c r="AG961" s="1" t="s">
        <v>2312</v>
      </c>
      <c r="AH961" s="1">
        <v>10.0</v>
      </c>
      <c r="AI961" s="1">
        <v>2012.0</v>
      </c>
      <c r="AJ961" s="1">
        <v>2013.0</v>
      </c>
      <c r="AK961" s="1" t="s">
        <v>88</v>
      </c>
    </row>
    <row r="962">
      <c r="A962" s="1" t="s">
        <v>2314</v>
      </c>
      <c r="B962" s="1" t="s">
        <v>2314</v>
      </c>
      <c r="C962" s="1" t="s">
        <v>38</v>
      </c>
      <c r="E962" s="1">
        <v>1.6975458E7</v>
      </c>
      <c r="F962" s="2">
        <v>41232.0</v>
      </c>
      <c r="G962" s="1" t="s">
        <v>2315</v>
      </c>
      <c r="I962" s="1" t="s">
        <v>2315</v>
      </c>
      <c r="L962" s="1" t="s">
        <v>40</v>
      </c>
      <c r="M962" s="1">
        <v>7500.0</v>
      </c>
      <c r="N962" s="1" t="s">
        <v>40</v>
      </c>
      <c r="O962" s="1">
        <v>7.3134603E7</v>
      </c>
      <c r="P962" s="1" t="s">
        <v>41</v>
      </c>
      <c r="Q962" s="1" t="s">
        <v>252</v>
      </c>
      <c r="R962" s="1" t="s">
        <v>253</v>
      </c>
      <c r="S962" s="1" t="s">
        <v>44</v>
      </c>
      <c r="T962" s="1" t="s">
        <v>45</v>
      </c>
      <c r="U962" s="1">
        <v>4.8202345E8</v>
      </c>
      <c r="W962" s="1" t="s">
        <v>44</v>
      </c>
      <c r="X962" s="1" t="s">
        <v>45</v>
      </c>
      <c r="Y962" s="1">
        <v>4.8202345E8</v>
      </c>
      <c r="Z962" s="1">
        <v>7.3134603E7</v>
      </c>
      <c r="AA962" s="1" t="s">
        <v>41</v>
      </c>
      <c r="AB962" s="1">
        <v>10493.96</v>
      </c>
      <c r="AC962" s="2">
        <v>41232.0</v>
      </c>
      <c r="AD962" s="1">
        <v>7500.0</v>
      </c>
      <c r="AE962" s="1" t="s">
        <v>40</v>
      </c>
      <c r="AF962" s="1" t="s">
        <v>2316</v>
      </c>
      <c r="AG962" s="1" t="s">
        <v>2317</v>
      </c>
      <c r="AH962" s="1">
        <v>11.0</v>
      </c>
      <c r="AI962" s="1">
        <v>2012.0</v>
      </c>
      <c r="AJ962" s="1">
        <v>2013.0</v>
      </c>
      <c r="AK962" s="1" t="s">
        <v>1813</v>
      </c>
    </row>
    <row r="963">
      <c r="A963" s="1" t="s">
        <v>2314</v>
      </c>
      <c r="B963" s="1" t="s">
        <v>2314</v>
      </c>
      <c r="C963" s="1" t="s">
        <v>38</v>
      </c>
      <c r="E963" s="1">
        <v>1.6975458E7</v>
      </c>
      <c r="F963" s="2">
        <v>41330.0</v>
      </c>
      <c r="G963" s="1" t="s">
        <v>2315</v>
      </c>
      <c r="I963" s="1" t="s">
        <v>2315</v>
      </c>
      <c r="L963" s="1" t="s">
        <v>40</v>
      </c>
      <c r="M963" s="1">
        <v>7500.0</v>
      </c>
      <c r="N963" s="1" t="s">
        <v>40</v>
      </c>
      <c r="O963" s="1">
        <v>7.3134603E7</v>
      </c>
      <c r="P963" s="1" t="s">
        <v>41</v>
      </c>
      <c r="Q963" s="1" t="s">
        <v>252</v>
      </c>
      <c r="R963" s="1" t="s">
        <v>253</v>
      </c>
      <c r="S963" s="1" t="s">
        <v>44</v>
      </c>
      <c r="T963" s="1" t="s">
        <v>45</v>
      </c>
      <c r="U963" s="1">
        <v>4.8202345E8</v>
      </c>
      <c r="W963" s="1" t="s">
        <v>44</v>
      </c>
      <c r="X963" s="1" t="s">
        <v>45</v>
      </c>
      <c r="Y963" s="1">
        <v>4.8202345E8</v>
      </c>
      <c r="Z963" s="1">
        <v>7.3134603E7</v>
      </c>
      <c r="AB963" s="1">
        <v>87791.0</v>
      </c>
      <c r="AC963" s="2">
        <v>41330.0</v>
      </c>
      <c r="AD963" s="1">
        <v>7500.0</v>
      </c>
      <c r="AE963" s="1" t="s">
        <v>40</v>
      </c>
      <c r="AF963" s="1" t="s">
        <v>2318</v>
      </c>
      <c r="AG963" s="1" t="s">
        <v>2319</v>
      </c>
      <c r="AH963" s="1">
        <v>2.0</v>
      </c>
      <c r="AI963" s="1">
        <v>2013.0</v>
      </c>
      <c r="AJ963" s="1">
        <v>2013.0</v>
      </c>
      <c r="AK963" s="1" t="s">
        <v>1813</v>
      </c>
    </row>
    <row r="964">
      <c r="A964" s="1" t="s">
        <v>2320</v>
      </c>
      <c r="B964" s="1" t="s">
        <v>2320</v>
      </c>
      <c r="C964" s="1" t="s">
        <v>194</v>
      </c>
      <c r="E964" s="1">
        <v>1.1956416E7</v>
      </c>
      <c r="F964" s="2">
        <v>41233.0</v>
      </c>
      <c r="G964" s="1" t="s">
        <v>1905</v>
      </c>
      <c r="I964" s="1" t="s">
        <v>1905</v>
      </c>
      <c r="L964" s="1" t="s">
        <v>194</v>
      </c>
      <c r="M964" s="1">
        <v>9100.0</v>
      </c>
      <c r="N964" s="1" t="s">
        <v>194</v>
      </c>
      <c r="O964" s="1">
        <v>1962224.0</v>
      </c>
      <c r="P964" s="1" t="s">
        <v>52</v>
      </c>
      <c r="R964" s="1" t="s">
        <v>53</v>
      </c>
      <c r="S964" s="1" t="s">
        <v>44</v>
      </c>
      <c r="T964" s="1" t="s">
        <v>45</v>
      </c>
      <c r="U964" s="1">
        <v>4.82023692E8</v>
      </c>
      <c r="W964" s="1" t="s">
        <v>44</v>
      </c>
      <c r="X964" s="1" t="s">
        <v>45</v>
      </c>
      <c r="Y964" s="1">
        <v>4.82023424E8</v>
      </c>
      <c r="Z964" s="1">
        <v>1962224.0</v>
      </c>
      <c r="AA964" s="1" t="s">
        <v>52</v>
      </c>
      <c r="AB964" s="1">
        <v>340082.0</v>
      </c>
      <c r="AC964" s="2">
        <v>41233.0</v>
      </c>
      <c r="AD964" s="1">
        <v>9100.0</v>
      </c>
      <c r="AE964" s="1" t="s">
        <v>194</v>
      </c>
      <c r="AF964" s="1" t="s">
        <v>2321</v>
      </c>
      <c r="AG964" s="1" t="s">
        <v>1907</v>
      </c>
      <c r="AH964" s="1">
        <v>7.0</v>
      </c>
      <c r="AI964" s="1">
        <v>2014.0</v>
      </c>
      <c r="AJ964" s="1">
        <v>2013.0</v>
      </c>
      <c r="AK964" s="1" t="s">
        <v>1908</v>
      </c>
    </row>
    <row r="965">
      <c r="A965" s="1" t="s">
        <v>2322</v>
      </c>
      <c r="B965" s="1" t="s">
        <v>2322</v>
      </c>
      <c r="C965" s="1" t="s">
        <v>129</v>
      </c>
      <c r="E965" s="1">
        <v>4240690.0</v>
      </c>
      <c r="F965" s="2">
        <v>41815.0</v>
      </c>
      <c r="G965" s="1" t="s">
        <v>2323</v>
      </c>
      <c r="I965" s="1" t="s">
        <v>2323</v>
      </c>
      <c r="L965" s="1" t="s">
        <v>40</v>
      </c>
      <c r="M965" s="1">
        <v>7500.0</v>
      </c>
      <c r="N965" s="1" t="s">
        <v>40</v>
      </c>
      <c r="O965" s="1">
        <v>1962224.0</v>
      </c>
      <c r="P965" s="1" t="s">
        <v>52</v>
      </c>
      <c r="Q965" s="1" t="s">
        <v>1566</v>
      </c>
      <c r="R965" s="1" t="s">
        <v>53</v>
      </c>
      <c r="S965" s="1" t="s">
        <v>44</v>
      </c>
      <c r="T965" s="1" t="s">
        <v>45</v>
      </c>
      <c r="U965" s="1">
        <v>4.82023692E8</v>
      </c>
      <c r="W965" s="1" t="s">
        <v>46</v>
      </c>
      <c r="X965" s="1" t="s">
        <v>45</v>
      </c>
      <c r="Y965" s="1">
        <v>4.82012357E8</v>
      </c>
      <c r="Z965" s="1">
        <v>1962224.0</v>
      </c>
      <c r="AA965" s="1" t="s">
        <v>52</v>
      </c>
      <c r="AB965" s="1">
        <v>147000.0</v>
      </c>
      <c r="AC965" s="2">
        <v>41815.0</v>
      </c>
      <c r="AD965" s="1">
        <v>7500.0</v>
      </c>
      <c r="AE965" s="1" t="s">
        <v>40</v>
      </c>
      <c r="AF965" s="1" t="s">
        <v>2324</v>
      </c>
      <c r="AG965" s="1" t="s">
        <v>2325</v>
      </c>
      <c r="AH965" s="1">
        <v>6.0</v>
      </c>
      <c r="AI965" s="1">
        <v>2014.0</v>
      </c>
      <c r="AJ965" s="1">
        <v>2014.0</v>
      </c>
      <c r="AK965" s="1" t="s">
        <v>2326</v>
      </c>
    </row>
    <row r="966">
      <c r="A966" s="1" t="s">
        <v>2327</v>
      </c>
      <c r="B966" s="1" t="s">
        <v>2327</v>
      </c>
      <c r="C966" s="1" t="s">
        <v>50</v>
      </c>
      <c r="E966" s="1">
        <v>4200001.0</v>
      </c>
      <c r="F966" s="2">
        <v>41885.0</v>
      </c>
      <c r="G966" s="1" t="s">
        <v>2328</v>
      </c>
      <c r="I966" s="1" t="s">
        <v>2328</v>
      </c>
      <c r="L966" s="1" t="s">
        <v>50</v>
      </c>
      <c r="M966" s="1">
        <v>8900.0</v>
      </c>
      <c r="N966" s="1" t="s">
        <v>50</v>
      </c>
      <c r="O966" s="1">
        <v>6957872.0</v>
      </c>
      <c r="P966" s="1" t="s">
        <v>216</v>
      </c>
      <c r="Q966" s="1" t="s">
        <v>217</v>
      </c>
      <c r="R966" s="1" t="s">
        <v>218</v>
      </c>
      <c r="S966" s="1" t="s">
        <v>44</v>
      </c>
      <c r="T966" s="1" t="s">
        <v>45</v>
      </c>
      <c r="U966" s="1">
        <v>4.82261203E8</v>
      </c>
      <c r="W966" s="1" t="s">
        <v>46</v>
      </c>
      <c r="X966" s="1" t="s">
        <v>45</v>
      </c>
      <c r="Y966" s="1">
        <v>4.82261203E8</v>
      </c>
      <c r="Z966" s="1">
        <v>8.39329158E8</v>
      </c>
      <c r="AA966" s="1" t="s">
        <v>219</v>
      </c>
      <c r="AB966" s="1">
        <v>32326.0</v>
      </c>
      <c r="AC966" s="2">
        <v>41885.0</v>
      </c>
      <c r="AD966" s="1">
        <v>8900.0</v>
      </c>
      <c r="AE966" s="1" t="s">
        <v>50</v>
      </c>
      <c r="AF966" s="1">
        <v>1.0001146E7</v>
      </c>
      <c r="AG966" s="1" t="s">
        <v>2329</v>
      </c>
      <c r="AH966" s="1">
        <v>9.0</v>
      </c>
      <c r="AI966" s="1">
        <v>2014.0</v>
      </c>
      <c r="AJ966" s="1">
        <v>2014.0</v>
      </c>
      <c r="AK966" s="1" t="s">
        <v>222</v>
      </c>
    </row>
    <row r="967">
      <c r="A967" s="1" t="s">
        <v>2330</v>
      </c>
      <c r="B967" s="1" t="s">
        <v>2330</v>
      </c>
      <c r="C967" s="1" t="s">
        <v>38</v>
      </c>
      <c r="E967" s="1">
        <v>991511.0</v>
      </c>
      <c r="F967" s="2">
        <v>41879.0</v>
      </c>
      <c r="G967" s="1" t="s">
        <v>2331</v>
      </c>
      <c r="I967" s="1" t="s">
        <v>2331</v>
      </c>
      <c r="L967" s="1" t="s">
        <v>40</v>
      </c>
      <c r="M967" s="1">
        <v>7500.0</v>
      </c>
      <c r="N967" s="1" t="s">
        <v>40</v>
      </c>
      <c r="O967" s="1">
        <v>1962224.0</v>
      </c>
      <c r="P967" s="1" t="s">
        <v>52</v>
      </c>
      <c r="Q967" s="1" t="s">
        <v>1566</v>
      </c>
      <c r="R967" s="1" t="s">
        <v>53</v>
      </c>
      <c r="S967" s="1" t="s">
        <v>44</v>
      </c>
      <c r="T967" s="1" t="s">
        <v>45</v>
      </c>
      <c r="U967" s="1">
        <v>4.82023692E8</v>
      </c>
      <c r="W967" s="1" t="s">
        <v>46</v>
      </c>
      <c r="X967" s="1" t="s">
        <v>45</v>
      </c>
      <c r="Y967" s="1">
        <v>4.8202405E8</v>
      </c>
      <c r="Z967" s="1">
        <v>1962224.0</v>
      </c>
      <c r="AA967" s="1" t="s">
        <v>52</v>
      </c>
      <c r="AB967" s="1">
        <v>92273.0</v>
      </c>
      <c r="AC967" s="2">
        <v>41879.0</v>
      </c>
      <c r="AD967" s="1">
        <v>7500.0</v>
      </c>
      <c r="AE967" s="1" t="s">
        <v>40</v>
      </c>
      <c r="AF967" s="1">
        <v>2.001815808E9</v>
      </c>
      <c r="AG967" s="1" t="s">
        <v>2331</v>
      </c>
      <c r="AH967" s="1">
        <v>9.0</v>
      </c>
      <c r="AI967" s="1">
        <v>2014.0</v>
      </c>
      <c r="AJ967" s="1">
        <v>2014.0</v>
      </c>
      <c r="AK967" s="1" t="s">
        <v>1749</v>
      </c>
    </row>
    <row r="968">
      <c r="A968" s="1" t="s">
        <v>2332</v>
      </c>
      <c r="B968" s="1" t="s">
        <v>2332</v>
      </c>
      <c r="C968" s="1" t="s">
        <v>100</v>
      </c>
      <c r="E968" s="1">
        <v>2903719.0</v>
      </c>
      <c r="F968" s="2">
        <v>41287.0</v>
      </c>
      <c r="G968" s="1" t="s">
        <v>361</v>
      </c>
      <c r="I968" s="1" t="s">
        <v>361</v>
      </c>
      <c r="L968" s="1" t="s">
        <v>102</v>
      </c>
      <c r="M968" s="1">
        <v>8600.0</v>
      </c>
      <c r="N968" s="1" t="s">
        <v>102</v>
      </c>
      <c r="O968" s="1">
        <v>6.07778081E8</v>
      </c>
      <c r="P968" s="1" t="s">
        <v>1002</v>
      </c>
      <c r="Q968" s="1" t="s">
        <v>1003</v>
      </c>
      <c r="R968" s="1" t="s">
        <v>1004</v>
      </c>
      <c r="S968" s="1" t="s">
        <v>44</v>
      </c>
      <c r="T968" s="1" t="s">
        <v>45</v>
      </c>
      <c r="U968" s="1">
        <v>4.82261986E8</v>
      </c>
      <c r="W968" s="1" t="s">
        <v>46</v>
      </c>
      <c r="X968" s="1" t="s">
        <v>45</v>
      </c>
      <c r="Y968" s="1">
        <v>4.82261986E8</v>
      </c>
      <c r="Z968" s="1">
        <v>6.07778081E8</v>
      </c>
      <c r="AA968" s="1" t="s">
        <v>1002</v>
      </c>
      <c r="AB968" s="1">
        <v>38768.0</v>
      </c>
      <c r="AC968" s="2">
        <v>41287.0</v>
      </c>
      <c r="AD968" s="1">
        <v>8600.0</v>
      </c>
      <c r="AE968" s="1" t="s">
        <v>102</v>
      </c>
      <c r="AF968" s="1">
        <v>8.0</v>
      </c>
      <c r="AG968" s="1" t="s">
        <v>2333</v>
      </c>
      <c r="AH968" s="1">
        <v>2.0</v>
      </c>
      <c r="AI968" s="1">
        <v>2013.0</v>
      </c>
      <c r="AJ968" s="1">
        <v>2013.0</v>
      </c>
      <c r="AK968" s="1" t="s">
        <v>367</v>
      </c>
    </row>
    <row r="969">
      <c r="A969" s="1" t="s">
        <v>2332</v>
      </c>
      <c r="B969" s="1" t="s">
        <v>2332</v>
      </c>
      <c r="C969" s="1" t="s">
        <v>100</v>
      </c>
      <c r="E969" s="1">
        <v>2903719.0</v>
      </c>
      <c r="F969" s="2">
        <v>41287.0</v>
      </c>
      <c r="G969" s="1" t="s">
        <v>361</v>
      </c>
      <c r="I969" s="1" t="s">
        <v>361</v>
      </c>
      <c r="L969" s="1" t="s">
        <v>102</v>
      </c>
      <c r="M969" s="1">
        <v>8600.0</v>
      </c>
      <c r="N969" s="1" t="s">
        <v>102</v>
      </c>
      <c r="O969" s="1">
        <v>1.586118E7</v>
      </c>
      <c r="P969" s="1" t="s">
        <v>2334</v>
      </c>
      <c r="Q969" s="1" t="s">
        <v>2335</v>
      </c>
      <c r="R969" s="1" t="s">
        <v>2336</v>
      </c>
      <c r="S969" s="1" t="s">
        <v>44</v>
      </c>
      <c r="T969" s="1" t="s">
        <v>45</v>
      </c>
      <c r="U969" s="1">
        <v>4.820825E8</v>
      </c>
      <c r="W969" s="1" t="s">
        <v>46</v>
      </c>
      <c r="X969" s="1" t="s">
        <v>45</v>
      </c>
      <c r="Y969" s="1">
        <v>4.820825E8</v>
      </c>
      <c r="Z969" s="1">
        <v>1.25435284E8</v>
      </c>
      <c r="AB969" s="1">
        <v>100000.0</v>
      </c>
      <c r="AC969" s="2">
        <v>41287.0</v>
      </c>
      <c r="AD969" s="1">
        <v>8600.0</v>
      </c>
      <c r="AE969" s="1" t="s">
        <v>102</v>
      </c>
      <c r="AF969" s="1">
        <v>2.0</v>
      </c>
      <c r="AG969" s="1" t="s">
        <v>2337</v>
      </c>
      <c r="AH969" s="1">
        <v>2.0</v>
      </c>
      <c r="AI969" s="1">
        <v>2013.0</v>
      </c>
      <c r="AJ969" s="1">
        <v>2013.0</v>
      </c>
      <c r="AK969" s="1" t="s">
        <v>367</v>
      </c>
    </row>
    <row r="970">
      <c r="A970" s="1" t="s">
        <v>2332</v>
      </c>
      <c r="B970" s="1" t="s">
        <v>2332</v>
      </c>
      <c r="C970" s="1" t="s">
        <v>100</v>
      </c>
      <c r="E970" s="1">
        <v>2903719.0</v>
      </c>
      <c r="F970" s="2">
        <v>41287.0</v>
      </c>
      <c r="G970" s="1" t="s">
        <v>361</v>
      </c>
      <c r="I970" s="1" t="s">
        <v>361</v>
      </c>
      <c r="L970" s="1" t="s">
        <v>102</v>
      </c>
      <c r="M970" s="1">
        <v>8600.0</v>
      </c>
      <c r="N970" s="1" t="s">
        <v>102</v>
      </c>
      <c r="O970" s="1">
        <v>9.4547247E7</v>
      </c>
      <c r="P970" s="1" t="s">
        <v>2201</v>
      </c>
      <c r="Q970" s="1" t="s">
        <v>2202</v>
      </c>
      <c r="R970" s="1" t="s">
        <v>2203</v>
      </c>
      <c r="S970" s="1" t="s">
        <v>44</v>
      </c>
      <c r="T970" s="1" t="s">
        <v>45</v>
      </c>
      <c r="U970" s="1">
        <v>4.8201241E8</v>
      </c>
      <c r="W970" s="1" t="s">
        <v>46</v>
      </c>
      <c r="X970" s="1" t="s">
        <v>45</v>
      </c>
      <c r="Y970" s="1">
        <v>4.8201241E8</v>
      </c>
      <c r="Z970" s="1">
        <v>9.4547247E7</v>
      </c>
      <c r="AA970" s="1" t="s">
        <v>2201</v>
      </c>
      <c r="AB970" s="1">
        <v>263000.0</v>
      </c>
      <c r="AC970" s="2">
        <v>41287.0</v>
      </c>
      <c r="AD970" s="1">
        <v>8600.0</v>
      </c>
      <c r="AE970" s="1" t="s">
        <v>102</v>
      </c>
      <c r="AF970" s="1">
        <v>1.0</v>
      </c>
      <c r="AG970" s="1" t="s">
        <v>2338</v>
      </c>
      <c r="AH970" s="1">
        <v>2.0</v>
      </c>
      <c r="AI970" s="1">
        <v>2013.0</v>
      </c>
      <c r="AJ970" s="1">
        <v>2013.0</v>
      </c>
      <c r="AK970" s="1" t="s">
        <v>367</v>
      </c>
    </row>
    <row r="971">
      <c r="A971" s="1" t="s">
        <v>2332</v>
      </c>
      <c r="B971" s="1" t="s">
        <v>2332</v>
      </c>
      <c r="C971" s="1" t="s">
        <v>100</v>
      </c>
      <c r="E971" s="1">
        <v>2903719.0</v>
      </c>
      <c r="F971" s="2">
        <v>41287.0</v>
      </c>
      <c r="G971" s="1" t="s">
        <v>361</v>
      </c>
      <c r="I971" s="1" t="s">
        <v>361</v>
      </c>
      <c r="L971" s="1" t="s">
        <v>102</v>
      </c>
      <c r="M971" s="1">
        <v>8600.0</v>
      </c>
      <c r="N971" s="1" t="s">
        <v>102</v>
      </c>
      <c r="O971" s="1">
        <v>1.97862014E8</v>
      </c>
      <c r="P971" s="1" t="s">
        <v>1056</v>
      </c>
      <c r="Q971" s="1" t="s">
        <v>1057</v>
      </c>
      <c r="R971" s="1" t="s">
        <v>1058</v>
      </c>
      <c r="S971" s="1" t="s">
        <v>44</v>
      </c>
      <c r="T971" s="1" t="s">
        <v>45</v>
      </c>
      <c r="U971" s="1">
        <v>4.82023165E8</v>
      </c>
      <c r="W971" s="1" t="s">
        <v>46</v>
      </c>
      <c r="X971" s="1" t="s">
        <v>45</v>
      </c>
      <c r="Y971" s="1">
        <v>4.82023165E8</v>
      </c>
      <c r="Z971" s="1">
        <v>1.97862014E8</v>
      </c>
      <c r="AA971" s="1" t="s">
        <v>1056</v>
      </c>
      <c r="AB971" s="1">
        <v>691135.0</v>
      </c>
      <c r="AC971" s="2">
        <v>41287.0</v>
      </c>
      <c r="AD971" s="1">
        <v>8600.0</v>
      </c>
      <c r="AE971" s="1" t="s">
        <v>102</v>
      </c>
      <c r="AF971" s="1">
        <v>3.0</v>
      </c>
      <c r="AG971" s="1" t="s">
        <v>2339</v>
      </c>
      <c r="AH971" s="1">
        <v>2.0</v>
      </c>
      <c r="AI971" s="1">
        <v>2013.0</v>
      </c>
      <c r="AJ971" s="1">
        <v>2013.0</v>
      </c>
      <c r="AK971" s="1" t="s">
        <v>367</v>
      </c>
    </row>
    <row r="972">
      <c r="A972" s="1" t="s">
        <v>2340</v>
      </c>
      <c r="B972" s="1" t="s">
        <v>2340</v>
      </c>
      <c r="C972" s="1" t="s">
        <v>389</v>
      </c>
      <c r="E972" s="1">
        <v>5000000.0</v>
      </c>
      <c r="F972" s="2">
        <v>41666.0</v>
      </c>
      <c r="G972" s="1" t="s">
        <v>2341</v>
      </c>
      <c r="I972" s="1" t="s">
        <v>2341</v>
      </c>
      <c r="L972" s="1" t="s">
        <v>391</v>
      </c>
      <c r="M972" s="1">
        <v>1600.0</v>
      </c>
      <c r="N972" s="1" t="s">
        <v>391</v>
      </c>
      <c r="O972" s="1">
        <v>3.2345709E7</v>
      </c>
      <c r="P972" s="1" t="s">
        <v>182</v>
      </c>
      <c r="R972" s="1" t="s">
        <v>183</v>
      </c>
      <c r="S972" s="1" t="s">
        <v>44</v>
      </c>
      <c r="T972" s="1" t="s">
        <v>45</v>
      </c>
      <c r="U972" s="1">
        <v>4.82022411E8</v>
      </c>
      <c r="W972" s="1" t="s">
        <v>46</v>
      </c>
      <c r="X972" s="1" t="s">
        <v>45</v>
      </c>
      <c r="Y972" s="1">
        <v>4.82022411E8</v>
      </c>
      <c r="Z972" s="1">
        <v>3.2345709E7</v>
      </c>
      <c r="AA972" s="1" t="s">
        <v>182</v>
      </c>
      <c r="AB972" s="1">
        <v>532000.0</v>
      </c>
      <c r="AC972" s="2">
        <v>41666.0</v>
      </c>
      <c r="AD972" s="1">
        <v>1600.0</v>
      </c>
      <c r="AE972" s="1" t="s">
        <v>391</v>
      </c>
      <c r="AF972" s="1" t="s">
        <v>2342</v>
      </c>
      <c r="AG972" s="1" t="s">
        <v>2343</v>
      </c>
      <c r="AH972" s="1">
        <v>1.0</v>
      </c>
      <c r="AI972" s="1">
        <v>2014.0</v>
      </c>
      <c r="AJ972" s="1">
        <v>2014.0</v>
      </c>
      <c r="AK972" s="1" t="s">
        <v>2344</v>
      </c>
    </row>
    <row r="973">
      <c r="A973" s="1" t="s">
        <v>2345</v>
      </c>
      <c r="B973" s="1" t="s">
        <v>2345</v>
      </c>
      <c r="C973" s="1" t="s">
        <v>224</v>
      </c>
      <c r="E973" s="1">
        <v>59375.0</v>
      </c>
      <c r="F973" s="2">
        <v>41736.0</v>
      </c>
      <c r="G973" s="1" t="s">
        <v>2346</v>
      </c>
      <c r="I973" s="1" t="s">
        <v>2346</v>
      </c>
      <c r="L973" s="1" t="s">
        <v>151</v>
      </c>
      <c r="M973" s="1">
        <v>6900.0</v>
      </c>
      <c r="N973" s="1" t="s">
        <v>151</v>
      </c>
      <c r="O973" s="1">
        <v>1.1855476E8</v>
      </c>
      <c r="P973" s="1" t="s">
        <v>983</v>
      </c>
      <c r="Q973" s="1" t="s">
        <v>984</v>
      </c>
      <c r="R973" s="1" t="s">
        <v>227</v>
      </c>
      <c r="S973" s="1" t="s">
        <v>44</v>
      </c>
      <c r="T973" s="1" t="s">
        <v>45</v>
      </c>
      <c r="U973" s="1">
        <v>4.82262886E8</v>
      </c>
      <c r="W973" s="1" t="s">
        <v>46</v>
      </c>
      <c r="X973" s="1" t="s">
        <v>45</v>
      </c>
      <c r="Y973" s="1">
        <v>4.82262886E8</v>
      </c>
      <c r="Z973" s="1">
        <v>6530661.0</v>
      </c>
      <c r="AA973" s="1" t="s">
        <v>76</v>
      </c>
      <c r="AB973" s="1">
        <v>59375.0</v>
      </c>
      <c r="AC973" s="2">
        <v>41736.0</v>
      </c>
      <c r="AD973" s="1">
        <v>6900.0</v>
      </c>
      <c r="AE973" s="1" t="s">
        <v>151</v>
      </c>
      <c r="AF973" s="1">
        <v>1.0</v>
      </c>
      <c r="AG973" s="1" t="s">
        <v>2347</v>
      </c>
      <c r="AH973" s="1">
        <v>4.0</v>
      </c>
      <c r="AI973" s="1">
        <v>2014.0</v>
      </c>
      <c r="AJ973" s="1">
        <v>2014.0</v>
      </c>
      <c r="AK973" s="1" t="s">
        <v>229</v>
      </c>
    </row>
    <row r="974">
      <c r="A974" s="1" t="s">
        <v>2348</v>
      </c>
      <c r="B974" s="1" t="s">
        <v>2348</v>
      </c>
      <c r="C974" s="1" t="s">
        <v>224</v>
      </c>
      <c r="E974" s="1">
        <v>620029.0</v>
      </c>
      <c r="F974" s="2">
        <v>41736.0</v>
      </c>
      <c r="G974" s="1" t="s">
        <v>2349</v>
      </c>
      <c r="I974" s="1" t="s">
        <v>2349</v>
      </c>
      <c r="L974" s="1" t="s">
        <v>151</v>
      </c>
      <c r="M974" s="1">
        <v>6900.0</v>
      </c>
      <c r="N974" s="1" t="s">
        <v>151</v>
      </c>
      <c r="O974" s="1">
        <v>1.1855476E8</v>
      </c>
      <c r="P974" s="1" t="s">
        <v>983</v>
      </c>
      <c r="Q974" s="1" t="s">
        <v>984</v>
      </c>
      <c r="R974" s="1" t="s">
        <v>227</v>
      </c>
      <c r="S974" s="1" t="s">
        <v>44</v>
      </c>
      <c r="T974" s="1" t="s">
        <v>45</v>
      </c>
      <c r="U974" s="1">
        <v>4.82262886E8</v>
      </c>
      <c r="W974" s="1" t="s">
        <v>46</v>
      </c>
      <c r="X974" s="1" t="s">
        <v>45</v>
      </c>
      <c r="Y974" s="1">
        <v>4.82262886E8</v>
      </c>
      <c r="Z974" s="1">
        <v>6530661.0</v>
      </c>
      <c r="AA974" s="1" t="s">
        <v>76</v>
      </c>
      <c r="AB974" s="1">
        <v>620029.97</v>
      </c>
      <c r="AC974" s="2">
        <v>41736.0</v>
      </c>
      <c r="AD974" s="1">
        <v>6900.0</v>
      </c>
      <c r="AE974" s="1" t="s">
        <v>151</v>
      </c>
      <c r="AF974" s="1">
        <v>1.0</v>
      </c>
      <c r="AG974" s="1" t="s">
        <v>2350</v>
      </c>
      <c r="AH974" s="1">
        <v>4.0</v>
      </c>
      <c r="AI974" s="1">
        <v>2014.0</v>
      </c>
      <c r="AJ974" s="1">
        <v>2014.0</v>
      </c>
      <c r="AK974" s="1" t="s">
        <v>229</v>
      </c>
    </row>
    <row r="975">
      <c r="A975" s="1" t="s">
        <v>2351</v>
      </c>
      <c r="B975" s="1" t="s">
        <v>2351</v>
      </c>
      <c r="C975" s="1" t="s">
        <v>100</v>
      </c>
      <c r="E975" s="1">
        <v>3.3353508E7</v>
      </c>
      <c r="F975" s="2">
        <v>41288.0</v>
      </c>
      <c r="G975" s="1" t="s">
        <v>297</v>
      </c>
      <c r="I975" s="1" t="s">
        <v>297</v>
      </c>
      <c r="L975" s="1" t="s">
        <v>102</v>
      </c>
      <c r="M975" s="1">
        <v>8600.0</v>
      </c>
      <c r="N975" s="1" t="s">
        <v>102</v>
      </c>
      <c r="O975" s="1">
        <v>1.6752507E8</v>
      </c>
      <c r="P975" s="1" t="s">
        <v>2352</v>
      </c>
      <c r="R975" s="1" t="s">
        <v>2353</v>
      </c>
      <c r="S975" s="1" t="s">
        <v>44</v>
      </c>
      <c r="T975" s="1" t="s">
        <v>45</v>
      </c>
      <c r="U975" s="1">
        <v>4.82061351E8</v>
      </c>
      <c r="W975" s="1" t="s">
        <v>46</v>
      </c>
      <c r="X975" s="1" t="s">
        <v>45</v>
      </c>
      <c r="Y975" s="1">
        <v>4.82061351E8</v>
      </c>
      <c r="Z975" s="1">
        <v>1.6752507E8</v>
      </c>
      <c r="AA975" s="1" t="s">
        <v>2352</v>
      </c>
      <c r="AB975" s="1">
        <v>7748.0</v>
      </c>
      <c r="AC975" s="2">
        <v>41288.0</v>
      </c>
      <c r="AD975" s="1">
        <v>8600.0</v>
      </c>
      <c r="AE975" s="1" t="s">
        <v>102</v>
      </c>
      <c r="AF975" s="1">
        <v>7748.0</v>
      </c>
      <c r="AG975" s="1" t="s">
        <v>2354</v>
      </c>
      <c r="AH975" s="1">
        <v>2.0</v>
      </c>
      <c r="AI975" s="1">
        <v>2013.0</v>
      </c>
      <c r="AJ975" s="1">
        <v>2013.0</v>
      </c>
      <c r="AK975" s="1" t="s">
        <v>305</v>
      </c>
    </row>
    <row r="976">
      <c r="A976" s="1" t="s">
        <v>2351</v>
      </c>
      <c r="B976" s="1" t="s">
        <v>2351</v>
      </c>
      <c r="C976" s="1" t="s">
        <v>100</v>
      </c>
      <c r="E976" s="1">
        <v>3.3353508E7</v>
      </c>
      <c r="F976" s="2">
        <v>41288.0</v>
      </c>
      <c r="G976" s="1" t="s">
        <v>297</v>
      </c>
      <c r="I976" s="1" t="s">
        <v>297</v>
      </c>
      <c r="L976" s="1" t="s">
        <v>102</v>
      </c>
      <c r="M976" s="1">
        <v>8600.0</v>
      </c>
      <c r="N976" s="1" t="s">
        <v>102</v>
      </c>
      <c r="O976" s="1">
        <v>6.2371729E8</v>
      </c>
      <c r="P976" s="1" t="s">
        <v>2355</v>
      </c>
      <c r="R976" s="1" t="s">
        <v>2193</v>
      </c>
      <c r="S976" s="1" t="s">
        <v>44</v>
      </c>
      <c r="T976" s="1" t="s">
        <v>45</v>
      </c>
      <c r="U976" s="1">
        <v>4.82021424E8</v>
      </c>
      <c r="W976" s="1" t="s">
        <v>46</v>
      </c>
      <c r="X976" s="1" t="s">
        <v>45</v>
      </c>
      <c r="Y976" s="1">
        <v>4.82021424E8</v>
      </c>
      <c r="AB976" s="1">
        <v>88000.0</v>
      </c>
      <c r="AC976" s="2">
        <v>41288.0</v>
      </c>
      <c r="AD976" s="1">
        <v>8600.0</v>
      </c>
      <c r="AE976" s="1" t="s">
        <v>102</v>
      </c>
      <c r="AF976" s="1">
        <v>7749.0</v>
      </c>
      <c r="AG976" s="1" t="s">
        <v>2356</v>
      </c>
      <c r="AH976" s="1">
        <v>2.0</v>
      </c>
      <c r="AI976" s="1">
        <v>2013.0</v>
      </c>
      <c r="AJ976" s="1">
        <v>2013.0</v>
      </c>
      <c r="AK976" s="1" t="s">
        <v>305</v>
      </c>
    </row>
    <row r="977">
      <c r="A977" s="1" t="s">
        <v>2351</v>
      </c>
      <c r="B977" s="1" t="s">
        <v>2351</v>
      </c>
      <c r="C977" s="1" t="s">
        <v>100</v>
      </c>
      <c r="E977" s="1">
        <v>3.3353508E7</v>
      </c>
      <c r="F977" s="2">
        <v>41288.0</v>
      </c>
      <c r="G977" s="1" t="s">
        <v>297</v>
      </c>
      <c r="I977" s="1" t="s">
        <v>297</v>
      </c>
      <c r="L977" s="1" t="s">
        <v>102</v>
      </c>
      <c r="M977" s="1">
        <v>8600.0</v>
      </c>
      <c r="N977" s="1" t="s">
        <v>102</v>
      </c>
      <c r="O977" s="1">
        <v>7.9832754E8</v>
      </c>
      <c r="P977" s="1" t="s">
        <v>2243</v>
      </c>
      <c r="Q977" s="1" t="s">
        <v>2244</v>
      </c>
      <c r="R977" s="1" t="s">
        <v>2245</v>
      </c>
      <c r="S977" s="1" t="s">
        <v>44</v>
      </c>
      <c r="T977" s="1" t="s">
        <v>45</v>
      </c>
      <c r="U977" s="1">
        <v>4.82013012E8</v>
      </c>
      <c r="W977" s="1" t="s">
        <v>46</v>
      </c>
      <c r="X977" s="1" t="s">
        <v>45</v>
      </c>
      <c r="Y977" s="1">
        <v>4.82013012E8</v>
      </c>
      <c r="AB977" s="1">
        <v>88000.0</v>
      </c>
      <c r="AC977" s="2">
        <v>41288.0</v>
      </c>
      <c r="AD977" s="1">
        <v>8600.0</v>
      </c>
      <c r="AE977" s="1" t="s">
        <v>102</v>
      </c>
      <c r="AF977" s="1">
        <v>7763.0</v>
      </c>
      <c r="AG977" s="1" t="s">
        <v>2357</v>
      </c>
      <c r="AH977" s="1">
        <v>2.0</v>
      </c>
      <c r="AI977" s="1">
        <v>2013.0</v>
      </c>
      <c r="AJ977" s="1">
        <v>2013.0</v>
      </c>
      <c r="AK977" s="1" t="s">
        <v>305</v>
      </c>
    </row>
    <row r="978">
      <c r="A978" s="1" t="s">
        <v>2351</v>
      </c>
      <c r="B978" s="1" t="s">
        <v>2351</v>
      </c>
      <c r="C978" s="1" t="s">
        <v>100</v>
      </c>
      <c r="E978" s="1">
        <v>3.3353508E7</v>
      </c>
      <c r="F978" s="2">
        <v>41288.0</v>
      </c>
      <c r="G978" s="1" t="s">
        <v>297</v>
      </c>
      <c r="I978" s="1" t="s">
        <v>297</v>
      </c>
      <c r="L978" s="1" t="s">
        <v>102</v>
      </c>
      <c r="M978" s="1">
        <v>8600.0</v>
      </c>
      <c r="N978" s="1" t="s">
        <v>102</v>
      </c>
      <c r="O978" s="1">
        <v>8.06464913E8</v>
      </c>
      <c r="P978" s="1" t="s">
        <v>2205</v>
      </c>
      <c r="Q978" s="1" t="s">
        <v>2206</v>
      </c>
      <c r="R978" s="1" t="s">
        <v>2207</v>
      </c>
      <c r="S978" s="1" t="s">
        <v>44</v>
      </c>
      <c r="T978" s="1" t="s">
        <v>45</v>
      </c>
      <c r="U978" s="1">
        <v>4.82082475E8</v>
      </c>
      <c r="W978" s="1" t="s">
        <v>46</v>
      </c>
      <c r="X978" s="1" t="s">
        <v>45</v>
      </c>
      <c r="Y978" s="1">
        <v>4.82082475E8</v>
      </c>
      <c r="AB978" s="1">
        <v>88000.0</v>
      </c>
      <c r="AC978" s="2">
        <v>41288.0</v>
      </c>
      <c r="AD978" s="1">
        <v>8600.0</v>
      </c>
      <c r="AE978" s="1" t="s">
        <v>102</v>
      </c>
      <c r="AF978" s="1">
        <v>7752.0</v>
      </c>
      <c r="AG978" s="1" t="s">
        <v>2358</v>
      </c>
      <c r="AH978" s="1">
        <v>2.0</v>
      </c>
      <c r="AI978" s="1">
        <v>2013.0</v>
      </c>
      <c r="AJ978" s="1">
        <v>2013.0</v>
      </c>
      <c r="AK978" s="1" t="s">
        <v>305</v>
      </c>
    </row>
    <row r="979">
      <c r="A979" s="1" t="s">
        <v>2351</v>
      </c>
      <c r="B979" s="1" t="s">
        <v>2351</v>
      </c>
      <c r="C979" s="1" t="s">
        <v>100</v>
      </c>
      <c r="E979" s="1">
        <v>3.3353508E7</v>
      </c>
      <c r="F979" s="2">
        <v>41288.0</v>
      </c>
      <c r="G979" s="1" t="s">
        <v>297</v>
      </c>
      <c r="I979" s="1" t="s">
        <v>297</v>
      </c>
      <c r="L979" s="1" t="s">
        <v>102</v>
      </c>
      <c r="M979" s="1">
        <v>8600.0</v>
      </c>
      <c r="N979" s="1" t="s">
        <v>102</v>
      </c>
      <c r="O979" s="1">
        <v>1.97862014E8</v>
      </c>
      <c r="P979" s="1" t="s">
        <v>1056</v>
      </c>
      <c r="Q979" s="1" t="s">
        <v>1057</v>
      </c>
      <c r="R979" s="1" t="s">
        <v>1058</v>
      </c>
      <c r="S979" s="1" t="s">
        <v>44</v>
      </c>
      <c r="T979" s="1" t="s">
        <v>45</v>
      </c>
      <c r="U979" s="1">
        <v>4.82023165E8</v>
      </c>
      <c r="W979" s="1" t="s">
        <v>46</v>
      </c>
      <c r="X979" s="1" t="s">
        <v>45</v>
      </c>
      <c r="Y979" s="1">
        <v>4.82023165E8</v>
      </c>
      <c r="Z979" s="1">
        <v>1.97862014E8</v>
      </c>
      <c r="AA979" s="1" t="s">
        <v>1056</v>
      </c>
      <c r="AB979" s="1">
        <v>88000.0</v>
      </c>
      <c r="AC979" s="2">
        <v>41288.0</v>
      </c>
      <c r="AD979" s="1">
        <v>8600.0</v>
      </c>
      <c r="AE979" s="1" t="s">
        <v>102</v>
      </c>
      <c r="AF979" s="1">
        <v>7768.0</v>
      </c>
      <c r="AG979" s="1" t="s">
        <v>2359</v>
      </c>
      <c r="AH979" s="1">
        <v>2.0</v>
      </c>
      <c r="AI979" s="1">
        <v>2013.0</v>
      </c>
      <c r="AJ979" s="1">
        <v>2013.0</v>
      </c>
      <c r="AK979" s="1" t="s">
        <v>305</v>
      </c>
    </row>
    <row r="980">
      <c r="A980" s="1" t="s">
        <v>2351</v>
      </c>
      <c r="B980" s="1" t="s">
        <v>2351</v>
      </c>
      <c r="C980" s="1" t="s">
        <v>100</v>
      </c>
      <c r="E980" s="1">
        <v>3.3353508E7</v>
      </c>
      <c r="F980" s="2">
        <v>41288.0</v>
      </c>
      <c r="G980" s="1" t="s">
        <v>297</v>
      </c>
      <c r="I980" s="1" t="s">
        <v>297</v>
      </c>
      <c r="L980" s="1" t="s">
        <v>102</v>
      </c>
      <c r="M980" s="1">
        <v>8600.0</v>
      </c>
      <c r="N980" s="1" t="s">
        <v>102</v>
      </c>
      <c r="O980" s="1">
        <v>7.2761299E7</v>
      </c>
      <c r="P980" s="1" t="s">
        <v>667</v>
      </c>
      <c r="R980" s="1" t="s">
        <v>668</v>
      </c>
      <c r="S980" s="1" t="s">
        <v>44</v>
      </c>
      <c r="T980" s="1" t="s">
        <v>45</v>
      </c>
      <c r="U980" s="1">
        <v>4.82382849E8</v>
      </c>
      <c r="W980" s="1" t="s">
        <v>46</v>
      </c>
      <c r="X980" s="1" t="s">
        <v>45</v>
      </c>
      <c r="Y980" s="1">
        <v>4.82382849E8</v>
      </c>
      <c r="Z980" s="1">
        <v>7.2761299E7</v>
      </c>
      <c r="AA980" s="1" t="s">
        <v>667</v>
      </c>
      <c r="AB980" s="1">
        <v>100000.0</v>
      </c>
      <c r="AC980" s="2">
        <v>41288.0</v>
      </c>
      <c r="AD980" s="1">
        <v>8600.0</v>
      </c>
      <c r="AE980" s="1" t="s">
        <v>102</v>
      </c>
      <c r="AF980" s="1">
        <v>7693.0</v>
      </c>
      <c r="AG980" s="1" t="s">
        <v>2360</v>
      </c>
      <c r="AH980" s="1">
        <v>2.0</v>
      </c>
      <c r="AI980" s="1">
        <v>2013.0</v>
      </c>
      <c r="AJ980" s="1">
        <v>2013.0</v>
      </c>
      <c r="AK980" s="1" t="s">
        <v>305</v>
      </c>
    </row>
    <row r="981">
      <c r="A981" s="1" t="s">
        <v>2351</v>
      </c>
      <c r="B981" s="1" t="s">
        <v>2351</v>
      </c>
      <c r="C981" s="1" t="s">
        <v>100</v>
      </c>
      <c r="E981" s="1">
        <v>3.3353508E7</v>
      </c>
      <c r="F981" s="2">
        <v>41288.0</v>
      </c>
      <c r="G981" s="1" t="s">
        <v>297</v>
      </c>
      <c r="I981" s="1" t="s">
        <v>297</v>
      </c>
      <c r="L981" s="1" t="s">
        <v>102</v>
      </c>
      <c r="M981" s="1">
        <v>8600.0</v>
      </c>
      <c r="N981" s="1" t="s">
        <v>102</v>
      </c>
      <c r="O981" s="1">
        <v>7.8671071E8</v>
      </c>
      <c r="P981" s="1" t="s">
        <v>2154</v>
      </c>
      <c r="R981" s="1" t="s">
        <v>2155</v>
      </c>
      <c r="S981" s="1" t="s">
        <v>44</v>
      </c>
      <c r="T981" s="1" t="s">
        <v>45</v>
      </c>
      <c r="U981" s="1">
        <v>4.8228305E8</v>
      </c>
      <c r="W981" s="1" t="s">
        <v>46</v>
      </c>
      <c r="X981" s="1" t="s">
        <v>45</v>
      </c>
      <c r="Y981" s="1">
        <v>4.8228305E8</v>
      </c>
      <c r="AB981" s="1">
        <v>129377.0</v>
      </c>
      <c r="AC981" s="2">
        <v>41288.0</v>
      </c>
      <c r="AD981" s="1">
        <v>8600.0</v>
      </c>
      <c r="AE981" s="1" t="s">
        <v>102</v>
      </c>
      <c r="AF981" s="1">
        <v>7695.0</v>
      </c>
      <c r="AG981" s="1" t="s">
        <v>2361</v>
      </c>
      <c r="AH981" s="1">
        <v>2.0</v>
      </c>
      <c r="AI981" s="1">
        <v>2013.0</v>
      </c>
      <c r="AJ981" s="1">
        <v>2013.0</v>
      </c>
      <c r="AK981" s="1" t="s">
        <v>305</v>
      </c>
    </row>
    <row r="982">
      <c r="A982" s="1" t="s">
        <v>2351</v>
      </c>
      <c r="B982" s="1" t="s">
        <v>2351</v>
      </c>
      <c r="C982" s="1" t="s">
        <v>100</v>
      </c>
      <c r="E982" s="1">
        <v>3.3353508E7</v>
      </c>
      <c r="F982" s="2">
        <v>41288.0</v>
      </c>
      <c r="G982" s="1" t="s">
        <v>297</v>
      </c>
      <c r="I982" s="1" t="s">
        <v>297</v>
      </c>
      <c r="L982" s="1" t="s">
        <v>102</v>
      </c>
      <c r="M982" s="1">
        <v>8600.0</v>
      </c>
      <c r="N982" s="1" t="s">
        <v>102</v>
      </c>
      <c r="O982" s="1">
        <v>1.06502784E8</v>
      </c>
      <c r="P982" s="1" t="s">
        <v>2290</v>
      </c>
      <c r="R982" s="1" t="s">
        <v>2291</v>
      </c>
      <c r="S982" s="1" t="s">
        <v>44</v>
      </c>
      <c r="T982" s="1" t="s">
        <v>45</v>
      </c>
      <c r="U982" s="1">
        <v>4.82012002E8</v>
      </c>
      <c r="W982" s="1" t="s">
        <v>46</v>
      </c>
      <c r="X982" s="1" t="s">
        <v>45</v>
      </c>
      <c r="Y982" s="1">
        <v>4.82012002E8</v>
      </c>
      <c r="AB982" s="1">
        <v>60000.0</v>
      </c>
      <c r="AC982" s="2">
        <v>41288.0</v>
      </c>
      <c r="AD982" s="1">
        <v>8600.0</v>
      </c>
      <c r="AE982" s="1" t="s">
        <v>102</v>
      </c>
      <c r="AF982" s="1">
        <v>7736.0</v>
      </c>
      <c r="AG982" s="1" t="s">
        <v>2362</v>
      </c>
      <c r="AH982" s="1">
        <v>2.0</v>
      </c>
      <c r="AI982" s="1">
        <v>2013.0</v>
      </c>
      <c r="AJ982" s="1">
        <v>2013.0</v>
      </c>
      <c r="AK982" s="1" t="s">
        <v>305</v>
      </c>
    </row>
    <row r="983">
      <c r="A983" s="1" t="s">
        <v>2351</v>
      </c>
      <c r="B983" s="1" t="s">
        <v>2351</v>
      </c>
      <c r="C983" s="1" t="s">
        <v>100</v>
      </c>
      <c r="E983" s="1">
        <v>3.3353508E7</v>
      </c>
      <c r="F983" s="2">
        <v>41288.0</v>
      </c>
      <c r="G983" s="1" t="s">
        <v>297</v>
      </c>
      <c r="I983" s="1" t="s">
        <v>297</v>
      </c>
      <c r="L983" s="1" t="s">
        <v>102</v>
      </c>
      <c r="M983" s="1">
        <v>8600.0</v>
      </c>
      <c r="N983" s="1" t="s">
        <v>102</v>
      </c>
      <c r="O983" s="1">
        <v>2.2026893E7</v>
      </c>
      <c r="P983" s="1" t="s">
        <v>1428</v>
      </c>
      <c r="R983" s="1" t="s">
        <v>1429</v>
      </c>
      <c r="S983" s="1" t="s">
        <v>44</v>
      </c>
      <c r="T983" s="1" t="s">
        <v>45</v>
      </c>
      <c r="U983" s="1">
        <v>4.82193941E8</v>
      </c>
      <c r="W983" s="1" t="s">
        <v>46</v>
      </c>
      <c r="X983" s="1" t="s">
        <v>45</v>
      </c>
      <c r="Y983" s="1">
        <v>4.82193941E8</v>
      </c>
      <c r="AB983" s="1">
        <v>60000.0</v>
      </c>
      <c r="AC983" s="2">
        <v>41288.0</v>
      </c>
      <c r="AD983" s="1">
        <v>8600.0</v>
      </c>
      <c r="AE983" s="1" t="s">
        <v>102</v>
      </c>
      <c r="AF983" s="1">
        <v>7737.0</v>
      </c>
      <c r="AG983" s="1" t="s">
        <v>2363</v>
      </c>
      <c r="AH983" s="1">
        <v>2.0</v>
      </c>
      <c r="AI983" s="1">
        <v>2013.0</v>
      </c>
      <c r="AJ983" s="1">
        <v>2013.0</v>
      </c>
      <c r="AK983" s="1" t="s">
        <v>305</v>
      </c>
    </row>
    <row r="984">
      <c r="A984" s="1" t="s">
        <v>2351</v>
      </c>
      <c r="B984" s="1" t="s">
        <v>2351</v>
      </c>
      <c r="C984" s="1" t="s">
        <v>100</v>
      </c>
      <c r="E984" s="1">
        <v>3.3353508E7</v>
      </c>
      <c r="F984" s="2">
        <v>41288.0</v>
      </c>
      <c r="G984" s="1" t="s">
        <v>297</v>
      </c>
      <c r="I984" s="1" t="s">
        <v>297</v>
      </c>
      <c r="L984" s="1" t="s">
        <v>102</v>
      </c>
      <c r="M984" s="1">
        <v>8600.0</v>
      </c>
      <c r="N984" s="1" t="s">
        <v>102</v>
      </c>
      <c r="O984" s="1">
        <v>6.9835866E7</v>
      </c>
      <c r="P984" s="1" t="s">
        <v>2272</v>
      </c>
      <c r="R984" s="1" t="s">
        <v>2273</v>
      </c>
      <c r="S984" s="1" t="s">
        <v>44</v>
      </c>
      <c r="T984" s="1" t="s">
        <v>45</v>
      </c>
      <c r="U984" s="1">
        <v>4.82061269E8</v>
      </c>
      <c r="W984" s="1" t="s">
        <v>46</v>
      </c>
      <c r="X984" s="1" t="s">
        <v>45</v>
      </c>
      <c r="Y984" s="1">
        <v>4.82061269E8</v>
      </c>
      <c r="AB984" s="1">
        <v>60000.0</v>
      </c>
      <c r="AC984" s="2">
        <v>41288.0</v>
      </c>
      <c r="AD984" s="1">
        <v>8600.0</v>
      </c>
      <c r="AE984" s="1" t="s">
        <v>102</v>
      </c>
      <c r="AF984" s="1">
        <v>7744.0</v>
      </c>
      <c r="AG984" s="1" t="s">
        <v>2364</v>
      </c>
      <c r="AH984" s="1">
        <v>2.0</v>
      </c>
      <c r="AI984" s="1">
        <v>2013.0</v>
      </c>
      <c r="AJ984" s="1">
        <v>2013.0</v>
      </c>
      <c r="AK984" s="1" t="s">
        <v>305</v>
      </c>
    </row>
    <row r="985">
      <c r="A985" s="1" t="s">
        <v>2351</v>
      </c>
      <c r="B985" s="1" t="s">
        <v>2351</v>
      </c>
      <c r="C985" s="1" t="s">
        <v>100</v>
      </c>
      <c r="E985" s="1">
        <v>3.3353508E7</v>
      </c>
      <c r="F985" s="2">
        <v>41288.0</v>
      </c>
      <c r="G985" s="1" t="s">
        <v>297</v>
      </c>
      <c r="I985" s="1" t="s">
        <v>297</v>
      </c>
      <c r="L985" s="1" t="s">
        <v>102</v>
      </c>
      <c r="M985" s="1">
        <v>8600.0</v>
      </c>
      <c r="N985" s="1" t="s">
        <v>102</v>
      </c>
      <c r="O985" s="1">
        <v>4.9254014E7</v>
      </c>
      <c r="P985" s="1" t="s">
        <v>2189</v>
      </c>
      <c r="R985" s="1" t="s">
        <v>2190</v>
      </c>
      <c r="S985" s="1" t="s">
        <v>44</v>
      </c>
      <c r="T985" s="1" t="s">
        <v>45</v>
      </c>
      <c r="U985" s="1">
        <v>4.82024003E8</v>
      </c>
      <c r="W985" s="1" t="s">
        <v>46</v>
      </c>
      <c r="X985" s="1" t="s">
        <v>45</v>
      </c>
      <c r="Y985" s="1">
        <v>4.82024003E8</v>
      </c>
      <c r="Z985" s="1">
        <v>4.9254014E7</v>
      </c>
      <c r="AA985" s="1" t="s">
        <v>2189</v>
      </c>
      <c r="AB985" s="1">
        <v>129377.0</v>
      </c>
      <c r="AC985" s="2">
        <v>41288.0</v>
      </c>
      <c r="AD985" s="1">
        <v>8600.0</v>
      </c>
      <c r="AE985" s="1" t="s">
        <v>102</v>
      </c>
      <c r="AF985" s="1">
        <v>7687.0</v>
      </c>
      <c r="AG985" s="1" t="s">
        <v>2365</v>
      </c>
      <c r="AH985" s="1">
        <v>2.0</v>
      </c>
      <c r="AI985" s="1">
        <v>2013.0</v>
      </c>
      <c r="AJ985" s="1">
        <v>2013.0</v>
      </c>
      <c r="AK985" s="1" t="s">
        <v>305</v>
      </c>
    </row>
    <row r="986">
      <c r="A986" s="1" t="s">
        <v>2351</v>
      </c>
      <c r="B986" s="1" t="s">
        <v>2351</v>
      </c>
      <c r="C986" s="1" t="s">
        <v>100</v>
      </c>
      <c r="E986" s="1">
        <v>3.3353508E7</v>
      </c>
      <c r="F986" s="2">
        <v>41288.0</v>
      </c>
      <c r="G986" s="1" t="s">
        <v>297</v>
      </c>
      <c r="I986" s="1" t="s">
        <v>297</v>
      </c>
      <c r="L986" s="1" t="s">
        <v>102</v>
      </c>
      <c r="M986" s="1">
        <v>8600.0</v>
      </c>
      <c r="N986" s="1" t="s">
        <v>102</v>
      </c>
      <c r="O986" s="1">
        <v>7.8074923E8</v>
      </c>
      <c r="P986" s="1" t="s">
        <v>419</v>
      </c>
      <c r="R986" s="1" t="s">
        <v>420</v>
      </c>
      <c r="S986" s="1" t="s">
        <v>44</v>
      </c>
      <c r="T986" s="1" t="s">
        <v>45</v>
      </c>
      <c r="U986" s="1">
        <v>4.82082365E8</v>
      </c>
      <c r="W986" s="1" t="s">
        <v>46</v>
      </c>
      <c r="X986" s="1" t="s">
        <v>45</v>
      </c>
      <c r="Y986" s="1">
        <v>4.82082365E8</v>
      </c>
      <c r="AB986" s="1">
        <v>88000.0</v>
      </c>
      <c r="AC986" s="2">
        <v>41288.0</v>
      </c>
      <c r="AD986" s="1">
        <v>8600.0</v>
      </c>
      <c r="AE986" s="1" t="s">
        <v>102</v>
      </c>
      <c r="AF986" s="1">
        <v>7745.0</v>
      </c>
      <c r="AG986" s="1" t="s">
        <v>2366</v>
      </c>
      <c r="AH986" s="1">
        <v>2.0</v>
      </c>
      <c r="AI986" s="1">
        <v>2013.0</v>
      </c>
      <c r="AJ986" s="1">
        <v>2013.0</v>
      </c>
      <c r="AK986" s="1" t="s">
        <v>305</v>
      </c>
    </row>
    <row r="987">
      <c r="A987" s="1" t="s">
        <v>2351</v>
      </c>
      <c r="B987" s="1" t="s">
        <v>2351</v>
      </c>
      <c r="C987" s="1" t="s">
        <v>100</v>
      </c>
      <c r="E987" s="1">
        <v>3.3353508E7</v>
      </c>
      <c r="F987" s="2">
        <v>41288.0</v>
      </c>
      <c r="G987" s="1" t="s">
        <v>297</v>
      </c>
      <c r="I987" s="1" t="s">
        <v>297</v>
      </c>
      <c r="L987" s="1" t="s">
        <v>102</v>
      </c>
      <c r="M987" s="1">
        <v>8600.0</v>
      </c>
      <c r="N987" s="1" t="s">
        <v>102</v>
      </c>
      <c r="O987" s="1">
        <v>1.42793053E8</v>
      </c>
      <c r="P987" s="1" t="s">
        <v>994</v>
      </c>
      <c r="R987" s="1" t="s">
        <v>995</v>
      </c>
      <c r="S987" s="1" t="s">
        <v>44</v>
      </c>
      <c r="T987" s="1" t="s">
        <v>45</v>
      </c>
      <c r="U987" s="1">
        <v>4.82282721E8</v>
      </c>
      <c r="W987" s="1" t="s">
        <v>46</v>
      </c>
      <c r="X987" s="1" t="s">
        <v>45</v>
      </c>
      <c r="Y987" s="1">
        <v>4.82282721E8</v>
      </c>
      <c r="AB987" s="1">
        <v>88000.0</v>
      </c>
      <c r="AC987" s="2">
        <v>41288.0</v>
      </c>
      <c r="AD987" s="1">
        <v>8600.0</v>
      </c>
      <c r="AE987" s="1" t="s">
        <v>102</v>
      </c>
      <c r="AF987" s="1">
        <v>7747.0</v>
      </c>
      <c r="AG987" s="1" t="s">
        <v>2367</v>
      </c>
      <c r="AH987" s="1">
        <v>2.0</v>
      </c>
      <c r="AI987" s="1">
        <v>2013.0</v>
      </c>
      <c r="AJ987" s="1">
        <v>2013.0</v>
      </c>
      <c r="AK987" s="1" t="s">
        <v>305</v>
      </c>
    </row>
    <row r="988">
      <c r="A988" s="1" t="s">
        <v>2351</v>
      </c>
      <c r="B988" s="1" t="s">
        <v>2351</v>
      </c>
      <c r="C988" s="1" t="s">
        <v>100</v>
      </c>
      <c r="E988" s="1">
        <v>3.3353508E7</v>
      </c>
      <c r="F988" s="2">
        <v>41288.0</v>
      </c>
      <c r="G988" s="1" t="s">
        <v>297</v>
      </c>
      <c r="I988" s="1" t="s">
        <v>297</v>
      </c>
      <c r="L988" s="1" t="s">
        <v>102</v>
      </c>
      <c r="M988" s="1">
        <v>8600.0</v>
      </c>
      <c r="N988" s="1" t="s">
        <v>102</v>
      </c>
      <c r="O988" s="1">
        <v>1.24022237E8</v>
      </c>
      <c r="P988" s="1" t="s">
        <v>2157</v>
      </c>
      <c r="R988" s="1" t="s">
        <v>2158</v>
      </c>
      <c r="S988" s="1" t="s">
        <v>44</v>
      </c>
      <c r="T988" s="1" t="s">
        <v>45</v>
      </c>
      <c r="U988" s="1">
        <v>4.82352507E8</v>
      </c>
      <c r="W988" s="1" t="s">
        <v>46</v>
      </c>
      <c r="X988" s="1" t="s">
        <v>45</v>
      </c>
      <c r="Y988" s="1">
        <v>4.82352507E8</v>
      </c>
      <c r="Z988" s="1">
        <v>1.24022237E8</v>
      </c>
      <c r="AB988" s="1">
        <v>60000.0</v>
      </c>
      <c r="AC988" s="2">
        <v>41288.0</v>
      </c>
      <c r="AD988" s="1">
        <v>8600.0</v>
      </c>
      <c r="AE988" s="1" t="s">
        <v>102</v>
      </c>
      <c r="AF988" s="1">
        <v>7733.0</v>
      </c>
      <c r="AG988" s="1" t="s">
        <v>2368</v>
      </c>
      <c r="AH988" s="1">
        <v>2.0</v>
      </c>
      <c r="AI988" s="1">
        <v>2013.0</v>
      </c>
      <c r="AJ988" s="1">
        <v>2013.0</v>
      </c>
      <c r="AK988" s="1" t="s">
        <v>305</v>
      </c>
    </row>
    <row r="989">
      <c r="A989" s="1" t="s">
        <v>2351</v>
      </c>
      <c r="B989" s="1" t="s">
        <v>2351</v>
      </c>
      <c r="C989" s="1" t="s">
        <v>100</v>
      </c>
      <c r="E989" s="1">
        <v>3.3353508E7</v>
      </c>
      <c r="F989" s="2">
        <v>41288.0</v>
      </c>
      <c r="G989" s="1" t="s">
        <v>297</v>
      </c>
      <c r="I989" s="1" t="s">
        <v>297</v>
      </c>
      <c r="L989" s="1" t="s">
        <v>102</v>
      </c>
      <c r="M989" s="1">
        <v>8600.0</v>
      </c>
      <c r="N989" s="1" t="s">
        <v>102</v>
      </c>
      <c r="O989" s="1">
        <v>6.2783951E7</v>
      </c>
      <c r="P989" s="1" t="s">
        <v>2369</v>
      </c>
      <c r="R989" s="1" t="s">
        <v>2370</v>
      </c>
      <c r="S989" s="1" t="s">
        <v>44</v>
      </c>
      <c r="T989" s="1" t="s">
        <v>45</v>
      </c>
      <c r="U989" s="1">
        <v>4.82072035E8</v>
      </c>
      <c r="W989" s="1" t="s">
        <v>46</v>
      </c>
      <c r="X989" s="1" t="s">
        <v>45</v>
      </c>
      <c r="Y989" s="1">
        <v>4.82074826E8</v>
      </c>
      <c r="AB989" s="1">
        <v>194067.0</v>
      </c>
      <c r="AC989" s="2">
        <v>41288.0</v>
      </c>
      <c r="AD989" s="1">
        <v>8600.0</v>
      </c>
      <c r="AE989" s="1" t="s">
        <v>102</v>
      </c>
      <c r="AF989" s="1">
        <v>7692.0</v>
      </c>
      <c r="AG989" s="1" t="s">
        <v>2371</v>
      </c>
      <c r="AH989" s="1">
        <v>2.0</v>
      </c>
      <c r="AI989" s="1">
        <v>2013.0</v>
      </c>
      <c r="AJ989" s="1">
        <v>2013.0</v>
      </c>
      <c r="AK989" s="1" t="s">
        <v>305</v>
      </c>
    </row>
    <row r="990">
      <c r="A990" s="1" t="s">
        <v>2351</v>
      </c>
      <c r="B990" s="1" t="s">
        <v>2351</v>
      </c>
      <c r="C990" s="1" t="s">
        <v>100</v>
      </c>
      <c r="E990" s="1">
        <v>3.3353508E7</v>
      </c>
      <c r="F990" s="2">
        <v>41288.0</v>
      </c>
      <c r="G990" s="1" t="s">
        <v>297</v>
      </c>
      <c r="I990" s="1" t="s">
        <v>297</v>
      </c>
      <c r="L990" s="1" t="s">
        <v>102</v>
      </c>
      <c r="M990" s="1">
        <v>8600.0</v>
      </c>
      <c r="N990" s="1" t="s">
        <v>102</v>
      </c>
      <c r="O990" s="1">
        <v>1.9754679E7</v>
      </c>
      <c r="P990" s="1" t="s">
        <v>2372</v>
      </c>
      <c r="R990" s="1" t="s">
        <v>2373</v>
      </c>
      <c r="S990" s="1" t="s">
        <v>44</v>
      </c>
      <c r="T990" s="1" t="s">
        <v>45</v>
      </c>
      <c r="U990" s="1">
        <v>4.82113042E8</v>
      </c>
      <c r="W990" s="1" t="s">
        <v>46</v>
      </c>
      <c r="X990" s="1" t="s">
        <v>45</v>
      </c>
      <c r="Y990" s="1">
        <v>4.82113042E8</v>
      </c>
      <c r="AB990" s="1">
        <v>88000.0</v>
      </c>
      <c r="AC990" s="2">
        <v>41288.0</v>
      </c>
      <c r="AD990" s="1">
        <v>8600.0</v>
      </c>
      <c r="AE990" s="1" t="s">
        <v>102</v>
      </c>
      <c r="AF990" s="1">
        <v>7755.0</v>
      </c>
      <c r="AG990" s="1" t="s">
        <v>2374</v>
      </c>
      <c r="AH990" s="1">
        <v>2.0</v>
      </c>
      <c r="AI990" s="1">
        <v>2013.0</v>
      </c>
      <c r="AJ990" s="1">
        <v>2013.0</v>
      </c>
      <c r="AK990" s="1" t="s">
        <v>305</v>
      </c>
    </row>
    <row r="991">
      <c r="A991" s="1" t="s">
        <v>2351</v>
      </c>
      <c r="B991" s="1" t="s">
        <v>2351</v>
      </c>
      <c r="C991" s="1" t="s">
        <v>100</v>
      </c>
      <c r="E991" s="1">
        <v>3.3353508E7</v>
      </c>
      <c r="F991" s="2">
        <v>41288.0</v>
      </c>
      <c r="G991" s="1" t="s">
        <v>297</v>
      </c>
      <c r="I991" s="1" t="s">
        <v>297</v>
      </c>
      <c r="L991" s="1" t="s">
        <v>102</v>
      </c>
      <c r="M991" s="1">
        <v>8600.0</v>
      </c>
      <c r="N991" s="1" t="s">
        <v>102</v>
      </c>
      <c r="O991" s="1">
        <v>8.29087881E8</v>
      </c>
      <c r="P991" s="1" t="s">
        <v>2168</v>
      </c>
      <c r="R991" s="1" t="s">
        <v>2169</v>
      </c>
      <c r="S991" s="1" t="s">
        <v>44</v>
      </c>
      <c r="T991" s="1" t="s">
        <v>45</v>
      </c>
      <c r="U991" s="1">
        <v>4.82354107E8</v>
      </c>
      <c r="W991" s="1" t="s">
        <v>46</v>
      </c>
      <c r="X991" s="1" t="s">
        <v>45</v>
      </c>
      <c r="Y991" s="1">
        <v>4.82354107E8</v>
      </c>
      <c r="AB991" s="1">
        <v>88000.0</v>
      </c>
      <c r="AC991" s="2">
        <v>41288.0</v>
      </c>
      <c r="AD991" s="1">
        <v>8600.0</v>
      </c>
      <c r="AE991" s="1" t="s">
        <v>102</v>
      </c>
      <c r="AF991" s="1">
        <v>7758.0</v>
      </c>
      <c r="AG991" s="1" t="s">
        <v>2375</v>
      </c>
      <c r="AH991" s="1">
        <v>2.0</v>
      </c>
      <c r="AI991" s="1">
        <v>2013.0</v>
      </c>
      <c r="AJ991" s="1">
        <v>2013.0</v>
      </c>
      <c r="AK991" s="1" t="s">
        <v>305</v>
      </c>
    </row>
    <row r="992">
      <c r="A992" s="1" t="s">
        <v>2351</v>
      </c>
      <c r="B992" s="1" t="s">
        <v>2351</v>
      </c>
      <c r="C992" s="1" t="s">
        <v>100</v>
      </c>
      <c r="E992" s="1">
        <v>3.3353508E7</v>
      </c>
      <c r="F992" s="2">
        <v>41288.0</v>
      </c>
      <c r="G992" s="1" t="s">
        <v>297</v>
      </c>
      <c r="I992" s="1" t="s">
        <v>297</v>
      </c>
      <c r="L992" s="1" t="s">
        <v>102</v>
      </c>
      <c r="M992" s="1">
        <v>8600.0</v>
      </c>
      <c r="N992" s="1" t="s">
        <v>102</v>
      </c>
      <c r="O992" s="1">
        <v>1.66664495E8</v>
      </c>
      <c r="P992" s="1" t="s">
        <v>289</v>
      </c>
      <c r="Q992" s="1" t="s">
        <v>290</v>
      </c>
      <c r="R992" s="1" t="s">
        <v>291</v>
      </c>
      <c r="S992" s="1" t="s">
        <v>44</v>
      </c>
      <c r="T992" s="1" t="s">
        <v>45</v>
      </c>
      <c r="U992" s="1">
        <v>4.82023158E8</v>
      </c>
      <c r="W992" s="1" t="s">
        <v>46</v>
      </c>
      <c r="X992" s="1" t="s">
        <v>45</v>
      </c>
      <c r="Y992" s="1">
        <v>4.82023158E8</v>
      </c>
      <c r="AB992" s="1">
        <v>7712.0</v>
      </c>
      <c r="AC992" s="2">
        <v>41288.0</v>
      </c>
      <c r="AD992" s="1">
        <v>8600.0</v>
      </c>
      <c r="AE992" s="1" t="s">
        <v>102</v>
      </c>
      <c r="AF992" s="1">
        <v>7712.0</v>
      </c>
      <c r="AG992" s="1" t="s">
        <v>2376</v>
      </c>
      <c r="AH992" s="1">
        <v>2.0</v>
      </c>
      <c r="AI992" s="1">
        <v>2013.0</v>
      </c>
      <c r="AJ992" s="1">
        <v>2013.0</v>
      </c>
      <c r="AK992" s="1" t="s">
        <v>305</v>
      </c>
    </row>
    <row r="993">
      <c r="A993" s="1" t="s">
        <v>2351</v>
      </c>
      <c r="B993" s="1" t="s">
        <v>2351</v>
      </c>
      <c r="C993" s="1" t="s">
        <v>100</v>
      </c>
      <c r="E993" s="1">
        <v>3.3353508E7</v>
      </c>
      <c r="F993" s="2">
        <v>41288.0</v>
      </c>
      <c r="G993" s="1" t="s">
        <v>297</v>
      </c>
      <c r="I993" s="1" t="s">
        <v>297</v>
      </c>
      <c r="L993" s="1" t="s">
        <v>102</v>
      </c>
      <c r="M993" s="1">
        <v>8600.0</v>
      </c>
      <c r="N993" s="1" t="s">
        <v>102</v>
      </c>
      <c r="O993" s="1">
        <v>5.53417E7</v>
      </c>
      <c r="P993" s="1" t="s">
        <v>2377</v>
      </c>
      <c r="R993" s="1" t="s">
        <v>2378</v>
      </c>
      <c r="S993" s="1" t="s">
        <v>44</v>
      </c>
      <c r="T993" s="1" t="s">
        <v>45</v>
      </c>
      <c r="U993" s="1">
        <v>4.82023929E8</v>
      </c>
      <c r="W993" s="1" t="s">
        <v>46</v>
      </c>
      <c r="X993" s="1" t="s">
        <v>45</v>
      </c>
      <c r="Y993" s="1">
        <v>4.82023929E8</v>
      </c>
      <c r="AB993" s="1">
        <v>60000.0</v>
      </c>
      <c r="AC993" s="2">
        <v>41288.0</v>
      </c>
      <c r="AD993" s="1">
        <v>8600.0</v>
      </c>
      <c r="AE993" s="1" t="s">
        <v>102</v>
      </c>
      <c r="AF993" s="1">
        <v>7720.0</v>
      </c>
      <c r="AG993" s="1" t="s">
        <v>2379</v>
      </c>
      <c r="AH993" s="1">
        <v>2.0</v>
      </c>
      <c r="AI993" s="1">
        <v>2013.0</v>
      </c>
      <c r="AJ993" s="1">
        <v>2013.0</v>
      </c>
      <c r="AK993" s="1" t="s">
        <v>305</v>
      </c>
    </row>
    <row r="994">
      <c r="A994" s="1" t="s">
        <v>2351</v>
      </c>
      <c r="B994" s="1" t="s">
        <v>2351</v>
      </c>
      <c r="C994" s="1" t="s">
        <v>100</v>
      </c>
      <c r="E994" s="1">
        <v>3.3353508E7</v>
      </c>
      <c r="F994" s="2">
        <v>41288.0</v>
      </c>
      <c r="G994" s="1" t="s">
        <v>297</v>
      </c>
      <c r="I994" s="1" t="s">
        <v>297</v>
      </c>
      <c r="L994" s="1" t="s">
        <v>102</v>
      </c>
      <c r="M994" s="1">
        <v>8600.0</v>
      </c>
      <c r="N994" s="1" t="s">
        <v>102</v>
      </c>
      <c r="O994" s="1">
        <v>9.4544095E7</v>
      </c>
      <c r="P994" s="1" t="s">
        <v>2265</v>
      </c>
      <c r="R994" s="1" t="s">
        <v>2266</v>
      </c>
      <c r="S994" s="1" t="s">
        <v>44</v>
      </c>
      <c r="T994" s="1" t="s">
        <v>45</v>
      </c>
      <c r="U994" s="1">
        <v>4.82142321E8</v>
      </c>
      <c r="W994" s="1" t="s">
        <v>46</v>
      </c>
      <c r="X994" s="1" t="s">
        <v>45</v>
      </c>
      <c r="Y994" s="1">
        <v>4.82142321E8</v>
      </c>
      <c r="Z994" s="1">
        <v>9.4544095E7</v>
      </c>
      <c r="AA994" s="1" t="s">
        <v>2265</v>
      </c>
      <c r="AB994" s="1">
        <v>60000.0</v>
      </c>
      <c r="AC994" s="2">
        <v>41288.0</v>
      </c>
      <c r="AD994" s="1">
        <v>8600.0</v>
      </c>
      <c r="AE994" s="1" t="s">
        <v>102</v>
      </c>
      <c r="AF994" s="1">
        <v>7702.0</v>
      </c>
      <c r="AG994" s="1" t="s">
        <v>2380</v>
      </c>
      <c r="AH994" s="1">
        <v>2.0</v>
      </c>
      <c r="AI994" s="1">
        <v>2013.0</v>
      </c>
      <c r="AJ994" s="1">
        <v>2013.0</v>
      </c>
      <c r="AK994" s="1" t="s">
        <v>305</v>
      </c>
    </row>
    <row r="995">
      <c r="A995" s="1" t="s">
        <v>2381</v>
      </c>
      <c r="B995" s="1" t="s">
        <v>2381</v>
      </c>
      <c r="C995" s="1" t="s">
        <v>224</v>
      </c>
      <c r="E995" s="1">
        <v>718602.0</v>
      </c>
      <c r="F995" s="2">
        <v>41731.0</v>
      </c>
      <c r="G995" s="1" t="s">
        <v>2382</v>
      </c>
      <c r="I995" s="1" t="s">
        <v>2382</v>
      </c>
      <c r="L995" s="1" t="s">
        <v>151</v>
      </c>
      <c r="M995" s="1">
        <v>6900.0</v>
      </c>
      <c r="N995" s="1" t="s">
        <v>151</v>
      </c>
      <c r="O995" s="1">
        <v>1.1855476E8</v>
      </c>
      <c r="P995" s="1" t="s">
        <v>983</v>
      </c>
      <c r="Q995" s="1" t="s">
        <v>984</v>
      </c>
      <c r="R995" s="1" t="s">
        <v>227</v>
      </c>
      <c r="S995" s="1" t="s">
        <v>44</v>
      </c>
      <c r="T995" s="1" t="s">
        <v>45</v>
      </c>
      <c r="U995" s="1">
        <v>4.82262886E8</v>
      </c>
      <c r="W995" s="1" t="s">
        <v>46</v>
      </c>
      <c r="X995" s="1" t="s">
        <v>45</v>
      </c>
      <c r="Y995" s="1">
        <v>4.82262886E8</v>
      </c>
      <c r="Z995" s="1">
        <v>6530661.0</v>
      </c>
      <c r="AA995" s="1" t="s">
        <v>76</v>
      </c>
      <c r="AB995" s="1">
        <v>718602.07</v>
      </c>
      <c r="AC995" s="2">
        <v>41731.0</v>
      </c>
      <c r="AD995" s="1">
        <v>6900.0</v>
      </c>
      <c r="AE995" s="1" t="s">
        <v>151</v>
      </c>
      <c r="AF995" s="1">
        <v>1.0</v>
      </c>
      <c r="AG995" s="1" t="s">
        <v>2383</v>
      </c>
      <c r="AH995" s="1">
        <v>4.0</v>
      </c>
      <c r="AI995" s="1">
        <v>2014.0</v>
      </c>
      <c r="AJ995" s="1">
        <v>2014.0</v>
      </c>
      <c r="AK995" s="1" t="s">
        <v>229</v>
      </c>
    </row>
    <row r="996">
      <c r="A996" s="1" t="s">
        <v>2384</v>
      </c>
      <c r="B996" s="1" t="s">
        <v>2384</v>
      </c>
      <c r="C996" s="1" t="s">
        <v>224</v>
      </c>
      <c r="E996" s="1">
        <v>383000.0</v>
      </c>
      <c r="F996" s="2">
        <v>41736.0</v>
      </c>
      <c r="G996" s="1" t="s">
        <v>2346</v>
      </c>
      <c r="I996" s="1" t="s">
        <v>2346</v>
      </c>
      <c r="L996" s="1" t="s">
        <v>151</v>
      </c>
      <c r="M996" s="1">
        <v>6900.0</v>
      </c>
      <c r="N996" s="1" t="s">
        <v>151</v>
      </c>
      <c r="O996" s="1">
        <v>1.1855476E8</v>
      </c>
      <c r="P996" s="1" t="s">
        <v>983</v>
      </c>
      <c r="Q996" s="1" t="s">
        <v>984</v>
      </c>
      <c r="R996" s="1" t="s">
        <v>227</v>
      </c>
      <c r="S996" s="1" t="s">
        <v>44</v>
      </c>
      <c r="T996" s="1" t="s">
        <v>45</v>
      </c>
      <c r="U996" s="1">
        <v>4.82262886E8</v>
      </c>
      <c r="W996" s="1" t="s">
        <v>46</v>
      </c>
      <c r="X996" s="1" t="s">
        <v>45</v>
      </c>
      <c r="Y996" s="1">
        <v>4.82262886E8</v>
      </c>
      <c r="Z996" s="1">
        <v>6530661.0</v>
      </c>
      <c r="AA996" s="1" t="s">
        <v>76</v>
      </c>
      <c r="AB996" s="1">
        <v>383000.0</v>
      </c>
      <c r="AC996" s="2">
        <v>41736.0</v>
      </c>
      <c r="AD996" s="1">
        <v>6900.0</v>
      </c>
      <c r="AE996" s="1" t="s">
        <v>151</v>
      </c>
      <c r="AF996" s="1">
        <v>1.0</v>
      </c>
      <c r="AG996" s="1" t="s">
        <v>2347</v>
      </c>
      <c r="AH996" s="1">
        <v>4.0</v>
      </c>
      <c r="AI996" s="1">
        <v>2014.0</v>
      </c>
      <c r="AJ996" s="1">
        <v>2014.0</v>
      </c>
      <c r="AK996" s="1" t="s">
        <v>229</v>
      </c>
    </row>
    <row r="997">
      <c r="A997" s="1" t="s">
        <v>2385</v>
      </c>
      <c r="B997" s="1" t="s">
        <v>2385</v>
      </c>
      <c r="C997" s="1" t="s">
        <v>224</v>
      </c>
      <c r="E997" s="1">
        <v>93271.0</v>
      </c>
      <c r="F997" s="2">
        <v>41736.0</v>
      </c>
      <c r="G997" s="1" t="s">
        <v>2349</v>
      </c>
      <c r="I997" s="1" t="s">
        <v>2349</v>
      </c>
      <c r="L997" s="1" t="s">
        <v>151</v>
      </c>
      <c r="M997" s="1">
        <v>6900.0</v>
      </c>
      <c r="N997" s="1" t="s">
        <v>151</v>
      </c>
      <c r="O997" s="1">
        <v>1.1855476E8</v>
      </c>
      <c r="P997" s="1" t="s">
        <v>983</v>
      </c>
      <c r="Q997" s="1" t="s">
        <v>984</v>
      </c>
      <c r="R997" s="1" t="s">
        <v>227</v>
      </c>
      <c r="S997" s="1" t="s">
        <v>44</v>
      </c>
      <c r="T997" s="1" t="s">
        <v>45</v>
      </c>
      <c r="U997" s="1">
        <v>4.82262886E8</v>
      </c>
      <c r="W997" s="1" t="s">
        <v>46</v>
      </c>
      <c r="X997" s="1" t="s">
        <v>45</v>
      </c>
      <c r="Y997" s="1">
        <v>4.82262886E8</v>
      </c>
      <c r="Z997" s="1">
        <v>6530661.0</v>
      </c>
      <c r="AA997" s="1" t="s">
        <v>76</v>
      </c>
      <c r="AB997" s="1">
        <v>93271.03</v>
      </c>
      <c r="AC997" s="2">
        <v>41736.0</v>
      </c>
      <c r="AD997" s="1">
        <v>6900.0</v>
      </c>
      <c r="AE997" s="1" t="s">
        <v>151</v>
      </c>
      <c r="AF997" s="1">
        <v>1.0</v>
      </c>
      <c r="AG997" s="1" t="s">
        <v>2350</v>
      </c>
      <c r="AH997" s="1">
        <v>4.0</v>
      </c>
      <c r="AI997" s="1">
        <v>2014.0</v>
      </c>
      <c r="AJ997" s="1">
        <v>2014.0</v>
      </c>
      <c r="AK997" s="1" t="s">
        <v>229</v>
      </c>
    </row>
    <row r="998">
      <c r="A998" s="1" t="s">
        <v>2351</v>
      </c>
      <c r="B998" s="1" t="s">
        <v>2351</v>
      </c>
      <c r="C998" s="1" t="s">
        <v>100</v>
      </c>
      <c r="E998" s="1">
        <v>3.3353508E7</v>
      </c>
      <c r="F998" s="2">
        <v>41288.0</v>
      </c>
      <c r="G998" s="1" t="s">
        <v>297</v>
      </c>
      <c r="I998" s="1" t="s">
        <v>297</v>
      </c>
      <c r="L998" s="1" t="s">
        <v>102</v>
      </c>
      <c r="M998" s="1">
        <v>8600.0</v>
      </c>
      <c r="N998" s="1" t="s">
        <v>102</v>
      </c>
      <c r="O998" s="1">
        <v>1.95614664E8</v>
      </c>
      <c r="P998" s="1" t="s">
        <v>1333</v>
      </c>
      <c r="R998" s="1" t="s">
        <v>1334</v>
      </c>
      <c r="S998" s="1" t="s">
        <v>44</v>
      </c>
      <c r="T998" s="1" t="s">
        <v>45</v>
      </c>
      <c r="U998" s="1">
        <v>4.82023133E8</v>
      </c>
      <c r="W998" s="1" t="s">
        <v>46</v>
      </c>
      <c r="X998" s="1" t="s">
        <v>45</v>
      </c>
      <c r="Y998" s="1">
        <v>4.82033113E8</v>
      </c>
      <c r="Z998" s="1">
        <v>1.95614664E8</v>
      </c>
      <c r="AA998" s="1" t="s">
        <v>1333</v>
      </c>
      <c r="AB998" s="1">
        <v>88000.0</v>
      </c>
      <c r="AC998" s="2">
        <v>41288.0</v>
      </c>
      <c r="AD998" s="1">
        <v>8600.0</v>
      </c>
      <c r="AE998" s="1" t="s">
        <v>102</v>
      </c>
      <c r="AF998" s="1">
        <v>7748.0</v>
      </c>
      <c r="AG998" s="1" t="s">
        <v>2386</v>
      </c>
      <c r="AH998" s="1">
        <v>2.0</v>
      </c>
      <c r="AI998" s="1">
        <v>2013.0</v>
      </c>
      <c r="AJ998" s="1">
        <v>2013.0</v>
      </c>
      <c r="AK998" s="1" t="s">
        <v>305</v>
      </c>
    </row>
    <row r="999">
      <c r="A999" s="1" t="s">
        <v>2351</v>
      </c>
      <c r="B999" s="1" t="s">
        <v>2351</v>
      </c>
      <c r="C999" s="1" t="s">
        <v>100</v>
      </c>
      <c r="E999" s="1">
        <v>3.3353508E7</v>
      </c>
      <c r="F999" s="2">
        <v>41288.0</v>
      </c>
      <c r="G999" s="1" t="s">
        <v>297</v>
      </c>
      <c r="I999" s="1" t="s">
        <v>297</v>
      </c>
      <c r="L999" s="1" t="s">
        <v>102</v>
      </c>
      <c r="M999" s="1">
        <v>8600.0</v>
      </c>
      <c r="N999" s="1" t="s">
        <v>102</v>
      </c>
      <c r="O999" s="1">
        <v>1.69757358E8</v>
      </c>
      <c r="P999" s="1" t="s">
        <v>2294</v>
      </c>
      <c r="Q999" s="1" t="s">
        <v>2295</v>
      </c>
      <c r="R999" s="1" t="s">
        <v>2296</v>
      </c>
      <c r="S999" s="1" t="s">
        <v>44</v>
      </c>
      <c r="T999" s="1" t="s">
        <v>45</v>
      </c>
      <c r="U999" s="1">
        <v>4.82261602E8</v>
      </c>
      <c r="W999" s="1" t="s">
        <v>46</v>
      </c>
      <c r="X999" s="1" t="s">
        <v>45</v>
      </c>
      <c r="Y999" s="1">
        <v>4.82261602E8</v>
      </c>
      <c r="Z999" s="1">
        <v>4.8774095E7</v>
      </c>
      <c r="AB999" s="1">
        <v>88000.0</v>
      </c>
      <c r="AC999" s="2">
        <v>41288.0</v>
      </c>
      <c r="AD999" s="1">
        <v>8600.0</v>
      </c>
      <c r="AE999" s="1" t="s">
        <v>102</v>
      </c>
      <c r="AF999" s="1">
        <v>7750.0</v>
      </c>
      <c r="AG999" s="1" t="s">
        <v>2387</v>
      </c>
      <c r="AH999" s="1">
        <v>2.0</v>
      </c>
      <c r="AI999" s="1">
        <v>2013.0</v>
      </c>
      <c r="AJ999" s="1">
        <v>2013.0</v>
      </c>
      <c r="AK999" s="1" t="s">
        <v>305</v>
      </c>
    </row>
    <row r="1000">
      <c r="A1000" s="1" t="s">
        <v>2351</v>
      </c>
      <c r="B1000" s="1" t="s">
        <v>2351</v>
      </c>
      <c r="C1000" s="1" t="s">
        <v>100</v>
      </c>
      <c r="E1000" s="1">
        <v>3.3353508E7</v>
      </c>
      <c r="F1000" s="2">
        <v>41288.0</v>
      </c>
      <c r="G1000" s="1" t="s">
        <v>297</v>
      </c>
      <c r="I1000" s="1" t="s">
        <v>297</v>
      </c>
      <c r="L1000" s="1" t="s">
        <v>102</v>
      </c>
      <c r="M1000" s="1">
        <v>8600.0</v>
      </c>
      <c r="N1000" s="1" t="s">
        <v>102</v>
      </c>
      <c r="O1000" s="1">
        <v>5.9136346E7</v>
      </c>
      <c r="P1000" s="1" t="s">
        <v>2388</v>
      </c>
      <c r="R1000" s="1" t="s">
        <v>2389</v>
      </c>
      <c r="S1000" s="1" t="s">
        <v>44</v>
      </c>
      <c r="T1000" s="1" t="s">
        <v>45</v>
      </c>
      <c r="U1000" s="1">
        <v>4.82243026E8</v>
      </c>
      <c r="W1000" s="1" t="s">
        <v>46</v>
      </c>
      <c r="X1000" s="1" t="s">
        <v>45</v>
      </c>
      <c r="Y1000" s="1">
        <v>4.82243026E8</v>
      </c>
      <c r="AB1000" s="1">
        <v>60000.0</v>
      </c>
      <c r="AC1000" s="2">
        <v>41288.0</v>
      </c>
      <c r="AD1000" s="1">
        <v>8600.0</v>
      </c>
      <c r="AE1000" s="1" t="s">
        <v>102</v>
      </c>
      <c r="AF1000" s="1">
        <v>7741.0</v>
      </c>
      <c r="AG1000" s="1" t="s">
        <v>2390</v>
      </c>
      <c r="AH1000" s="1">
        <v>2.0</v>
      </c>
      <c r="AI1000" s="1">
        <v>2013.0</v>
      </c>
      <c r="AJ1000" s="1">
        <v>2013.0</v>
      </c>
      <c r="AK1000" s="1" t="s">
        <v>305</v>
      </c>
    </row>
    <row r="1001">
      <c r="A1001" s="1" t="s">
        <v>2351</v>
      </c>
      <c r="B1001" s="1" t="s">
        <v>2351</v>
      </c>
      <c r="C1001" s="1" t="s">
        <v>100</v>
      </c>
      <c r="E1001" s="1">
        <v>3.3353508E7</v>
      </c>
      <c r="F1001" s="2">
        <v>41288.0</v>
      </c>
      <c r="G1001" s="1" t="s">
        <v>297</v>
      </c>
      <c r="I1001" s="1" t="s">
        <v>297</v>
      </c>
      <c r="L1001" s="1" t="s">
        <v>102</v>
      </c>
      <c r="M1001" s="1">
        <v>8600.0</v>
      </c>
      <c r="N1001" s="1" t="s">
        <v>102</v>
      </c>
      <c r="O1001" s="1">
        <v>1.1861425E7</v>
      </c>
      <c r="P1001" s="1" t="s">
        <v>2391</v>
      </c>
      <c r="R1001" s="1" t="s">
        <v>2392</v>
      </c>
      <c r="S1001" s="1" t="s">
        <v>44</v>
      </c>
      <c r="T1001" s="1" t="s">
        <v>45</v>
      </c>
      <c r="U1001" s="1">
        <v>4.82212195E8</v>
      </c>
      <c r="W1001" s="1" t="s">
        <v>46</v>
      </c>
      <c r="X1001" s="1" t="s">
        <v>45</v>
      </c>
      <c r="Y1001" s="1">
        <v>4.82212195E8</v>
      </c>
      <c r="AB1001" s="1">
        <v>60000.0</v>
      </c>
      <c r="AC1001" s="2">
        <v>41288.0</v>
      </c>
      <c r="AD1001" s="1">
        <v>8600.0</v>
      </c>
      <c r="AE1001" s="1" t="s">
        <v>102</v>
      </c>
      <c r="AF1001" s="1">
        <v>7709.0</v>
      </c>
      <c r="AG1001" s="1" t="s">
        <v>2393</v>
      </c>
      <c r="AH1001" s="1">
        <v>2.0</v>
      </c>
      <c r="AI1001" s="1">
        <v>2013.0</v>
      </c>
      <c r="AJ1001" s="1">
        <v>2013.0</v>
      </c>
      <c r="AK1001" s="1" t="s">
        <v>305</v>
      </c>
    </row>
    <row r="1002">
      <c r="A1002" s="1" t="s">
        <v>2351</v>
      </c>
      <c r="B1002" s="1" t="s">
        <v>2351</v>
      </c>
      <c r="C1002" s="1" t="s">
        <v>100</v>
      </c>
      <c r="E1002" s="1">
        <v>3.3353508E7</v>
      </c>
      <c r="F1002" s="2">
        <v>41288.0</v>
      </c>
      <c r="G1002" s="1" t="s">
        <v>297</v>
      </c>
      <c r="I1002" s="1" t="s">
        <v>297</v>
      </c>
      <c r="L1002" s="1" t="s">
        <v>102</v>
      </c>
      <c r="M1002" s="1">
        <v>8600.0</v>
      </c>
      <c r="N1002" s="1" t="s">
        <v>102</v>
      </c>
      <c r="O1002" s="1">
        <v>1.37445396E8</v>
      </c>
      <c r="P1002" s="1" t="s">
        <v>2269</v>
      </c>
      <c r="R1002" s="1" t="s">
        <v>2270</v>
      </c>
      <c r="S1002" s="1" t="s">
        <v>44</v>
      </c>
      <c r="T1002" s="1" t="s">
        <v>45</v>
      </c>
      <c r="U1002" s="1">
        <v>4.820942E8</v>
      </c>
      <c r="W1002" s="1" t="s">
        <v>46</v>
      </c>
      <c r="X1002" s="1" t="s">
        <v>45</v>
      </c>
      <c r="Y1002" s="1">
        <v>4.820942E8</v>
      </c>
      <c r="AB1002" s="1">
        <v>60000.0</v>
      </c>
      <c r="AC1002" s="2">
        <v>41288.0</v>
      </c>
      <c r="AD1002" s="1">
        <v>8600.0</v>
      </c>
      <c r="AE1002" s="1" t="s">
        <v>102</v>
      </c>
      <c r="AF1002" s="1">
        <v>7707.0</v>
      </c>
      <c r="AG1002" s="1" t="s">
        <v>2394</v>
      </c>
      <c r="AH1002" s="1">
        <v>2.0</v>
      </c>
      <c r="AI1002" s="1">
        <v>2013.0</v>
      </c>
      <c r="AJ1002" s="1">
        <v>2013.0</v>
      </c>
      <c r="AK1002" s="1" t="s">
        <v>305</v>
      </c>
    </row>
    <row r="1003">
      <c r="A1003" s="1" t="s">
        <v>2351</v>
      </c>
      <c r="B1003" s="1" t="s">
        <v>2351</v>
      </c>
      <c r="C1003" s="1" t="s">
        <v>100</v>
      </c>
      <c r="E1003" s="1">
        <v>3.3353508E7</v>
      </c>
      <c r="F1003" s="2">
        <v>41288.0</v>
      </c>
      <c r="G1003" s="1" t="s">
        <v>297</v>
      </c>
      <c r="I1003" s="1" t="s">
        <v>297</v>
      </c>
      <c r="L1003" s="1" t="s">
        <v>102</v>
      </c>
      <c r="M1003" s="1">
        <v>8600.0</v>
      </c>
      <c r="N1003" s="1" t="s">
        <v>102</v>
      </c>
      <c r="O1003" s="1">
        <v>8.38496925E8</v>
      </c>
      <c r="P1003" s="1" t="s">
        <v>2395</v>
      </c>
      <c r="R1003" s="1" t="s">
        <v>2396</v>
      </c>
      <c r="S1003" s="1" t="s">
        <v>44</v>
      </c>
      <c r="T1003" s="1" t="s">
        <v>45</v>
      </c>
      <c r="U1003" s="1">
        <v>4.82263106E8</v>
      </c>
      <c r="W1003" s="1" t="s">
        <v>46</v>
      </c>
      <c r="X1003" s="1" t="s">
        <v>45</v>
      </c>
      <c r="Y1003" s="1">
        <v>4.82263106E8</v>
      </c>
      <c r="AB1003" s="1">
        <v>60000.0</v>
      </c>
      <c r="AC1003" s="2">
        <v>41288.0</v>
      </c>
      <c r="AD1003" s="1">
        <v>8600.0</v>
      </c>
      <c r="AE1003" s="1" t="s">
        <v>102</v>
      </c>
      <c r="AF1003" s="1">
        <v>7717.0</v>
      </c>
      <c r="AG1003" s="1" t="s">
        <v>2397</v>
      </c>
      <c r="AH1003" s="1">
        <v>2.0</v>
      </c>
      <c r="AI1003" s="1">
        <v>2013.0</v>
      </c>
      <c r="AJ1003" s="1">
        <v>2013.0</v>
      </c>
      <c r="AK1003" s="1" t="s">
        <v>305</v>
      </c>
    </row>
    <row r="1004">
      <c r="A1004" s="1" t="s">
        <v>2351</v>
      </c>
      <c r="B1004" s="1" t="s">
        <v>2351</v>
      </c>
      <c r="C1004" s="1" t="s">
        <v>100</v>
      </c>
      <c r="E1004" s="1">
        <v>3.3353508E7</v>
      </c>
      <c r="F1004" s="2">
        <v>41288.0</v>
      </c>
      <c r="G1004" s="1" t="s">
        <v>297</v>
      </c>
      <c r="I1004" s="1" t="s">
        <v>297</v>
      </c>
      <c r="L1004" s="1" t="s">
        <v>102</v>
      </c>
      <c r="M1004" s="1">
        <v>8600.0</v>
      </c>
      <c r="N1004" s="1" t="s">
        <v>102</v>
      </c>
      <c r="O1004" s="1">
        <v>1.12914697E8</v>
      </c>
      <c r="P1004" s="1" t="s">
        <v>2172</v>
      </c>
      <c r="Q1004" s="1" t="s">
        <v>2173</v>
      </c>
      <c r="R1004" s="1" t="s">
        <v>2174</v>
      </c>
      <c r="S1004" s="1" t="s">
        <v>44</v>
      </c>
      <c r="T1004" s="1" t="s">
        <v>45</v>
      </c>
      <c r="U1004" s="1">
        <v>4.82341265E8</v>
      </c>
      <c r="W1004" s="1" t="s">
        <v>46</v>
      </c>
      <c r="X1004" s="1" t="s">
        <v>45</v>
      </c>
      <c r="Y1004" s="1">
        <v>4.82341265E8</v>
      </c>
      <c r="AB1004" s="1">
        <v>60000.0</v>
      </c>
      <c r="AC1004" s="2">
        <v>41288.0</v>
      </c>
      <c r="AD1004" s="1">
        <v>8600.0</v>
      </c>
      <c r="AE1004" s="1" t="s">
        <v>102</v>
      </c>
      <c r="AF1004" s="1">
        <v>7723.0</v>
      </c>
      <c r="AG1004" s="1" t="s">
        <v>2398</v>
      </c>
      <c r="AH1004" s="1">
        <v>2.0</v>
      </c>
      <c r="AI1004" s="1">
        <v>2013.0</v>
      </c>
      <c r="AJ1004" s="1">
        <v>2013.0</v>
      </c>
      <c r="AK1004" s="1" t="s">
        <v>305</v>
      </c>
    </row>
    <row r="1005">
      <c r="A1005" s="1" t="s">
        <v>2351</v>
      </c>
      <c r="B1005" s="1" t="s">
        <v>2351</v>
      </c>
      <c r="C1005" s="1" t="s">
        <v>100</v>
      </c>
      <c r="E1005" s="1">
        <v>3.3353508E7</v>
      </c>
      <c r="F1005" s="2">
        <v>41288.0</v>
      </c>
      <c r="G1005" s="1" t="s">
        <v>297</v>
      </c>
      <c r="I1005" s="1" t="s">
        <v>297</v>
      </c>
      <c r="L1005" s="1" t="s">
        <v>102</v>
      </c>
      <c r="M1005" s="1">
        <v>8600.0</v>
      </c>
      <c r="N1005" s="1" t="s">
        <v>102</v>
      </c>
      <c r="O1005" s="1">
        <v>6.07770427E8</v>
      </c>
      <c r="P1005" s="1" t="s">
        <v>1249</v>
      </c>
      <c r="R1005" s="1" t="s">
        <v>1250</v>
      </c>
      <c r="S1005" s="1" t="s">
        <v>44</v>
      </c>
      <c r="T1005" s="1" t="s">
        <v>45</v>
      </c>
      <c r="U1005" s="1">
        <v>4.82133364E8</v>
      </c>
      <c r="W1005" s="1" t="s">
        <v>46</v>
      </c>
      <c r="X1005" s="1" t="s">
        <v>45</v>
      </c>
      <c r="Y1005" s="1">
        <v>4.82133364E8</v>
      </c>
      <c r="AB1005" s="1">
        <v>60000.0</v>
      </c>
      <c r="AC1005" s="2">
        <v>41288.0</v>
      </c>
      <c r="AD1005" s="1">
        <v>8600.0</v>
      </c>
      <c r="AE1005" s="1" t="s">
        <v>102</v>
      </c>
      <c r="AF1005" s="1">
        <v>7714.0</v>
      </c>
      <c r="AG1005" s="1" t="s">
        <v>2399</v>
      </c>
      <c r="AH1005" s="1">
        <v>2.0</v>
      </c>
      <c r="AI1005" s="1">
        <v>2013.0</v>
      </c>
      <c r="AJ1005" s="1">
        <v>2013.0</v>
      </c>
      <c r="AK1005" s="1" t="s">
        <v>305</v>
      </c>
    </row>
    <row r="1006">
      <c r="A1006" s="1" t="s">
        <v>2351</v>
      </c>
      <c r="B1006" s="1" t="s">
        <v>2351</v>
      </c>
      <c r="C1006" s="1" t="s">
        <v>100</v>
      </c>
      <c r="E1006" s="1">
        <v>3.3353508E7</v>
      </c>
      <c r="F1006" s="2">
        <v>41288.0</v>
      </c>
      <c r="G1006" s="1" t="s">
        <v>297</v>
      </c>
      <c r="I1006" s="1" t="s">
        <v>297</v>
      </c>
      <c r="L1006" s="1" t="s">
        <v>102</v>
      </c>
      <c r="M1006" s="1">
        <v>8600.0</v>
      </c>
      <c r="N1006" s="1" t="s">
        <v>102</v>
      </c>
      <c r="O1006" s="1">
        <v>1.43199672E8</v>
      </c>
      <c r="P1006" s="1" t="s">
        <v>116</v>
      </c>
      <c r="R1006" s="1" t="s">
        <v>117</v>
      </c>
      <c r="S1006" s="1" t="s">
        <v>44</v>
      </c>
      <c r="T1006" s="1" t="s">
        <v>45</v>
      </c>
      <c r="U1006" s="1">
        <v>4.82431607E8</v>
      </c>
      <c r="W1006" s="1" t="s">
        <v>46</v>
      </c>
      <c r="X1006" s="1" t="s">
        <v>45</v>
      </c>
      <c r="Y1006" s="1">
        <v>4.82431607E8</v>
      </c>
      <c r="AB1006" s="1">
        <v>60000.0</v>
      </c>
      <c r="AC1006" s="2">
        <v>41288.0</v>
      </c>
      <c r="AD1006" s="1">
        <v>8600.0</v>
      </c>
      <c r="AE1006" s="1" t="s">
        <v>102</v>
      </c>
      <c r="AF1006" s="1">
        <v>7734.0</v>
      </c>
      <c r="AG1006" s="1" t="s">
        <v>2400</v>
      </c>
      <c r="AH1006" s="1">
        <v>2.0</v>
      </c>
      <c r="AI1006" s="1">
        <v>2013.0</v>
      </c>
      <c r="AJ1006" s="1">
        <v>2013.0</v>
      </c>
      <c r="AK1006" s="1" t="s">
        <v>305</v>
      </c>
    </row>
    <row r="1007">
      <c r="A1007" s="1" t="s">
        <v>2351</v>
      </c>
      <c r="B1007" s="1" t="s">
        <v>2351</v>
      </c>
      <c r="C1007" s="1" t="s">
        <v>100</v>
      </c>
      <c r="E1007" s="1">
        <v>3.3353508E7</v>
      </c>
      <c r="F1007" s="2">
        <v>41288.0</v>
      </c>
      <c r="G1007" s="1" t="s">
        <v>297</v>
      </c>
      <c r="I1007" s="1" t="s">
        <v>297</v>
      </c>
      <c r="L1007" s="1" t="s">
        <v>102</v>
      </c>
      <c r="M1007" s="1">
        <v>8600.0</v>
      </c>
      <c r="N1007" s="1" t="s">
        <v>102</v>
      </c>
      <c r="O1007" s="1">
        <v>1.43186E8</v>
      </c>
      <c r="P1007" s="1" t="s">
        <v>2401</v>
      </c>
      <c r="R1007" s="1" t="s">
        <v>2402</v>
      </c>
      <c r="S1007" s="1" t="s">
        <v>44</v>
      </c>
      <c r="T1007" s="1" t="s">
        <v>45</v>
      </c>
      <c r="U1007" s="1">
        <v>4.82023041E8</v>
      </c>
      <c r="W1007" s="1" t="s">
        <v>46</v>
      </c>
      <c r="X1007" s="1" t="s">
        <v>45</v>
      </c>
      <c r="Y1007" s="1">
        <v>4.82023041E8</v>
      </c>
      <c r="AB1007" s="1">
        <v>60000.0</v>
      </c>
      <c r="AC1007" s="2">
        <v>41288.0</v>
      </c>
      <c r="AD1007" s="1">
        <v>8600.0</v>
      </c>
      <c r="AE1007" s="1" t="s">
        <v>102</v>
      </c>
      <c r="AF1007" s="1">
        <v>7726.0</v>
      </c>
      <c r="AG1007" s="1" t="s">
        <v>2403</v>
      </c>
      <c r="AH1007" s="1">
        <v>2.0</v>
      </c>
      <c r="AI1007" s="1">
        <v>2013.0</v>
      </c>
      <c r="AJ1007" s="1">
        <v>2013.0</v>
      </c>
      <c r="AK1007" s="1" t="s">
        <v>305</v>
      </c>
    </row>
    <row r="1008">
      <c r="A1008" s="1" t="s">
        <v>2351</v>
      </c>
      <c r="B1008" s="1" t="s">
        <v>2351</v>
      </c>
      <c r="C1008" s="1" t="s">
        <v>100</v>
      </c>
      <c r="E1008" s="1">
        <v>3.3353508E7</v>
      </c>
      <c r="F1008" s="2">
        <v>41288.0</v>
      </c>
      <c r="G1008" s="1" t="s">
        <v>297</v>
      </c>
      <c r="I1008" s="1" t="s">
        <v>297</v>
      </c>
      <c r="L1008" s="1" t="s">
        <v>102</v>
      </c>
      <c r="M1008" s="1">
        <v>8600.0</v>
      </c>
      <c r="N1008" s="1" t="s">
        <v>102</v>
      </c>
      <c r="O1008" s="1">
        <v>8.840899E8</v>
      </c>
      <c r="P1008" s="1" t="s">
        <v>2254</v>
      </c>
      <c r="R1008" s="1" t="s">
        <v>2255</v>
      </c>
      <c r="S1008" s="1" t="s">
        <v>44</v>
      </c>
      <c r="T1008" s="1" t="s">
        <v>45</v>
      </c>
      <c r="U1008" s="1">
        <v>4.82193761E8</v>
      </c>
      <c r="W1008" s="1" t="s">
        <v>46</v>
      </c>
      <c r="X1008" s="1" t="s">
        <v>45</v>
      </c>
      <c r="Y1008" s="1">
        <v>4.82193761E8</v>
      </c>
      <c r="AB1008" s="1">
        <v>60000.0</v>
      </c>
      <c r="AC1008" s="2">
        <v>41288.0</v>
      </c>
      <c r="AD1008" s="1">
        <v>8600.0</v>
      </c>
      <c r="AE1008" s="1" t="s">
        <v>102</v>
      </c>
      <c r="AF1008" s="1">
        <v>7743.0</v>
      </c>
      <c r="AG1008" s="1" t="s">
        <v>2404</v>
      </c>
      <c r="AH1008" s="1">
        <v>2.0</v>
      </c>
      <c r="AI1008" s="1">
        <v>2013.0</v>
      </c>
      <c r="AJ1008" s="1">
        <v>2013.0</v>
      </c>
      <c r="AK1008" s="1" t="s">
        <v>305</v>
      </c>
    </row>
    <row r="1009">
      <c r="A1009" s="1" t="s">
        <v>2351</v>
      </c>
      <c r="B1009" s="1" t="s">
        <v>2351</v>
      </c>
      <c r="C1009" s="1" t="s">
        <v>100</v>
      </c>
      <c r="E1009" s="1">
        <v>3.3353508E7</v>
      </c>
      <c r="F1009" s="2">
        <v>41288.0</v>
      </c>
      <c r="G1009" s="1" t="s">
        <v>297</v>
      </c>
      <c r="I1009" s="1" t="s">
        <v>297</v>
      </c>
      <c r="L1009" s="1" t="s">
        <v>102</v>
      </c>
      <c r="M1009" s="1">
        <v>8600.0</v>
      </c>
      <c r="N1009" s="1" t="s">
        <v>102</v>
      </c>
      <c r="O1009" s="1">
        <v>1.06504459E8</v>
      </c>
      <c r="P1009" s="1" t="s">
        <v>2240</v>
      </c>
      <c r="R1009" s="1" t="s">
        <v>2241</v>
      </c>
      <c r="S1009" s="1" t="s">
        <v>44</v>
      </c>
      <c r="T1009" s="1" t="s">
        <v>45</v>
      </c>
      <c r="U1009" s="1">
        <v>4.82133112E8</v>
      </c>
      <c r="W1009" s="1" t="s">
        <v>46</v>
      </c>
      <c r="X1009" s="1" t="s">
        <v>45</v>
      </c>
      <c r="Y1009" s="1">
        <v>4.82133112E8</v>
      </c>
      <c r="AB1009" s="1">
        <v>88000.0</v>
      </c>
      <c r="AC1009" s="2">
        <v>41288.0</v>
      </c>
      <c r="AD1009" s="1">
        <v>8600.0</v>
      </c>
      <c r="AE1009" s="1" t="s">
        <v>102</v>
      </c>
      <c r="AF1009" s="1">
        <v>7765.0</v>
      </c>
      <c r="AG1009" s="1" t="s">
        <v>2405</v>
      </c>
      <c r="AH1009" s="1">
        <v>2.0</v>
      </c>
      <c r="AI1009" s="1">
        <v>2013.0</v>
      </c>
      <c r="AJ1009" s="1">
        <v>2013.0</v>
      </c>
      <c r="AK1009" s="1" t="s">
        <v>305</v>
      </c>
    </row>
    <row r="1010">
      <c r="A1010" s="1" t="s">
        <v>2351</v>
      </c>
      <c r="B1010" s="1" t="s">
        <v>2351</v>
      </c>
      <c r="C1010" s="1" t="s">
        <v>100</v>
      </c>
      <c r="E1010" s="1">
        <v>3.3353508E7</v>
      </c>
      <c r="F1010" s="2">
        <v>41288.0</v>
      </c>
      <c r="G1010" s="1" t="s">
        <v>297</v>
      </c>
      <c r="I1010" s="1" t="s">
        <v>297</v>
      </c>
      <c r="L1010" s="1" t="s">
        <v>102</v>
      </c>
      <c r="M1010" s="1">
        <v>8600.0</v>
      </c>
      <c r="N1010" s="1" t="s">
        <v>102</v>
      </c>
      <c r="O1010" s="1">
        <v>6.7314435E7</v>
      </c>
      <c r="P1010" s="1" t="s">
        <v>2406</v>
      </c>
      <c r="R1010" s="1" t="s">
        <v>2407</v>
      </c>
      <c r="S1010" s="1" t="s">
        <v>44</v>
      </c>
      <c r="T1010" s="1" t="s">
        <v>45</v>
      </c>
      <c r="U1010" s="1">
        <v>4.82212848E8</v>
      </c>
      <c r="W1010" s="1" t="s">
        <v>46</v>
      </c>
      <c r="X1010" s="1" t="s">
        <v>45</v>
      </c>
      <c r="Y1010" s="1">
        <v>4.82212848E8</v>
      </c>
      <c r="Z1010" s="1">
        <v>6.7314435E7</v>
      </c>
      <c r="AA1010" s="1" t="s">
        <v>2406</v>
      </c>
      <c r="AB1010" s="1">
        <v>60000.0</v>
      </c>
      <c r="AC1010" s="2">
        <v>41288.0</v>
      </c>
      <c r="AD1010" s="1">
        <v>8600.0</v>
      </c>
      <c r="AE1010" s="1" t="s">
        <v>102</v>
      </c>
      <c r="AF1010" s="1">
        <v>7730.0</v>
      </c>
      <c r="AG1010" s="1" t="s">
        <v>2408</v>
      </c>
      <c r="AH1010" s="1">
        <v>2.0</v>
      </c>
      <c r="AI1010" s="1">
        <v>2013.0</v>
      </c>
      <c r="AJ1010" s="1">
        <v>2013.0</v>
      </c>
      <c r="AK1010" s="1" t="s">
        <v>305</v>
      </c>
    </row>
    <row r="1011">
      <c r="A1011" s="1" t="s">
        <v>2351</v>
      </c>
      <c r="B1011" s="1" t="s">
        <v>2351</v>
      </c>
      <c r="C1011" s="1" t="s">
        <v>100</v>
      </c>
      <c r="E1011" s="1">
        <v>3.3353508E7</v>
      </c>
      <c r="F1011" s="2">
        <v>41288.0</v>
      </c>
      <c r="G1011" s="1" t="s">
        <v>297</v>
      </c>
      <c r="I1011" s="1" t="s">
        <v>297</v>
      </c>
      <c r="L1011" s="1" t="s">
        <v>102</v>
      </c>
      <c r="M1011" s="1">
        <v>8600.0</v>
      </c>
      <c r="N1011" s="1" t="s">
        <v>102</v>
      </c>
      <c r="O1011" s="1">
        <v>6.23610313E8</v>
      </c>
      <c r="P1011" s="1" t="s">
        <v>2198</v>
      </c>
      <c r="R1011" s="1" t="s">
        <v>2199</v>
      </c>
      <c r="S1011" s="1" t="s">
        <v>44</v>
      </c>
      <c r="T1011" s="1" t="s">
        <v>45</v>
      </c>
      <c r="U1011" s="1">
        <v>4.82133487E8</v>
      </c>
      <c r="W1011" s="1" t="s">
        <v>46</v>
      </c>
      <c r="X1011" s="1" t="s">
        <v>45</v>
      </c>
      <c r="Y1011" s="1">
        <v>4.82133487E8</v>
      </c>
      <c r="AB1011" s="1">
        <v>129377.0</v>
      </c>
      <c r="AC1011" s="2">
        <v>41288.0</v>
      </c>
      <c r="AD1011" s="1">
        <v>8600.0</v>
      </c>
      <c r="AE1011" s="1" t="s">
        <v>102</v>
      </c>
      <c r="AF1011" s="1">
        <v>7690.0</v>
      </c>
      <c r="AG1011" s="1" t="s">
        <v>2409</v>
      </c>
      <c r="AH1011" s="1">
        <v>2.0</v>
      </c>
      <c r="AI1011" s="1">
        <v>2013.0</v>
      </c>
      <c r="AJ1011" s="1">
        <v>2013.0</v>
      </c>
      <c r="AK1011" s="1" t="s">
        <v>305</v>
      </c>
    </row>
    <row r="1012">
      <c r="A1012" s="1" t="s">
        <v>2351</v>
      </c>
      <c r="B1012" s="1" t="s">
        <v>2351</v>
      </c>
      <c r="C1012" s="1" t="s">
        <v>100</v>
      </c>
      <c r="E1012" s="1">
        <v>3.3353508E7</v>
      </c>
      <c r="F1012" s="2">
        <v>41288.0</v>
      </c>
      <c r="G1012" s="1" t="s">
        <v>297</v>
      </c>
      <c r="I1012" s="1" t="s">
        <v>297</v>
      </c>
      <c r="L1012" s="1" t="s">
        <v>102</v>
      </c>
      <c r="M1012" s="1">
        <v>8600.0</v>
      </c>
      <c r="N1012" s="1" t="s">
        <v>102</v>
      </c>
      <c r="O1012" s="1">
        <v>9.33501314E8</v>
      </c>
      <c r="P1012" s="1" t="s">
        <v>2209</v>
      </c>
      <c r="Q1012" s="1" t="s">
        <v>2210</v>
      </c>
      <c r="R1012" s="1" t="s">
        <v>2211</v>
      </c>
      <c r="S1012" s="1" t="s">
        <v>44</v>
      </c>
      <c r="T1012" s="1" t="s">
        <v>45</v>
      </c>
      <c r="U1012" s="1">
        <v>4.82152967E8</v>
      </c>
      <c r="W1012" s="1" t="s">
        <v>46</v>
      </c>
      <c r="X1012" s="1" t="s">
        <v>45</v>
      </c>
      <c r="Y1012" s="1">
        <v>4.82152967E8</v>
      </c>
      <c r="AB1012" s="1">
        <v>100000.0</v>
      </c>
      <c r="AC1012" s="2">
        <v>41288.0</v>
      </c>
      <c r="AD1012" s="1">
        <v>8600.0</v>
      </c>
      <c r="AE1012" s="1" t="s">
        <v>102</v>
      </c>
      <c r="AF1012" s="1">
        <v>7694.0</v>
      </c>
      <c r="AG1012" s="1" t="s">
        <v>2410</v>
      </c>
      <c r="AH1012" s="1">
        <v>2.0</v>
      </c>
      <c r="AI1012" s="1">
        <v>2013.0</v>
      </c>
      <c r="AJ1012" s="1">
        <v>2013.0</v>
      </c>
      <c r="AK1012" s="1" t="s">
        <v>305</v>
      </c>
    </row>
    <row r="1013">
      <c r="A1013" s="1" t="s">
        <v>2351</v>
      </c>
      <c r="B1013" s="1" t="s">
        <v>2351</v>
      </c>
      <c r="C1013" s="1" t="s">
        <v>100</v>
      </c>
      <c r="E1013" s="1">
        <v>3.3353508E7</v>
      </c>
      <c r="F1013" s="2">
        <v>41288.0</v>
      </c>
      <c r="G1013" s="1" t="s">
        <v>297</v>
      </c>
      <c r="I1013" s="1" t="s">
        <v>297</v>
      </c>
      <c r="L1013" s="1" t="s">
        <v>102</v>
      </c>
      <c r="M1013" s="1">
        <v>8600.0</v>
      </c>
      <c r="N1013" s="1" t="s">
        <v>102</v>
      </c>
      <c r="O1013" s="1">
        <v>1.83562255E8</v>
      </c>
      <c r="P1013" s="1" t="s">
        <v>2411</v>
      </c>
      <c r="R1013" s="1" t="s">
        <v>1250</v>
      </c>
      <c r="S1013" s="1" t="s">
        <v>44</v>
      </c>
      <c r="T1013" s="1" t="s">
        <v>45</v>
      </c>
      <c r="U1013" s="1">
        <v>4.8213E8</v>
      </c>
      <c r="W1013" s="1" t="s">
        <v>46</v>
      </c>
      <c r="X1013" s="1" t="s">
        <v>45</v>
      </c>
      <c r="Y1013" s="1">
        <v>4.82133346E8</v>
      </c>
      <c r="AB1013" s="1">
        <v>129337.0</v>
      </c>
      <c r="AC1013" s="2">
        <v>41288.0</v>
      </c>
      <c r="AD1013" s="1">
        <v>8600.0</v>
      </c>
      <c r="AE1013" s="1" t="s">
        <v>102</v>
      </c>
      <c r="AF1013" s="1">
        <v>7697.0</v>
      </c>
      <c r="AG1013" s="1" t="s">
        <v>2412</v>
      </c>
      <c r="AH1013" s="1">
        <v>2.0</v>
      </c>
      <c r="AI1013" s="1">
        <v>2013.0</v>
      </c>
      <c r="AJ1013" s="1">
        <v>2013.0</v>
      </c>
      <c r="AK1013" s="1" t="s">
        <v>305</v>
      </c>
    </row>
    <row r="1014">
      <c r="A1014" s="1" t="s">
        <v>2351</v>
      </c>
      <c r="B1014" s="1" t="s">
        <v>2351</v>
      </c>
      <c r="C1014" s="1" t="s">
        <v>100</v>
      </c>
      <c r="E1014" s="1">
        <v>3.3353508E7</v>
      </c>
      <c r="F1014" s="2">
        <v>41288.0</v>
      </c>
      <c r="G1014" s="1" t="s">
        <v>297</v>
      </c>
      <c r="I1014" s="1" t="s">
        <v>297</v>
      </c>
      <c r="L1014" s="1" t="s">
        <v>102</v>
      </c>
      <c r="M1014" s="1">
        <v>8600.0</v>
      </c>
      <c r="N1014" s="1" t="s">
        <v>102</v>
      </c>
      <c r="O1014" s="1">
        <v>9.4547247E7</v>
      </c>
      <c r="P1014" s="1" t="s">
        <v>2201</v>
      </c>
      <c r="Q1014" s="1" t="s">
        <v>2202</v>
      </c>
      <c r="R1014" s="1" t="s">
        <v>2203</v>
      </c>
      <c r="S1014" s="1" t="s">
        <v>44</v>
      </c>
      <c r="T1014" s="1" t="s">
        <v>45</v>
      </c>
      <c r="U1014" s="1">
        <v>4.8201241E8</v>
      </c>
      <c r="W1014" s="1" t="s">
        <v>46</v>
      </c>
      <c r="X1014" s="1" t="s">
        <v>45</v>
      </c>
      <c r="Y1014" s="1">
        <v>4.8201241E8</v>
      </c>
      <c r="Z1014" s="1">
        <v>9.4547247E7</v>
      </c>
      <c r="AA1014" s="1" t="s">
        <v>2201</v>
      </c>
      <c r="AB1014" s="1">
        <v>88000.0</v>
      </c>
      <c r="AC1014" s="2">
        <v>41288.0</v>
      </c>
      <c r="AD1014" s="1">
        <v>8600.0</v>
      </c>
      <c r="AE1014" s="1" t="s">
        <v>102</v>
      </c>
      <c r="AF1014" s="1">
        <v>7754.0</v>
      </c>
      <c r="AG1014" s="1" t="s">
        <v>2413</v>
      </c>
      <c r="AH1014" s="1">
        <v>2.0</v>
      </c>
      <c r="AI1014" s="1">
        <v>2013.0</v>
      </c>
      <c r="AJ1014" s="1">
        <v>2013.0</v>
      </c>
      <c r="AK1014" s="1" t="s">
        <v>305</v>
      </c>
    </row>
    <row r="1015">
      <c r="A1015" s="1" t="s">
        <v>2351</v>
      </c>
      <c r="B1015" s="1" t="s">
        <v>2351</v>
      </c>
      <c r="C1015" s="1" t="s">
        <v>100</v>
      </c>
      <c r="E1015" s="1">
        <v>3.3353508E7</v>
      </c>
      <c r="F1015" s="2">
        <v>41288.0</v>
      </c>
      <c r="G1015" s="1" t="s">
        <v>297</v>
      </c>
      <c r="I1015" s="1" t="s">
        <v>297</v>
      </c>
      <c r="L1015" s="1" t="s">
        <v>102</v>
      </c>
      <c r="M1015" s="1">
        <v>8600.0</v>
      </c>
      <c r="N1015" s="1" t="s">
        <v>102</v>
      </c>
      <c r="O1015" s="1">
        <v>1.80097268E8</v>
      </c>
      <c r="P1015" s="1" t="s">
        <v>2414</v>
      </c>
      <c r="R1015" s="1" t="s">
        <v>2415</v>
      </c>
      <c r="S1015" s="1" t="s">
        <v>44</v>
      </c>
      <c r="T1015" s="1" t="s">
        <v>45</v>
      </c>
      <c r="U1015" s="1">
        <v>4.82231542E8</v>
      </c>
      <c r="W1015" s="1" t="s">
        <v>46</v>
      </c>
      <c r="X1015" s="1" t="s">
        <v>45</v>
      </c>
      <c r="Y1015" s="1">
        <v>4.82231542E8</v>
      </c>
      <c r="AB1015" s="1">
        <v>60000.0</v>
      </c>
      <c r="AC1015" s="2">
        <v>41288.0</v>
      </c>
      <c r="AD1015" s="1">
        <v>8600.0</v>
      </c>
      <c r="AE1015" s="1" t="s">
        <v>102</v>
      </c>
      <c r="AF1015" s="1">
        <v>7735.0</v>
      </c>
      <c r="AG1015" s="1" t="s">
        <v>2416</v>
      </c>
      <c r="AH1015" s="1">
        <v>2.0</v>
      </c>
      <c r="AI1015" s="1">
        <v>2013.0</v>
      </c>
      <c r="AJ1015" s="1">
        <v>2013.0</v>
      </c>
      <c r="AK1015" s="1" t="s">
        <v>305</v>
      </c>
    </row>
    <row r="1016">
      <c r="A1016" s="1" t="s">
        <v>1385</v>
      </c>
      <c r="B1016" s="1" t="s">
        <v>1385</v>
      </c>
      <c r="C1016" s="1" t="s">
        <v>1386</v>
      </c>
      <c r="E1016" s="1">
        <v>6905203.0</v>
      </c>
      <c r="F1016" s="2">
        <v>41789.0</v>
      </c>
      <c r="G1016" s="1" t="s">
        <v>2417</v>
      </c>
      <c r="I1016" s="1" t="s">
        <v>2417</v>
      </c>
      <c r="L1016" s="1" t="s">
        <v>40</v>
      </c>
      <c r="M1016" s="1">
        <v>7500.0</v>
      </c>
      <c r="N1016" s="1" t="s">
        <v>40</v>
      </c>
      <c r="O1016" s="1">
        <v>1962224.0</v>
      </c>
      <c r="P1016" s="1" t="s">
        <v>52</v>
      </c>
      <c r="Q1016" s="1" t="s">
        <v>1566</v>
      </c>
      <c r="R1016" s="1" t="s">
        <v>53</v>
      </c>
      <c r="S1016" s="1" t="s">
        <v>44</v>
      </c>
      <c r="T1016" s="1" t="s">
        <v>45</v>
      </c>
      <c r="U1016" s="1">
        <v>4.82023692E8</v>
      </c>
      <c r="W1016" s="1" t="s">
        <v>46</v>
      </c>
      <c r="X1016" s="1" t="s">
        <v>45</v>
      </c>
      <c r="Y1016" s="1">
        <v>4.8202405E8</v>
      </c>
      <c r="Z1016" s="1">
        <v>1962224.0</v>
      </c>
      <c r="AA1016" s="1" t="s">
        <v>52</v>
      </c>
      <c r="AB1016" s="1">
        <v>28000.0</v>
      </c>
      <c r="AC1016" s="2">
        <v>41789.0</v>
      </c>
      <c r="AD1016" s="1">
        <v>7500.0</v>
      </c>
      <c r="AE1016" s="1" t="s">
        <v>40</v>
      </c>
      <c r="AF1016" s="1">
        <v>3.003021214E9</v>
      </c>
      <c r="AG1016" s="1" t="s">
        <v>2418</v>
      </c>
      <c r="AH1016" s="1">
        <v>5.0</v>
      </c>
      <c r="AI1016" s="1">
        <v>2014.0</v>
      </c>
      <c r="AJ1016" s="1">
        <v>2014.0</v>
      </c>
      <c r="AK1016" s="1" t="s">
        <v>1389</v>
      </c>
    </row>
    <row r="1017">
      <c r="A1017" s="1" t="s">
        <v>2351</v>
      </c>
      <c r="B1017" s="1" t="s">
        <v>2351</v>
      </c>
      <c r="C1017" s="1" t="s">
        <v>100</v>
      </c>
      <c r="E1017" s="1">
        <v>3.3353508E7</v>
      </c>
      <c r="F1017" s="2">
        <v>41288.0</v>
      </c>
      <c r="G1017" s="1" t="s">
        <v>297</v>
      </c>
      <c r="I1017" s="1" t="s">
        <v>297</v>
      </c>
      <c r="L1017" s="1" t="s">
        <v>102</v>
      </c>
      <c r="M1017" s="1">
        <v>8600.0</v>
      </c>
      <c r="N1017" s="1" t="s">
        <v>102</v>
      </c>
      <c r="O1017" s="1">
        <v>9.65680176E8</v>
      </c>
      <c r="P1017" s="1" t="s">
        <v>353</v>
      </c>
      <c r="Q1017" s="1" t="s">
        <v>354</v>
      </c>
      <c r="R1017" s="1" t="s">
        <v>355</v>
      </c>
      <c r="S1017" s="1" t="s">
        <v>44</v>
      </c>
      <c r="T1017" s="1" t="s">
        <v>45</v>
      </c>
      <c r="U1017" s="1">
        <v>4.8209344E8</v>
      </c>
      <c r="W1017" s="1" t="s">
        <v>46</v>
      </c>
      <c r="X1017" s="1" t="s">
        <v>45</v>
      </c>
      <c r="Y1017" s="1">
        <v>4.8209344E8</v>
      </c>
      <c r="AB1017" s="1">
        <v>129377.0</v>
      </c>
      <c r="AC1017" s="2">
        <v>41288.0</v>
      </c>
      <c r="AD1017" s="1">
        <v>8600.0</v>
      </c>
      <c r="AE1017" s="1" t="s">
        <v>102</v>
      </c>
      <c r="AF1017" s="1">
        <v>7700.0</v>
      </c>
      <c r="AG1017" s="1" t="s">
        <v>2419</v>
      </c>
      <c r="AH1017" s="1">
        <v>2.0</v>
      </c>
      <c r="AI1017" s="1">
        <v>2013.0</v>
      </c>
      <c r="AJ1017" s="1">
        <v>2013.0</v>
      </c>
      <c r="AK1017" s="1" t="s">
        <v>305</v>
      </c>
    </row>
    <row r="1018">
      <c r="A1018" s="1" t="s">
        <v>2351</v>
      </c>
      <c r="B1018" s="1" t="s">
        <v>2351</v>
      </c>
      <c r="C1018" s="1" t="s">
        <v>100</v>
      </c>
      <c r="E1018" s="1">
        <v>3.3353508E7</v>
      </c>
      <c r="F1018" s="2">
        <v>41288.0</v>
      </c>
      <c r="G1018" s="1" t="s">
        <v>297</v>
      </c>
      <c r="I1018" s="1" t="s">
        <v>297</v>
      </c>
      <c r="L1018" s="1" t="s">
        <v>102</v>
      </c>
      <c r="M1018" s="1">
        <v>8600.0</v>
      </c>
      <c r="N1018" s="1" t="s">
        <v>102</v>
      </c>
      <c r="O1018" s="1">
        <v>9.4670435E8</v>
      </c>
      <c r="P1018" s="1" t="s">
        <v>2420</v>
      </c>
      <c r="Q1018" s="1" t="s">
        <v>2421</v>
      </c>
      <c r="R1018" s="1" t="s">
        <v>2422</v>
      </c>
      <c r="S1018" s="1" t="s">
        <v>44</v>
      </c>
      <c r="T1018" s="1" t="s">
        <v>45</v>
      </c>
      <c r="U1018" s="1">
        <v>4.82161927E8</v>
      </c>
      <c r="W1018" s="1" t="s">
        <v>46</v>
      </c>
      <c r="X1018" s="1" t="s">
        <v>45</v>
      </c>
      <c r="Y1018" s="1">
        <v>4.82161927E8</v>
      </c>
      <c r="AB1018" s="1">
        <v>100000.0</v>
      </c>
      <c r="AC1018" s="2">
        <v>41288.0</v>
      </c>
      <c r="AD1018" s="1">
        <v>8600.0</v>
      </c>
      <c r="AE1018" s="1" t="s">
        <v>102</v>
      </c>
      <c r="AF1018" s="1">
        <v>7698.0</v>
      </c>
      <c r="AG1018" s="1" t="s">
        <v>2423</v>
      </c>
      <c r="AH1018" s="1">
        <v>2.0</v>
      </c>
      <c r="AI1018" s="1">
        <v>2013.0</v>
      </c>
      <c r="AJ1018" s="1">
        <v>2013.0</v>
      </c>
      <c r="AK1018" s="1" t="s">
        <v>305</v>
      </c>
    </row>
    <row r="1019">
      <c r="A1019" s="1" t="s">
        <v>2351</v>
      </c>
      <c r="B1019" s="1" t="s">
        <v>2351</v>
      </c>
      <c r="C1019" s="1" t="s">
        <v>100</v>
      </c>
      <c r="E1019" s="1">
        <v>3.3353508E7</v>
      </c>
      <c r="F1019" s="2">
        <v>41288.0</v>
      </c>
      <c r="G1019" s="1" t="s">
        <v>297</v>
      </c>
      <c r="I1019" s="1" t="s">
        <v>297</v>
      </c>
      <c r="L1019" s="1" t="s">
        <v>102</v>
      </c>
      <c r="M1019" s="1">
        <v>8600.0</v>
      </c>
      <c r="N1019" s="1" t="s">
        <v>102</v>
      </c>
      <c r="O1019" s="1">
        <v>2.183979E7</v>
      </c>
      <c r="P1019" s="1" t="s">
        <v>2220</v>
      </c>
      <c r="R1019" s="1" t="s">
        <v>2221</v>
      </c>
      <c r="S1019" s="1" t="s">
        <v>44</v>
      </c>
      <c r="T1019" s="1" t="s">
        <v>45</v>
      </c>
      <c r="U1019" s="1">
        <v>4.82072372E8</v>
      </c>
      <c r="W1019" s="1" t="s">
        <v>46</v>
      </c>
      <c r="X1019" s="1" t="s">
        <v>45</v>
      </c>
      <c r="Y1019" s="1">
        <v>4.82072372E8</v>
      </c>
      <c r="Z1019" s="1">
        <v>2.183979E7</v>
      </c>
      <c r="AA1019" s="1" t="s">
        <v>2220</v>
      </c>
      <c r="AB1019" s="1">
        <v>60000.0</v>
      </c>
      <c r="AC1019" s="2">
        <v>41288.0</v>
      </c>
      <c r="AD1019" s="1">
        <v>8600.0</v>
      </c>
      <c r="AE1019" s="1" t="s">
        <v>102</v>
      </c>
      <c r="AF1019" s="1">
        <v>7738.0</v>
      </c>
      <c r="AG1019" s="1" t="s">
        <v>2424</v>
      </c>
      <c r="AH1019" s="1">
        <v>2.0</v>
      </c>
      <c r="AI1019" s="1">
        <v>2013.0</v>
      </c>
      <c r="AJ1019" s="1">
        <v>2013.0</v>
      </c>
      <c r="AK1019" s="1" t="s">
        <v>305</v>
      </c>
    </row>
    <row r="1020">
      <c r="A1020" s="1" t="s">
        <v>2351</v>
      </c>
      <c r="B1020" s="1" t="s">
        <v>2351</v>
      </c>
      <c r="C1020" s="1" t="s">
        <v>100</v>
      </c>
      <c r="E1020" s="1">
        <v>3.3353508E7</v>
      </c>
      <c r="F1020" s="2">
        <v>41288.0</v>
      </c>
      <c r="G1020" s="1" t="s">
        <v>297</v>
      </c>
      <c r="I1020" s="1" t="s">
        <v>297</v>
      </c>
      <c r="L1020" s="1" t="s">
        <v>102</v>
      </c>
      <c r="M1020" s="1">
        <v>8600.0</v>
      </c>
      <c r="N1020" s="1" t="s">
        <v>102</v>
      </c>
      <c r="O1020" s="1">
        <v>7.8671071E8</v>
      </c>
      <c r="P1020" s="1" t="s">
        <v>2154</v>
      </c>
      <c r="R1020" s="1" t="s">
        <v>2155</v>
      </c>
      <c r="S1020" s="1" t="s">
        <v>44</v>
      </c>
      <c r="T1020" s="1" t="s">
        <v>45</v>
      </c>
      <c r="U1020" s="1">
        <v>4.8228305E8</v>
      </c>
      <c r="W1020" s="1" t="s">
        <v>46</v>
      </c>
      <c r="X1020" s="1" t="s">
        <v>45</v>
      </c>
      <c r="Y1020" s="1">
        <v>4.8228305E8</v>
      </c>
      <c r="AB1020" s="1">
        <v>60000.0</v>
      </c>
      <c r="AC1020" s="2">
        <v>41288.0</v>
      </c>
      <c r="AD1020" s="1">
        <v>8600.0</v>
      </c>
      <c r="AE1020" s="1" t="s">
        <v>102</v>
      </c>
      <c r="AF1020" s="1">
        <v>7721.0</v>
      </c>
      <c r="AG1020" s="1" t="s">
        <v>2425</v>
      </c>
      <c r="AH1020" s="1">
        <v>2.0</v>
      </c>
      <c r="AI1020" s="1">
        <v>2013.0</v>
      </c>
      <c r="AJ1020" s="1">
        <v>2013.0</v>
      </c>
      <c r="AK1020" s="1" t="s">
        <v>305</v>
      </c>
    </row>
    <row r="1021">
      <c r="A1021" s="1" t="s">
        <v>2351</v>
      </c>
      <c r="B1021" s="1" t="s">
        <v>2351</v>
      </c>
      <c r="C1021" s="1" t="s">
        <v>100</v>
      </c>
      <c r="E1021" s="1">
        <v>3.3353508E7</v>
      </c>
      <c r="F1021" s="2">
        <v>41288.0</v>
      </c>
      <c r="G1021" s="1" t="s">
        <v>297</v>
      </c>
      <c r="I1021" s="1" t="s">
        <v>297</v>
      </c>
      <c r="L1021" s="1" t="s">
        <v>102</v>
      </c>
      <c r="M1021" s="1">
        <v>8600.0</v>
      </c>
      <c r="N1021" s="1" t="s">
        <v>102</v>
      </c>
      <c r="O1021" s="1">
        <v>8.37073782E8</v>
      </c>
      <c r="P1021" s="1" t="s">
        <v>2224</v>
      </c>
      <c r="R1021" s="1" t="s">
        <v>2225</v>
      </c>
      <c r="S1021" s="1" t="s">
        <v>44</v>
      </c>
      <c r="T1021" s="1" t="s">
        <v>45</v>
      </c>
      <c r="U1021" s="1">
        <v>4.82161324E8</v>
      </c>
      <c r="W1021" s="1" t="s">
        <v>46</v>
      </c>
      <c r="X1021" s="1" t="s">
        <v>45</v>
      </c>
      <c r="Y1021" s="1">
        <v>4.82161324E8</v>
      </c>
      <c r="AB1021" s="1">
        <v>60000.0</v>
      </c>
      <c r="AC1021" s="2">
        <v>41288.0</v>
      </c>
      <c r="AD1021" s="1">
        <v>8600.0</v>
      </c>
      <c r="AE1021" s="1" t="s">
        <v>102</v>
      </c>
      <c r="AF1021" s="1">
        <v>7719.0</v>
      </c>
      <c r="AG1021" s="1" t="s">
        <v>2426</v>
      </c>
      <c r="AH1021" s="1">
        <v>2.0</v>
      </c>
      <c r="AI1021" s="1">
        <v>2013.0</v>
      </c>
      <c r="AJ1021" s="1">
        <v>2013.0</v>
      </c>
      <c r="AK1021" s="1" t="s">
        <v>305</v>
      </c>
    </row>
    <row r="1022">
      <c r="A1022" s="1" t="s">
        <v>2351</v>
      </c>
      <c r="B1022" s="1" t="s">
        <v>2351</v>
      </c>
      <c r="C1022" s="1" t="s">
        <v>100</v>
      </c>
      <c r="E1022" s="1">
        <v>3.3353508E7</v>
      </c>
      <c r="F1022" s="2">
        <v>41288.0</v>
      </c>
      <c r="G1022" s="1" t="s">
        <v>297</v>
      </c>
      <c r="I1022" s="1" t="s">
        <v>297</v>
      </c>
      <c r="L1022" s="1" t="s">
        <v>102</v>
      </c>
      <c r="M1022" s="1">
        <v>8600.0</v>
      </c>
      <c r="N1022" s="1" t="s">
        <v>102</v>
      </c>
      <c r="O1022" s="1">
        <v>3.4101593E7</v>
      </c>
      <c r="P1022" s="1" t="s">
        <v>2427</v>
      </c>
      <c r="R1022" s="1" t="s">
        <v>2428</v>
      </c>
      <c r="S1022" s="1" t="s">
        <v>44</v>
      </c>
      <c r="T1022" s="1" t="s">
        <v>45</v>
      </c>
      <c r="U1022" s="1">
        <v>4.82262982E8</v>
      </c>
      <c r="W1022" s="1" t="s">
        <v>46</v>
      </c>
      <c r="X1022" s="1" t="s">
        <v>45</v>
      </c>
      <c r="Y1022" s="1">
        <v>4.82262982E8</v>
      </c>
      <c r="AB1022" s="1">
        <v>60000.0</v>
      </c>
      <c r="AC1022" s="2">
        <v>41288.0</v>
      </c>
      <c r="AD1022" s="1">
        <v>8600.0</v>
      </c>
      <c r="AE1022" s="1" t="s">
        <v>102</v>
      </c>
      <c r="AF1022" s="1">
        <v>7726.0</v>
      </c>
      <c r="AG1022" s="1" t="s">
        <v>2429</v>
      </c>
      <c r="AH1022" s="1">
        <v>2.0</v>
      </c>
      <c r="AI1022" s="1">
        <v>2013.0</v>
      </c>
      <c r="AJ1022" s="1">
        <v>2013.0</v>
      </c>
      <c r="AK1022" s="1" t="s">
        <v>305</v>
      </c>
    </row>
    <row r="1023">
      <c r="A1023" s="1" t="s">
        <v>2351</v>
      </c>
      <c r="B1023" s="1" t="s">
        <v>2351</v>
      </c>
      <c r="C1023" s="1" t="s">
        <v>100</v>
      </c>
      <c r="E1023" s="1">
        <v>3.3353508E7</v>
      </c>
      <c r="F1023" s="2">
        <v>41288.0</v>
      </c>
      <c r="G1023" s="1" t="s">
        <v>297</v>
      </c>
      <c r="I1023" s="1" t="s">
        <v>297</v>
      </c>
      <c r="L1023" s="1" t="s">
        <v>102</v>
      </c>
      <c r="M1023" s="1">
        <v>8600.0</v>
      </c>
      <c r="N1023" s="1" t="s">
        <v>102</v>
      </c>
      <c r="O1023" s="1">
        <v>1.21516199E8</v>
      </c>
      <c r="P1023" s="1" t="s">
        <v>380</v>
      </c>
      <c r="Q1023" s="1" t="s">
        <v>381</v>
      </c>
      <c r="R1023" s="1" t="s">
        <v>382</v>
      </c>
      <c r="S1023" s="1" t="s">
        <v>44</v>
      </c>
      <c r="T1023" s="1" t="s">
        <v>45</v>
      </c>
      <c r="U1023" s="1">
        <v>4.82073156E8</v>
      </c>
      <c r="W1023" s="1" t="s">
        <v>46</v>
      </c>
      <c r="X1023" s="1" t="s">
        <v>45</v>
      </c>
      <c r="Y1023" s="1">
        <v>4.82073156E8</v>
      </c>
      <c r="Z1023" s="1">
        <v>1.21516199E8</v>
      </c>
      <c r="AA1023" s="1" t="s">
        <v>380</v>
      </c>
      <c r="AB1023" s="1">
        <v>88000.0</v>
      </c>
      <c r="AC1023" s="2">
        <v>41288.0</v>
      </c>
      <c r="AD1023" s="1">
        <v>8600.0</v>
      </c>
      <c r="AE1023" s="1" t="s">
        <v>102</v>
      </c>
      <c r="AF1023" s="1">
        <v>7769.0</v>
      </c>
      <c r="AG1023" s="1" t="s">
        <v>2430</v>
      </c>
      <c r="AH1023" s="1">
        <v>2.0</v>
      </c>
      <c r="AI1023" s="1">
        <v>2013.0</v>
      </c>
      <c r="AJ1023" s="1">
        <v>2013.0</v>
      </c>
      <c r="AK1023" s="1" t="s">
        <v>305</v>
      </c>
    </row>
    <row r="1024">
      <c r="A1024" s="1" t="s">
        <v>2351</v>
      </c>
      <c r="B1024" s="1" t="s">
        <v>2351</v>
      </c>
      <c r="C1024" s="1" t="s">
        <v>100</v>
      </c>
      <c r="E1024" s="1">
        <v>3.3353508E7</v>
      </c>
      <c r="F1024" s="2">
        <v>41288.0</v>
      </c>
      <c r="G1024" s="1" t="s">
        <v>297</v>
      </c>
      <c r="I1024" s="1" t="s">
        <v>297</v>
      </c>
      <c r="L1024" s="1" t="s">
        <v>102</v>
      </c>
      <c r="M1024" s="1">
        <v>8600.0</v>
      </c>
      <c r="N1024" s="1" t="s">
        <v>102</v>
      </c>
      <c r="O1024" s="1">
        <v>5.1034718E7</v>
      </c>
      <c r="P1024" s="1" t="s">
        <v>2162</v>
      </c>
      <c r="R1024" s="1" t="s">
        <v>2163</v>
      </c>
      <c r="S1024" s="1" t="s">
        <v>44</v>
      </c>
      <c r="T1024" s="1" t="s">
        <v>45</v>
      </c>
      <c r="U1024" s="1">
        <v>4.82261472E8</v>
      </c>
      <c r="W1024" s="1" t="s">
        <v>46</v>
      </c>
      <c r="X1024" s="1" t="s">
        <v>45</v>
      </c>
      <c r="Y1024" s="1">
        <v>4.82261472E8</v>
      </c>
      <c r="AB1024" s="1">
        <v>88000.0</v>
      </c>
      <c r="AC1024" s="2">
        <v>41288.0</v>
      </c>
      <c r="AD1024" s="1">
        <v>8600.0</v>
      </c>
      <c r="AE1024" s="1" t="s">
        <v>102</v>
      </c>
      <c r="AF1024" s="1">
        <v>7767.0</v>
      </c>
      <c r="AG1024" s="1" t="s">
        <v>2431</v>
      </c>
      <c r="AH1024" s="1">
        <v>2.0</v>
      </c>
      <c r="AI1024" s="1">
        <v>2013.0</v>
      </c>
      <c r="AJ1024" s="1">
        <v>2013.0</v>
      </c>
      <c r="AK1024" s="1" t="s">
        <v>305</v>
      </c>
    </row>
    <row r="1025">
      <c r="A1025" s="1" t="s">
        <v>2351</v>
      </c>
      <c r="B1025" s="1" t="s">
        <v>2351</v>
      </c>
      <c r="C1025" s="1" t="s">
        <v>100</v>
      </c>
      <c r="E1025" s="1">
        <v>3.3353508E7</v>
      </c>
      <c r="F1025" s="2">
        <v>41288.0</v>
      </c>
      <c r="G1025" s="1" t="s">
        <v>297</v>
      </c>
      <c r="I1025" s="1" t="s">
        <v>297</v>
      </c>
      <c r="L1025" s="1" t="s">
        <v>102</v>
      </c>
      <c r="M1025" s="1">
        <v>8600.0</v>
      </c>
      <c r="N1025" s="1" t="s">
        <v>102</v>
      </c>
      <c r="O1025" s="1">
        <v>1.06504459E8</v>
      </c>
      <c r="P1025" s="1" t="s">
        <v>2240</v>
      </c>
      <c r="R1025" s="1" t="s">
        <v>2241</v>
      </c>
      <c r="S1025" s="1" t="s">
        <v>44</v>
      </c>
      <c r="T1025" s="1" t="s">
        <v>45</v>
      </c>
      <c r="U1025" s="1">
        <v>4.82133112E8</v>
      </c>
      <c r="W1025" s="1" t="s">
        <v>46</v>
      </c>
      <c r="X1025" s="1" t="s">
        <v>45</v>
      </c>
      <c r="Y1025" s="1">
        <v>4.82133112E8</v>
      </c>
      <c r="AB1025" s="1">
        <v>129377.0</v>
      </c>
      <c r="AC1025" s="2">
        <v>41288.0</v>
      </c>
      <c r="AD1025" s="1">
        <v>8600.0</v>
      </c>
      <c r="AE1025" s="1" t="s">
        <v>102</v>
      </c>
      <c r="AF1025" s="1">
        <v>7688.0</v>
      </c>
      <c r="AG1025" s="1" t="s">
        <v>2432</v>
      </c>
      <c r="AH1025" s="1">
        <v>2.0</v>
      </c>
      <c r="AI1025" s="1">
        <v>2013.0</v>
      </c>
      <c r="AJ1025" s="1">
        <v>2013.0</v>
      </c>
      <c r="AK1025" s="1" t="s">
        <v>305</v>
      </c>
    </row>
    <row r="1026">
      <c r="A1026" s="1" t="s">
        <v>2351</v>
      </c>
      <c r="B1026" s="1" t="s">
        <v>2351</v>
      </c>
      <c r="C1026" s="1" t="s">
        <v>100</v>
      </c>
      <c r="E1026" s="1">
        <v>3.3353508E7</v>
      </c>
      <c r="F1026" s="2">
        <v>41288.0</v>
      </c>
      <c r="G1026" s="1" t="s">
        <v>297</v>
      </c>
      <c r="I1026" s="1" t="s">
        <v>297</v>
      </c>
      <c r="L1026" s="1" t="s">
        <v>102</v>
      </c>
      <c r="M1026" s="1">
        <v>8600.0</v>
      </c>
      <c r="N1026" s="1" t="s">
        <v>102</v>
      </c>
      <c r="O1026" s="1">
        <v>6.2962068E7</v>
      </c>
      <c r="P1026" s="1" t="s">
        <v>1252</v>
      </c>
      <c r="R1026" s="1" t="s">
        <v>1253</v>
      </c>
      <c r="S1026" s="1" t="s">
        <v>44</v>
      </c>
      <c r="T1026" s="1" t="s">
        <v>45</v>
      </c>
      <c r="U1026" s="1">
        <v>4.82161917E8</v>
      </c>
      <c r="W1026" s="1" t="s">
        <v>46</v>
      </c>
      <c r="X1026" s="1" t="s">
        <v>45</v>
      </c>
      <c r="Y1026" s="1">
        <v>4.82161917E8</v>
      </c>
      <c r="AB1026" s="1">
        <v>60000.0</v>
      </c>
      <c r="AC1026" s="2">
        <v>41288.0</v>
      </c>
      <c r="AD1026" s="1">
        <v>8600.0</v>
      </c>
      <c r="AE1026" s="1" t="s">
        <v>102</v>
      </c>
      <c r="AF1026" s="1">
        <v>7728.0</v>
      </c>
      <c r="AG1026" s="1" t="s">
        <v>2433</v>
      </c>
      <c r="AH1026" s="1">
        <v>2.0</v>
      </c>
      <c r="AI1026" s="1">
        <v>2013.0</v>
      </c>
      <c r="AJ1026" s="1">
        <v>2013.0</v>
      </c>
      <c r="AK1026" s="1" t="s">
        <v>305</v>
      </c>
    </row>
    <row r="1027">
      <c r="A1027" s="1" t="s">
        <v>2351</v>
      </c>
      <c r="B1027" s="1" t="s">
        <v>2351</v>
      </c>
      <c r="C1027" s="1" t="s">
        <v>100</v>
      </c>
      <c r="E1027" s="1">
        <v>3.3353508E7</v>
      </c>
      <c r="F1027" s="2">
        <v>41288.0</v>
      </c>
      <c r="G1027" s="1" t="s">
        <v>297</v>
      </c>
      <c r="I1027" s="1" t="s">
        <v>297</v>
      </c>
      <c r="L1027" s="1" t="s">
        <v>102</v>
      </c>
      <c r="M1027" s="1">
        <v>8600.0</v>
      </c>
      <c r="N1027" s="1" t="s">
        <v>102</v>
      </c>
      <c r="O1027" s="1">
        <v>1.5141952E8</v>
      </c>
      <c r="P1027" s="1" t="s">
        <v>2298</v>
      </c>
      <c r="Q1027" s="1" t="s">
        <v>2299</v>
      </c>
      <c r="R1027" s="1" t="s">
        <v>2300</v>
      </c>
      <c r="S1027" s="1" t="s">
        <v>44</v>
      </c>
      <c r="T1027" s="1" t="s">
        <v>45</v>
      </c>
      <c r="U1027" s="1">
        <v>4.82092145E8</v>
      </c>
      <c r="W1027" s="1" t="s">
        <v>46</v>
      </c>
      <c r="X1027" s="1" t="s">
        <v>45</v>
      </c>
      <c r="Y1027" s="1">
        <v>4.82092145E8</v>
      </c>
      <c r="AB1027" s="1">
        <v>60000.0</v>
      </c>
      <c r="AC1027" s="2">
        <v>41288.0</v>
      </c>
      <c r="AD1027" s="1">
        <v>8600.0</v>
      </c>
      <c r="AE1027" s="1" t="s">
        <v>102</v>
      </c>
      <c r="AF1027" s="1">
        <v>7724.0</v>
      </c>
      <c r="AG1027" s="1" t="s">
        <v>2434</v>
      </c>
      <c r="AH1027" s="1">
        <v>2.0</v>
      </c>
      <c r="AI1027" s="1">
        <v>2013.0</v>
      </c>
      <c r="AJ1027" s="1">
        <v>2013.0</v>
      </c>
      <c r="AK1027" s="1" t="s">
        <v>305</v>
      </c>
    </row>
    <row r="1028">
      <c r="A1028" s="1" t="s">
        <v>2351</v>
      </c>
      <c r="B1028" s="1" t="s">
        <v>2351</v>
      </c>
      <c r="C1028" s="1" t="s">
        <v>100</v>
      </c>
      <c r="E1028" s="1">
        <v>3.3353508E7</v>
      </c>
      <c r="F1028" s="2">
        <v>41288.0</v>
      </c>
      <c r="G1028" s="1" t="s">
        <v>297</v>
      </c>
      <c r="I1028" s="1" t="s">
        <v>297</v>
      </c>
      <c r="L1028" s="1" t="s">
        <v>102</v>
      </c>
      <c r="M1028" s="1">
        <v>8600.0</v>
      </c>
      <c r="N1028" s="1" t="s">
        <v>102</v>
      </c>
      <c r="O1028" s="1">
        <v>6.07778081E8</v>
      </c>
      <c r="P1028" s="1" t="s">
        <v>1002</v>
      </c>
      <c r="Q1028" s="1" t="s">
        <v>1003</v>
      </c>
      <c r="R1028" s="1" t="s">
        <v>1004</v>
      </c>
      <c r="S1028" s="1" t="s">
        <v>44</v>
      </c>
      <c r="T1028" s="1" t="s">
        <v>45</v>
      </c>
      <c r="U1028" s="1">
        <v>4.82261986E8</v>
      </c>
      <c r="W1028" s="1" t="s">
        <v>46</v>
      </c>
      <c r="X1028" s="1" t="s">
        <v>45</v>
      </c>
      <c r="Y1028" s="1">
        <v>4.82261986E8</v>
      </c>
      <c r="Z1028" s="1">
        <v>6.07778081E8</v>
      </c>
      <c r="AA1028" s="1" t="s">
        <v>1002</v>
      </c>
      <c r="AB1028" s="1">
        <v>88000.0</v>
      </c>
      <c r="AC1028" s="2">
        <v>41288.0</v>
      </c>
      <c r="AD1028" s="1">
        <v>8600.0</v>
      </c>
      <c r="AE1028" s="1" t="s">
        <v>102</v>
      </c>
      <c r="AF1028" s="1">
        <v>7766.0</v>
      </c>
      <c r="AG1028" s="1" t="s">
        <v>2435</v>
      </c>
      <c r="AH1028" s="1">
        <v>2.0</v>
      </c>
      <c r="AI1028" s="1">
        <v>2013.0</v>
      </c>
      <c r="AJ1028" s="1">
        <v>2013.0</v>
      </c>
      <c r="AK1028" s="1" t="s">
        <v>305</v>
      </c>
    </row>
    <row r="1029">
      <c r="A1029" s="1" t="s">
        <v>2351</v>
      </c>
      <c r="B1029" s="1" t="s">
        <v>2351</v>
      </c>
      <c r="C1029" s="1" t="s">
        <v>100</v>
      </c>
      <c r="E1029" s="1">
        <v>3.3353508E7</v>
      </c>
      <c r="F1029" s="2">
        <v>41288.0</v>
      </c>
      <c r="G1029" s="1" t="s">
        <v>297</v>
      </c>
      <c r="I1029" s="1" t="s">
        <v>297</v>
      </c>
      <c r="L1029" s="1" t="s">
        <v>102</v>
      </c>
      <c r="M1029" s="1">
        <v>8600.0</v>
      </c>
      <c r="N1029" s="1" t="s">
        <v>102</v>
      </c>
      <c r="O1029" s="1">
        <v>9.9654048E7</v>
      </c>
      <c r="P1029" s="1" t="s">
        <v>2436</v>
      </c>
      <c r="R1029" s="1" t="s">
        <v>2437</v>
      </c>
      <c r="S1029" s="1" t="s">
        <v>44</v>
      </c>
      <c r="T1029" s="1" t="s">
        <v>45</v>
      </c>
      <c r="U1029" s="1">
        <v>4.82012722E8</v>
      </c>
      <c r="W1029" s="1" t="s">
        <v>46</v>
      </c>
      <c r="X1029" s="1" t="s">
        <v>45</v>
      </c>
      <c r="Y1029" s="1">
        <v>4.82012722E8</v>
      </c>
      <c r="AB1029" s="1">
        <v>88000.0</v>
      </c>
      <c r="AC1029" s="2">
        <v>41288.0</v>
      </c>
      <c r="AD1029" s="1">
        <v>8600.0</v>
      </c>
      <c r="AE1029" s="1" t="s">
        <v>102</v>
      </c>
      <c r="AF1029" s="1">
        <v>7753.0</v>
      </c>
      <c r="AG1029" s="1" t="s">
        <v>2438</v>
      </c>
      <c r="AH1029" s="1">
        <v>2.0</v>
      </c>
      <c r="AI1029" s="1">
        <v>2013.0</v>
      </c>
      <c r="AJ1029" s="1">
        <v>2013.0</v>
      </c>
      <c r="AK1029" s="1" t="s">
        <v>305</v>
      </c>
    </row>
    <row r="1030">
      <c r="A1030" s="1" t="s">
        <v>2351</v>
      </c>
      <c r="B1030" s="1" t="s">
        <v>2351</v>
      </c>
      <c r="C1030" s="1" t="s">
        <v>100</v>
      </c>
      <c r="E1030" s="1">
        <v>3.3353508E7</v>
      </c>
      <c r="F1030" s="2">
        <v>41288.0</v>
      </c>
      <c r="G1030" s="1" t="s">
        <v>297</v>
      </c>
      <c r="I1030" s="1" t="s">
        <v>297</v>
      </c>
      <c r="L1030" s="1" t="s">
        <v>102</v>
      </c>
      <c r="M1030" s="1">
        <v>8600.0</v>
      </c>
      <c r="N1030" s="1" t="s">
        <v>102</v>
      </c>
      <c r="O1030" s="1">
        <v>1.6862067E7</v>
      </c>
      <c r="P1030" s="1" t="s">
        <v>2439</v>
      </c>
      <c r="R1030" s="1" t="s">
        <v>2440</v>
      </c>
      <c r="S1030" s="1" t="s">
        <v>44</v>
      </c>
      <c r="T1030" s="1" t="s">
        <v>45</v>
      </c>
      <c r="U1030" s="1">
        <v>4.82023194E8</v>
      </c>
      <c r="W1030" s="1" t="s">
        <v>46</v>
      </c>
      <c r="X1030" s="1" t="s">
        <v>45</v>
      </c>
      <c r="Y1030" s="1">
        <v>4.82023194E8</v>
      </c>
      <c r="AB1030" s="1">
        <v>60000.0</v>
      </c>
      <c r="AC1030" s="2">
        <v>41288.0</v>
      </c>
      <c r="AD1030" s="1">
        <v>8600.0</v>
      </c>
      <c r="AE1030" s="1" t="s">
        <v>102</v>
      </c>
      <c r="AF1030" s="1">
        <v>7713.0</v>
      </c>
      <c r="AG1030" s="1" t="s">
        <v>2441</v>
      </c>
      <c r="AH1030" s="1">
        <v>2.0</v>
      </c>
      <c r="AI1030" s="1">
        <v>2013.0</v>
      </c>
      <c r="AJ1030" s="1">
        <v>2013.0</v>
      </c>
      <c r="AK1030" s="1" t="s">
        <v>305</v>
      </c>
    </row>
    <row r="1031">
      <c r="A1031" s="1" t="s">
        <v>2351</v>
      </c>
      <c r="B1031" s="1" t="s">
        <v>2351</v>
      </c>
      <c r="C1031" s="1" t="s">
        <v>100</v>
      </c>
      <c r="E1031" s="1">
        <v>3.3353508E7</v>
      </c>
      <c r="F1031" s="2">
        <v>41288.0</v>
      </c>
      <c r="G1031" s="1" t="s">
        <v>297</v>
      </c>
      <c r="I1031" s="1" t="s">
        <v>297</v>
      </c>
      <c r="L1031" s="1" t="s">
        <v>102</v>
      </c>
      <c r="M1031" s="1">
        <v>8600.0</v>
      </c>
      <c r="N1031" s="1" t="s">
        <v>102</v>
      </c>
      <c r="O1031" s="1">
        <v>1.66664495E8</v>
      </c>
      <c r="P1031" s="1" t="s">
        <v>289</v>
      </c>
      <c r="Q1031" s="1" t="s">
        <v>290</v>
      </c>
      <c r="R1031" s="1" t="s">
        <v>291</v>
      </c>
      <c r="S1031" s="1" t="s">
        <v>44</v>
      </c>
      <c r="T1031" s="1" t="s">
        <v>45</v>
      </c>
      <c r="U1031" s="1">
        <v>4.82023158E8</v>
      </c>
      <c r="W1031" s="1" t="s">
        <v>46</v>
      </c>
      <c r="X1031" s="1" t="s">
        <v>45</v>
      </c>
      <c r="Y1031" s="1">
        <v>4.82023158E8</v>
      </c>
      <c r="AB1031" s="1">
        <v>600000.0</v>
      </c>
      <c r="AC1031" s="2">
        <v>41288.0</v>
      </c>
      <c r="AD1031" s="1">
        <v>8600.0</v>
      </c>
      <c r="AE1031" s="1" t="s">
        <v>102</v>
      </c>
      <c r="AF1031" s="1">
        <v>7725.0</v>
      </c>
      <c r="AG1031" s="1" t="s">
        <v>2442</v>
      </c>
      <c r="AH1031" s="1">
        <v>2.0</v>
      </c>
      <c r="AI1031" s="1">
        <v>2013.0</v>
      </c>
      <c r="AJ1031" s="1">
        <v>2013.0</v>
      </c>
      <c r="AK1031" s="1" t="s">
        <v>305</v>
      </c>
    </row>
    <row r="1032">
      <c r="A1032" s="1" t="s">
        <v>2351</v>
      </c>
      <c r="B1032" s="1" t="s">
        <v>2351</v>
      </c>
      <c r="C1032" s="1" t="s">
        <v>100</v>
      </c>
      <c r="E1032" s="1">
        <v>3.3353508E7</v>
      </c>
      <c r="F1032" s="2">
        <v>41288.0</v>
      </c>
      <c r="G1032" s="1" t="s">
        <v>297</v>
      </c>
      <c r="I1032" s="1" t="s">
        <v>297</v>
      </c>
      <c r="L1032" s="1" t="s">
        <v>102</v>
      </c>
      <c r="M1032" s="1">
        <v>8600.0</v>
      </c>
      <c r="N1032" s="1" t="s">
        <v>102</v>
      </c>
      <c r="O1032" s="1">
        <v>8.34085698E8</v>
      </c>
      <c r="P1032" s="1" t="s">
        <v>2443</v>
      </c>
      <c r="R1032" s="1" t="s">
        <v>2444</v>
      </c>
      <c r="S1032" s="1" t="s">
        <v>44</v>
      </c>
      <c r="T1032" s="1" t="s">
        <v>45</v>
      </c>
      <c r="U1032" s="1">
        <v>4.82133858E8</v>
      </c>
      <c r="W1032" s="1" t="s">
        <v>46</v>
      </c>
      <c r="X1032" s="1" t="s">
        <v>45</v>
      </c>
      <c r="Y1032" s="1">
        <v>4.82133858E8</v>
      </c>
      <c r="AB1032" s="1">
        <v>60000.0</v>
      </c>
      <c r="AC1032" s="2">
        <v>41288.0</v>
      </c>
      <c r="AD1032" s="1">
        <v>8600.0</v>
      </c>
      <c r="AE1032" s="1" t="s">
        <v>102</v>
      </c>
      <c r="AF1032" s="1">
        <v>7712.0</v>
      </c>
      <c r="AG1032" s="1" t="s">
        <v>2445</v>
      </c>
      <c r="AH1032" s="1">
        <v>2.0</v>
      </c>
      <c r="AI1032" s="1">
        <v>2013.0</v>
      </c>
      <c r="AJ1032" s="1">
        <v>2013.0</v>
      </c>
      <c r="AK1032" s="1" t="s">
        <v>305</v>
      </c>
    </row>
    <row r="1033">
      <c r="A1033" s="1" t="s">
        <v>2351</v>
      </c>
      <c r="B1033" s="1" t="s">
        <v>2351</v>
      </c>
      <c r="C1033" s="1" t="s">
        <v>100</v>
      </c>
      <c r="E1033" s="1">
        <v>3.3353508E7</v>
      </c>
      <c r="F1033" s="2">
        <v>41288.0</v>
      </c>
      <c r="G1033" s="1" t="s">
        <v>297</v>
      </c>
      <c r="I1033" s="1" t="s">
        <v>297</v>
      </c>
      <c r="L1033" s="1" t="s">
        <v>102</v>
      </c>
      <c r="M1033" s="1">
        <v>8600.0</v>
      </c>
      <c r="N1033" s="1" t="s">
        <v>102</v>
      </c>
      <c r="O1033" s="1">
        <v>7.8274513E7</v>
      </c>
      <c r="P1033" s="1" t="s">
        <v>2217</v>
      </c>
      <c r="R1033" s="1" t="s">
        <v>2218</v>
      </c>
      <c r="S1033" s="1" t="s">
        <v>44</v>
      </c>
      <c r="T1033" s="1" t="s">
        <v>45</v>
      </c>
      <c r="U1033" s="1">
        <v>4.82211964E8</v>
      </c>
      <c r="W1033" s="1" t="s">
        <v>46</v>
      </c>
      <c r="X1033" s="1" t="s">
        <v>45</v>
      </c>
      <c r="Y1033" s="1">
        <v>4.82211964E8</v>
      </c>
      <c r="AB1033" s="1">
        <v>60000.0</v>
      </c>
      <c r="AC1033" s="2">
        <v>41288.0</v>
      </c>
      <c r="AD1033" s="1">
        <v>8600.0</v>
      </c>
      <c r="AE1033" s="1" t="s">
        <v>102</v>
      </c>
      <c r="AF1033" s="1">
        <v>7715.0</v>
      </c>
      <c r="AG1033" s="1" t="s">
        <v>2446</v>
      </c>
      <c r="AH1033" s="1">
        <v>2.0</v>
      </c>
      <c r="AI1033" s="1">
        <v>2013.0</v>
      </c>
      <c r="AJ1033" s="1">
        <v>2013.0</v>
      </c>
      <c r="AK1033" s="1" t="s">
        <v>305</v>
      </c>
    </row>
    <row r="1034">
      <c r="A1034" s="1" t="s">
        <v>2351</v>
      </c>
      <c r="B1034" s="1" t="s">
        <v>2351</v>
      </c>
      <c r="C1034" s="1" t="s">
        <v>100</v>
      </c>
      <c r="E1034" s="1">
        <v>3.3353508E7</v>
      </c>
      <c r="F1034" s="2">
        <v>41288.0</v>
      </c>
      <c r="G1034" s="1" t="s">
        <v>297</v>
      </c>
      <c r="I1034" s="1" t="s">
        <v>297</v>
      </c>
      <c r="L1034" s="1" t="s">
        <v>102</v>
      </c>
      <c r="M1034" s="1">
        <v>8600.0</v>
      </c>
      <c r="N1034" s="1" t="s">
        <v>102</v>
      </c>
      <c r="O1034" s="1">
        <v>4.4686553E7</v>
      </c>
      <c r="P1034" s="1" t="s">
        <v>2447</v>
      </c>
      <c r="R1034" s="1" t="s">
        <v>2448</v>
      </c>
      <c r="S1034" s="1" t="s">
        <v>44</v>
      </c>
      <c r="T1034" s="1" t="s">
        <v>45</v>
      </c>
      <c r="U1034" s="1">
        <v>4.820113E8</v>
      </c>
      <c r="W1034" s="1" t="s">
        <v>46</v>
      </c>
      <c r="X1034" s="1" t="s">
        <v>45</v>
      </c>
      <c r="Y1034" s="1">
        <v>4.820113E8</v>
      </c>
      <c r="AB1034" s="1">
        <v>600000.0</v>
      </c>
      <c r="AC1034" s="2">
        <v>41288.0</v>
      </c>
      <c r="AD1034" s="1">
        <v>8600.0</v>
      </c>
      <c r="AE1034" s="1" t="s">
        <v>102</v>
      </c>
      <c r="AF1034" s="1">
        <v>7718.0</v>
      </c>
      <c r="AG1034" s="1" t="s">
        <v>2449</v>
      </c>
      <c r="AH1034" s="1">
        <v>2.0</v>
      </c>
      <c r="AI1034" s="1">
        <v>2013.0</v>
      </c>
      <c r="AJ1034" s="1">
        <v>2013.0</v>
      </c>
      <c r="AK1034" s="1" t="s">
        <v>305</v>
      </c>
    </row>
    <row r="1035">
      <c r="A1035" s="1" t="s">
        <v>1432</v>
      </c>
      <c r="B1035" s="1" t="s">
        <v>1432</v>
      </c>
      <c r="C1035" s="1" t="s">
        <v>100</v>
      </c>
      <c r="E1035" s="1">
        <v>3820532.0</v>
      </c>
      <c r="F1035" s="2">
        <v>41556.0</v>
      </c>
      <c r="G1035" s="1" t="s">
        <v>1433</v>
      </c>
      <c r="I1035" s="1" t="s">
        <v>1433</v>
      </c>
      <c r="L1035" s="1" t="s">
        <v>102</v>
      </c>
      <c r="M1035" s="1">
        <v>8600.0</v>
      </c>
      <c r="N1035" s="1" t="s">
        <v>102</v>
      </c>
      <c r="O1035" s="1">
        <v>1.54693043E8</v>
      </c>
      <c r="P1035" s="1" t="s">
        <v>362</v>
      </c>
      <c r="Q1035" s="1" t="s">
        <v>363</v>
      </c>
      <c r="R1035" s="1" t="s">
        <v>364</v>
      </c>
      <c r="S1035" s="1" t="s">
        <v>44</v>
      </c>
      <c r="T1035" s="1" t="s">
        <v>45</v>
      </c>
      <c r="U1035" s="1">
        <v>4.82161936E8</v>
      </c>
      <c r="W1035" s="1" t="s">
        <v>46</v>
      </c>
      <c r="X1035" s="1" t="s">
        <v>45</v>
      </c>
      <c r="Y1035" s="1">
        <v>4.82161936E8</v>
      </c>
      <c r="AB1035" s="1">
        <v>426169.0</v>
      </c>
      <c r="AC1035" s="2">
        <v>41556.0</v>
      </c>
      <c r="AD1035" s="1">
        <v>8600.0</v>
      </c>
      <c r="AE1035" s="1" t="s">
        <v>102</v>
      </c>
      <c r="AF1035" s="1" t="s">
        <v>1434</v>
      </c>
      <c r="AG1035" s="1" t="s">
        <v>1435</v>
      </c>
      <c r="AH1035" s="1">
        <v>6.0</v>
      </c>
      <c r="AI1035" s="1">
        <v>2014.0</v>
      </c>
      <c r="AJ1035" s="1">
        <v>2014.0</v>
      </c>
      <c r="AK1035" s="1" t="s">
        <v>367</v>
      </c>
    </row>
    <row r="1036">
      <c r="A1036" s="1" t="s">
        <v>2450</v>
      </c>
      <c r="B1036" s="1" t="s">
        <v>2450</v>
      </c>
      <c r="C1036" s="1" t="s">
        <v>224</v>
      </c>
      <c r="E1036" s="1">
        <v>109365.0</v>
      </c>
      <c r="F1036" s="2">
        <v>41731.0</v>
      </c>
      <c r="G1036" s="1" t="s">
        <v>2382</v>
      </c>
      <c r="I1036" s="1" t="s">
        <v>2382</v>
      </c>
      <c r="L1036" s="1" t="s">
        <v>151</v>
      </c>
      <c r="M1036" s="1">
        <v>6900.0</v>
      </c>
      <c r="N1036" s="1" t="s">
        <v>151</v>
      </c>
      <c r="O1036" s="1">
        <v>1.1855476E8</v>
      </c>
      <c r="P1036" s="1" t="s">
        <v>983</v>
      </c>
      <c r="Q1036" s="1" t="s">
        <v>984</v>
      </c>
      <c r="R1036" s="1" t="s">
        <v>227</v>
      </c>
      <c r="S1036" s="1" t="s">
        <v>44</v>
      </c>
      <c r="T1036" s="1" t="s">
        <v>45</v>
      </c>
      <c r="U1036" s="1">
        <v>4.82262886E8</v>
      </c>
      <c r="W1036" s="1" t="s">
        <v>46</v>
      </c>
      <c r="X1036" s="1" t="s">
        <v>45</v>
      </c>
      <c r="Y1036" s="1">
        <v>4.82262886E8</v>
      </c>
      <c r="Z1036" s="1">
        <v>6530661.0</v>
      </c>
      <c r="AA1036" s="1" t="s">
        <v>76</v>
      </c>
      <c r="AB1036" s="1">
        <v>109365.92</v>
      </c>
      <c r="AC1036" s="2">
        <v>41731.0</v>
      </c>
      <c r="AD1036" s="1">
        <v>6900.0</v>
      </c>
      <c r="AE1036" s="1" t="s">
        <v>151</v>
      </c>
      <c r="AF1036" s="1">
        <v>1.0</v>
      </c>
      <c r="AG1036" s="1" t="s">
        <v>2451</v>
      </c>
      <c r="AH1036" s="1">
        <v>4.0</v>
      </c>
      <c r="AI1036" s="1">
        <v>2014.0</v>
      </c>
      <c r="AJ1036" s="1">
        <v>2014.0</v>
      </c>
      <c r="AK1036" s="1" t="s">
        <v>229</v>
      </c>
    </row>
    <row r="1037">
      <c r="A1037" s="1" t="s">
        <v>2351</v>
      </c>
      <c r="B1037" s="1" t="s">
        <v>2351</v>
      </c>
      <c r="C1037" s="1" t="s">
        <v>100</v>
      </c>
      <c r="E1037" s="1">
        <v>3.3353508E7</v>
      </c>
      <c r="F1037" s="2">
        <v>41288.0</v>
      </c>
      <c r="G1037" s="1" t="s">
        <v>297</v>
      </c>
      <c r="I1037" s="1" t="s">
        <v>297</v>
      </c>
      <c r="L1037" s="1" t="s">
        <v>102</v>
      </c>
      <c r="M1037" s="1">
        <v>8600.0</v>
      </c>
      <c r="N1037" s="1" t="s">
        <v>102</v>
      </c>
      <c r="O1037" s="1">
        <v>6.0974268E7</v>
      </c>
      <c r="P1037" s="1" t="s">
        <v>2146</v>
      </c>
      <c r="R1037" s="1" t="s">
        <v>2147</v>
      </c>
      <c r="S1037" s="1" t="s">
        <v>44</v>
      </c>
      <c r="T1037" s="1" t="s">
        <v>45</v>
      </c>
      <c r="U1037" s="1">
        <v>4.82261417E8</v>
      </c>
      <c r="W1037" s="1" t="s">
        <v>46</v>
      </c>
      <c r="X1037" s="1" t="s">
        <v>45</v>
      </c>
      <c r="Y1037" s="1">
        <v>4.82261417E8</v>
      </c>
      <c r="AB1037" s="1">
        <v>88000.0</v>
      </c>
      <c r="AC1037" s="2">
        <v>41288.0</v>
      </c>
      <c r="AD1037" s="1">
        <v>8600.0</v>
      </c>
      <c r="AE1037" s="1" t="s">
        <v>102</v>
      </c>
      <c r="AF1037" s="1">
        <v>7762.0</v>
      </c>
      <c r="AG1037" s="1" t="s">
        <v>2452</v>
      </c>
      <c r="AH1037" s="1">
        <v>2.0</v>
      </c>
      <c r="AI1037" s="1">
        <v>2013.0</v>
      </c>
      <c r="AJ1037" s="1">
        <v>2013.0</v>
      </c>
      <c r="AK1037" s="1" t="s">
        <v>305</v>
      </c>
    </row>
    <row r="1038">
      <c r="A1038" s="1" t="s">
        <v>2351</v>
      </c>
      <c r="B1038" s="1" t="s">
        <v>2351</v>
      </c>
      <c r="C1038" s="1" t="s">
        <v>100</v>
      </c>
      <c r="E1038" s="1">
        <v>3.3353508E7</v>
      </c>
      <c r="F1038" s="2">
        <v>41288.0</v>
      </c>
      <c r="G1038" s="1" t="s">
        <v>297</v>
      </c>
      <c r="I1038" s="1" t="s">
        <v>297</v>
      </c>
      <c r="L1038" s="1" t="s">
        <v>102</v>
      </c>
      <c r="M1038" s="1">
        <v>8600.0</v>
      </c>
      <c r="N1038" s="1" t="s">
        <v>102</v>
      </c>
      <c r="O1038" s="1">
        <v>1.43949258E8</v>
      </c>
      <c r="P1038" s="1" t="s">
        <v>2143</v>
      </c>
      <c r="R1038" s="1" t="s">
        <v>2144</v>
      </c>
      <c r="S1038" s="1" t="s">
        <v>44</v>
      </c>
      <c r="T1038" s="1" t="s">
        <v>45</v>
      </c>
      <c r="U1038" s="1">
        <v>4.82132411E8</v>
      </c>
      <c r="W1038" s="1" t="s">
        <v>46</v>
      </c>
      <c r="X1038" s="1" t="s">
        <v>45</v>
      </c>
      <c r="Y1038" s="1">
        <v>4.82132411E8</v>
      </c>
      <c r="AB1038" s="1">
        <v>60000.0</v>
      </c>
      <c r="AC1038" s="2">
        <v>41288.0</v>
      </c>
      <c r="AD1038" s="1">
        <v>8600.0</v>
      </c>
      <c r="AE1038" s="1" t="s">
        <v>102</v>
      </c>
      <c r="AF1038" s="1">
        <v>7703.0</v>
      </c>
      <c r="AG1038" s="1" t="s">
        <v>2453</v>
      </c>
      <c r="AH1038" s="1">
        <v>2.0</v>
      </c>
      <c r="AI1038" s="1">
        <v>2013.0</v>
      </c>
      <c r="AJ1038" s="1">
        <v>2013.0</v>
      </c>
      <c r="AK1038" s="1" t="s">
        <v>305</v>
      </c>
    </row>
    <row r="1039">
      <c r="A1039" s="1" t="s">
        <v>2351</v>
      </c>
      <c r="B1039" s="1" t="s">
        <v>2351</v>
      </c>
      <c r="C1039" s="1" t="s">
        <v>100</v>
      </c>
      <c r="E1039" s="1">
        <v>3.3353508E7</v>
      </c>
      <c r="F1039" s="2">
        <v>41288.0</v>
      </c>
      <c r="G1039" s="1" t="s">
        <v>297</v>
      </c>
      <c r="I1039" s="1" t="s">
        <v>297</v>
      </c>
      <c r="L1039" s="1" t="s">
        <v>102</v>
      </c>
      <c r="M1039" s="1">
        <v>8600.0</v>
      </c>
      <c r="N1039" s="1" t="s">
        <v>102</v>
      </c>
      <c r="O1039" s="1">
        <v>9.68670828E8</v>
      </c>
      <c r="P1039" s="1" t="s">
        <v>2213</v>
      </c>
      <c r="Q1039" s="1" t="s">
        <v>2214</v>
      </c>
      <c r="R1039" s="1" t="s">
        <v>2215</v>
      </c>
      <c r="S1039" s="1" t="s">
        <v>44</v>
      </c>
      <c r="T1039" s="1" t="s">
        <v>45</v>
      </c>
      <c r="U1039" s="1">
        <v>4.82152804E8</v>
      </c>
      <c r="W1039" s="1" t="s">
        <v>46</v>
      </c>
      <c r="X1039" s="1" t="s">
        <v>45</v>
      </c>
      <c r="Y1039" s="1">
        <v>4.82152804E8</v>
      </c>
      <c r="AB1039" s="1">
        <v>129377.0</v>
      </c>
      <c r="AC1039" s="2">
        <v>41288.0</v>
      </c>
      <c r="AD1039" s="1">
        <v>8600.0</v>
      </c>
      <c r="AE1039" s="1" t="s">
        <v>102</v>
      </c>
      <c r="AF1039" s="1">
        <v>7691.0</v>
      </c>
      <c r="AG1039" s="1" t="s">
        <v>2454</v>
      </c>
      <c r="AH1039" s="1">
        <v>2.0</v>
      </c>
      <c r="AI1039" s="1">
        <v>2013.0</v>
      </c>
      <c r="AJ1039" s="1">
        <v>2013.0</v>
      </c>
      <c r="AK1039" s="1" t="s">
        <v>305</v>
      </c>
    </row>
    <row r="1040">
      <c r="A1040" s="1" t="s">
        <v>2351</v>
      </c>
      <c r="B1040" s="1" t="s">
        <v>2351</v>
      </c>
      <c r="C1040" s="1" t="s">
        <v>100</v>
      </c>
      <c r="E1040" s="1">
        <v>3.3353508E7</v>
      </c>
      <c r="F1040" s="2">
        <v>41288.0</v>
      </c>
      <c r="G1040" s="1" t="s">
        <v>297</v>
      </c>
      <c r="I1040" s="1" t="s">
        <v>297</v>
      </c>
      <c r="L1040" s="1" t="s">
        <v>102</v>
      </c>
      <c r="M1040" s="1">
        <v>8600.0</v>
      </c>
      <c r="N1040" s="1" t="s">
        <v>102</v>
      </c>
      <c r="O1040" s="1">
        <v>7.2761299E7</v>
      </c>
      <c r="P1040" s="1" t="s">
        <v>667</v>
      </c>
      <c r="R1040" s="1" t="s">
        <v>668</v>
      </c>
      <c r="S1040" s="1" t="s">
        <v>44</v>
      </c>
      <c r="T1040" s="1" t="s">
        <v>45</v>
      </c>
      <c r="U1040" s="1">
        <v>4.82382849E8</v>
      </c>
      <c r="W1040" s="1" t="s">
        <v>46</v>
      </c>
      <c r="X1040" s="1" t="s">
        <v>45</v>
      </c>
      <c r="Y1040" s="1">
        <v>4.82382849E8</v>
      </c>
      <c r="Z1040" s="1">
        <v>7.2761299E7</v>
      </c>
      <c r="AA1040" s="1" t="s">
        <v>667</v>
      </c>
      <c r="AB1040" s="1">
        <v>129377.0</v>
      </c>
      <c r="AC1040" s="2">
        <v>41288.0</v>
      </c>
      <c r="AD1040" s="1">
        <v>8600.0</v>
      </c>
      <c r="AE1040" s="1" t="s">
        <v>102</v>
      </c>
      <c r="AF1040" s="1">
        <v>7686.0</v>
      </c>
      <c r="AG1040" s="1" t="s">
        <v>2455</v>
      </c>
      <c r="AH1040" s="1">
        <v>2.0</v>
      </c>
      <c r="AI1040" s="1">
        <v>2013.0</v>
      </c>
      <c r="AJ1040" s="1">
        <v>2013.0</v>
      </c>
      <c r="AK1040" s="1" t="s">
        <v>305</v>
      </c>
    </row>
    <row r="1041">
      <c r="A1041" s="1" t="s">
        <v>2351</v>
      </c>
      <c r="B1041" s="1" t="s">
        <v>2351</v>
      </c>
      <c r="C1041" s="1" t="s">
        <v>100</v>
      </c>
      <c r="E1041" s="1">
        <v>3.3353508E7</v>
      </c>
      <c r="F1041" s="2">
        <v>41288.0</v>
      </c>
      <c r="G1041" s="1" t="s">
        <v>297</v>
      </c>
      <c r="I1041" s="1" t="s">
        <v>297</v>
      </c>
      <c r="L1041" s="1" t="s">
        <v>102</v>
      </c>
      <c r="M1041" s="1">
        <v>8600.0</v>
      </c>
      <c r="N1041" s="1" t="s">
        <v>102</v>
      </c>
      <c r="O1041" s="1">
        <v>1.36195737E8</v>
      </c>
      <c r="P1041" s="1" t="s">
        <v>2456</v>
      </c>
      <c r="Q1041" s="1" t="s">
        <v>2457</v>
      </c>
      <c r="R1041" s="1" t="s">
        <v>2458</v>
      </c>
      <c r="S1041" s="1" t="s">
        <v>44</v>
      </c>
      <c r="T1041" s="1" t="s">
        <v>45</v>
      </c>
      <c r="U1041" s="1">
        <v>4.82343241E8</v>
      </c>
      <c r="W1041" s="1" t="s">
        <v>46</v>
      </c>
      <c r="X1041" s="1" t="s">
        <v>45</v>
      </c>
      <c r="Y1041" s="1">
        <v>4.82343241E8</v>
      </c>
      <c r="AB1041" s="1">
        <v>60000.0</v>
      </c>
      <c r="AC1041" s="2">
        <v>41288.0</v>
      </c>
      <c r="AD1041" s="1">
        <v>8600.0</v>
      </c>
      <c r="AE1041" s="1" t="s">
        <v>102</v>
      </c>
      <c r="AF1041" s="1">
        <v>7739.0</v>
      </c>
      <c r="AG1041" s="1" t="s">
        <v>2459</v>
      </c>
      <c r="AH1041" s="1">
        <v>2.0</v>
      </c>
      <c r="AI1041" s="1">
        <v>2013.0</v>
      </c>
      <c r="AJ1041" s="1">
        <v>2013.0</v>
      </c>
      <c r="AK1041" s="1" t="s">
        <v>305</v>
      </c>
    </row>
    <row r="1042">
      <c r="A1042" s="1" t="s">
        <v>2351</v>
      </c>
      <c r="B1042" s="1" t="s">
        <v>2351</v>
      </c>
      <c r="C1042" s="1" t="s">
        <v>100</v>
      </c>
      <c r="E1042" s="1">
        <v>3.3353508E7</v>
      </c>
      <c r="F1042" s="2">
        <v>41288.0</v>
      </c>
      <c r="G1042" s="1" t="s">
        <v>297</v>
      </c>
      <c r="I1042" s="1" t="s">
        <v>297</v>
      </c>
      <c r="L1042" s="1" t="s">
        <v>102</v>
      </c>
      <c r="M1042" s="1">
        <v>8600.0</v>
      </c>
      <c r="N1042" s="1" t="s">
        <v>102</v>
      </c>
      <c r="O1042" s="1">
        <v>6.12930482E8</v>
      </c>
      <c r="P1042" s="1" t="s">
        <v>2460</v>
      </c>
      <c r="Q1042" s="1" t="s">
        <v>2461</v>
      </c>
      <c r="R1042" s="1" t="s">
        <v>2462</v>
      </c>
      <c r="S1042" s="1" t="s">
        <v>44</v>
      </c>
      <c r="T1042" s="1" t="s">
        <v>45</v>
      </c>
      <c r="U1042" s="1">
        <v>4.82131755E8</v>
      </c>
      <c r="W1042" s="1" t="s">
        <v>46</v>
      </c>
      <c r="X1042" s="1" t="s">
        <v>45</v>
      </c>
      <c r="Y1042" s="1">
        <v>4.82131755E8</v>
      </c>
      <c r="AB1042" s="1">
        <v>88000.0</v>
      </c>
      <c r="AC1042" s="2">
        <v>41288.0</v>
      </c>
      <c r="AD1042" s="1">
        <v>8600.0</v>
      </c>
      <c r="AE1042" s="1" t="s">
        <v>102</v>
      </c>
      <c r="AF1042" s="1">
        <v>7760.0</v>
      </c>
      <c r="AG1042" s="1" t="s">
        <v>2463</v>
      </c>
      <c r="AH1042" s="1">
        <v>2.0</v>
      </c>
      <c r="AI1042" s="1">
        <v>2013.0</v>
      </c>
      <c r="AJ1042" s="1">
        <v>2013.0</v>
      </c>
      <c r="AK1042" s="1" t="s">
        <v>305</v>
      </c>
    </row>
    <row r="1043">
      <c r="A1043" s="1" t="s">
        <v>2351</v>
      </c>
      <c r="B1043" s="1" t="s">
        <v>2351</v>
      </c>
      <c r="C1043" s="1" t="s">
        <v>100</v>
      </c>
      <c r="E1043" s="1">
        <v>3.3353508E7</v>
      </c>
      <c r="F1043" s="2">
        <v>41288.0</v>
      </c>
      <c r="G1043" s="1" t="s">
        <v>297</v>
      </c>
      <c r="I1043" s="1" t="s">
        <v>297</v>
      </c>
      <c r="L1043" s="1" t="s">
        <v>102</v>
      </c>
      <c r="M1043" s="1">
        <v>8600.0</v>
      </c>
      <c r="N1043" s="1" t="s">
        <v>102</v>
      </c>
      <c r="O1043" s="1">
        <v>1.98999146E8</v>
      </c>
      <c r="P1043" s="1" t="s">
        <v>999</v>
      </c>
      <c r="R1043" s="1" t="s">
        <v>1000</v>
      </c>
      <c r="S1043" s="1" t="s">
        <v>44</v>
      </c>
      <c r="T1043" s="1" t="s">
        <v>45</v>
      </c>
      <c r="U1043" s="1">
        <v>4.82263007E8</v>
      </c>
      <c r="W1043" s="1" t="s">
        <v>46</v>
      </c>
      <c r="X1043" s="1" t="s">
        <v>45</v>
      </c>
      <c r="Y1043" s="1">
        <v>4.82263007E8</v>
      </c>
      <c r="AB1043" s="1">
        <v>60000.0</v>
      </c>
      <c r="AC1043" s="2">
        <v>41288.0</v>
      </c>
      <c r="AD1043" s="1">
        <v>8600.0</v>
      </c>
      <c r="AE1043" s="1" t="s">
        <v>102</v>
      </c>
      <c r="AF1043" s="1">
        <v>7708.0</v>
      </c>
      <c r="AG1043" s="1" t="s">
        <v>2464</v>
      </c>
      <c r="AH1043" s="1">
        <v>2.0</v>
      </c>
      <c r="AI1043" s="1">
        <v>2013.0</v>
      </c>
      <c r="AJ1043" s="1">
        <v>2013.0</v>
      </c>
      <c r="AK1043" s="1" t="s">
        <v>305</v>
      </c>
    </row>
    <row r="1044">
      <c r="A1044" s="1" t="s">
        <v>2351</v>
      </c>
      <c r="B1044" s="1" t="s">
        <v>2351</v>
      </c>
      <c r="C1044" s="1" t="s">
        <v>100</v>
      </c>
      <c r="E1044" s="1">
        <v>3.3353508E7</v>
      </c>
      <c r="F1044" s="2">
        <v>41288.0</v>
      </c>
      <c r="G1044" s="1" t="s">
        <v>297</v>
      </c>
      <c r="I1044" s="1" t="s">
        <v>297</v>
      </c>
      <c r="L1044" s="1" t="s">
        <v>102</v>
      </c>
      <c r="M1044" s="1">
        <v>8600.0</v>
      </c>
      <c r="N1044" s="1" t="s">
        <v>102</v>
      </c>
      <c r="O1044" s="1">
        <v>1.63884885E8</v>
      </c>
      <c r="P1044" s="1" t="s">
        <v>2465</v>
      </c>
      <c r="Q1044" s="1" t="s">
        <v>2466</v>
      </c>
      <c r="R1044" s="1" t="s">
        <v>2178</v>
      </c>
      <c r="S1044" s="1" t="s">
        <v>44</v>
      </c>
      <c r="T1044" s="1" t="s">
        <v>45</v>
      </c>
      <c r="U1044" s="1">
        <v>4.82101936E8</v>
      </c>
      <c r="W1044" s="1" t="s">
        <v>46</v>
      </c>
      <c r="X1044" s="1" t="s">
        <v>45</v>
      </c>
      <c r="Y1044" s="1">
        <v>4.82101936E8</v>
      </c>
      <c r="Z1044" s="1">
        <v>9.37900736E8</v>
      </c>
      <c r="AB1044" s="1">
        <v>60000.0</v>
      </c>
      <c r="AC1044" s="2">
        <v>41288.0</v>
      </c>
      <c r="AD1044" s="1">
        <v>8600.0</v>
      </c>
      <c r="AE1044" s="1" t="s">
        <v>102</v>
      </c>
      <c r="AF1044" s="1">
        <v>7705.0</v>
      </c>
      <c r="AG1044" s="1" t="s">
        <v>2467</v>
      </c>
      <c r="AH1044" s="1">
        <v>2.0</v>
      </c>
      <c r="AI1044" s="1">
        <v>2013.0</v>
      </c>
      <c r="AJ1044" s="1">
        <v>2013.0</v>
      </c>
      <c r="AK1044" s="1" t="s">
        <v>305</v>
      </c>
    </row>
    <row r="1045">
      <c r="A1045" s="1" t="s">
        <v>2351</v>
      </c>
      <c r="B1045" s="1" t="s">
        <v>2351</v>
      </c>
      <c r="C1045" s="1" t="s">
        <v>100</v>
      </c>
      <c r="E1045" s="1">
        <v>3.3353508E7</v>
      </c>
      <c r="F1045" s="2">
        <v>41288.0</v>
      </c>
      <c r="G1045" s="1" t="s">
        <v>297</v>
      </c>
      <c r="I1045" s="1" t="s">
        <v>297</v>
      </c>
      <c r="L1045" s="1" t="s">
        <v>102</v>
      </c>
      <c r="M1045" s="1">
        <v>8600.0</v>
      </c>
      <c r="N1045" s="1" t="s">
        <v>102</v>
      </c>
      <c r="O1045" s="1">
        <v>1.50789019E8</v>
      </c>
      <c r="P1045" s="1" t="s">
        <v>2468</v>
      </c>
      <c r="R1045" s="1" t="s">
        <v>2469</v>
      </c>
      <c r="S1045" s="1" t="s">
        <v>44</v>
      </c>
      <c r="T1045" s="1" t="s">
        <v>45</v>
      </c>
      <c r="U1045" s="1">
        <v>4.82191028E8</v>
      </c>
      <c r="W1045" s="1" t="s">
        <v>46</v>
      </c>
      <c r="X1045" s="1" t="s">
        <v>45</v>
      </c>
      <c r="Y1045" s="1">
        <v>4.82191208E8</v>
      </c>
      <c r="AB1045" s="1">
        <v>100000.0</v>
      </c>
      <c r="AC1045" s="2">
        <v>41288.0</v>
      </c>
      <c r="AD1045" s="1">
        <v>8600.0</v>
      </c>
      <c r="AE1045" s="1" t="s">
        <v>102</v>
      </c>
      <c r="AF1045" s="1">
        <v>7685.0</v>
      </c>
      <c r="AG1045" s="1" t="s">
        <v>2470</v>
      </c>
      <c r="AH1045" s="1">
        <v>2.0</v>
      </c>
      <c r="AI1045" s="1">
        <v>2013.0</v>
      </c>
      <c r="AJ1045" s="1">
        <v>2013.0</v>
      </c>
      <c r="AK1045" s="1" t="s">
        <v>305</v>
      </c>
    </row>
    <row r="1046">
      <c r="A1046" s="1" t="s">
        <v>2351</v>
      </c>
      <c r="B1046" s="1" t="s">
        <v>2351</v>
      </c>
      <c r="C1046" s="1" t="s">
        <v>100</v>
      </c>
      <c r="E1046" s="1">
        <v>3.3353508E7</v>
      </c>
      <c r="F1046" s="2">
        <v>41288.0</v>
      </c>
      <c r="G1046" s="1" t="s">
        <v>297</v>
      </c>
      <c r="I1046" s="1" t="s">
        <v>297</v>
      </c>
      <c r="L1046" s="1" t="s">
        <v>102</v>
      </c>
      <c r="M1046" s="1">
        <v>8600.0</v>
      </c>
      <c r="N1046" s="1" t="s">
        <v>102</v>
      </c>
      <c r="O1046" s="1">
        <v>2.0830303E7</v>
      </c>
      <c r="P1046" s="1" t="s">
        <v>424</v>
      </c>
      <c r="Q1046" s="1" t="s">
        <v>425</v>
      </c>
      <c r="R1046" s="1" t="s">
        <v>426</v>
      </c>
      <c r="S1046" s="1" t="s">
        <v>44</v>
      </c>
      <c r="T1046" s="1" t="s">
        <v>45</v>
      </c>
      <c r="U1046" s="1">
        <v>4.82012002E8</v>
      </c>
      <c r="W1046" s="1" t="s">
        <v>46</v>
      </c>
      <c r="X1046" s="1" t="s">
        <v>45</v>
      </c>
      <c r="Y1046" s="1">
        <v>4.82012002E8</v>
      </c>
      <c r="Z1046" s="1">
        <v>2.0830303E7</v>
      </c>
      <c r="AA1046" s="1" t="s">
        <v>424</v>
      </c>
      <c r="AB1046" s="1">
        <v>60000.0</v>
      </c>
      <c r="AC1046" s="2">
        <v>41288.0</v>
      </c>
      <c r="AD1046" s="1">
        <v>8600.0</v>
      </c>
      <c r="AE1046" s="1" t="s">
        <v>102</v>
      </c>
      <c r="AF1046" s="1">
        <v>7727.0</v>
      </c>
      <c r="AG1046" s="1" t="s">
        <v>2471</v>
      </c>
      <c r="AH1046" s="1">
        <v>2.0</v>
      </c>
      <c r="AI1046" s="1">
        <v>2013.0</v>
      </c>
      <c r="AJ1046" s="1">
        <v>2013.0</v>
      </c>
      <c r="AK1046" s="1" t="s">
        <v>305</v>
      </c>
    </row>
    <row r="1047">
      <c r="A1047" s="1" t="s">
        <v>2351</v>
      </c>
      <c r="B1047" s="1" t="s">
        <v>2351</v>
      </c>
      <c r="C1047" s="1" t="s">
        <v>100</v>
      </c>
      <c r="E1047" s="1">
        <v>3.3353508E7</v>
      </c>
      <c r="F1047" s="2">
        <v>41288.0</v>
      </c>
      <c r="G1047" s="1" t="s">
        <v>297</v>
      </c>
      <c r="I1047" s="1" t="s">
        <v>297</v>
      </c>
      <c r="L1047" s="1" t="s">
        <v>102</v>
      </c>
      <c r="M1047" s="1">
        <v>8600.0</v>
      </c>
      <c r="N1047" s="1" t="s">
        <v>102</v>
      </c>
      <c r="O1047" s="1">
        <v>1.27458909E8</v>
      </c>
      <c r="P1047" s="1" t="s">
        <v>2195</v>
      </c>
      <c r="R1047" s="1" t="s">
        <v>2196</v>
      </c>
      <c r="S1047" s="1" t="s">
        <v>44</v>
      </c>
      <c r="T1047" s="1" t="s">
        <v>45</v>
      </c>
      <c r="U1047" s="1">
        <v>4.82012641E8</v>
      </c>
      <c r="W1047" s="1" t="s">
        <v>46</v>
      </c>
      <c r="X1047" s="1" t="s">
        <v>45</v>
      </c>
      <c r="Y1047" s="1">
        <v>4.82132641E8</v>
      </c>
      <c r="AB1047" s="1">
        <v>88000.0</v>
      </c>
      <c r="AC1047" s="2">
        <v>41288.0</v>
      </c>
      <c r="AD1047" s="1">
        <v>8600.0</v>
      </c>
      <c r="AE1047" s="1" t="s">
        <v>102</v>
      </c>
      <c r="AF1047" s="1">
        <v>7761.0</v>
      </c>
      <c r="AG1047" s="1" t="s">
        <v>2472</v>
      </c>
      <c r="AH1047" s="1">
        <v>2.0</v>
      </c>
      <c r="AI1047" s="1">
        <v>2013.0</v>
      </c>
      <c r="AJ1047" s="1">
        <v>2013.0</v>
      </c>
      <c r="AK1047" s="1" t="s">
        <v>305</v>
      </c>
    </row>
    <row r="1048">
      <c r="A1048" s="1" t="s">
        <v>2351</v>
      </c>
      <c r="B1048" s="1" t="s">
        <v>2351</v>
      </c>
      <c r="C1048" s="1" t="s">
        <v>100</v>
      </c>
      <c r="E1048" s="1">
        <v>3.3353508E7</v>
      </c>
      <c r="F1048" s="2">
        <v>41288.0</v>
      </c>
      <c r="G1048" s="1" t="s">
        <v>297</v>
      </c>
      <c r="I1048" s="1" t="s">
        <v>297</v>
      </c>
      <c r="L1048" s="1" t="s">
        <v>102</v>
      </c>
      <c r="M1048" s="1">
        <v>8600.0</v>
      </c>
      <c r="N1048" s="1" t="s">
        <v>102</v>
      </c>
      <c r="O1048" s="1">
        <v>1.61078902E8</v>
      </c>
      <c r="P1048" s="1" t="s">
        <v>1010</v>
      </c>
      <c r="Q1048" s="1" t="s">
        <v>1011</v>
      </c>
      <c r="R1048" s="1" t="s">
        <v>1012</v>
      </c>
      <c r="S1048" s="1" t="s">
        <v>44</v>
      </c>
      <c r="T1048" s="1" t="s">
        <v>45</v>
      </c>
      <c r="U1048" s="1">
        <v>4.82012722E8</v>
      </c>
      <c r="W1048" s="1" t="s">
        <v>46</v>
      </c>
      <c r="X1048" s="1" t="s">
        <v>45</v>
      </c>
      <c r="Y1048" s="1">
        <v>4.82012722E8</v>
      </c>
      <c r="Z1048" s="1">
        <v>1.61078902E8</v>
      </c>
      <c r="AA1048" s="1" t="s">
        <v>1010</v>
      </c>
      <c r="AB1048" s="1">
        <v>88000.0</v>
      </c>
      <c r="AC1048" s="2">
        <v>41288.0</v>
      </c>
      <c r="AD1048" s="1">
        <v>8600.0</v>
      </c>
      <c r="AE1048" s="1" t="s">
        <v>102</v>
      </c>
      <c r="AF1048" s="1">
        <v>7751.0</v>
      </c>
      <c r="AG1048" s="1" t="s">
        <v>2473</v>
      </c>
      <c r="AH1048" s="1">
        <v>2.0</v>
      </c>
      <c r="AI1048" s="1">
        <v>2013.0</v>
      </c>
      <c r="AJ1048" s="1">
        <v>2013.0</v>
      </c>
      <c r="AK1048" s="1" t="s">
        <v>305</v>
      </c>
    </row>
    <row r="1049">
      <c r="A1049" s="1" t="s">
        <v>2351</v>
      </c>
      <c r="B1049" s="1" t="s">
        <v>2351</v>
      </c>
      <c r="C1049" s="1" t="s">
        <v>100</v>
      </c>
      <c r="E1049" s="1">
        <v>3.3353508E7</v>
      </c>
      <c r="F1049" s="2">
        <v>41288.0</v>
      </c>
      <c r="G1049" s="1" t="s">
        <v>297</v>
      </c>
      <c r="I1049" s="1" t="s">
        <v>297</v>
      </c>
      <c r="L1049" s="1" t="s">
        <v>102</v>
      </c>
      <c r="M1049" s="1">
        <v>8600.0</v>
      </c>
      <c r="N1049" s="1" t="s">
        <v>102</v>
      </c>
      <c r="O1049" s="1">
        <v>7.4230996E7</v>
      </c>
      <c r="P1049" s="1" t="s">
        <v>2474</v>
      </c>
      <c r="R1049" s="1" t="s">
        <v>2475</v>
      </c>
      <c r="S1049" s="1" t="s">
        <v>44</v>
      </c>
      <c r="T1049" s="1" t="s">
        <v>45</v>
      </c>
      <c r="U1049" s="1">
        <v>4.82092614E8</v>
      </c>
      <c r="W1049" s="1" t="s">
        <v>46</v>
      </c>
      <c r="X1049" s="1" t="s">
        <v>45</v>
      </c>
      <c r="Y1049" s="1">
        <v>4.82092614E8</v>
      </c>
      <c r="Z1049" s="1">
        <v>7.4230996E7</v>
      </c>
      <c r="AA1049" s="1" t="s">
        <v>2474</v>
      </c>
      <c r="AB1049" s="1">
        <v>60000.0</v>
      </c>
      <c r="AC1049" s="2">
        <v>41288.0</v>
      </c>
      <c r="AD1049" s="1">
        <v>8600.0</v>
      </c>
      <c r="AE1049" s="1" t="s">
        <v>102</v>
      </c>
      <c r="AF1049" s="1">
        <v>7731.0</v>
      </c>
      <c r="AG1049" s="1" t="s">
        <v>2476</v>
      </c>
      <c r="AH1049" s="1">
        <v>2.0</v>
      </c>
      <c r="AI1049" s="1">
        <v>2013.0</v>
      </c>
      <c r="AJ1049" s="1">
        <v>2013.0</v>
      </c>
      <c r="AK1049" s="1" t="s">
        <v>305</v>
      </c>
    </row>
    <row r="1050">
      <c r="A1050" s="1" t="s">
        <v>2351</v>
      </c>
      <c r="B1050" s="1" t="s">
        <v>2351</v>
      </c>
      <c r="C1050" s="1" t="s">
        <v>100</v>
      </c>
      <c r="E1050" s="1">
        <v>3.3353508E7</v>
      </c>
      <c r="F1050" s="2">
        <v>41288.0</v>
      </c>
      <c r="G1050" s="1" t="s">
        <v>297</v>
      </c>
      <c r="I1050" s="1" t="s">
        <v>297</v>
      </c>
      <c r="L1050" s="1" t="s">
        <v>102</v>
      </c>
      <c r="M1050" s="1">
        <v>8600.0</v>
      </c>
      <c r="N1050" s="1" t="s">
        <v>102</v>
      </c>
      <c r="O1050" s="1">
        <v>8.76583006E8</v>
      </c>
      <c r="P1050" s="1" t="s">
        <v>2276</v>
      </c>
      <c r="R1050" s="1" t="s">
        <v>2277</v>
      </c>
      <c r="S1050" s="1" t="s">
        <v>44</v>
      </c>
      <c r="T1050" s="1" t="s">
        <v>45</v>
      </c>
      <c r="U1050" s="1">
        <v>4.82073879E8</v>
      </c>
      <c r="W1050" s="1" t="s">
        <v>46</v>
      </c>
      <c r="X1050" s="1" t="s">
        <v>45</v>
      </c>
      <c r="Y1050" s="1">
        <v>4.82073879E8</v>
      </c>
      <c r="AB1050" s="1">
        <v>60000.0</v>
      </c>
      <c r="AC1050" s="2">
        <v>41288.0</v>
      </c>
      <c r="AD1050" s="1">
        <v>8600.0</v>
      </c>
      <c r="AE1050" s="1" t="s">
        <v>102</v>
      </c>
      <c r="AF1050" s="1">
        <v>7729.0</v>
      </c>
      <c r="AG1050" s="1" t="s">
        <v>2477</v>
      </c>
      <c r="AH1050" s="1">
        <v>2.0</v>
      </c>
      <c r="AI1050" s="1">
        <v>2013.0</v>
      </c>
      <c r="AJ1050" s="1">
        <v>2013.0</v>
      </c>
      <c r="AK1050" s="1" t="s">
        <v>305</v>
      </c>
    </row>
    <row r="1051">
      <c r="A1051" s="1" t="s">
        <v>2351</v>
      </c>
      <c r="B1051" s="1" t="s">
        <v>2351</v>
      </c>
      <c r="C1051" s="1" t="s">
        <v>100</v>
      </c>
      <c r="E1051" s="1">
        <v>3.3353508E7</v>
      </c>
      <c r="F1051" s="2">
        <v>41288.0</v>
      </c>
      <c r="G1051" s="1" t="s">
        <v>297</v>
      </c>
      <c r="I1051" s="1" t="s">
        <v>297</v>
      </c>
      <c r="L1051" s="1" t="s">
        <v>102</v>
      </c>
      <c r="M1051" s="1">
        <v>8600.0</v>
      </c>
      <c r="N1051" s="1" t="s">
        <v>102</v>
      </c>
      <c r="O1051" s="1">
        <v>4.3419399E7</v>
      </c>
      <c r="P1051" s="1" t="s">
        <v>979</v>
      </c>
      <c r="R1051" s="1" t="s">
        <v>980</v>
      </c>
      <c r="S1051" s="1" t="s">
        <v>44</v>
      </c>
      <c r="T1051" s="1" t="s">
        <v>45</v>
      </c>
      <c r="U1051" s="1">
        <v>4.82261412E8</v>
      </c>
      <c r="W1051" s="1" t="s">
        <v>46</v>
      </c>
      <c r="X1051" s="1" t="s">
        <v>45</v>
      </c>
      <c r="Y1051" s="1">
        <v>4.82261412E8</v>
      </c>
      <c r="Z1051" s="1">
        <v>4.3419399E7</v>
      </c>
      <c r="AA1051" s="1" t="s">
        <v>979</v>
      </c>
      <c r="AB1051" s="1">
        <v>88000.0</v>
      </c>
      <c r="AC1051" s="2">
        <v>41288.0</v>
      </c>
      <c r="AD1051" s="1">
        <v>8600.0</v>
      </c>
      <c r="AE1051" s="1" t="s">
        <v>102</v>
      </c>
      <c r="AF1051" s="1">
        <v>7764.0</v>
      </c>
      <c r="AG1051" s="1" t="s">
        <v>2478</v>
      </c>
      <c r="AH1051" s="1">
        <v>2.0</v>
      </c>
      <c r="AI1051" s="1">
        <v>2013.0</v>
      </c>
      <c r="AJ1051" s="1">
        <v>2013.0</v>
      </c>
      <c r="AK1051" s="1" t="s">
        <v>305</v>
      </c>
    </row>
    <row r="1052">
      <c r="A1052" s="1" t="s">
        <v>2351</v>
      </c>
      <c r="B1052" s="1" t="s">
        <v>2351</v>
      </c>
      <c r="C1052" s="1" t="s">
        <v>100</v>
      </c>
      <c r="E1052" s="1">
        <v>3.3353508E7</v>
      </c>
      <c r="F1052" s="2">
        <v>41288.0</v>
      </c>
      <c r="G1052" s="1" t="s">
        <v>297</v>
      </c>
      <c r="I1052" s="1" t="s">
        <v>297</v>
      </c>
      <c r="L1052" s="1" t="s">
        <v>102</v>
      </c>
      <c r="M1052" s="1">
        <v>8600.0</v>
      </c>
      <c r="N1052" s="1" t="s">
        <v>102</v>
      </c>
      <c r="O1052" s="1">
        <v>1.75587161E8</v>
      </c>
      <c r="P1052" s="1" t="s">
        <v>2233</v>
      </c>
      <c r="Q1052" s="1" t="s">
        <v>2234</v>
      </c>
      <c r="R1052" s="1" t="s">
        <v>2235</v>
      </c>
      <c r="S1052" s="1" t="s">
        <v>44</v>
      </c>
      <c r="T1052" s="1" t="s">
        <v>45</v>
      </c>
      <c r="U1052" s="1">
        <v>4.82022411E8</v>
      </c>
      <c r="W1052" s="1" t="s">
        <v>46</v>
      </c>
      <c r="X1052" s="1" t="s">
        <v>45</v>
      </c>
      <c r="Y1052" s="1">
        <v>4.82022411E8</v>
      </c>
      <c r="Z1052" s="1">
        <v>1.75587161E8</v>
      </c>
      <c r="AA1052" s="1" t="s">
        <v>2236</v>
      </c>
      <c r="AB1052" s="1">
        <v>60000.0</v>
      </c>
      <c r="AC1052" s="2">
        <v>41288.0</v>
      </c>
      <c r="AD1052" s="1">
        <v>8600.0</v>
      </c>
      <c r="AE1052" s="1" t="s">
        <v>102</v>
      </c>
      <c r="AF1052" s="1">
        <v>7701.0</v>
      </c>
      <c r="AG1052" s="1" t="s">
        <v>2479</v>
      </c>
      <c r="AH1052" s="1">
        <v>2.0</v>
      </c>
      <c r="AI1052" s="1">
        <v>2013.0</v>
      </c>
      <c r="AJ1052" s="1">
        <v>2013.0</v>
      </c>
      <c r="AK1052" s="1" t="s">
        <v>305</v>
      </c>
    </row>
    <row r="1053">
      <c r="A1053" s="1" t="s">
        <v>2351</v>
      </c>
      <c r="B1053" s="1" t="s">
        <v>2351</v>
      </c>
      <c r="C1053" s="1" t="s">
        <v>100</v>
      </c>
      <c r="E1053" s="1">
        <v>3.3353508E7</v>
      </c>
      <c r="F1053" s="2">
        <v>41288.0</v>
      </c>
      <c r="G1053" s="1" t="s">
        <v>297</v>
      </c>
      <c r="I1053" s="1" t="s">
        <v>297</v>
      </c>
      <c r="L1053" s="1" t="s">
        <v>102</v>
      </c>
      <c r="M1053" s="1">
        <v>8600.0</v>
      </c>
      <c r="N1053" s="1" t="s">
        <v>102</v>
      </c>
      <c r="O1053" s="1">
        <v>4.0560898E7</v>
      </c>
      <c r="P1053" s="1" t="s">
        <v>2304</v>
      </c>
      <c r="R1053" s="1" t="s">
        <v>2305</v>
      </c>
      <c r="S1053" s="1" t="s">
        <v>44</v>
      </c>
      <c r="T1053" s="1" t="s">
        <v>45</v>
      </c>
      <c r="U1053" s="1">
        <v>4.82261348E8</v>
      </c>
      <c r="W1053" s="1" t="s">
        <v>46</v>
      </c>
      <c r="X1053" s="1" t="s">
        <v>45</v>
      </c>
      <c r="Y1053" s="1">
        <v>4.82261348E8</v>
      </c>
      <c r="Z1053" s="1">
        <v>4.0560898E7</v>
      </c>
      <c r="AA1053" s="1" t="s">
        <v>2304</v>
      </c>
      <c r="AB1053" s="1">
        <v>88000.0</v>
      </c>
      <c r="AC1053" s="2">
        <v>41288.0</v>
      </c>
      <c r="AD1053" s="1">
        <v>8600.0</v>
      </c>
      <c r="AE1053" s="1" t="s">
        <v>102</v>
      </c>
      <c r="AF1053" s="1">
        <v>7759.0</v>
      </c>
      <c r="AG1053" s="1" t="s">
        <v>2480</v>
      </c>
      <c r="AH1053" s="1">
        <v>2.0</v>
      </c>
      <c r="AI1053" s="1">
        <v>2013.0</v>
      </c>
      <c r="AJ1053" s="1">
        <v>2013.0</v>
      </c>
      <c r="AK1053" s="1" t="s">
        <v>305</v>
      </c>
    </row>
    <row r="1054">
      <c r="A1054" s="1" t="s">
        <v>2351</v>
      </c>
      <c r="B1054" s="1" t="s">
        <v>2351</v>
      </c>
      <c r="C1054" s="1" t="s">
        <v>100</v>
      </c>
      <c r="E1054" s="1">
        <v>3.3353508E7</v>
      </c>
      <c r="F1054" s="2">
        <v>41288.0</v>
      </c>
      <c r="G1054" s="1" t="s">
        <v>297</v>
      </c>
      <c r="I1054" s="1" t="s">
        <v>297</v>
      </c>
      <c r="L1054" s="1" t="s">
        <v>102</v>
      </c>
      <c r="M1054" s="1">
        <v>8600.0</v>
      </c>
      <c r="N1054" s="1" t="s">
        <v>102</v>
      </c>
      <c r="O1054" s="1">
        <v>1.44744369E8</v>
      </c>
      <c r="P1054" s="1" t="s">
        <v>2230</v>
      </c>
      <c r="R1054" s="1" t="s">
        <v>2231</v>
      </c>
      <c r="S1054" s="1" t="s">
        <v>44</v>
      </c>
      <c r="T1054" s="1" t="s">
        <v>45</v>
      </c>
      <c r="U1054" s="1">
        <v>4.82161595E8</v>
      </c>
      <c r="W1054" s="1" t="s">
        <v>46</v>
      </c>
      <c r="X1054" s="1" t="s">
        <v>45</v>
      </c>
      <c r="Y1054" s="1">
        <v>4.82161595E8</v>
      </c>
      <c r="AB1054" s="1">
        <v>60000.0</v>
      </c>
      <c r="AC1054" s="2">
        <v>41288.0</v>
      </c>
      <c r="AD1054" s="1">
        <v>8600.0</v>
      </c>
      <c r="AE1054" s="1" t="s">
        <v>102</v>
      </c>
      <c r="AF1054" s="1">
        <v>7710.0</v>
      </c>
      <c r="AG1054" s="1" t="s">
        <v>2481</v>
      </c>
      <c r="AH1054" s="1">
        <v>2.0</v>
      </c>
      <c r="AI1054" s="1">
        <v>2013.0</v>
      </c>
      <c r="AJ1054" s="1">
        <v>2013.0</v>
      </c>
      <c r="AK1054" s="1" t="s">
        <v>305</v>
      </c>
    </row>
    <row r="1055">
      <c r="A1055" s="1" t="s">
        <v>2482</v>
      </c>
      <c r="B1055" s="1" t="s">
        <v>2482</v>
      </c>
      <c r="C1055" s="1" t="s">
        <v>224</v>
      </c>
      <c r="E1055" s="1">
        <v>96215.0</v>
      </c>
      <c r="F1055" s="2">
        <v>41751.0</v>
      </c>
      <c r="G1055" s="1" t="s">
        <v>2483</v>
      </c>
      <c r="I1055" s="1" t="s">
        <v>2483</v>
      </c>
      <c r="L1055" s="1" t="s">
        <v>151</v>
      </c>
      <c r="M1055" s="1">
        <v>6900.0</v>
      </c>
      <c r="N1055" s="1" t="s">
        <v>151</v>
      </c>
      <c r="O1055" s="1">
        <v>9.63886101E8</v>
      </c>
      <c r="P1055" s="1" t="s">
        <v>259</v>
      </c>
      <c r="Q1055" s="1" t="s">
        <v>1795</v>
      </c>
      <c r="R1055" s="1" t="s">
        <v>260</v>
      </c>
      <c r="S1055" s="1" t="s">
        <v>44</v>
      </c>
      <c r="T1055" s="1" t="s">
        <v>45</v>
      </c>
      <c r="U1055" s="1">
        <v>4.8226348E8</v>
      </c>
      <c r="W1055" s="1" t="s">
        <v>46</v>
      </c>
      <c r="X1055" s="1" t="s">
        <v>45</v>
      </c>
      <c r="Y1055" s="1">
        <v>4.8226348E8</v>
      </c>
      <c r="Z1055" s="1">
        <v>7.3134884E7</v>
      </c>
      <c r="AA1055" s="1" t="s">
        <v>1796</v>
      </c>
      <c r="AB1055" s="1">
        <v>96215.49</v>
      </c>
      <c r="AC1055" s="2">
        <v>41751.0</v>
      </c>
      <c r="AD1055" s="1">
        <v>6900.0</v>
      </c>
      <c r="AE1055" s="1" t="s">
        <v>151</v>
      </c>
      <c r="AF1055" s="1">
        <v>1.0</v>
      </c>
      <c r="AG1055" s="1" t="s">
        <v>2484</v>
      </c>
      <c r="AH1055" s="1">
        <v>4.0</v>
      </c>
      <c r="AI1055" s="1">
        <v>2014.0</v>
      </c>
      <c r="AJ1055" s="1">
        <v>2014.0</v>
      </c>
      <c r="AK1055" s="1" t="s">
        <v>229</v>
      </c>
    </row>
    <row r="1056">
      <c r="A1056" s="1" t="s">
        <v>2485</v>
      </c>
      <c r="B1056" s="1" t="s">
        <v>2485</v>
      </c>
      <c r="C1056" s="1" t="s">
        <v>100</v>
      </c>
      <c r="E1056" s="1">
        <v>1.9577122E7</v>
      </c>
      <c r="F1056" s="2">
        <v>41241.0</v>
      </c>
      <c r="G1056" s="1" t="s">
        <v>332</v>
      </c>
      <c r="I1056" s="1" t="s">
        <v>332</v>
      </c>
      <c r="L1056" s="1" t="s">
        <v>102</v>
      </c>
      <c r="M1056" s="1">
        <v>8600.0</v>
      </c>
      <c r="N1056" s="1" t="s">
        <v>102</v>
      </c>
      <c r="O1056" s="1">
        <v>7.6385699E7</v>
      </c>
      <c r="P1056" s="1" t="s">
        <v>106</v>
      </c>
      <c r="Q1056" s="1" t="s">
        <v>1005</v>
      </c>
      <c r="R1056" s="1" t="s">
        <v>1006</v>
      </c>
      <c r="S1056" s="1" t="s">
        <v>44</v>
      </c>
      <c r="T1056" s="1" t="s">
        <v>45</v>
      </c>
      <c r="U1056" s="1">
        <v>4.82092022E8</v>
      </c>
      <c r="W1056" s="1" t="s">
        <v>46</v>
      </c>
      <c r="X1056" s="1" t="s">
        <v>45</v>
      </c>
      <c r="Y1056" s="1">
        <v>4.82092022E8</v>
      </c>
      <c r="Z1056" s="1">
        <v>7.6385699E7</v>
      </c>
      <c r="AA1056" s="1" t="s">
        <v>106</v>
      </c>
      <c r="AB1056" s="1">
        <v>38587.0</v>
      </c>
      <c r="AC1056" s="2">
        <v>41241.0</v>
      </c>
      <c r="AD1056" s="1">
        <v>8600.0</v>
      </c>
      <c r="AE1056" s="1" t="s">
        <v>102</v>
      </c>
      <c r="AF1056" s="1" t="s">
        <v>2486</v>
      </c>
      <c r="AG1056" s="1" t="s">
        <v>2487</v>
      </c>
      <c r="AH1056" s="1">
        <v>11.0</v>
      </c>
      <c r="AI1056" s="1">
        <v>2012.0</v>
      </c>
      <c r="AJ1056" s="1">
        <v>2013.0</v>
      </c>
      <c r="AK1056" s="1" t="s">
        <v>334</v>
      </c>
    </row>
    <row r="1057">
      <c r="A1057" s="1" t="s">
        <v>2485</v>
      </c>
      <c r="B1057" s="1" t="s">
        <v>2485</v>
      </c>
      <c r="C1057" s="1" t="s">
        <v>100</v>
      </c>
      <c r="E1057" s="1">
        <v>1.9577122E7</v>
      </c>
      <c r="F1057" s="2">
        <v>41221.0</v>
      </c>
      <c r="G1057" s="1" t="s">
        <v>332</v>
      </c>
      <c r="I1057" s="1" t="s">
        <v>332</v>
      </c>
      <c r="L1057" s="1" t="s">
        <v>102</v>
      </c>
      <c r="M1057" s="1">
        <v>8600.0</v>
      </c>
      <c r="N1057" s="1" t="s">
        <v>102</v>
      </c>
      <c r="O1057" s="1">
        <v>7.6385699E7</v>
      </c>
      <c r="P1057" s="1" t="s">
        <v>106</v>
      </c>
      <c r="Q1057" s="1" t="s">
        <v>1005</v>
      </c>
      <c r="R1057" s="1" t="s">
        <v>1006</v>
      </c>
      <c r="S1057" s="1" t="s">
        <v>44</v>
      </c>
      <c r="T1057" s="1" t="s">
        <v>45</v>
      </c>
      <c r="U1057" s="1">
        <v>4.82092022E8</v>
      </c>
      <c r="W1057" s="1" t="s">
        <v>46</v>
      </c>
      <c r="X1057" s="1" t="s">
        <v>45</v>
      </c>
      <c r="Y1057" s="1">
        <v>4.82092022E8</v>
      </c>
      <c r="Z1057" s="1">
        <v>7.6385699E7</v>
      </c>
      <c r="AA1057" s="1" t="s">
        <v>106</v>
      </c>
      <c r="AB1057" s="1">
        <v>56769.0</v>
      </c>
      <c r="AC1057" s="2">
        <v>41221.0</v>
      </c>
      <c r="AD1057" s="1">
        <v>8600.0</v>
      </c>
      <c r="AE1057" s="1" t="s">
        <v>102</v>
      </c>
      <c r="AF1057" s="1" t="s">
        <v>2488</v>
      </c>
      <c r="AG1057" s="1" t="s">
        <v>2489</v>
      </c>
      <c r="AH1057" s="1">
        <v>11.0</v>
      </c>
      <c r="AI1057" s="1">
        <v>2012.0</v>
      </c>
      <c r="AJ1057" s="1">
        <v>2013.0</v>
      </c>
      <c r="AK1057" s="1" t="s">
        <v>334</v>
      </c>
    </row>
    <row r="1058">
      <c r="A1058" s="1" t="s">
        <v>654</v>
      </c>
      <c r="B1058" s="1" t="s">
        <v>654</v>
      </c>
      <c r="C1058" s="1" t="s">
        <v>38</v>
      </c>
      <c r="E1058" s="1">
        <v>1411200.0</v>
      </c>
      <c r="F1058" s="2">
        <v>41834.0</v>
      </c>
      <c r="G1058" s="1" t="s">
        <v>2490</v>
      </c>
      <c r="I1058" s="1" t="s">
        <v>2490</v>
      </c>
      <c r="L1058" s="1" t="s">
        <v>40</v>
      </c>
      <c r="M1058" s="1">
        <v>7500.0</v>
      </c>
      <c r="N1058" s="1" t="s">
        <v>40</v>
      </c>
      <c r="O1058" s="1">
        <v>7.3134603E7</v>
      </c>
      <c r="P1058" s="1" t="s">
        <v>41</v>
      </c>
      <c r="Q1058" s="1" t="s">
        <v>252</v>
      </c>
      <c r="R1058" s="1" t="s">
        <v>253</v>
      </c>
      <c r="S1058" s="1" t="s">
        <v>44</v>
      </c>
      <c r="T1058" s="1" t="s">
        <v>45</v>
      </c>
      <c r="U1058" s="1">
        <v>4.8202345E8</v>
      </c>
      <c r="W1058" s="1" t="s">
        <v>46</v>
      </c>
      <c r="X1058" s="1" t="s">
        <v>45</v>
      </c>
      <c r="Y1058" s="1">
        <v>4.82022689E8</v>
      </c>
      <c r="Z1058" s="1">
        <v>7.3134603E7</v>
      </c>
      <c r="AA1058" s="1" t="s">
        <v>41</v>
      </c>
      <c r="AB1058" s="1">
        <v>25000.0</v>
      </c>
      <c r="AC1058" s="2">
        <v>41834.0</v>
      </c>
      <c r="AD1058" s="1">
        <v>7500.0</v>
      </c>
      <c r="AE1058" s="1" t="s">
        <v>40</v>
      </c>
      <c r="AF1058" s="1">
        <v>3.002735317E9</v>
      </c>
      <c r="AG1058" s="1" t="s">
        <v>1291</v>
      </c>
      <c r="AH1058" s="1">
        <v>7.0</v>
      </c>
      <c r="AI1058" s="1">
        <v>2014.0</v>
      </c>
      <c r="AJ1058" s="1">
        <v>2014.0</v>
      </c>
      <c r="AK1058" s="1" t="s">
        <v>415</v>
      </c>
    </row>
    <row r="1059">
      <c r="A1059" s="1" t="s">
        <v>2485</v>
      </c>
      <c r="B1059" s="1" t="s">
        <v>2485</v>
      </c>
      <c r="C1059" s="1" t="s">
        <v>100</v>
      </c>
      <c r="E1059" s="1">
        <v>1.9577122E7</v>
      </c>
      <c r="F1059" s="2">
        <v>41185.0</v>
      </c>
      <c r="G1059" s="1" t="s">
        <v>332</v>
      </c>
      <c r="I1059" s="1" t="s">
        <v>332</v>
      </c>
      <c r="L1059" s="1" t="s">
        <v>102</v>
      </c>
      <c r="M1059" s="1">
        <v>8600.0</v>
      </c>
      <c r="N1059" s="1" t="s">
        <v>102</v>
      </c>
      <c r="O1059" s="1">
        <v>6.03181835E8</v>
      </c>
      <c r="P1059" s="1" t="s">
        <v>2035</v>
      </c>
      <c r="R1059" s="1" t="s">
        <v>2036</v>
      </c>
      <c r="S1059" s="1" t="s">
        <v>44</v>
      </c>
      <c r="T1059" s="1" t="s">
        <v>45</v>
      </c>
      <c r="U1059" s="1">
        <v>4.82054059E8</v>
      </c>
      <c r="W1059" s="1" t="s">
        <v>46</v>
      </c>
      <c r="X1059" s="1" t="s">
        <v>45</v>
      </c>
      <c r="Y1059" s="1">
        <v>4.82054059E8</v>
      </c>
      <c r="AB1059" s="1">
        <v>436302.0</v>
      </c>
      <c r="AC1059" s="2">
        <v>41185.0</v>
      </c>
      <c r="AD1059" s="1">
        <v>8600.0</v>
      </c>
      <c r="AE1059" s="1" t="s">
        <v>102</v>
      </c>
      <c r="AF1059" s="1" t="s">
        <v>2491</v>
      </c>
      <c r="AG1059" s="1" t="s">
        <v>2492</v>
      </c>
      <c r="AH1059" s="1">
        <v>11.0</v>
      </c>
      <c r="AI1059" s="1">
        <v>2012.0</v>
      </c>
      <c r="AJ1059" s="1">
        <v>2013.0</v>
      </c>
      <c r="AK1059" s="1" t="s">
        <v>334</v>
      </c>
    </row>
    <row r="1060">
      <c r="A1060" s="1" t="s">
        <v>2485</v>
      </c>
      <c r="B1060" s="1" t="s">
        <v>2485</v>
      </c>
      <c r="C1060" s="1" t="s">
        <v>100</v>
      </c>
      <c r="E1060" s="1">
        <v>1.9577122E7</v>
      </c>
      <c r="F1060" s="2">
        <v>41226.0</v>
      </c>
      <c r="G1060" s="1" t="s">
        <v>332</v>
      </c>
      <c r="I1060" s="1" t="s">
        <v>332</v>
      </c>
      <c r="L1060" s="1" t="s">
        <v>102</v>
      </c>
      <c r="M1060" s="1">
        <v>8600.0</v>
      </c>
      <c r="N1060" s="1" t="s">
        <v>102</v>
      </c>
      <c r="O1060" s="1">
        <v>9.64523815E8</v>
      </c>
      <c r="P1060" s="1" t="s">
        <v>123</v>
      </c>
      <c r="Q1060" s="1" t="s">
        <v>124</v>
      </c>
      <c r="R1060" s="1" t="s">
        <v>125</v>
      </c>
      <c r="S1060" s="1" t="s">
        <v>44</v>
      </c>
      <c r="T1060" s="1" t="s">
        <v>45</v>
      </c>
      <c r="U1060" s="1">
        <v>4.82231227E8</v>
      </c>
      <c r="W1060" s="1" t="s">
        <v>46</v>
      </c>
      <c r="X1060" s="1" t="s">
        <v>45</v>
      </c>
      <c r="Y1060" s="1">
        <v>4.82231227E8</v>
      </c>
      <c r="AB1060" s="1">
        <v>119295.0</v>
      </c>
      <c r="AC1060" s="2">
        <v>41226.0</v>
      </c>
      <c r="AD1060" s="1">
        <v>8600.0</v>
      </c>
      <c r="AE1060" s="1" t="s">
        <v>102</v>
      </c>
      <c r="AF1060" s="1" t="s">
        <v>2493</v>
      </c>
      <c r="AG1060" s="1" t="s">
        <v>2494</v>
      </c>
      <c r="AH1060" s="1">
        <v>11.0</v>
      </c>
      <c r="AI1060" s="1">
        <v>2012.0</v>
      </c>
      <c r="AJ1060" s="1">
        <v>2013.0</v>
      </c>
      <c r="AK1060" s="1" t="s">
        <v>334</v>
      </c>
    </row>
    <row r="1061">
      <c r="A1061" s="1" t="s">
        <v>2495</v>
      </c>
      <c r="B1061" s="1" t="s">
        <v>2495</v>
      </c>
      <c r="C1061" s="1" t="s">
        <v>129</v>
      </c>
      <c r="E1061" s="1">
        <v>1.415E7</v>
      </c>
      <c r="F1061" s="2">
        <v>41548.0</v>
      </c>
      <c r="G1061" s="1" t="s">
        <v>2496</v>
      </c>
      <c r="I1061" s="1" t="s">
        <v>2496</v>
      </c>
      <c r="L1061" s="1" t="s">
        <v>40</v>
      </c>
      <c r="M1061" s="1">
        <v>7500.0</v>
      </c>
      <c r="N1061" s="1" t="s">
        <v>40</v>
      </c>
      <c r="O1061" s="1">
        <v>6.9840817E7</v>
      </c>
      <c r="P1061" s="1" t="s">
        <v>131</v>
      </c>
      <c r="R1061" s="1" t="s">
        <v>132</v>
      </c>
      <c r="S1061" s="1" t="s">
        <v>44</v>
      </c>
      <c r="T1061" s="1" t="s">
        <v>45</v>
      </c>
      <c r="U1061" s="1">
        <v>4.8214261E8</v>
      </c>
      <c r="W1061" s="1" t="s">
        <v>46</v>
      </c>
      <c r="X1061" s="1" t="s">
        <v>45</v>
      </c>
      <c r="Y1061" s="1">
        <v>4.8214261E8</v>
      </c>
      <c r="Z1061" s="1">
        <v>6.9840817E7</v>
      </c>
      <c r="AA1061" s="1" t="s">
        <v>131</v>
      </c>
      <c r="AB1061" s="1">
        <v>4666666.67</v>
      </c>
      <c r="AC1061" s="2">
        <v>41548.0</v>
      </c>
      <c r="AD1061" s="1">
        <v>7500.0</v>
      </c>
      <c r="AE1061" s="1" t="s">
        <v>40</v>
      </c>
      <c r="AF1061" s="1" t="s">
        <v>2497</v>
      </c>
      <c r="AG1061" s="1" t="s">
        <v>2498</v>
      </c>
      <c r="AH1061" s="1">
        <v>10.0</v>
      </c>
      <c r="AI1061" s="1">
        <v>2013.0</v>
      </c>
      <c r="AJ1061" s="1">
        <v>2014.0</v>
      </c>
      <c r="AK1061" s="1" t="s">
        <v>398</v>
      </c>
    </row>
    <row r="1062">
      <c r="A1062" s="1" t="s">
        <v>368</v>
      </c>
      <c r="B1062" s="1" t="s">
        <v>368</v>
      </c>
      <c r="C1062" s="1" t="s">
        <v>38</v>
      </c>
      <c r="E1062" s="1">
        <v>979880.0</v>
      </c>
      <c r="F1062" s="2">
        <v>41586.0</v>
      </c>
      <c r="G1062" s="1" t="s">
        <v>369</v>
      </c>
      <c r="I1062" s="1" t="s">
        <v>369</v>
      </c>
      <c r="L1062" s="1" t="s">
        <v>40</v>
      </c>
      <c r="M1062" s="1">
        <v>7500.0</v>
      </c>
      <c r="N1062" s="1" t="s">
        <v>40</v>
      </c>
      <c r="O1062" s="1">
        <v>7.3134603E7</v>
      </c>
      <c r="P1062" s="1" t="s">
        <v>41</v>
      </c>
      <c r="Q1062" s="1" t="s">
        <v>252</v>
      </c>
      <c r="R1062" s="1" t="s">
        <v>253</v>
      </c>
      <c r="S1062" s="1" t="s">
        <v>44</v>
      </c>
      <c r="T1062" s="1" t="s">
        <v>45</v>
      </c>
      <c r="U1062" s="1">
        <v>4.8202345E8</v>
      </c>
      <c r="W1062" s="1" t="s">
        <v>46</v>
      </c>
      <c r="X1062" s="1" t="s">
        <v>45</v>
      </c>
      <c r="Y1062" s="1">
        <v>4.8202345E8</v>
      </c>
      <c r="Z1062" s="1">
        <v>7.3134603E7</v>
      </c>
      <c r="AA1062" s="1" t="s">
        <v>41</v>
      </c>
      <c r="AB1062" s="1">
        <v>46792.0</v>
      </c>
      <c r="AC1062" s="2">
        <v>41586.0</v>
      </c>
      <c r="AD1062" s="1">
        <v>7500.0</v>
      </c>
      <c r="AE1062" s="1" t="s">
        <v>40</v>
      </c>
      <c r="AF1062" s="1" t="s">
        <v>370</v>
      </c>
      <c r="AG1062" s="1" t="s">
        <v>2499</v>
      </c>
      <c r="AH1062" s="1">
        <v>12.0</v>
      </c>
      <c r="AI1062" s="1">
        <v>2013.0</v>
      </c>
      <c r="AJ1062" s="1">
        <v>2014.0</v>
      </c>
      <c r="AK1062" s="1" t="s">
        <v>372</v>
      </c>
    </row>
    <row r="1063">
      <c r="A1063" s="1" t="s">
        <v>1890</v>
      </c>
      <c r="B1063" s="1" t="s">
        <v>1890</v>
      </c>
      <c r="C1063" s="1" t="s">
        <v>38</v>
      </c>
      <c r="E1063" s="1">
        <v>2357551.0</v>
      </c>
      <c r="F1063" s="2">
        <v>41706.0</v>
      </c>
      <c r="G1063" s="1" t="s">
        <v>1891</v>
      </c>
      <c r="I1063" s="1" t="s">
        <v>1891</v>
      </c>
      <c r="L1063" s="1" t="s">
        <v>40</v>
      </c>
      <c r="M1063" s="1">
        <v>7500.0</v>
      </c>
      <c r="N1063" s="1" t="s">
        <v>40</v>
      </c>
      <c r="O1063" s="1">
        <v>7.3134603E7</v>
      </c>
      <c r="P1063" s="1" t="s">
        <v>41</v>
      </c>
      <c r="Q1063" s="1" t="s">
        <v>252</v>
      </c>
      <c r="R1063" s="1" t="s">
        <v>253</v>
      </c>
      <c r="S1063" s="1" t="s">
        <v>44</v>
      </c>
      <c r="T1063" s="1" t="s">
        <v>45</v>
      </c>
      <c r="U1063" s="1">
        <v>4.8202345E8</v>
      </c>
      <c r="W1063" s="1" t="s">
        <v>46</v>
      </c>
      <c r="X1063" s="1" t="s">
        <v>45</v>
      </c>
      <c r="Y1063" s="1">
        <v>4.8202345E8</v>
      </c>
      <c r="Z1063" s="1">
        <v>7.3134603E7</v>
      </c>
      <c r="AA1063" s="1" t="s">
        <v>41</v>
      </c>
      <c r="AB1063" s="1">
        <v>26342.0</v>
      </c>
      <c r="AC1063" s="2">
        <v>41706.0</v>
      </c>
      <c r="AD1063" s="1">
        <v>7500.0</v>
      </c>
      <c r="AE1063" s="1" t="s">
        <v>40</v>
      </c>
      <c r="AF1063" s="1" t="s">
        <v>1892</v>
      </c>
      <c r="AG1063" s="1" t="s">
        <v>2500</v>
      </c>
      <c r="AH1063" s="1">
        <v>4.0</v>
      </c>
      <c r="AI1063" s="1">
        <v>2014.0</v>
      </c>
      <c r="AJ1063" s="1">
        <v>2014.0</v>
      </c>
      <c r="AK1063" s="1" t="s">
        <v>1813</v>
      </c>
    </row>
    <row r="1064">
      <c r="A1064" s="1" t="s">
        <v>2501</v>
      </c>
      <c r="B1064" s="1" t="s">
        <v>2501</v>
      </c>
      <c r="C1064" s="1" t="s">
        <v>38</v>
      </c>
      <c r="E1064" s="1">
        <v>676256.0</v>
      </c>
      <c r="F1064" s="2">
        <v>41260.0</v>
      </c>
      <c r="G1064" s="1" t="s">
        <v>2502</v>
      </c>
      <c r="I1064" s="1" t="s">
        <v>2502</v>
      </c>
      <c r="L1064" s="1" t="s">
        <v>40</v>
      </c>
      <c r="M1064" s="1">
        <v>7500.0</v>
      </c>
      <c r="N1064" s="1" t="s">
        <v>40</v>
      </c>
      <c r="O1064" s="1">
        <v>1962224.0</v>
      </c>
      <c r="P1064" s="1" t="s">
        <v>52</v>
      </c>
      <c r="R1064" s="1" t="s">
        <v>53</v>
      </c>
      <c r="S1064" s="1" t="s">
        <v>44</v>
      </c>
      <c r="T1064" s="1" t="s">
        <v>45</v>
      </c>
      <c r="U1064" s="1">
        <v>4.82023692E8</v>
      </c>
      <c r="W1064" s="1" t="s">
        <v>46</v>
      </c>
      <c r="X1064" s="1" t="s">
        <v>45</v>
      </c>
      <c r="Y1064" s="1">
        <v>4.82012119E8</v>
      </c>
      <c r="Z1064" s="1">
        <v>1962224.0</v>
      </c>
      <c r="AA1064" s="1" t="s">
        <v>52</v>
      </c>
      <c r="AB1064" s="1">
        <v>153240.0</v>
      </c>
      <c r="AC1064" s="2">
        <v>41260.0</v>
      </c>
      <c r="AD1064" s="1">
        <v>7500.0</v>
      </c>
      <c r="AE1064" s="1" t="s">
        <v>40</v>
      </c>
      <c r="AF1064" s="1" t="s">
        <v>2503</v>
      </c>
      <c r="AG1064" s="1" t="s">
        <v>2504</v>
      </c>
      <c r="AH1064" s="1">
        <v>8.0</v>
      </c>
      <c r="AI1064" s="1">
        <v>2013.0</v>
      </c>
      <c r="AJ1064" s="1">
        <v>2013.0</v>
      </c>
      <c r="AK1064" s="1" t="s">
        <v>1558</v>
      </c>
    </row>
    <row r="1065">
      <c r="A1065" s="1" t="s">
        <v>2505</v>
      </c>
      <c r="B1065" s="1" t="s">
        <v>2505</v>
      </c>
      <c r="C1065" s="1" t="s">
        <v>38</v>
      </c>
      <c r="E1065" s="1">
        <v>2076024.0</v>
      </c>
      <c r="F1065" s="2">
        <v>41771.0</v>
      </c>
      <c r="G1065" s="1" t="s">
        <v>2506</v>
      </c>
      <c r="I1065" s="1" t="s">
        <v>2506</v>
      </c>
      <c r="L1065" s="1" t="s">
        <v>40</v>
      </c>
      <c r="M1065" s="1">
        <v>7500.0</v>
      </c>
      <c r="N1065" s="1" t="s">
        <v>40</v>
      </c>
      <c r="O1065" s="1">
        <v>1962224.0</v>
      </c>
      <c r="P1065" s="1" t="s">
        <v>52</v>
      </c>
      <c r="Q1065" s="1" t="s">
        <v>1566</v>
      </c>
      <c r="R1065" s="1" t="s">
        <v>53</v>
      </c>
      <c r="S1065" s="1" t="s">
        <v>44</v>
      </c>
      <c r="T1065" s="1" t="s">
        <v>45</v>
      </c>
      <c r="U1065" s="1">
        <v>4.82023692E8</v>
      </c>
      <c r="W1065" s="1" t="s">
        <v>46</v>
      </c>
      <c r="X1065" s="1" t="s">
        <v>45</v>
      </c>
      <c r="Y1065" s="1">
        <v>4.82023692E8</v>
      </c>
      <c r="Z1065" s="1">
        <v>1962224.0</v>
      </c>
      <c r="AA1065" s="1" t="s">
        <v>52</v>
      </c>
      <c r="AB1065" s="1">
        <v>49452.0</v>
      </c>
      <c r="AC1065" s="2">
        <v>41771.0</v>
      </c>
      <c r="AD1065" s="1">
        <v>7500.0</v>
      </c>
      <c r="AE1065" s="1" t="s">
        <v>40</v>
      </c>
      <c r="AF1065" s="1" t="s">
        <v>2507</v>
      </c>
      <c r="AG1065" s="1" t="s">
        <v>2506</v>
      </c>
      <c r="AH1065" s="1">
        <v>6.0</v>
      </c>
      <c r="AI1065" s="1">
        <v>2014.0</v>
      </c>
      <c r="AJ1065" s="1">
        <v>2014.0</v>
      </c>
      <c r="AK1065" s="1" t="s">
        <v>1558</v>
      </c>
    </row>
    <row r="1066">
      <c r="A1066" s="1" t="s">
        <v>2508</v>
      </c>
      <c r="B1066" s="1" t="s">
        <v>2508</v>
      </c>
      <c r="C1066" s="1" t="s">
        <v>100</v>
      </c>
      <c r="E1066" s="1">
        <v>3.2877084E7</v>
      </c>
      <c r="F1066" s="2">
        <v>41598.0</v>
      </c>
      <c r="G1066" s="1" t="s">
        <v>297</v>
      </c>
      <c r="I1066" s="1" t="s">
        <v>297</v>
      </c>
      <c r="L1066" s="1" t="s">
        <v>102</v>
      </c>
      <c r="M1066" s="1">
        <v>8600.0</v>
      </c>
      <c r="N1066" s="1" t="s">
        <v>102</v>
      </c>
      <c r="O1066" s="1">
        <v>6.2783951E7</v>
      </c>
      <c r="P1066" s="1" t="s">
        <v>2369</v>
      </c>
      <c r="R1066" s="1" t="s">
        <v>2370</v>
      </c>
      <c r="S1066" s="1" t="s">
        <v>44</v>
      </c>
      <c r="T1066" s="1" t="s">
        <v>45</v>
      </c>
      <c r="U1066" s="1">
        <v>4.82072035E8</v>
      </c>
      <c r="W1066" s="1" t="s">
        <v>46</v>
      </c>
      <c r="X1066" s="1" t="s">
        <v>45</v>
      </c>
      <c r="Y1066" s="1">
        <v>4.82072035E8</v>
      </c>
      <c r="AB1066" s="1">
        <v>835027.0</v>
      </c>
      <c r="AC1066" s="2">
        <v>41598.0</v>
      </c>
      <c r="AD1066" s="1">
        <v>8600.0</v>
      </c>
      <c r="AE1066" s="1" t="s">
        <v>102</v>
      </c>
      <c r="AF1066" s="1">
        <v>2.0</v>
      </c>
      <c r="AG1066" s="1" t="s">
        <v>2509</v>
      </c>
      <c r="AH1066" s="1">
        <v>6.0</v>
      </c>
      <c r="AI1066" s="1">
        <v>2014.0</v>
      </c>
      <c r="AJ1066" s="1">
        <v>2014.0</v>
      </c>
      <c r="AK1066" s="1" t="s">
        <v>305</v>
      </c>
    </row>
    <row r="1067">
      <c r="A1067" s="1" t="s">
        <v>2508</v>
      </c>
      <c r="B1067" s="1" t="s">
        <v>2508</v>
      </c>
      <c r="C1067" s="1" t="s">
        <v>100</v>
      </c>
      <c r="E1067" s="1">
        <v>3.2877084E7</v>
      </c>
      <c r="F1067" s="2">
        <v>41598.0</v>
      </c>
      <c r="G1067" s="1" t="s">
        <v>297</v>
      </c>
      <c r="I1067" s="1" t="s">
        <v>297</v>
      </c>
      <c r="L1067" s="1" t="s">
        <v>102</v>
      </c>
      <c r="M1067" s="1">
        <v>8600.0</v>
      </c>
      <c r="N1067" s="1" t="s">
        <v>102</v>
      </c>
      <c r="O1067" s="1">
        <v>1.586118E7</v>
      </c>
      <c r="P1067" s="1" t="s">
        <v>2334</v>
      </c>
      <c r="Q1067" s="1" t="s">
        <v>2335</v>
      </c>
      <c r="R1067" s="1" t="s">
        <v>2336</v>
      </c>
      <c r="S1067" s="1" t="s">
        <v>44</v>
      </c>
      <c r="T1067" s="1" t="s">
        <v>45</v>
      </c>
      <c r="U1067" s="1">
        <v>4.820825E8</v>
      </c>
      <c r="W1067" s="1" t="s">
        <v>46</v>
      </c>
      <c r="X1067" s="1" t="s">
        <v>45</v>
      </c>
      <c r="Y1067" s="1">
        <v>4.820825E8</v>
      </c>
      <c r="Z1067" s="1">
        <v>1.25435284E8</v>
      </c>
      <c r="AB1067" s="1">
        <v>140723.0</v>
      </c>
      <c r="AC1067" s="2">
        <v>41598.0</v>
      </c>
      <c r="AD1067" s="1">
        <v>8600.0</v>
      </c>
      <c r="AE1067" s="1" t="s">
        <v>102</v>
      </c>
      <c r="AF1067" s="1">
        <v>35.0</v>
      </c>
      <c r="AG1067" s="1" t="s">
        <v>2510</v>
      </c>
      <c r="AH1067" s="1">
        <v>6.0</v>
      </c>
      <c r="AI1067" s="1">
        <v>2014.0</v>
      </c>
      <c r="AJ1067" s="1">
        <v>2014.0</v>
      </c>
      <c r="AK1067" s="1" t="s">
        <v>305</v>
      </c>
    </row>
    <row r="1068">
      <c r="A1068" s="1" t="s">
        <v>2508</v>
      </c>
      <c r="B1068" s="1" t="s">
        <v>2508</v>
      </c>
      <c r="C1068" s="1" t="s">
        <v>100</v>
      </c>
      <c r="E1068" s="1">
        <v>3.2877084E7</v>
      </c>
      <c r="F1068" s="2">
        <v>41598.0</v>
      </c>
      <c r="G1068" s="1" t="s">
        <v>297</v>
      </c>
      <c r="I1068" s="1" t="s">
        <v>297</v>
      </c>
      <c r="L1068" s="1" t="s">
        <v>102</v>
      </c>
      <c r="M1068" s="1">
        <v>8600.0</v>
      </c>
      <c r="N1068" s="1" t="s">
        <v>102</v>
      </c>
      <c r="O1068" s="1">
        <v>5.1034718E7</v>
      </c>
      <c r="P1068" s="1" t="s">
        <v>2162</v>
      </c>
      <c r="R1068" s="1" t="s">
        <v>2163</v>
      </c>
      <c r="S1068" s="1" t="s">
        <v>44</v>
      </c>
      <c r="T1068" s="1" t="s">
        <v>45</v>
      </c>
      <c r="U1068" s="1">
        <v>4.82261472E8</v>
      </c>
      <c r="W1068" s="1" t="s">
        <v>46</v>
      </c>
      <c r="X1068" s="1" t="s">
        <v>45</v>
      </c>
      <c r="Y1068" s="1">
        <v>4.82261472E8</v>
      </c>
      <c r="AB1068" s="1">
        <v>170000.0</v>
      </c>
      <c r="AC1068" s="2">
        <v>41598.0</v>
      </c>
      <c r="AD1068" s="1">
        <v>8600.0</v>
      </c>
      <c r="AE1068" s="1" t="s">
        <v>102</v>
      </c>
      <c r="AF1068" s="1">
        <v>36.0</v>
      </c>
      <c r="AG1068" s="1" t="s">
        <v>2511</v>
      </c>
      <c r="AH1068" s="1">
        <v>6.0</v>
      </c>
      <c r="AI1068" s="1">
        <v>2014.0</v>
      </c>
      <c r="AJ1068" s="1">
        <v>2014.0</v>
      </c>
      <c r="AK1068" s="1" t="s">
        <v>305</v>
      </c>
    </row>
    <row r="1069">
      <c r="A1069" s="1" t="s">
        <v>2505</v>
      </c>
      <c r="B1069" s="1" t="s">
        <v>2505</v>
      </c>
      <c r="C1069" s="1" t="s">
        <v>38</v>
      </c>
      <c r="E1069" s="1">
        <v>2076024.0</v>
      </c>
      <c r="F1069" s="2">
        <v>41771.0</v>
      </c>
      <c r="G1069" s="1" t="s">
        <v>2506</v>
      </c>
      <c r="I1069" s="1" t="s">
        <v>2506</v>
      </c>
      <c r="L1069" s="1" t="s">
        <v>40</v>
      </c>
      <c r="M1069" s="1">
        <v>7500.0</v>
      </c>
      <c r="N1069" s="1" t="s">
        <v>40</v>
      </c>
      <c r="O1069" s="1">
        <v>7.3134603E7</v>
      </c>
      <c r="P1069" s="1" t="s">
        <v>41</v>
      </c>
      <c r="Q1069" s="1" t="s">
        <v>252</v>
      </c>
      <c r="R1069" s="1" t="s">
        <v>253</v>
      </c>
      <c r="S1069" s="1" t="s">
        <v>44</v>
      </c>
      <c r="T1069" s="1" t="s">
        <v>45</v>
      </c>
      <c r="U1069" s="1">
        <v>4.8202345E8</v>
      </c>
      <c r="W1069" s="1" t="s">
        <v>46</v>
      </c>
      <c r="X1069" s="1" t="s">
        <v>45</v>
      </c>
      <c r="Y1069" s="1">
        <v>4.8202345E8</v>
      </c>
      <c r="Z1069" s="1">
        <v>7.3134603E7</v>
      </c>
      <c r="AA1069" s="1" t="s">
        <v>41</v>
      </c>
      <c r="AB1069" s="1">
        <v>206914.0</v>
      </c>
      <c r="AC1069" s="2">
        <v>41771.0</v>
      </c>
      <c r="AD1069" s="1">
        <v>7500.0</v>
      </c>
      <c r="AE1069" s="1" t="s">
        <v>40</v>
      </c>
      <c r="AF1069" s="1" t="s">
        <v>2507</v>
      </c>
      <c r="AG1069" s="1" t="s">
        <v>2506</v>
      </c>
      <c r="AH1069" s="1">
        <v>5.0</v>
      </c>
      <c r="AI1069" s="1">
        <v>2014.0</v>
      </c>
      <c r="AJ1069" s="1">
        <v>2014.0</v>
      </c>
      <c r="AK1069" s="1" t="s">
        <v>1558</v>
      </c>
    </row>
    <row r="1070">
      <c r="A1070" s="1" t="s">
        <v>2508</v>
      </c>
      <c r="B1070" s="1" t="s">
        <v>2508</v>
      </c>
      <c r="C1070" s="1" t="s">
        <v>100</v>
      </c>
      <c r="E1070" s="1">
        <v>3.2877084E7</v>
      </c>
      <c r="F1070" s="2">
        <v>41598.0</v>
      </c>
      <c r="G1070" s="1" t="s">
        <v>297</v>
      </c>
      <c r="I1070" s="1" t="s">
        <v>297</v>
      </c>
      <c r="L1070" s="1" t="s">
        <v>102</v>
      </c>
      <c r="M1070" s="1">
        <v>8600.0</v>
      </c>
      <c r="N1070" s="1" t="s">
        <v>102</v>
      </c>
      <c r="O1070" s="1">
        <v>6.9835866E7</v>
      </c>
      <c r="P1070" s="1" t="s">
        <v>2272</v>
      </c>
      <c r="R1070" s="1" t="s">
        <v>2273</v>
      </c>
      <c r="S1070" s="1" t="s">
        <v>44</v>
      </c>
      <c r="T1070" s="1" t="s">
        <v>45</v>
      </c>
      <c r="U1070" s="1">
        <v>4.82061269E8</v>
      </c>
      <c r="W1070" s="1" t="s">
        <v>46</v>
      </c>
      <c r="X1070" s="1" t="s">
        <v>45</v>
      </c>
      <c r="Y1070" s="1">
        <v>4.82061609E8</v>
      </c>
      <c r="AB1070" s="1">
        <v>103838.0</v>
      </c>
      <c r="AC1070" s="2">
        <v>41598.0</v>
      </c>
      <c r="AD1070" s="1">
        <v>8600.0</v>
      </c>
      <c r="AE1070" s="1" t="s">
        <v>102</v>
      </c>
      <c r="AF1070" s="1">
        <v>20.0</v>
      </c>
      <c r="AG1070" s="1" t="s">
        <v>2512</v>
      </c>
      <c r="AH1070" s="1">
        <v>6.0</v>
      </c>
      <c r="AI1070" s="1">
        <v>2014.0</v>
      </c>
      <c r="AJ1070" s="1">
        <v>2014.0</v>
      </c>
      <c r="AK1070" s="1" t="s">
        <v>305</v>
      </c>
    </row>
    <row r="1071">
      <c r="A1071" s="1" t="s">
        <v>2508</v>
      </c>
      <c r="B1071" s="1" t="s">
        <v>2508</v>
      </c>
      <c r="C1071" s="1" t="s">
        <v>100</v>
      </c>
      <c r="E1071" s="1">
        <v>3.2877084E7</v>
      </c>
      <c r="F1071" s="2">
        <v>41598.0</v>
      </c>
      <c r="G1071" s="1" t="s">
        <v>297</v>
      </c>
      <c r="I1071" s="1" t="s">
        <v>297</v>
      </c>
      <c r="L1071" s="1" t="s">
        <v>102</v>
      </c>
      <c r="M1071" s="1">
        <v>8600.0</v>
      </c>
      <c r="N1071" s="1" t="s">
        <v>102</v>
      </c>
      <c r="O1071" s="1">
        <v>1.27458909E8</v>
      </c>
      <c r="P1071" s="1" t="s">
        <v>2195</v>
      </c>
      <c r="R1071" s="1" t="s">
        <v>2196</v>
      </c>
      <c r="S1071" s="1" t="s">
        <v>44</v>
      </c>
      <c r="T1071" s="1" t="s">
        <v>45</v>
      </c>
      <c r="U1071" s="1">
        <v>4.82012641E8</v>
      </c>
      <c r="W1071" s="1" t="s">
        <v>46</v>
      </c>
      <c r="X1071" s="1" t="s">
        <v>45</v>
      </c>
      <c r="Y1071" s="1">
        <v>4.82012641E8</v>
      </c>
      <c r="AB1071" s="1">
        <v>250000.0</v>
      </c>
      <c r="AC1071" s="2">
        <v>41598.0</v>
      </c>
      <c r="AD1071" s="1">
        <v>8600.0</v>
      </c>
      <c r="AE1071" s="1" t="s">
        <v>102</v>
      </c>
      <c r="AF1071" s="1">
        <v>31.0</v>
      </c>
      <c r="AG1071" s="1" t="s">
        <v>2513</v>
      </c>
      <c r="AH1071" s="1">
        <v>6.0</v>
      </c>
      <c r="AI1071" s="1">
        <v>2014.0</v>
      </c>
      <c r="AJ1071" s="1">
        <v>2014.0</v>
      </c>
      <c r="AK1071" s="1" t="s">
        <v>305</v>
      </c>
    </row>
    <row r="1072">
      <c r="A1072" s="1" t="s">
        <v>2508</v>
      </c>
      <c r="B1072" s="1" t="s">
        <v>2508</v>
      </c>
      <c r="C1072" s="1" t="s">
        <v>100</v>
      </c>
      <c r="E1072" s="1">
        <v>3.2877084E7</v>
      </c>
      <c r="F1072" s="2">
        <v>41598.0</v>
      </c>
      <c r="G1072" s="1" t="s">
        <v>297</v>
      </c>
      <c r="I1072" s="1" t="s">
        <v>297</v>
      </c>
      <c r="L1072" s="1" t="s">
        <v>102</v>
      </c>
      <c r="M1072" s="1">
        <v>8600.0</v>
      </c>
      <c r="N1072" s="1" t="s">
        <v>102</v>
      </c>
      <c r="O1072" s="1">
        <v>4.9254014E7</v>
      </c>
      <c r="P1072" s="1" t="s">
        <v>2189</v>
      </c>
      <c r="R1072" s="1" t="s">
        <v>2190</v>
      </c>
      <c r="S1072" s="1" t="s">
        <v>44</v>
      </c>
      <c r="T1072" s="1" t="s">
        <v>45</v>
      </c>
      <c r="U1072" s="1">
        <v>4.82024003E8</v>
      </c>
      <c r="W1072" s="1" t="s">
        <v>46</v>
      </c>
      <c r="X1072" s="1" t="s">
        <v>45</v>
      </c>
      <c r="Y1072" s="1">
        <v>4.82024003E8</v>
      </c>
      <c r="Z1072" s="1">
        <v>4.9254014E7</v>
      </c>
      <c r="AA1072" s="1" t="s">
        <v>2189</v>
      </c>
      <c r="AB1072" s="1">
        <v>127060.0</v>
      </c>
      <c r="AC1072" s="2">
        <v>41598.0</v>
      </c>
      <c r="AD1072" s="1">
        <v>8600.0</v>
      </c>
      <c r="AE1072" s="1" t="s">
        <v>102</v>
      </c>
      <c r="AF1072" s="1">
        <v>9.0</v>
      </c>
      <c r="AG1072" s="1" t="s">
        <v>2514</v>
      </c>
      <c r="AH1072" s="1">
        <v>6.0</v>
      </c>
      <c r="AI1072" s="1">
        <v>2014.0</v>
      </c>
      <c r="AJ1072" s="1">
        <v>2014.0</v>
      </c>
      <c r="AK1072" s="1" t="s">
        <v>305</v>
      </c>
    </row>
    <row r="1073">
      <c r="A1073" s="1" t="s">
        <v>2508</v>
      </c>
      <c r="B1073" s="1" t="s">
        <v>2508</v>
      </c>
      <c r="C1073" s="1" t="s">
        <v>100</v>
      </c>
      <c r="E1073" s="1">
        <v>3.2877084E7</v>
      </c>
      <c r="F1073" s="2">
        <v>41598.0</v>
      </c>
      <c r="G1073" s="1" t="s">
        <v>297</v>
      </c>
      <c r="I1073" s="1" t="s">
        <v>297</v>
      </c>
      <c r="L1073" s="1" t="s">
        <v>102</v>
      </c>
      <c r="M1073" s="1">
        <v>8600.0</v>
      </c>
      <c r="N1073" s="1" t="s">
        <v>102</v>
      </c>
      <c r="O1073" s="1">
        <v>1.2380762E8</v>
      </c>
      <c r="P1073" s="1" t="s">
        <v>2181</v>
      </c>
      <c r="Q1073" s="1" t="s">
        <v>2182</v>
      </c>
      <c r="R1073" s="1" t="s">
        <v>2183</v>
      </c>
      <c r="S1073" s="1" t="s">
        <v>44</v>
      </c>
      <c r="T1073" s="1" t="s">
        <v>45</v>
      </c>
      <c r="U1073" s="1">
        <v>4.82013473E8</v>
      </c>
      <c r="W1073" s="1" t="s">
        <v>46</v>
      </c>
      <c r="X1073" s="1" t="s">
        <v>45</v>
      </c>
      <c r="Y1073" s="1">
        <v>4.82013473E8</v>
      </c>
      <c r="AB1073" s="1">
        <v>100000.0</v>
      </c>
      <c r="AC1073" s="2">
        <v>41598.0</v>
      </c>
      <c r="AD1073" s="1">
        <v>8600.0</v>
      </c>
      <c r="AE1073" s="1" t="s">
        <v>102</v>
      </c>
      <c r="AF1073" s="1">
        <v>7.0</v>
      </c>
      <c r="AG1073" s="1" t="s">
        <v>2515</v>
      </c>
      <c r="AH1073" s="1">
        <v>6.0</v>
      </c>
      <c r="AI1073" s="1">
        <v>2014.0</v>
      </c>
      <c r="AJ1073" s="1">
        <v>2014.0</v>
      </c>
      <c r="AK1073" s="1" t="s">
        <v>305</v>
      </c>
    </row>
    <row r="1074">
      <c r="A1074" s="1" t="s">
        <v>2508</v>
      </c>
      <c r="B1074" s="1" t="s">
        <v>2508</v>
      </c>
      <c r="C1074" s="1" t="s">
        <v>100</v>
      </c>
      <c r="E1074" s="1">
        <v>3.2877084E7</v>
      </c>
      <c r="F1074" s="2">
        <v>41598.0</v>
      </c>
      <c r="G1074" s="1" t="s">
        <v>297</v>
      </c>
      <c r="I1074" s="1" t="s">
        <v>297</v>
      </c>
      <c r="L1074" s="1" t="s">
        <v>102</v>
      </c>
      <c r="M1074" s="1">
        <v>8600.0</v>
      </c>
      <c r="N1074" s="1" t="s">
        <v>102</v>
      </c>
      <c r="O1074" s="1">
        <v>1.75587161E8</v>
      </c>
      <c r="P1074" s="1" t="s">
        <v>2233</v>
      </c>
      <c r="Q1074" s="1" t="s">
        <v>2234</v>
      </c>
      <c r="R1074" s="1" t="s">
        <v>2235</v>
      </c>
      <c r="S1074" s="1" t="s">
        <v>44</v>
      </c>
      <c r="T1074" s="1" t="s">
        <v>45</v>
      </c>
      <c r="U1074" s="1">
        <v>4.82022411E8</v>
      </c>
      <c r="W1074" s="1" t="s">
        <v>46</v>
      </c>
      <c r="X1074" s="1" t="s">
        <v>45</v>
      </c>
      <c r="Y1074" s="1">
        <v>4.82022411E8</v>
      </c>
      <c r="Z1074" s="1">
        <v>1.75587161E8</v>
      </c>
      <c r="AA1074" s="1" t="s">
        <v>2236</v>
      </c>
      <c r="AB1074" s="1">
        <v>193662.0</v>
      </c>
      <c r="AC1074" s="2">
        <v>41598.0</v>
      </c>
      <c r="AD1074" s="1">
        <v>8600.0</v>
      </c>
      <c r="AE1074" s="1" t="s">
        <v>102</v>
      </c>
      <c r="AF1074" s="1">
        <v>4.0</v>
      </c>
      <c r="AG1074" s="1" t="s">
        <v>2516</v>
      </c>
      <c r="AH1074" s="1">
        <v>6.0</v>
      </c>
      <c r="AI1074" s="1">
        <v>2014.0</v>
      </c>
      <c r="AJ1074" s="1">
        <v>2014.0</v>
      </c>
      <c r="AK1074" s="1" t="s">
        <v>305</v>
      </c>
    </row>
    <row r="1075">
      <c r="A1075" s="1" t="s">
        <v>2508</v>
      </c>
      <c r="B1075" s="1" t="s">
        <v>2508</v>
      </c>
      <c r="C1075" s="1" t="s">
        <v>100</v>
      </c>
      <c r="E1075" s="1">
        <v>3.2877084E7</v>
      </c>
      <c r="F1075" s="2">
        <v>41598.0</v>
      </c>
      <c r="G1075" s="1" t="s">
        <v>297</v>
      </c>
      <c r="I1075" s="1" t="s">
        <v>297</v>
      </c>
      <c r="L1075" s="1" t="s">
        <v>102</v>
      </c>
      <c r="M1075" s="1">
        <v>8600.0</v>
      </c>
      <c r="N1075" s="1" t="s">
        <v>102</v>
      </c>
      <c r="O1075" s="1">
        <v>1.06502784E8</v>
      </c>
      <c r="P1075" s="1" t="s">
        <v>2290</v>
      </c>
      <c r="R1075" s="1" t="s">
        <v>2291</v>
      </c>
      <c r="S1075" s="1" t="s">
        <v>44</v>
      </c>
      <c r="T1075" s="1" t="s">
        <v>45</v>
      </c>
      <c r="U1075" s="1">
        <v>4.82012002E8</v>
      </c>
      <c r="W1075" s="1" t="s">
        <v>46</v>
      </c>
      <c r="X1075" s="1" t="s">
        <v>45</v>
      </c>
      <c r="Y1075" s="1">
        <v>4.82012002E8</v>
      </c>
      <c r="AB1075" s="1">
        <v>161652.0</v>
      </c>
      <c r="AC1075" s="2">
        <v>41598.0</v>
      </c>
      <c r="AD1075" s="1">
        <v>8600.0</v>
      </c>
      <c r="AE1075" s="1" t="s">
        <v>102</v>
      </c>
      <c r="AF1075" s="1">
        <v>18.0</v>
      </c>
      <c r="AG1075" s="1" t="s">
        <v>2517</v>
      </c>
      <c r="AH1075" s="1">
        <v>6.0</v>
      </c>
      <c r="AI1075" s="1">
        <v>2014.0</v>
      </c>
      <c r="AJ1075" s="1">
        <v>2014.0</v>
      </c>
      <c r="AK1075" s="1" t="s">
        <v>305</v>
      </c>
    </row>
    <row r="1076">
      <c r="A1076" s="1" t="s">
        <v>2508</v>
      </c>
      <c r="B1076" s="1" t="s">
        <v>2508</v>
      </c>
      <c r="C1076" s="1" t="s">
        <v>100</v>
      </c>
      <c r="E1076" s="1">
        <v>3.2877084E7</v>
      </c>
      <c r="F1076" s="2">
        <v>41598.0</v>
      </c>
      <c r="G1076" s="1" t="s">
        <v>297</v>
      </c>
      <c r="I1076" s="1" t="s">
        <v>297</v>
      </c>
      <c r="L1076" s="1" t="s">
        <v>102</v>
      </c>
      <c r="M1076" s="1">
        <v>8600.0</v>
      </c>
      <c r="N1076" s="1" t="s">
        <v>102</v>
      </c>
      <c r="O1076" s="1">
        <v>7.4230996E7</v>
      </c>
      <c r="P1076" s="1" t="s">
        <v>2474</v>
      </c>
      <c r="R1076" s="1" t="s">
        <v>2475</v>
      </c>
      <c r="S1076" s="1" t="s">
        <v>44</v>
      </c>
      <c r="T1076" s="1" t="s">
        <v>45</v>
      </c>
      <c r="U1076" s="1">
        <v>4.82092614E8</v>
      </c>
      <c r="W1076" s="1" t="s">
        <v>46</v>
      </c>
      <c r="X1076" s="1" t="s">
        <v>45</v>
      </c>
      <c r="Y1076" s="1">
        <v>4.82092614E8</v>
      </c>
      <c r="Z1076" s="1">
        <v>7.4230996E7</v>
      </c>
      <c r="AA1076" s="1" t="s">
        <v>2474</v>
      </c>
      <c r="AB1076" s="1">
        <v>104994.0</v>
      </c>
      <c r="AC1076" s="2">
        <v>41598.0</v>
      </c>
      <c r="AD1076" s="1">
        <v>8600.0</v>
      </c>
      <c r="AE1076" s="1" t="s">
        <v>102</v>
      </c>
      <c r="AF1076" s="1">
        <v>16.0</v>
      </c>
      <c r="AG1076" s="1" t="s">
        <v>2518</v>
      </c>
      <c r="AH1076" s="1">
        <v>6.0</v>
      </c>
      <c r="AI1076" s="1">
        <v>2014.0</v>
      </c>
      <c r="AJ1076" s="1">
        <v>2014.0</v>
      </c>
      <c r="AK1076" s="1" t="s">
        <v>305</v>
      </c>
    </row>
    <row r="1077">
      <c r="A1077" s="1" t="s">
        <v>2508</v>
      </c>
      <c r="B1077" s="1" t="s">
        <v>2508</v>
      </c>
      <c r="C1077" s="1" t="s">
        <v>100</v>
      </c>
      <c r="E1077" s="1">
        <v>3.2877084E7</v>
      </c>
      <c r="F1077" s="2">
        <v>41598.0</v>
      </c>
      <c r="G1077" s="1" t="s">
        <v>297</v>
      </c>
      <c r="I1077" s="1" t="s">
        <v>297</v>
      </c>
      <c r="L1077" s="1" t="s">
        <v>102</v>
      </c>
      <c r="M1077" s="1">
        <v>8600.0</v>
      </c>
      <c r="N1077" s="1" t="s">
        <v>102</v>
      </c>
      <c r="O1077" s="1">
        <v>8.06464913E8</v>
      </c>
      <c r="P1077" s="1" t="s">
        <v>2205</v>
      </c>
      <c r="Q1077" s="1" t="s">
        <v>2206</v>
      </c>
      <c r="R1077" s="1" t="s">
        <v>2207</v>
      </c>
      <c r="S1077" s="1" t="s">
        <v>44</v>
      </c>
      <c r="T1077" s="1" t="s">
        <v>45</v>
      </c>
      <c r="U1077" s="1">
        <v>4.82082475E8</v>
      </c>
      <c r="W1077" s="1" t="s">
        <v>46</v>
      </c>
      <c r="X1077" s="1" t="s">
        <v>45</v>
      </c>
      <c r="Y1077" s="1">
        <v>4.82082475E8</v>
      </c>
      <c r="AB1077" s="1">
        <v>100000.0</v>
      </c>
      <c r="AC1077" s="2">
        <v>41598.0</v>
      </c>
      <c r="AD1077" s="1">
        <v>8600.0</v>
      </c>
      <c r="AE1077" s="1" t="s">
        <v>102</v>
      </c>
      <c r="AF1077" s="1">
        <v>26.0</v>
      </c>
      <c r="AG1077" s="1" t="s">
        <v>2519</v>
      </c>
      <c r="AH1077" s="1">
        <v>6.0</v>
      </c>
      <c r="AI1077" s="1">
        <v>2014.0</v>
      </c>
      <c r="AJ1077" s="1">
        <v>2014.0</v>
      </c>
      <c r="AK1077" s="1" t="s">
        <v>305</v>
      </c>
    </row>
    <row r="1078">
      <c r="A1078" s="1" t="s">
        <v>2508</v>
      </c>
      <c r="B1078" s="1" t="s">
        <v>2508</v>
      </c>
      <c r="C1078" s="1" t="s">
        <v>100</v>
      </c>
      <c r="E1078" s="1">
        <v>3.2877084E7</v>
      </c>
      <c r="F1078" s="2">
        <v>41598.0</v>
      </c>
      <c r="G1078" s="1" t="s">
        <v>297</v>
      </c>
      <c r="I1078" s="1" t="s">
        <v>297</v>
      </c>
      <c r="L1078" s="1" t="s">
        <v>102</v>
      </c>
      <c r="M1078" s="1">
        <v>8600.0</v>
      </c>
      <c r="N1078" s="1" t="s">
        <v>102</v>
      </c>
      <c r="O1078" s="1">
        <v>1.97862014E8</v>
      </c>
      <c r="P1078" s="1" t="s">
        <v>1056</v>
      </c>
      <c r="Q1078" s="1" t="s">
        <v>1057</v>
      </c>
      <c r="R1078" s="1" t="s">
        <v>1058</v>
      </c>
      <c r="S1078" s="1" t="s">
        <v>44</v>
      </c>
      <c r="T1078" s="1" t="s">
        <v>45</v>
      </c>
      <c r="U1078" s="1">
        <v>4.82023165E8</v>
      </c>
      <c r="W1078" s="1" t="s">
        <v>46</v>
      </c>
      <c r="X1078" s="1" t="s">
        <v>45</v>
      </c>
      <c r="Y1078" s="1">
        <v>4.82023165E8</v>
      </c>
      <c r="Z1078" s="1">
        <v>1.97862014E8</v>
      </c>
      <c r="AA1078" s="1" t="s">
        <v>1056</v>
      </c>
      <c r="AB1078" s="1">
        <v>100000.0</v>
      </c>
      <c r="AC1078" s="2">
        <v>41598.0</v>
      </c>
      <c r="AD1078" s="1">
        <v>8600.0</v>
      </c>
      <c r="AE1078" s="1" t="s">
        <v>102</v>
      </c>
      <c r="AF1078" s="1">
        <v>37.0</v>
      </c>
      <c r="AG1078" s="1" t="s">
        <v>2520</v>
      </c>
      <c r="AH1078" s="1">
        <v>6.0</v>
      </c>
      <c r="AI1078" s="1">
        <v>2014.0</v>
      </c>
      <c r="AJ1078" s="1">
        <v>2014.0</v>
      </c>
      <c r="AK1078" s="1" t="s">
        <v>305</v>
      </c>
    </row>
    <row r="1079">
      <c r="A1079" s="1" t="s">
        <v>2508</v>
      </c>
      <c r="B1079" s="1" t="s">
        <v>2508</v>
      </c>
      <c r="C1079" s="1" t="s">
        <v>100</v>
      </c>
      <c r="E1079" s="1">
        <v>3.2877084E7</v>
      </c>
      <c r="F1079" s="2">
        <v>41598.0</v>
      </c>
      <c r="G1079" s="1" t="s">
        <v>297</v>
      </c>
      <c r="I1079" s="1" t="s">
        <v>297</v>
      </c>
      <c r="L1079" s="1" t="s">
        <v>102</v>
      </c>
      <c r="M1079" s="1">
        <v>8600.0</v>
      </c>
      <c r="N1079" s="1" t="s">
        <v>102</v>
      </c>
      <c r="O1079" s="1">
        <v>1.37445396E8</v>
      </c>
      <c r="P1079" s="1" t="s">
        <v>2269</v>
      </c>
      <c r="R1079" s="1" t="s">
        <v>2270</v>
      </c>
      <c r="S1079" s="1" t="s">
        <v>44</v>
      </c>
      <c r="T1079" s="1" t="s">
        <v>45</v>
      </c>
      <c r="U1079" s="1">
        <v>4.820942E8</v>
      </c>
      <c r="W1079" s="1" t="s">
        <v>46</v>
      </c>
      <c r="X1079" s="1" t="s">
        <v>45</v>
      </c>
      <c r="Y1079" s="1">
        <v>4.820942E8</v>
      </c>
      <c r="AB1079" s="1">
        <v>150000.0</v>
      </c>
      <c r="AC1079" s="2">
        <v>41598.0</v>
      </c>
      <c r="AD1079" s="1">
        <v>8600.0</v>
      </c>
      <c r="AE1079" s="1" t="s">
        <v>102</v>
      </c>
      <c r="AF1079" s="1">
        <v>5.0</v>
      </c>
      <c r="AG1079" s="1" t="s">
        <v>2521</v>
      </c>
      <c r="AH1079" s="1">
        <v>6.0</v>
      </c>
      <c r="AI1079" s="1">
        <v>2014.0</v>
      </c>
      <c r="AJ1079" s="1">
        <v>2014.0</v>
      </c>
      <c r="AK1079" s="1" t="s">
        <v>305</v>
      </c>
    </row>
    <row r="1080">
      <c r="A1080" s="1" t="s">
        <v>2508</v>
      </c>
      <c r="B1080" s="1" t="s">
        <v>2508</v>
      </c>
      <c r="C1080" s="1" t="s">
        <v>100</v>
      </c>
      <c r="E1080" s="1">
        <v>3.2877084E7</v>
      </c>
      <c r="F1080" s="2">
        <v>41598.0</v>
      </c>
      <c r="G1080" s="1" t="s">
        <v>297</v>
      </c>
      <c r="I1080" s="1" t="s">
        <v>297</v>
      </c>
      <c r="L1080" s="1" t="s">
        <v>102</v>
      </c>
      <c r="M1080" s="1">
        <v>8600.0</v>
      </c>
      <c r="N1080" s="1" t="s">
        <v>102</v>
      </c>
      <c r="O1080" s="1">
        <v>1.12914697E8</v>
      </c>
      <c r="P1080" s="1" t="s">
        <v>2172</v>
      </c>
      <c r="Q1080" s="1" t="s">
        <v>2173</v>
      </c>
      <c r="R1080" s="1" t="s">
        <v>2174</v>
      </c>
      <c r="S1080" s="1" t="s">
        <v>44</v>
      </c>
      <c r="T1080" s="1" t="s">
        <v>45</v>
      </c>
      <c r="U1080" s="1">
        <v>4.82341265E8</v>
      </c>
      <c r="W1080" s="1" t="s">
        <v>46</v>
      </c>
      <c r="X1080" s="1" t="s">
        <v>45</v>
      </c>
      <c r="Y1080" s="1">
        <v>4.82341265E8</v>
      </c>
      <c r="AB1080" s="1">
        <v>105000.0</v>
      </c>
      <c r="AC1080" s="2">
        <v>41598.0</v>
      </c>
      <c r="AD1080" s="1">
        <v>8600.0</v>
      </c>
      <c r="AE1080" s="1" t="s">
        <v>102</v>
      </c>
      <c r="AF1080" s="1">
        <v>11.0</v>
      </c>
      <c r="AG1080" s="1" t="s">
        <v>2522</v>
      </c>
      <c r="AH1080" s="1">
        <v>6.0</v>
      </c>
      <c r="AI1080" s="1">
        <v>2014.0</v>
      </c>
      <c r="AJ1080" s="1">
        <v>2014.0</v>
      </c>
      <c r="AK1080" s="1" t="s">
        <v>305</v>
      </c>
    </row>
    <row r="1081">
      <c r="A1081" s="1" t="s">
        <v>2508</v>
      </c>
      <c r="B1081" s="1" t="s">
        <v>2508</v>
      </c>
      <c r="C1081" s="1" t="s">
        <v>100</v>
      </c>
      <c r="E1081" s="1">
        <v>3.2877084E7</v>
      </c>
      <c r="F1081" s="2">
        <v>41598.0</v>
      </c>
      <c r="G1081" s="1" t="s">
        <v>297</v>
      </c>
      <c r="I1081" s="1" t="s">
        <v>297</v>
      </c>
      <c r="L1081" s="1" t="s">
        <v>102</v>
      </c>
      <c r="M1081" s="1">
        <v>8600.0</v>
      </c>
      <c r="N1081" s="1" t="s">
        <v>102</v>
      </c>
      <c r="O1081" s="1">
        <v>7.8074923E8</v>
      </c>
      <c r="P1081" s="1" t="s">
        <v>419</v>
      </c>
      <c r="R1081" s="1" t="s">
        <v>420</v>
      </c>
      <c r="S1081" s="1" t="s">
        <v>44</v>
      </c>
      <c r="T1081" s="1" t="s">
        <v>45</v>
      </c>
      <c r="U1081" s="1">
        <v>4.82082365E8</v>
      </c>
      <c r="W1081" s="1" t="s">
        <v>46</v>
      </c>
      <c r="X1081" s="1" t="s">
        <v>45</v>
      </c>
      <c r="Y1081" s="1">
        <v>4.82082365E8</v>
      </c>
      <c r="AB1081" s="1">
        <v>150000.0</v>
      </c>
      <c r="AC1081" s="2">
        <v>41598.0</v>
      </c>
      <c r="AD1081" s="1">
        <v>8600.0</v>
      </c>
      <c r="AE1081" s="1" t="s">
        <v>102</v>
      </c>
      <c r="AF1081" s="1">
        <v>21.0</v>
      </c>
      <c r="AG1081" s="1" t="s">
        <v>2523</v>
      </c>
      <c r="AH1081" s="1">
        <v>6.0</v>
      </c>
      <c r="AI1081" s="1">
        <v>2014.0</v>
      </c>
      <c r="AJ1081" s="1">
        <v>2014.0</v>
      </c>
      <c r="AK1081" s="1" t="s">
        <v>305</v>
      </c>
    </row>
    <row r="1082">
      <c r="A1082" s="1" t="s">
        <v>2508</v>
      </c>
      <c r="B1082" s="1" t="s">
        <v>2508</v>
      </c>
      <c r="C1082" s="1" t="s">
        <v>100</v>
      </c>
      <c r="E1082" s="1">
        <v>3.2877084E7</v>
      </c>
      <c r="F1082" s="2">
        <v>41598.0</v>
      </c>
      <c r="G1082" s="1" t="s">
        <v>297</v>
      </c>
      <c r="I1082" s="1" t="s">
        <v>297</v>
      </c>
      <c r="L1082" s="1" t="s">
        <v>102</v>
      </c>
      <c r="M1082" s="1">
        <v>8600.0</v>
      </c>
      <c r="N1082" s="1" t="s">
        <v>102</v>
      </c>
      <c r="O1082" s="1">
        <v>6.07532215E8</v>
      </c>
      <c r="P1082" s="1" t="s">
        <v>2282</v>
      </c>
      <c r="R1082" s="1" t="s">
        <v>2283</v>
      </c>
      <c r="S1082" s="1" t="s">
        <v>44</v>
      </c>
      <c r="T1082" s="1" t="s">
        <v>45</v>
      </c>
      <c r="U1082" s="1">
        <v>4.82162019E8</v>
      </c>
      <c r="W1082" s="1" t="s">
        <v>46</v>
      </c>
      <c r="X1082" s="1" t="s">
        <v>45</v>
      </c>
      <c r="Y1082" s="1">
        <v>4.82162019E8</v>
      </c>
      <c r="AB1082" s="1">
        <v>100000.0</v>
      </c>
      <c r="AC1082" s="2">
        <v>41598.0</v>
      </c>
      <c r="AD1082" s="1">
        <v>8600.0</v>
      </c>
      <c r="AE1082" s="1" t="s">
        <v>102</v>
      </c>
      <c r="AF1082" s="1">
        <v>29.0</v>
      </c>
      <c r="AG1082" s="1" t="s">
        <v>2524</v>
      </c>
      <c r="AH1082" s="1">
        <v>6.0</v>
      </c>
      <c r="AI1082" s="1">
        <v>2014.0</v>
      </c>
      <c r="AJ1082" s="1">
        <v>2014.0</v>
      </c>
      <c r="AK1082" s="1" t="s">
        <v>305</v>
      </c>
    </row>
    <row r="1083">
      <c r="A1083" s="1" t="s">
        <v>2508</v>
      </c>
      <c r="B1083" s="1" t="s">
        <v>2508</v>
      </c>
      <c r="C1083" s="1" t="s">
        <v>100</v>
      </c>
      <c r="E1083" s="1">
        <v>3.2877084E7</v>
      </c>
      <c r="F1083" s="2">
        <v>41598.0</v>
      </c>
      <c r="G1083" s="1" t="s">
        <v>297</v>
      </c>
      <c r="I1083" s="1" t="s">
        <v>297</v>
      </c>
      <c r="L1083" s="1" t="s">
        <v>102</v>
      </c>
      <c r="M1083" s="1">
        <v>8600.0</v>
      </c>
      <c r="N1083" s="1" t="s">
        <v>102</v>
      </c>
      <c r="O1083" s="1">
        <v>4.0560898E7</v>
      </c>
      <c r="P1083" s="1" t="s">
        <v>2304</v>
      </c>
      <c r="R1083" s="1" t="s">
        <v>2305</v>
      </c>
      <c r="S1083" s="1" t="s">
        <v>44</v>
      </c>
      <c r="T1083" s="1" t="s">
        <v>45</v>
      </c>
      <c r="U1083" s="1">
        <v>4.82261348E8</v>
      </c>
      <c r="W1083" s="1" t="s">
        <v>46</v>
      </c>
      <c r="X1083" s="1" t="s">
        <v>45</v>
      </c>
      <c r="Y1083" s="1">
        <v>4.82261348E8</v>
      </c>
      <c r="Z1083" s="1">
        <v>4.0560898E7</v>
      </c>
      <c r="AA1083" s="1" t="s">
        <v>2304</v>
      </c>
      <c r="AB1083" s="1">
        <v>150000.0</v>
      </c>
      <c r="AC1083" s="2">
        <v>41598.0</v>
      </c>
      <c r="AD1083" s="1">
        <v>8600.0</v>
      </c>
      <c r="AE1083" s="1" t="s">
        <v>102</v>
      </c>
      <c r="AF1083" s="1">
        <v>30.0</v>
      </c>
      <c r="AG1083" s="1" t="s">
        <v>2525</v>
      </c>
      <c r="AH1083" s="1">
        <v>6.0</v>
      </c>
      <c r="AI1083" s="1">
        <v>2014.0</v>
      </c>
      <c r="AJ1083" s="1">
        <v>2014.0</v>
      </c>
      <c r="AK1083" s="1" t="s">
        <v>305</v>
      </c>
    </row>
    <row r="1084">
      <c r="A1084" s="1" t="s">
        <v>2508</v>
      </c>
      <c r="B1084" s="1" t="s">
        <v>2508</v>
      </c>
      <c r="C1084" s="1" t="s">
        <v>100</v>
      </c>
      <c r="E1084" s="1">
        <v>3.2877084E7</v>
      </c>
      <c r="F1084" s="2">
        <v>41598.0</v>
      </c>
      <c r="G1084" s="1" t="s">
        <v>297</v>
      </c>
      <c r="I1084" s="1" t="s">
        <v>297</v>
      </c>
      <c r="L1084" s="1" t="s">
        <v>102</v>
      </c>
      <c r="M1084" s="1">
        <v>8600.0</v>
      </c>
      <c r="N1084" s="1" t="s">
        <v>102</v>
      </c>
      <c r="O1084" s="1">
        <v>7.9832754E8</v>
      </c>
      <c r="P1084" s="1" t="s">
        <v>2243</v>
      </c>
      <c r="Q1084" s="1" t="s">
        <v>2244</v>
      </c>
      <c r="R1084" s="1" t="s">
        <v>2245</v>
      </c>
      <c r="S1084" s="1" t="s">
        <v>44</v>
      </c>
      <c r="T1084" s="1" t="s">
        <v>45</v>
      </c>
      <c r="U1084" s="1">
        <v>4.82013012E8</v>
      </c>
      <c r="W1084" s="1" t="s">
        <v>46</v>
      </c>
      <c r="X1084" s="1" t="s">
        <v>45</v>
      </c>
      <c r="Y1084" s="1">
        <v>4.82013012E8</v>
      </c>
      <c r="AB1084" s="1">
        <v>125000.0</v>
      </c>
      <c r="AC1084" s="2">
        <v>41598.0</v>
      </c>
      <c r="AD1084" s="1">
        <v>8600.0</v>
      </c>
      <c r="AE1084" s="1" t="s">
        <v>102</v>
      </c>
      <c r="AF1084" s="1">
        <v>32.0</v>
      </c>
      <c r="AG1084" s="1" t="s">
        <v>2526</v>
      </c>
      <c r="AH1084" s="1">
        <v>6.0</v>
      </c>
      <c r="AI1084" s="1">
        <v>2014.0</v>
      </c>
      <c r="AJ1084" s="1">
        <v>2014.0</v>
      </c>
      <c r="AK1084" s="1" t="s">
        <v>305</v>
      </c>
    </row>
    <row r="1085">
      <c r="A1085" s="1" t="s">
        <v>2508</v>
      </c>
      <c r="B1085" s="1" t="s">
        <v>2508</v>
      </c>
      <c r="C1085" s="1" t="s">
        <v>100</v>
      </c>
      <c r="E1085" s="1">
        <v>3.2877084E7</v>
      </c>
      <c r="F1085" s="2">
        <v>41598.0</v>
      </c>
      <c r="G1085" s="1" t="s">
        <v>297</v>
      </c>
      <c r="I1085" s="1" t="s">
        <v>297</v>
      </c>
      <c r="L1085" s="1" t="s">
        <v>102</v>
      </c>
      <c r="M1085" s="1">
        <v>8600.0</v>
      </c>
      <c r="N1085" s="1" t="s">
        <v>102</v>
      </c>
      <c r="O1085" s="1">
        <v>6.7314435E7</v>
      </c>
      <c r="P1085" s="1" t="s">
        <v>2406</v>
      </c>
      <c r="R1085" s="1" t="s">
        <v>2407</v>
      </c>
      <c r="S1085" s="1" t="s">
        <v>44</v>
      </c>
      <c r="T1085" s="1" t="s">
        <v>45</v>
      </c>
      <c r="U1085" s="1">
        <v>4.82212848E8</v>
      </c>
      <c r="W1085" s="1" t="s">
        <v>46</v>
      </c>
      <c r="X1085" s="1" t="s">
        <v>45</v>
      </c>
      <c r="Y1085" s="1">
        <v>4.82212848E8</v>
      </c>
      <c r="Z1085" s="1">
        <v>6.7314435E7</v>
      </c>
      <c r="AA1085" s="1" t="s">
        <v>2406</v>
      </c>
      <c r="AB1085" s="1">
        <v>100000.0</v>
      </c>
      <c r="AC1085" s="2">
        <v>41598.0</v>
      </c>
      <c r="AD1085" s="1">
        <v>8600.0</v>
      </c>
      <c r="AE1085" s="1" t="s">
        <v>102</v>
      </c>
      <c r="AF1085" s="1">
        <v>15.0</v>
      </c>
      <c r="AG1085" s="1" t="s">
        <v>2527</v>
      </c>
      <c r="AH1085" s="1">
        <v>6.0</v>
      </c>
      <c r="AI1085" s="1">
        <v>2014.0</v>
      </c>
      <c r="AJ1085" s="1">
        <v>2014.0</v>
      </c>
      <c r="AK1085" s="1" t="s">
        <v>305</v>
      </c>
    </row>
    <row r="1086">
      <c r="A1086" s="1" t="s">
        <v>2508</v>
      </c>
      <c r="B1086" s="1" t="s">
        <v>2508</v>
      </c>
      <c r="C1086" s="1" t="s">
        <v>100</v>
      </c>
      <c r="E1086" s="1">
        <v>3.2877084E7</v>
      </c>
      <c r="F1086" s="2">
        <v>41598.0</v>
      </c>
      <c r="G1086" s="1" t="s">
        <v>297</v>
      </c>
      <c r="I1086" s="1" t="s">
        <v>297</v>
      </c>
      <c r="L1086" s="1" t="s">
        <v>102</v>
      </c>
      <c r="M1086" s="1">
        <v>8600.0</v>
      </c>
      <c r="N1086" s="1" t="s">
        <v>102</v>
      </c>
      <c r="O1086" s="1">
        <v>1.69757358E8</v>
      </c>
      <c r="P1086" s="1" t="s">
        <v>2294</v>
      </c>
      <c r="Q1086" s="1" t="s">
        <v>2295</v>
      </c>
      <c r="R1086" s="1" t="s">
        <v>2296</v>
      </c>
      <c r="S1086" s="1" t="s">
        <v>44</v>
      </c>
      <c r="T1086" s="1" t="s">
        <v>45</v>
      </c>
      <c r="U1086" s="1">
        <v>4.82261602E8</v>
      </c>
      <c r="W1086" s="1" t="s">
        <v>46</v>
      </c>
      <c r="X1086" s="1" t="s">
        <v>45</v>
      </c>
      <c r="Y1086" s="1">
        <v>4.82261602E8</v>
      </c>
      <c r="Z1086" s="1">
        <v>4.8774095E7</v>
      </c>
      <c r="AB1086" s="1">
        <v>130000.0</v>
      </c>
      <c r="AC1086" s="2">
        <v>41598.0</v>
      </c>
      <c r="AD1086" s="1">
        <v>8600.0</v>
      </c>
      <c r="AE1086" s="1" t="s">
        <v>102</v>
      </c>
      <c r="AF1086" s="1">
        <v>25.0</v>
      </c>
      <c r="AG1086" s="1" t="s">
        <v>2528</v>
      </c>
      <c r="AH1086" s="1">
        <v>6.0</v>
      </c>
      <c r="AI1086" s="1">
        <v>2014.0</v>
      </c>
      <c r="AJ1086" s="1">
        <v>2014.0</v>
      </c>
      <c r="AK1086" s="1" t="s">
        <v>305</v>
      </c>
    </row>
    <row r="1087">
      <c r="A1087" s="1" t="s">
        <v>2508</v>
      </c>
      <c r="B1087" s="1" t="s">
        <v>2508</v>
      </c>
      <c r="C1087" s="1" t="s">
        <v>100</v>
      </c>
      <c r="E1087" s="1">
        <v>3.2877084E7</v>
      </c>
      <c r="F1087" s="2">
        <v>41598.0</v>
      </c>
      <c r="G1087" s="1" t="s">
        <v>297</v>
      </c>
      <c r="I1087" s="1" t="s">
        <v>297</v>
      </c>
      <c r="L1087" s="1" t="s">
        <v>102</v>
      </c>
      <c r="M1087" s="1">
        <v>8600.0</v>
      </c>
      <c r="N1087" s="1" t="s">
        <v>102</v>
      </c>
      <c r="O1087" s="1">
        <v>1.69757358E8</v>
      </c>
      <c r="P1087" s="1" t="s">
        <v>2294</v>
      </c>
      <c r="Q1087" s="1" t="s">
        <v>2295</v>
      </c>
      <c r="R1087" s="1" t="s">
        <v>2296</v>
      </c>
      <c r="S1087" s="1" t="s">
        <v>44</v>
      </c>
      <c r="T1087" s="1" t="s">
        <v>45</v>
      </c>
      <c r="U1087" s="1">
        <v>4.82261602E8</v>
      </c>
      <c r="W1087" s="1" t="s">
        <v>46</v>
      </c>
      <c r="X1087" s="1" t="s">
        <v>45</v>
      </c>
      <c r="Y1087" s="1">
        <v>4.82261602E8</v>
      </c>
      <c r="Z1087" s="1">
        <v>4.8774095E7</v>
      </c>
      <c r="AB1087" s="1">
        <v>100000.0</v>
      </c>
      <c r="AC1087" s="2">
        <v>41598.0</v>
      </c>
      <c r="AD1087" s="1">
        <v>8600.0</v>
      </c>
      <c r="AE1087" s="1" t="s">
        <v>102</v>
      </c>
      <c r="AF1087" s="1">
        <v>24.0</v>
      </c>
      <c r="AG1087" s="1" t="s">
        <v>2529</v>
      </c>
      <c r="AH1087" s="1">
        <v>6.0</v>
      </c>
      <c r="AI1087" s="1">
        <v>2014.0</v>
      </c>
      <c r="AJ1087" s="1">
        <v>2014.0</v>
      </c>
      <c r="AK1087" s="1" t="s">
        <v>305</v>
      </c>
    </row>
    <row r="1088">
      <c r="A1088" s="1" t="s">
        <v>2508</v>
      </c>
      <c r="B1088" s="1" t="s">
        <v>2508</v>
      </c>
      <c r="C1088" s="1" t="s">
        <v>100</v>
      </c>
      <c r="E1088" s="1">
        <v>3.2877084E7</v>
      </c>
      <c r="F1088" s="2">
        <v>41598.0</v>
      </c>
      <c r="G1088" s="1" t="s">
        <v>297</v>
      </c>
      <c r="I1088" s="1" t="s">
        <v>297</v>
      </c>
      <c r="L1088" s="1" t="s">
        <v>102</v>
      </c>
      <c r="M1088" s="1">
        <v>8600.0</v>
      </c>
      <c r="N1088" s="1" t="s">
        <v>102</v>
      </c>
      <c r="O1088" s="1">
        <v>7.2761299E7</v>
      </c>
      <c r="P1088" s="1" t="s">
        <v>667</v>
      </c>
      <c r="R1088" s="1" t="s">
        <v>668</v>
      </c>
      <c r="S1088" s="1" t="s">
        <v>44</v>
      </c>
      <c r="T1088" s="1" t="s">
        <v>45</v>
      </c>
      <c r="U1088" s="1">
        <v>4.82382849E8</v>
      </c>
      <c r="W1088" s="1" t="s">
        <v>46</v>
      </c>
      <c r="X1088" s="1" t="s">
        <v>45</v>
      </c>
      <c r="Y1088" s="1">
        <v>4.82382849E8</v>
      </c>
      <c r="Z1088" s="1">
        <v>7.2761299E7</v>
      </c>
      <c r="AA1088" s="1" t="s">
        <v>667</v>
      </c>
      <c r="AB1088" s="1">
        <v>393628.0</v>
      </c>
      <c r="AC1088" s="2">
        <v>41598.0</v>
      </c>
      <c r="AD1088" s="1">
        <v>8600.0</v>
      </c>
      <c r="AE1088" s="1" t="s">
        <v>102</v>
      </c>
      <c r="AF1088" s="1">
        <v>3.0</v>
      </c>
      <c r="AG1088" s="1" t="s">
        <v>2530</v>
      </c>
      <c r="AH1088" s="1">
        <v>6.0</v>
      </c>
      <c r="AI1088" s="1">
        <v>2014.0</v>
      </c>
      <c r="AJ1088" s="1">
        <v>2014.0</v>
      </c>
      <c r="AK1088" s="1" t="s">
        <v>305</v>
      </c>
    </row>
    <row r="1089">
      <c r="A1089" s="1" t="s">
        <v>2508</v>
      </c>
      <c r="B1089" s="1" t="s">
        <v>2508</v>
      </c>
      <c r="C1089" s="1" t="s">
        <v>100</v>
      </c>
      <c r="E1089" s="1">
        <v>3.2877084E7</v>
      </c>
      <c r="F1089" s="2">
        <v>41598.0</v>
      </c>
      <c r="G1089" s="1" t="s">
        <v>297</v>
      </c>
      <c r="I1089" s="1" t="s">
        <v>297</v>
      </c>
      <c r="L1089" s="1" t="s">
        <v>102</v>
      </c>
      <c r="M1089" s="1">
        <v>8600.0</v>
      </c>
      <c r="N1089" s="1" t="s">
        <v>102</v>
      </c>
      <c r="O1089" s="1">
        <v>1.21516199E8</v>
      </c>
      <c r="P1089" s="1" t="s">
        <v>380</v>
      </c>
      <c r="Q1089" s="1" t="s">
        <v>381</v>
      </c>
      <c r="R1089" s="1" t="s">
        <v>382</v>
      </c>
      <c r="S1089" s="1" t="s">
        <v>44</v>
      </c>
      <c r="T1089" s="1" t="s">
        <v>45</v>
      </c>
      <c r="U1089" s="1">
        <v>4.82073156E8</v>
      </c>
      <c r="W1089" s="1" t="s">
        <v>46</v>
      </c>
      <c r="X1089" s="1" t="s">
        <v>45</v>
      </c>
      <c r="Y1089" s="1">
        <v>4.82073156E8</v>
      </c>
      <c r="Z1089" s="1">
        <v>1.21516199E8</v>
      </c>
      <c r="AA1089" s="1" t="s">
        <v>380</v>
      </c>
      <c r="AB1089" s="1">
        <v>125000.0</v>
      </c>
      <c r="AC1089" s="2">
        <v>41598.0</v>
      </c>
      <c r="AD1089" s="1">
        <v>8600.0</v>
      </c>
      <c r="AE1089" s="1" t="s">
        <v>102</v>
      </c>
      <c r="AF1089" s="1">
        <v>38.0</v>
      </c>
      <c r="AG1089" s="1" t="s">
        <v>2531</v>
      </c>
      <c r="AH1089" s="1">
        <v>6.0</v>
      </c>
      <c r="AI1089" s="1">
        <v>2014.0</v>
      </c>
      <c r="AJ1089" s="1">
        <v>2014.0</v>
      </c>
      <c r="AK1089" s="1" t="s">
        <v>305</v>
      </c>
    </row>
    <row r="1090">
      <c r="A1090" s="1" t="s">
        <v>2508</v>
      </c>
      <c r="B1090" s="1" t="s">
        <v>2508</v>
      </c>
      <c r="C1090" s="1" t="s">
        <v>100</v>
      </c>
      <c r="E1090" s="1">
        <v>3.2877084E7</v>
      </c>
      <c r="F1090" s="2">
        <v>41598.0</v>
      </c>
      <c r="G1090" s="1" t="s">
        <v>297</v>
      </c>
      <c r="I1090" s="1" t="s">
        <v>297</v>
      </c>
      <c r="L1090" s="1" t="s">
        <v>102</v>
      </c>
      <c r="M1090" s="1">
        <v>8600.0</v>
      </c>
      <c r="N1090" s="1" t="s">
        <v>102</v>
      </c>
      <c r="O1090" s="1">
        <v>6.2371729E8</v>
      </c>
      <c r="P1090" s="1" t="s">
        <v>2355</v>
      </c>
      <c r="R1090" s="1" t="s">
        <v>2193</v>
      </c>
      <c r="S1090" s="1" t="s">
        <v>44</v>
      </c>
      <c r="T1090" s="1" t="s">
        <v>45</v>
      </c>
      <c r="U1090" s="1">
        <v>4.82021424E8</v>
      </c>
      <c r="W1090" s="1" t="s">
        <v>46</v>
      </c>
      <c r="X1090" s="1" t="s">
        <v>45</v>
      </c>
      <c r="Y1090" s="1">
        <v>4.82021424E8</v>
      </c>
      <c r="AB1090" s="1">
        <v>100000.0</v>
      </c>
      <c r="AC1090" s="2">
        <v>41598.0</v>
      </c>
      <c r="AD1090" s="1">
        <v>8600.0</v>
      </c>
      <c r="AE1090" s="1" t="s">
        <v>102</v>
      </c>
      <c r="AF1090" s="1">
        <v>23.0</v>
      </c>
      <c r="AG1090" s="1" t="s">
        <v>2532</v>
      </c>
      <c r="AH1090" s="1">
        <v>6.0</v>
      </c>
      <c r="AI1090" s="1">
        <v>2014.0</v>
      </c>
      <c r="AJ1090" s="1">
        <v>2014.0</v>
      </c>
      <c r="AK1090" s="1" t="s">
        <v>305</v>
      </c>
    </row>
    <row r="1091">
      <c r="A1091" s="1" t="s">
        <v>2508</v>
      </c>
      <c r="B1091" s="1" t="s">
        <v>2508</v>
      </c>
      <c r="C1091" s="1" t="s">
        <v>100</v>
      </c>
      <c r="E1091" s="1">
        <v>3.2877084E7</v>
      </c>
      <c r="F1091" s="2">
        <v>41598.0</v>
      </c>
      <c r="G1091" s="1" t="s">
        <v>297</v>
      </c>
      <c r="I1091" s="1" t="s">
        <v>297</v>
      </c>
      <c r="L1091" s="1" t="s">
        <v>102</v>
      </c>
      <c r="M1091" s="1">
        <v>8600.0</v>
      </c>
      <c r="N1091" s="1" t="s">
        <v>102</v>
      </c>
      <c r="O1091" s="1">
        <v>1.42793053E8</v>
      </c>
      <c r="P1091" s="1" t="s">
        <v>994</v>
      </c>
      <c r="R1091" s="1" t="s">
        <v>995</v>
      </c>
      <c r="S1091" s="1" t="s">
        <v>44</v>
      </c>
      <c r="T1091" s="1" t="s">
        <v>45</v>
      </c>
      <c r="U1091" s="1">
        <v>4.82282721E8</v>
      </c>
      <c r="W1091" s="1" t="s">
        <v>46</v>
      </c>
      <c r="X1091" s="1" t="s">
        <v>45</v>
      </c>
      <c r="Y1091" s="1">
        <v>4.82282721E8</v>
      </c>
      <c r="AB1091" s="1">
        <v>100000.0</v>
      </c>
      <c r="AC1091" s="2">
        <v>41598.0</v>
      </c>
      <c r="AD1091" s="1">
        <v>8600.0</v>
      </c>
      <c r="AE1091" s="1" t="s">
        <v>102</v>
      </c>
      <c r="AF1091" s="1">
        <v>22.0</v>
      </c>
      <c r="AG1091" s="1" t="s">
        <v>2533</v>
      </c>
      <c r="AH1091" s="1">
        <v>6.0</v>
      </c>
      <c r="AI1091" s="1">
        <v>2014.0</v>
      </c>
      <c r="AJ1091" s="1">
        <v>2014.0</v>
      </c>
      <c r="AK1091" s="1" t="s">
        <v>305</v>
      </c>
    </row>
    <row r="1092">
      <c r="A1092" s="1" t="s">
        <v>2508</v>
      </c>
      <c r="B1092" s="1" t="s">
        <v>2508</v>
      </c>
      <c r="C1092" s="1" t="s">
        <v>100</v>
      </c>
      <c r="E1092" s="1">
        <v>3.2877084E7</v>
      </c>
      <c r="F1092" s="2">
        <v>41598.0</v>
      </c>
      <c r="G1092" s="1" t="s">
        <v>297</v>
      </c>
      <c r="I1092" s="1" t="s">
        <v>297</v>
      </c>
      <c r="L1092" s="1" t="s">
        <v>102</v>
      </c>
      <c r="M1092" s="1">
        <v>8600.0</v>
      </c>
      <c r="N1092" s="1" t="s">
        <v>102</v>
      </c>
      <c r="O1092" s="1">
        <v>9.4547247E7</v>
      </c>
      <c r="P1092" s="1" t="s">
        <v>2201</v>
      </c>
      <c r="Q1092" s="1" t="s">
        <v>2202</v>
      </c>
      <c r="R1092" s="1" t="s">
        <v>2203</v>
      </c>
      <c r="S1092" s="1" t="s">
        <v>44</v>
      </c>
      <c r="T1092" s="1" t="s">
        <v>45</v>
      </c>
      <c r="U1092" s="1">
        <v>4.8201241E8</v>
      </c>
      <c r="W1092" s="1" t="s">
        <v>46</v>
      </c>
      <c r="X1092" s="1" t="s">
        <v>45</v>
      </c>
      <c r="Y1092" s="1">
        <v>4.8201241E8</v>
      </c>
      <c r="Z1092" s="1">
        <v>9.4547247E7</v>
      </c>
      <c r="AA1092" s="1" t="s">
        <v>2201</v>
      </c>
      <c r="AB1092" s="1">
        <v>250000.0</v>
      </c>
      <c r="AC1092" s="2">
        <v>41598.0</v>
      </c>
      <c r="AD1092" s="1">
        <v>8600.0</v>
      </c>
      <c r="AE1092" s="1" t="s">
        <v>102</v>
      </c>
      <c r="AF1092" s="1">
        <v>27.0</v>
      </c>
      <c r="AG1092" s="1" t="s">
        <v>2534</v>
      </c>
      <c r="AH1092" s="1">
        <v>6.0</v>
      </c>
      <c r="AI1092" s="1">
        <v>2014.0</v>
      </c>
      <c r="AJ1092" s="1">
        <v>2014.0</v>
      </c>
      <c r="AK1092" s="1" t="s">
        <v>305</v>
      </c>
    </row>
    <row r="1093">
      <c r="A1093" s="1" t="s">
        <v>2508</v>
      </c>
      <c r="B1093" s="1" t="s">
        <v>2508</v>
      </c>
      <c r="C1093" s="1" t="s">
        <v>100</v>
      </c>
      <c r="E1093" s="1">
        <v>3.2877084E7</v>
      </c>
      <c r="F1093" s="2">
        <v>41598.0</v>
      </c>
      <c r="G1093" s="1" t="s">
        <v>297</v>
      </c>
      <c r="I1093" s="1" t="s">
        <v>297</v>
      </c>
      <c r="L1093" s="1" t="s">
        <v>102</v>
      </c>
      <c r="M1093" s="1">
        <v>8600.0</v>
      </c>
      <c r="N1093" s="1" t="s">
        <v>102</v>
      </c>
      <c r="O1093" s="1">
        <v>4.3419399E7</v>
      </c>
      <c r="P1093" s="1" t="s">
        <v>979</v>
      </c>
      <c r="R1093" s="1" t="s">
        <v>980</v>
      </c>
      <c r="S1093" s="1" t="s">
        <v>44</v>
      </c>
      <c r="T1093" s="1" t="s">
        <v>45</v>
      </c>
      <c r="U1093" s="1">
        <v>4.82261412E8</v>
      </c>
      <c r="W1093" s="1" t="s">
        <v>46</v>
      </c>
      <c r="X1093" s="1" t="s">
        <v>45</v>
      </c>
      <c r="Y1093" s="1">
        <v>4.82261412E8</v>
      </c>
      <c r="Z1093" s="1">
        <v>4.3419399E7</v>
      </c>
      <c r="AA1093" s="1" t="s">
        <v>979</v>
      </c>
      <c r="AB1093" s="1">
        <v>100000.0</v>
      </c>
      <c r="AC1093" s="2">
        <v>41598.0</v>
      </c>
      <c r="AD1093" s="1">
        <v>8600.0</v>
      </c>
      <c r="AE1093" s="1" t="s">
        <v>102</v>
      </c>
      <c r="AF1093" s="1">
        <v>33.0</v>
      </c>
      <c r="AG1093" s="1" t="s">
        <v>2535</v>
      </c>
      <c r="AH1093" s="1">
        <v>6.0</v>
      </c>
      <c r="AI1093" s="1">
        <v>2014.0</v>
      </c>
      <c r="AJ1093" s="1">
        <v>2014.0</v>
      </c>
      <c r="AK1093" s="1" t="s">
        <v>305</v>
      </c>
    </row>
    <row r="1094">
      <c r="A1094" s="1" t="s">
        <v>2508</v>
      </c>
      <c r="B1094" s="1" t="s">
        <v>2508</v>
      </c>
      <c r="C1094" s="1" t="s">
        <v>100</v>
      </c>
      <c r="E1094" s="1">
        <v>3.2877084E7</v>
      </c>
      <c r="F1094" s="2">
        <v>41598.0</v>
      </c>
      <c r="G1094" s="1" t="s">
        <v>297</v>
      </c>
      <c r="I1094" s="1" t="s">
        <v>297</v>
      </c>
      <c r="L1094" s="1" t="s">
        <v>102</v>
      </c>
      <c r="M1094" s="1">
        <v>8600.0</v>
      </c>
      <c r="N1094" s="1" t="s">
        <v>102</v>
      </c>
      <c r="O1094" s="1">
        <v>2.183979E7</v>
      </c>
      <c r="P1094" s="1" t="s">
        <v>2220</v>
      </c>
      <c r="R1094" s="1" t="s">
        <v>2221</v>
      </c>
      <c r="S1094" s="1" t="s">
        <v>44</v>
      </c>
      <c r="T1094" s="1" t="s">
        <v>45</v>
      </c>
      <c r="U1094" s="1">
        <v>4.82072372E8</v>
      </c>
      <c r="W1094" s="1" t="s">
        <v>46</v>
      </c>
      <c r="X1094" s="1" t="s">
        <v>45</v>
      </c>
      <c r="Y1094" s="1">
        <v>4.82072372E8</v>
      </c>
      <c r="Z1094" s="1">
        <v>2.183979E7</v>
      </c>
      <c r="AA1094" s="1" t="s">
        <v>2220</v>
      </c>
      <c r="AB1094" s="1">
        <v>104994.0</v>
      </c>
      <c r="AC1094" s="2">
        <v>41598.0</v>
      </c>
      <c r="AD1094" s="1">
        <v>8600.0</v>
      </c>
      <c r="AE1094" s="1" t="s">
        <v>102</v>
      </c>
      <c r="AF1094" s="1">
        <v>17.0</v>
      </c>
      <c r="AG1094" s="1" t="s">
        <v>2536</v>
      </c>
      <c r="AH1094" s="1">
        <v>6.0</v>
      </c>
      <c r="AI1094" s="1">
        <v>2014.0</v>
      </c>
      <c r="AJ1094" s="1">
        <v>2014.0</v>
      </c>
      <c r="AK1094" s="1" t="s">
        <v>305</v>
      </c>
    </row>
    <row r="1095">
      <c r="A1095" s="1" t="s">
        <v>2508</v>
      </c>
      <c r="B1095" s="1" t="s">
        <v>2508</v>
      </c>
      <c r="C1095" s="1" t="s">
        <v>100</v>
      </c>
      <c r="E1095" s="1">
        <v>3.2877084E7</v>
      </c>
      <c r="F1095" s="2">
        <v>41598.0</v>
      </c>
      <c r="G1095" s="1" t="s">
        <v>297</v>
      </c>
      <c r="I1095" s="1" t="s">
        <v>297</v>
      </c>
      <c r="L1095" s="1" t="s">
        <v>102</v>
      </c>
      <c r="M1095" s="1">
        <v>8600.0</v>
      </c>
      <c r="N1095" s="1" t="s">
        <v>102</v>
      </c>
      <c r="O1095" s="1">
        <v>1.1861425E7</v>
      </c>
      <c r="P1095" s="1" t="s">
        <v>2391</v>
      </c>
      <c r="R1095" s="1" t="s">
        <v>2392</v>
      </c>
      <c r="S1095" s="1" t="s">
        <v>44</v>
      </c>
      <c r="T1095" s="1" t="s">
        <v>45</v>
      </c>
      <c r="U1095" s="1">
        <v>4.82212195E8</v>
      </c>
      <c r="W1095" s="1" t="s">
        <v>46</v>
      </c>
      <c r="X1095" s="1" t="s">
        <v>45</v>
      </c>
      <c r="Y1095" s="1">
        <v>4.82212195E8</v>
      </c>
      <c r="AB1095" s="1">
        <v>151700.0</v>
      </c>
      <c r="AC1095" s="2">
        <v>41598.0</v>
      </c>
      <c r="AD1095" s="1">
        <v>8600.0</v>
      </c>
      <c r="AE1095" s="1" t="s">
        <v>102</v>
      </c>
      <c r="AF1095" s="1">
        <v>6.0</v>
      </c>
      <c r="AG1095" s="1" t="s">
        <v>2537</v>
      </c>
      <c r="AH1095" s="1">
        <v>6.0</v>
      </c>
      <c r="AI1095" s="1">
        <v>2014.0</v>
      </c>
      <c r="AJ1095" s="1">
        <v>2014.0</v>
      </c>
      <c r="AK1095" s="1" t="s">
        <v>305</v>
      </c>
    </row>
    <row r="1096">
      <c r="A1096" s="1" t="s">
        <v>2508</v>
      </c>
      <c r="B1096" s="1" t="s">
        <v>2508</v>
      </c>
      <c r="C1096" s="1" t="s">
        <v>100</v>
      </c>
      <c r="E1096" s="1">
        <v>3.2877084E7</v>
      </c>
      <c r="F1096" s="2">
        <v>41598.0</v>
      </c>
      <c r="G1096" s="1" t="s">
        <v>297</v>
      </c>
      <c r="I1096" s="1" t="s">
        <v>297</v>
      </c>
      <c r="L1096" s="1" t="s">
        <v>102</v>
      </c>
      <c r="M1096" s="1">
        <v>8600.0</v>
      </c>
      <c r="N1096" s="1" t="s">
        <v>102</v>
      </c>
      <c r="O1096" s="1">
        <v>9.9654048E7</v>
      </c>
      <c r="P1096" s="1" t="s">
        <v>2436</v>
      </c>
      <c r="R1096" s="1" t="s">
        <v>2437</v>
      </c>
      <c r="S1096" s="1" t="s">
        <v>44</v>
      </c>
      <c r="T1096" s="1" t="s">
        <v>45</v>
      </c>
      <c r="U1096" s="1">
        <v>4.82012722E8</v>
      </c>
      <c r="W1096" s="1" t="s">
        <v>46</v>
      </c>
      <c r="X1096" s="1" t="s">
        <v>45</v>
      </c>
      <c r="Y1096" s="1">
        <v>4.82012722E8</v>
      </c>
      <c r="AB1096" s="1">
        <v>270069.0</v>
      </c>
      <c r="AC1096" s="2">
        <v>41598.0</v>
      </c>
      <c r="AD1096" s="1">
        <v>8600.0</v>
      </c>
      <c r="AE1096" s="1" t="s">
        <v>102</v>
      </c>
      <c r="AF1096" s="1">
        <v>1.0</v>
      </c>
      <c r="AG1096" s="1" t="s">
        <v>2538</v>
      </c>
      <c r="AH1096" s="1">
        <v>6.0</v>
      </c>
      <c r="AI1096" s="1">
        <v>2014.0</v>
      </c>
      <c r="AJ1096" s="1">
        <v>2014.0</v>
      </c>
      <c r="AK1096" s="1" t="s">
        <v>305</v>
      </c>
    </row>
    <row r="1097">
      <c r="A1097" s="1" t="s">
        <v>2508</v>
      </c>
      <c r="B1097" s="1" t="s">
        <v>2508</v>
      </c>
      <c r="C1097" s="1" t="s">
        <v>100</v>
      </c>
      <c r="E1097" s="1">
        <v>3.2877084E7</v>
      </c>
      <c r="F1097" s="2">
        <v>41598.0</v>
      </c>
      <c r="G1097" s="1" t="s">
        <v>297</v>
      </c>
      <c r="I1097" s="1" t="s">
        <v>297</v>
      </c>
      <c r="L1097" s="1" t="s">
        <v>102</v>
      </c>
      <c r="M1097" s="1">
        <v>8600.0</v>
      </c>
      <c r="N1097" s="1" t="s">
        <v>102</v>
      </c>
      <c r="O1097" s="1">
        <v>6.07770427E8</v>
      </c>
      <c r="P1097" s="1" t="s">
        <v>1249</v>
      </c>
      <c r="R1097" s="1" t="s">
        <v>1250</v>
      </c>
      <c r="S1097" s="1" t="s">
        <v>44</v>
      </c>
      <c r="T1097" s="1" t="s">
        <v>45</v>
      </c>
      <c r="U1097" s="1">
        <v>4.82133364E8</v>
      </c>
      <c r="W1097" s="1" t="s">
        <v>46</v>
      </c>
      <c r="X1097" s="1" t="s">
        <v>45</v>
      </c>
      <c r="Y1097" s="1">
        <v>4.82133364E8</v>
      </c>
      <c r="AB1097" s="1">
        <v>145000.0</v>
      </c>
      <c r="AC1097" s="2">
        <v>41598.0</v>
      </c>
      <c r="AD1097" s="1">
        <v>8600.0</v>
      </c>
      <c r="AE1097" s="1" t="s">
        <v>102</v>
      </c>
      <c r="AF1097" s="1">
        <v>8.0</v>
      </c>
      <c r="AG1097" s="1" t="s">
        <v>2539</v>
      </c>
      <c r="AH1097" s="1">
        <v>6.0</v>
      </c>
      <c r="AI1097" s="1">
        <v>2014.0</v>
      </c>
      <c r="AJ1097" s="1">
        <v>2014.0</v>
      </c>
      <c r="AK1097" s="1" t="s">
        <v>305</v>
      </c>
    </row>
    <row r="1098">
      <c r="A1098" s="1" t="s">
        <v>2508</v>
      </c>
      <c r="B1098" s="1" t="s">
        <v>2508</v>
      </c>
      <c r="C1098" s="1" t="s">
        <v>100</v>
      </c>
      <c r="E1098" s="1">
        <v>3.2877084E7</v>
      </c>
      <c r="F1098" s="2">
        <v>41598.0</v>
      </c>
      <c r="G1098" s="1" t="s">
        <v>297</v>
      </c>
      <c r="I1098" s="1" t="s">
        <v>297</v>
      </c>
      <c r="L1098" s="1" t="s">
        <v>102</v>
      </c>
      <c r="M1098" s="1">
        <v>8600.0</v>
      </c>
      <c r="N1098" s="1" t="s">
        <v>102</v>
      </c>
      <c r="O1098" s="1">
        <v>1.06504459E8</v>
      </c>
      <c r="P1098" s="1" t="s">
        <v>2240</v>
      </c>
      <c r="R1098" s="1" t="s">
        <v>2241</v>
      </c>
      <c r="S1098" s="1" t="s">
        <v>44</v>
      </c>
      <c r="T1098" s="1" t="s">
        <v>45</v>
      </c>
      <c r="U1098" s="1">
        <v>4.82133112E8</v>
      </c>
      <c r="W1098" s="1" t="s">
        <v>46</v>
      </c>
      <c r="X1098" s="1" t="s">
        <v>45</v>
      </c>
      <c r="Y1098" s="1">
        <v>4.82133112E8</v>
      </c>
      <c r="AB1098" s="1">
        <v>100000.0</v>
      </c>
      <c r="AC1098" s="2">
        <v>41598.0</v>
      </c>
      <c r="AD1098" s="1">
        <v>8600.0</v>
      </c>
      <c r="AE1098" s="1" t="s">
        <v>102</v>
      </c>
      <c r="AF1098" s="1">
        <v>34.0</v>
      </c>
      <c r="AG1098" s="1" t="s">
        <v>2540</v>
      </c>
      <c r="AH1098" s="1">
        <v>6.0</v>
      </c>
      <c r="AI1098" s="1">
        <v>2014.0</v>
      </c>
      <c r="AJ1098" s="1">
        <v>2014.0</v>
      </c>
      <c r="AK1098" s="1" t="s">
        <v>305</v>
      </c>
    </row>
    <row r="1099">
      <c r="A1099" s="1" t="s">
        <v>2508</v>
      </c>
      <c r="B1099" s="1" t="s">
        <v>2508</v>
      </c>
      <c r="C1099" s="1" t="s">
        <v>100</v>
      </c>
      <c r="E1099" s="1">
        <v>3.2877084E7</v>
      </c>
      <c r="F1099" s="2">
        <v>41598.0</v>
      </c>
      <c r="G1099" s="1" t="s">
        <v>297</v>
      </c>
      <c r="I1099" s="1" t="s">
        <v>297</v>
      </c>
      <c r="L1099" s="1" t="s">
        <v>102</v>
      </c>
      <c r="M1099" s="1">
        <v>8600.0</v>
      </c>
      <c r="N1099" s="1" t="s">
        <v>102</v>
      </c>
      <c r="O1099" s="1">
        <v>7.8671071E8</v>
      </c>
      <c r="P1099" s="1" t="s">
        <v>2154</v>
      </c>
      <c r="R1099" s="1" t="s">
        <v>2155</v>
      </c>
      <c r="S1099" s="1" t="s">
        <v>44</v>
      </c>
      <c r="T1099" s="1" t="s">
        <v>45</v>
      </c>
      <c r="U1099" s="1">
        <v>4.8228305E8</v>
      </c>
      <c r="W1099" s="1" t="s">
        <v>46</v>
      </c>
      <c r="X1099" s="1" t="s">
        <v>45</v>
      </c>
      <c r="Y1099" s="1">
        <v>4.8228305E8</v>
      </c>
      <c r="AB1099" s="1">
        <v>100000.0</v>
      </c>
      <c r="AC1099" s="2">
        <v>41598.0</v>
      </c>
      <c r="AD1099" s="1">
        <v>8600.0</v>
      </c>
      <c r="AE1099" s="1" t="s">
        <v>102</v>
      </c>
      <c r="AF1099" s="1">
        <v>10.0</v>
      </c>
      <c r="AG1099" s="1" t="s">
        <v>2541</v>
      </c>
      <c r="AH1099" s="1">
        <v>6.0</v>
      </c>
      <c r="AI1099" s="1">
        <v>2014.0</v>
      </c>
      <c r="AJ1099" s="1">
        <v>2014.0</v>
      </c>
      <c r="AK1099" s="1" t="s">
        <v>305</v>
      </c>
    </row>
    <row r="1100">
      <c r="A1100" s="1" t="s">
        <v>2314</v>
      </c>
      <c r="B1100" s="1" t="s">
        <v>2314</v>
      </c>
      <c r="C1100" s="1" t="s">
        <v>38</v>
      </c>
      <c r="E1100" s="1">
        <v>1.6975458E7</v>
      </c>
      <c r="F1100" s="2">
        <v>41260.0</v>
      </c>
      <c r="G1100" s="1" t="s">
        <v>2315</v>
      </c>
      <c r="I1100" s="1" t="s">
        <v>2315</v>
      </c>
      <c r="L1100" s="1" t="s">
        <v>40</v>
      </c>
      <c r="M1100" s="1">
        <v>7500.0</v>
      </c>
      <c r="N1100" s="1" t="s">
        <v>40</v>
      </c>
      <c r="O1100" s="1">
        <v>7.3134603E7</v>
      </c>
      <c r="P1100" s="1" t="s">
        <v>41</v>
      </c>
      <c r="Q1100" s="1" t="s">
        <v>42</v>
      </c>
      <c r="R1100" s="1" t="s">
        <v>43</v>
      </c>
      <c r="S1100" s="1" t="s">
        <v>44</v>
      </c>
      <c r="T1100" s="1" t="s">
        <v>45</v>
      </c>
      <c r="U1100" s="1">
        <v>4.8202345E8</v>
      </c>
      <c r="W1100" s="1" t="s">
        <v>46</v>
      </c>
      <c r="X1100" s="1" t="s">
        <v>45</v>
      </c>
      <c r="Y1100" s="1">
        <v>4.8202345E8</v>
      </c>
      <c r="Z1100" s="1">
        <v>7.3134603E7</v>
      </c>
      <c r="AB1100" s="1">
        <v>90721.0</v>
      </c>
      <c r="AC1100" s="2">
        <v>41260.0</v>
      </c>
      <c r="AD1100" s="1">
        <v>7500.0</v>
      </c>
      <c r="AE1100" s="1" t="s">
        <v>40</v>
      </c>
      <c r="AF1100" s="1" t="s">
        <v>2542</v>
      </c>
      <c r="AG1100" s="1" t="s">
        <v>2543</v>
      </c>
      <c r="AH1100" s="1">
        <v>1.0</v>
      </c>
      <c r="AI1100" s="1">
        <v>2013.0</v>
      </c>
      <c r="AJ1100" s="1">
        <v>2013.0</v>
      </c>
      <c r="AK1100" s="1" t="s">
        <v>1813</v>
      </c>
    </row>
    <row r="1101">
      <c r="A1101" s="1" t="s">
        <v>2314</v>
      </c>
      <c r="B1101" s="1" t="s">
        <v>2314</v>
      </c>
      <c r="C1101" s="1" t="s">
        <v>38</v>
      </c>
      <c r="E1101" s="1">
        <v>1.6975458E7</v>
      </c>
      <c r="F1101" s="2">
        <v>41564.0</v>
      </c>
      <c r="G1101" s="1" t="s">
        <v>2315</v>
      </c>
      <c r="I1101" s="1" t="s">
        <v>2315</v>
      </c>
      <c r="L1101" s="1" t="s">
        <v>40</v>
      </c>
      <c r="M1101" s="1">
        <v>7500.0</v>
      </c>
      <c r="N1101" s="1" t="s">
        <v>40</v>
      </c>
      <c r="O1101" s="1">
        <v>7.3134603E7</v>
      </c>
      <c r="P1101" s="1" t="s">
        <v>41</v>
      </c>
      <c r="Q1101" s="1" t="s">
        <v>252</v>
      </c>
      <c r="R1101" s="1" t="s">
        <v>253</v>
      </c>
      <c r="S1101" s="1" t="s">
        <v>44</v>
      </c>
      <c r="T1101" s="1" t="s">
        <v>45</v>
      </c>
      <c r="U1101" s="1">
        <v>4.8202345E8</v>
      </c>
      <c r="W1101" s="1" t="s">
        <v>46</v>
      </c>
      <c r="X1101" s="1" t="s">
        <v>45</v>
      </c>
      <c r="Y1101" s="1">
        <v>4.8202345E8</v>
      </c>
      <c r="Z1101" s="1">
        <v>7.3134603E7</v>
      </c>
      <c r="AB1101" s="1">
        <v>169723.0</v>
      </c>
      <c r="AC1101" s="2">
        <v>41564.0</v>
      </c>
      <c r="AD1101" s="1">
        <v>7500.0</v>
      </c>
      <c r="AE1101" s="1" t="s">
        <v>40</v>
      </c>
      <c r="AF1101" s="1" t="s">
        <v>2544</v>
      </c>
      <c r="AG1101" s="1" t="s">
        <v>2545</v>
      </c>
      <c r="AH1101" s="1">
        <v>11.0</v>
      </c>
      <c r="AI1101" s="1">
        <v>2013.0</v>
      </c>
      <c r="AJ1101" s="1">
        <v>2014.0</v>
      </c>
      <c r="AK1101" s="1" t="s">
        <v>1813</v>
      </c>
    </row>
    <row r="1102">
      <c r="A1102" s="1" t="s">
        <v>2546</v>
      </c>
      <c r="B1102" s="1" t="s">
        <v>2546</v>
      </c>
      <c r="C1102" s="1" t="s">
        <v>194</v>
      </c>
      <c r="E1102" s="1">
        <v>198520.0</v>
      </c>
      <c r="F1102" s="2">
        <v>41809.0</v>
      </c>
      <c r="G1102" s="1" t="s">
        <v>195</v>
      </c>
      <c r="I1102" s="1" t="s">
        <v>195</v>
      </c>
      <c r="L1102" s="1" t="s">
        <v>194</v>
      </c>
      <c r="M1102" s="1">
        <v>9100.0</v>
      </c>
      <c r="N1102" s="1" t="s">
        <v>194</v>
      </c>
      <c r="O1102" s="1">
        <v>7.4217316E7</v>
      </c>
      <c r="P1102" s="1" t="s">
        <v>1484</v>
      </c>
      <c r="R1102" s="1" t="s">
        <v>1485</v>
      </c>
      <c r="S1102" s="1" t="s">
        <v>44</v>
      </c>
      <c r="T1102" s="1" t="s">
        <v>45</v>
      </c>
      <c r="U1102" s="1">
        <v>4.82012417E8</v>
      </c>
      <c r="W1102" s="1" t="s">
        <v>46</v>
      </c>
      <c r="X1102" s="1" t="s">
        <v>45</v>
      </c>
      <c r="Y1102" s="1">
        <v>4.82012417E8</v>
      </c>
      <c r="Z1102" s="1">
        <v>5.3866661E7</v>
      </c>
      <c r="AB1102" s="1">
        <v>90897.0</v>
      </c>
      <c r="AC1102" s="2">
        <v>41809.0</v>
      </c>
      <c r="AD1102" s="1">
        <v>9100.0</v>
      </c>
      <c r="AE1102" s="1" t="s">
        <v>194</v>
      </c>
      <c r="AF1102" s="1" t="s">
        <v>2547</v>
      </c>
      <c r="AG1102" s="1" t="s">
        <v>2548</v>
      </c>
      <c r="AH1102" s="1">
        <v>6.0</v>
      </c>
      <c r="AI1102" s="1">
        <v>2014.0</v>
      </c>
      <c r="AJ1102" s="1">
        <v>2014.0</v>
      </c>
      <c r="AK1102" s="1" t="s">
        <v>197</v>
      </c>
    </row>
    <row r="1103">
      <c r="A1103" s="1" t="s">
        <v>1070</v>
      </c>
      <c r="B1103" s="1" t="s">
        <v>1070</v>
      </c>
      <c r="C1103" s="1" t="s">
        <v>38</v>
      </c>
      <c r="E1103" s="1">
        <v>2494881.0</v>
      </c>
      <c r="F1103" s="2">
        <v>41214.0</v>
      </c>
      <c r="G1103" s="1" t="s">
        <v>2549</v>
      </c>
      <c r="I1103" s="1" t="s">
        <v>2549</v>
      </c>
      <c r="L1103" s="1" t="s">
        <v>40</v>
      </c>
      <c r="M1103" s="1">
        <v>7500.0</v>
      </c>
      <c r="N1103" s="1" t="s">
        <v>40</v>
      </c>
      <c r="O1103" s="1">
        <v>7.3134603E7</v>
      </c>
      <c r="P1103" s="1" t="s">
        <v>41</v>
      </c>
      <c r="Q1103" s="1" t="s">
        <v>252</v>
      </c>
      <c r="R1103" s="1" t="s">
        <v>253</v>
      </c>
      <c r="S1103" s="1" t="s">
        <v>44</v>
      </c>
      <c r="T1103" s="1" t="s">
        <v>45</v>
      </c>
      <c r="U1103" s="1">
        <v>4.8202345E8</v>
      </c>
      <c r="W1103" s="1" t="s">
        <v>46</v>
      </c>
      <c r="X1103" s="1" t="s">
        <v>45</v>
      </c>
      <c r="Y1103" s="1">
        <v>4.8202345E8</v>
      </c>
      <c r="Z1103" s="1">
        <v>7.3134603E7</v>
      </c>
      <c r="AA1103" s="1" t="s">
        <v>41</v>
      </c>
      <c r="AB1103" s="1">
        <v>21717.0</v>
      </c>
      <c r="AC1103" s="2">
        <v>41214.0</v>
      </c>
      <c r="AD1103" s="1">
        <v>7500.0</v>
      </c>
      <c r="AE1103" s="1" t="s">
        <v>40</v>
      </c>
      <c r="AF1103" s="1" t="s">
        <v>1072</v>
      </c>
      <c r="AG1103" s="1" t="s">
        <v>2550</v>
      </c>
      <c r="AH1103" s="1">
        <v>6.0</v>
      </c>
      <c r="AI1103" s="1">
        <v>2014.0</v>
      </c>
      <c r="AJ1103" s="1">
        <v>2013.0</v>
      </c>
      <c r="AK1103" s="1" t="s">
        <v>973</v>
      </c>
    </row>
    <row r="1104">
      <c r="A1104" s="1" t="s">
        <v>2551</v>
      </c>
      <c r="B1104" s="1" t="s">
        <v>2551</v>
      </c>
      <c r="C1104" s="1" t="s">
        <v>2552</v>
      </c>
      <c r="E1104" s="1">
        <v>250000.0</v>
      </c>
      <c r="F1104" s="2">
        <v>41449.0</v>
      </c>
      <c r="G1104" s="1" t="s">
        <v>2553</v>
      </c>
      <c r="I1104" s="1" t="s">
        <v>2553</v>
      </c>
      <c r="L1104" s="1" t="s">
        <v>102</v>
      </c>
      <c r="M1104" s="1">
        <v>8600.0</v>
      </c>
      <c r="N1104" s="1" t="s">
        <v>102</v>
      </c>
      <c r="O1104" s="1">
        <v>1962224.0</v>
      </c>
      <c r="P1104" s="1" t="s">
        <v>52</v>
      </c>
      <c r="Q1104" s="1" t="s">
        <v>1566</v>
      </c>
      <c r="R1104" s="1" t="s">
        <v>53</v>
      </c>
      <c r="S1104" s="1" t="s">
        <v>44</v>
      </c>
      <c r="T1104" s="1" t="s">
        <v>45</v>
      </c>
      <c r="U1104" s="1">
        <v>4.82023692E8</v>
      </c>
      <c r="W1104" s="1" t="s">
        <v>46</v>
      </c>
      <c r="X1104" s="1" t="s">
        <v>45</v>
      </c>
      <c r="Y1104" s="1">
        <v>4.82023692E8</v>
      </c>
      <c r="Z1104" s="1">
        <v>1962224.0</v>
      </c>
      <c r="AA1104" s="1" t="s">
        <v>52</v>
      </c>
      <c r="AB1104" s="1">
        <v>-24868.0</v>
      </c>
      <c r="AC1104" s="2">
        <v>41449.0</v>
      </c>
      <c r="AD1104" s="1">
        <v>8600.0</v>
      </c>
      <c r="AE1104" s="1" t="s">
        <v>102</v>
      </c>
      <c r="AF1104" s="1" t="s">
        <v>2554</v>
      </c>
      <c r="AG1104" s="1" t="s">
        <v>2555</v>
      </c>
      <c r="AH1104" s="1">
        <v>7.0</v>
      </c>
      <c r="AI1104" s="1">
        <v>2013.0</v>
      </c>
      <c r="AJ1104" s="1">
        <v>2013.0</v>
      </c>
      <c r="AK1104" s="1" t="s">
        <v>2556</v>
      </c>
    </row>
    <row r="1105">
      <c r="A1105" s="1" t="s">
        <v>1070</v>
      </c>
      <c r="B1105" s="1" t="s">
        <v>1070</v>
      </c>
      <c r="C1105" s="1" t="s">
        <v>38</v>
      </c>
      <c r="E1105" s="1">
        <v>2494881.0</v>
      </c>
      <c r="F1105" s="2">
        <v>41214.0</v>
      </c>
      <c r="G1105" s="1" t="s">
        <v>2549</v>
      </c>
      <c r="I1105" s="1" t="s">
        <v>2549</v>
      </c>
      <c r="L1105" s="1" t="s">
        <v>40</v>
      </c>
      <c r="M1105" s="1">
        <v>7500.0</v>
      </c>
      <c r="N1105" s="1" t="s">
        <v>40</v>
      </c>
      <c r="O1105" s="1">
        <v>7.3134603E7</v>
      </c>
      <c r="P1105" s="1" t="s">
        <v>41</v>
      </c>
      <c r="Q1105" s="1" t="s">
        <v>252</v>
      </c>
      <c r="R1105" s="1" t="s">
        <v>253</v>
      </c>
      <c r="S1105" s="1" t="s">
        <v>44</v>
      </c>
      <c r="T1105" s="1" t="s">
        <v>45</v>
      </c>
      <c r="U1105" s="1">
        <v>4.8202345E8</v>
      </c>
      <c r="W1105" s="1" t="s">
        <v>46</v>
      </c>
      <c r="X1105" s="1" t="s">
        <v>45</v>
      </c>
      <c r="Y1105" s="1">
        <v>4.82022689E8</v>
      </c>
      <c r="Z1105" s="1">
        <v>7.3134603E7</v>
      </c>
      <c r="AA1105" s="1" t="s">
        <v>41</v>
      </c>
      <c r="AB1105" s="1">
        <v>281719.0</v>
      </c>
      <c r="AC1105" s="2">
        <v>41214.0</v>
      </c>
      <c r="AD1105" s="1">
        <v>7500.0</v>
      </c>
      <c r="AE1105" s="1" t="s">
        <v>40</v>
      </c>
      <c r="AF1105" s="1" t="s">
        <v>1072</v>
      </c>
      <c r="AG1105" s="1" t="s">
        <v>2550</v>
      </c>
      <c r="AH1105" s="1">
        <v>6.0</v>
      </c>
      <c r="AI1105" s="1">
        <v>2014.0</v>
      </c>
      <c r="AJ1105" s="1">
        <v>2013.0</v>
      </c>
      <c r="AK1105" s="1" t="s">
        <v>973</v>
      </c>
    </row>
    <row r="1106">
      <c r="A1106" s="1" t="s">
        <v>411</v>
      </c>
      <c r="B1106" s="1" t="s">
        <v>411</v>
      </c>
      <c r="C1106" s="1" t="s">
        <v>38</v>
      </c>
      <c r="E1106" s="1">
        <v>2201879.0</v>
      </c>
      <c r="F1106" s="2">
        <v>41795.0</v>
      </c>
      <c r="G1106" s="1" t="s">
        <v>412</v>
      </c>
      <c r="I1106" s="1" t="s">
        <v>412</v>
      </c>
      <c r="L1106" s="1" t="s">
        <v>40</v>
      </c>
      <c r="M1106" s="1">
        <v>7500.0</v>
      </c>
      <c r="N1106" s="1" t="s">
        <v>40</v>
      </c>
      <c r="O1106" s="1">
        <v>7.3134603E7</v>
      </c>
      <c r="P1106" s="1" t="s">
        <v>41</v>
      </c>
      <c r="Q1106" s="1" t="s">
        <v>252</v>
      </c>
      <c r="R1106" s="1" t="s">
        <v>253</v>
      </c>
      <c r="S1106" s="1" t="s">
        <v>44</v>
      </c>
      <c r="T1106" s="1" t="s">
        <v>45</v>
      </c>
      <c r="U1106" s="1">
        <v>4.8202345E8</v>
      </c>
      <c r="W1106" s="1" t="s">
        <v>46</v>
      </c>
      <c r="X1106" s="1" t="s">
        <v>45</v>
      </c>
      <c r="Y1106" s="1">
        <v>4.82022608E8</v>
      </c>
      <c r="Z1106" s="1">
        <v>7.3134603E7</v>
      </c>
      <c r="AA1106" s="1" t="s">
        <v>41</v>
      </c>
      <c r="AB1106" s="1">
        <v>30806.0</v>
      </c>
      <c r="AC1106" s="2">
        <v>41795.0</v>
      </c>
      <c r="AD1106" s="1">
        <v>7500.0</v>
      </c>
      <c r="AE1106" s="1" t="s">
        <v>40</v>
      </c>
      <c r="AF1106" s="1">
        <v>6.3267296E7</v>
      </c>
      <c r="AG1106" s="1" t="s">
        <v>414</v>
      </c>
      <c r="AH1106" s="1">
        <v>10.0</v>
      </c>
      <c r="AI1106" s="1">
        <v>2013.0</v>
      </c>
      <c r="AJ1106" s="1">
        <v>2014.0</v>
      </c>
      <c r="AK1106" s="1" t="s">
        <v>415</v>
      </c>
    </row>
    <row r="1107">
      <c r="A1107" s="1" t="s">
        <v>2557</v>
      </c>
      <c r="B1107" s="1" t="s">
        <v>2557</v>
      </c>
      <c r="C1107" s="1" t="s">
        <v>194</v>
      </c>
      <c r="E1107" s="1">
        <v>2498217.0</v>
      </c>
      <c r="F1107" s="2">
        <v>41779.0</v>
      </c>
      <c r="G1107" s="1" t="s">
        <v>274</v>
      </c>
      <c r="I1107" s="1" t="s">
        <v>274</v>
      </c>
      <c r="L1107" s="1" t="s">
        <v>194</v>
      </c>
      <c r="M1107" s="1">
        <v>9100.0</v>
      </c>
      <c r="N1107" s="1" t="s">
        <v>194</v>
      </c>
      <c r="O1107" s="1">
        <v>1962224.0</v>
      </c>
      <c r="P1107" s="1" t="s">
        <v>52</v>
      </c>
      <c r="R1107" s="1" t="s">
        <v>53</v>
      </c>
      <c r="S1107" s="1" t="s">
        <v>44</v>
      </c>
      <c r="T1107" s="1" t="s">
        <v>45</v>
      </c>
      <c r="U1107" s="1">
        <v>4.82023692E8</v>
      </c>
      <c r="W1107" s="1" t="s">
        <v>46</v>
      </c>
      <c r="X1107" s="1" t="s">
        <v>45</v>
      </c>
      <c r="Y1107" s="1">
        <v>4.82023424E8</v>
      </c>
      <c r="Z1107" s="1">
        <v>1962224.0</v>
      </c>
      <c r="AA1107" s="1" t="s">
        <v>52</v>
      </c>
      <c r="AB1107" s="1">
        <v>270613.0</v>
      </c>
      <c r="AC1107" s="2">
        <v>41779.0</v>
      </c>
      <c r="AD1107" s="1">
        <v>9100.0</v>
      </c>
      <c r="AE1107" s="1" t="s">
        <v>194</v>
      </c>
      <c r="AF1107" s="1" t="s">
        <v>2558</v>
      </c>
      <c r="AG1107" s="1" t="s">
        <v>276</v>
      </c>
      <c r="AH1107" s="1">
        <v>6.0</v>
      </c>
      <c r="AI1107" s="1">
        <v>2013.0</v>
      </c>
      <c r="AJ1107" s="1">
        <v>2014.0</v>
      </c>
      <c r="AK1107" s="1" t="s">
        <v>277</v>
      </c>
    </row>
    <row r="1108">
      <c r="A1108" s="1" t="s">
        <v>1070</v>
      </c>
      <c r="B1108" s="1" t="s">
        <v>1070</v>
      </c>
      <c r="C1108" s="1" t="s">
        <v>38</v>
      </c>
      <c r="E1108" s="1">
        <v>2494881.0</v>
      </c>
      <c r="F1108" s="2">
        <v>41214.0</v>
      </c>
      <c r="G1108" s="1" t="s">
        <v>2549</v>
      </c>
      <c r="I1108" s="1" t="s">
        <v>2549</v>
      </c>
      <c r="L1108" s="1" t="s">
        <v>40</v>
      </c>
      <c r="M1108" s="1">
        <v>7500.0</v>
      </c>
      <c r="N1108" s="1" t="s">
        <v>40</v>
      </c>
      <c r="O1108" s="1">
        <v>7.3134603E7</v>
      </c>
      <c r="P1108" s="1" t="s">
        <v>41</v>
      </c>
      <c r="Q1108" s="1" t="s">
        <v>252</v>
      </c>
      <c r="R1108" s="1" t="s">
        <v>253</v>
      </c>
      <c r="S1108" s="1" t="s">
        <v>44</v>
      </c>
      <c r="T1108" s="1" t="s">
        <v>45</v>
      </c>
      <c r="U1108" s="1">
        <v>4.8202345E8</v>
      </c>
      <c r="W1108" s="1" t="s">
        <v>46</v>
      </c>
      <c r="X1108" s="1" t="s">
        <v>45</v>
      </c>
      <c r="Y1108" s="1">
        <v>4.82022689E8</v>
      </c>
      <c r="Z1108" s="1">
        <v>7.3134603E7</v>
      </c>
      <c r="AA1108" s="1" t="s">
        <v>41</v>
      </c>
      <c r="AB1108" s="1">
        <v>151643.0</v>
      </c>
      <c r="AC1108" s="2">
        <v>41214.0</v>
      </c>
      <c r="AD1108" s="1">
        <v>7500.0</v>
      </c>
      <c r="AE1108" s="1" t="s">
        <v>40</v>
      </c>
      <c r="AF1108" s="1" t="s">
        <v>1072</v>
      </c>
      <c r="AG1108" s="1" t="s">
        <v>1073</v>
      </c>
      <c r="AH1108" s="1">
        <v>6.0</v>
      </c>
      <c r="AI1108" s="1">
        <v>2014.0</v>
      </c>
      <c r="AJ1108" s="1">
        <v>2013.0</v>
      </c>
      <c r="AK1108" s="1" t="s">
        <v>973</v>
      </c>
    </row>
    <row r="1109">
      <c r="A1109" s="1">
        <v>0.0</v>
      </c>
      <c r="B1109" s="1">
        <v>0.0</v>
      </c>
      <c r="C1109" s="1" t="s">
        <v>1825</v>
      </c>
      <c r="E1109" s="1">
        <v>999292.0</v>
      </c>
      <c r="F1109" s="2">
        <v>41548.0</v>
      </c>
      <c r="G1109" s="1" t="s">
        <v>2559</v>
      </c>
      <c r="I1109" s="1" t="s">
        <v>2559</v>
      </c>
      <c r="L1109" s="1" t="s">
        <v>1825</v>
      </c>
      <c r="M1109" s="1">
        <v>6800.0</v>
      </c>
      <c r="N1109" s="1" t="s">
        <v>1825</v>
      </c>
      <c r="O1109" s="1">
        <v>1962224.0</v>
      </c>
      <c r="P1109" s="1" t="s">
        <v>52</v>
      </c>
      <c r="Q1109" s="1" t="s">
        <v>1566</v>
      </c>
      <c r="R1109" s="1" t="s">
        <v>53</v>
      </c>
      <c r="S1109" s="1" t="s">
        <v>44</v>
      </c>
      <c r="T1109" s="1" t="s">
        <v>45</v>
      </c>
      <c r="U1109" s="1">
        <v>4.82023692E8</v>
      </c>
      <c r="W1109" s="1" t="s">
        <v>46</v>
      </c>
      <c r="X1109" s="1" t="s">
        <v>45</v>
      </c>
      <c r="Y1109" s="1">
        <v>4.82024123E8</v>
      </c>
      <c r="Z1109" s="1">
        <v>1962224.0</v>
      </c>
      <c r="AA1109" s="1" t="s">
        <v>52</v>
      </c>
      <c r="AB1109" s="1">
        <v>31907.0</v>
      </c>
      <c r="AC1109" s="2">
        <v>41548.0</v>
      </c>
      <c r="AD1109" s="1">
        <v>6800.0</v>
      </c>
      <c r="AE1109" s="1" t="s">
        <v>1825</v>
      </c>
      <c r="AF1109" s="1">
        <v>2.0142506E7</v>
      </c>
      <c r="AG1109" s="1" t="s">
        <v>2560</v>
      </c>
      <c r="AH1109" s="1">
        <v>10.0</v>
      </c>
      <c r="AI1109" s="1">
        <v>2012.0</v>
      </c>
      <c r="AJ1109" s="1">
        <v>2014.0</v>
      </c>
      <c r="AK1109" s="1" t="s">
        <v>2561</v>
      </c>
    </row>
    <row r="1110">
      <c r="A1110" s="1" t="s">
        <v>2562</v>
      </c>
      <c r="B1110" s="1" t="s">
        <v>2562</v>
      </c>
      <c r="C1110" s="1" t="s">
        <v>645</v>
      </c>
      <c r="E1110" s="1">
        <v>1569044.0</v>
      </c>
      <c r="F1110" s="2">
        <v>41183.0</v>
      </c>
      <c r="G1110" s="1" t="s">
        <v>1577</v>
      </c>
      <c r="I1110" s="1" t="s">
        <v>1577</v>
      </c>
      <c r="L1110" s="1" t="s">
        <v>647</v>
      </c>
      <c r="M1110" s="1">
        <v>1200.0</v>
      </c>
      <c r="N1110" s="1" t="s">
        <v>647</v>
      </c>
      <c r="O1110" s="1">
        <v>7.8583404E7</v>
      </c>
      <c r="P1110" s="1" t="s">
        <v>65</v>
      </c>
      <c r="Q1110" s="1" t="s">
        <v>2563</v>
      </c>
      <c r="R1110" s="1" t="s">
        <v>1573</v>
      </c>
      <c r="S1110" s="1" t="s">
        <v>44</v>
      </c>
      <c r="T1110" s="1" t="s">
        <v>45</v>
      </c>
      <c r="U1110" s="1">
        <v>4.8207311E8</v>
      </c>
      <c r="W1110" s="1" t="s">
        <v>46</v>
      </c>
      <c r="X1110" s="1" t="s">
        <v>45</v>
      </c>
      <c r="Y1110" s="1">
        <v>4.82021732E8</v>
      </c>
      <c r="Z1110" s="1">
        <v>4.0574592E7</v>
      </c>
      <c r="AA1110" s="1" t="s">
        <v>2564</v>
      </c>
      <c r="AB1110" s="1">
        <v>96930.0</v>
      </c>
      <c r="AC1110" s="2">
        <v>41183.0</v>
      </c>
      <c r="AD1110" s="1">
        <v>1200.0</v>
      </c>
      <c r="AE1110" s="1" t="s">
        <v>647</v>
      </c>
      <c r="AF1110" s="1">
        <v>2.01304E7</v>
      </c>
      <c r="AG1110" s="1" t="s">
        <v>1579</v>
      </c>
      <c r="AH1110" s="1">
        <v>10.0</v>
      </c>
      <c r="AI1110" s="1">
        <v>2011.0</v>
      </c>
      <c r="AJ1110" s="1">
        <v>2013.0</v>
      </c>
      <c r="AK1110" s="1" t="s">
        <v>1580</v>
      </c>
    </row>
    <row r="1111">
      <c r="A1111" s="1" t="s">
        <v>2565</v>
      </c>
      <c r="B1111" s="1" t="s">
        <v>2565</v>
      </c>
      <c r="C1111" s="1" t="s">
        <v>159</v>
      </c>
      <c r="E1111" s="1">
        <v>390536.0</v>
      </c>
      <c r="F1111" s="2">
        <v>41548.0</v>
      </c>
      <c r="G1111" s="1" t="s">
        <v>2566</v>
      </c>
      <c r="I1111" s="1" t="s">
        <v>2566</v>
      </c>
      <c r="L1111" s="1" t="s">
        <v>40</v>
      </c>
      <c r="M1111" s="1">
        <v>7500.0</v>
      </c>
      <c r="N1111" s="1" t="s">
        <v>40</v>
      </c>
      <c r="O1111" s="1">
        <v>3.8775243E7</v>
      </c>
      <c r="P1111" s="1" t="s">
        <v>209</v>
      </c>
      <c r="Q1111" s="1" t="s">
        <v>210</v>
      </c>
      <c r="R1111" s="1" t="s">
        <v>211</v>
      </c>
      <c r="S1111" s="1" t="s">
        <v>44</v>
      </c>
      <c r="T1111" s="1" t="s">
        <v>45</v>
      </c>
      <c r="U1111" s="1">
        <v>4.82023068E8</v>
      </c>
      <c r="W1111" s="1" t="s">
        <v>46</v>
      </c>
      <c r="X1111" s="1" t="s">
        <v>45</v>
      </c>
      <c r="Y1111" s="1">
        <v>4.82023068E8</v>
      </c>
      <c r="Z1111" s="1">
        <v>3.8775243E7</v>
      </c>
      <c r="AA1111" s="1" t="s">
        <v>209</v>
      </c>
      <c r="AB1111" s="1">
        <v>356536.0</v>
      </c>
      <c r="AC1111" s="2">
        <v>41548.0</v>
      </c>
      <c r="AD1111" s="1">
        <v>7500.0</v>
      </c>
      <c r="AE1111" s="1" t="s">
        <v>40</v>
      </c>
      <c r="AF1111" s="1">
        <v>2.0140704E7</v>
      </c>
      <c r="AG1111" s="1" t="s">
        <v>2567</v>
      </c>
      <c r="AH1111" s="1">
        <v>10.0</v>
      </c>
      <c r="AI1111" s="1">
        <v>2013.0</v>
      </c>
      <c r="AJ1111" s="1">
        <v>2014.0</v>
      </c>
      <c r="AK1111" s="1" t="s">
        <v>162</v>
      </c>
    </row>
    <row r="1112">
      <c r="A1112" s="1" t="s">
        <v>411</v>
      </c>
      <c r="B1112" s="1" t="s">
        <v>411</v>
      </c>
      <c r="C1112" s="1" t="s">
        <v>38</v>
      </c>
      <c r="E1112" s="1">
        <v>2735468.0</v>
      </c>
      <c r="F1112" s="2">
        <v>41838.0</v>
      </c>
      <c r="G1112" s="1" t="s">
        <v>2568</v>
      </c>
      <c r="I1112" s="1" t="s">
        <v>2568</v>
      </c>
      <c r="L1112" s="1" t="s">
        <v>40</v>
      </c>
      <c r="M1112" s="1">
        <v>7500.0</v>
      </c>
      <c r="N1112" s="1" t="s">
        <v>40</v>
      </c>
      <c r="O1112" s="1">
        <v>7.3134603E7</v>
      </c>
      <c r="P1112" s="1" t="s">
        <v>41</v>
      </c>
      <c r="Q1112" s="1" t="s">
        <v>252</v>
      </c>
      <c r="R1112" s="1" t="s">
        <v>253</v>
      </c>
      <c r="S1112" s="1" t="s">
        <v>44</v>
      </c>
      <c r="T1112" s="1" t="s">
        <v>45</v>
      </c>
      <c r="U1112" s="1">
        <v>4.8202345E8</v>
      </c>
      <c r="W1112" s="1" t="s">
        <v>46</v>
      </c>
      <c r="X1112" s="1" t="s">
        <v>45</v>
      </c>
      <c r="Y1112" s="1">
        <v>4.82022608E8</v>
      </c>
      <c r="Z1112" s="1">
        <v>7.3134603E7</v>
      </c>
      <c r="AA1112" s="1" t="s">
        <v>41</v>
      </c>
      <c r="AB1112" s="1">
        <v>33036.0</v>
      </c>
      <c r="AC1112" s="2">
        <v>41838.0</v>
      </c>
      <c r="AD1112" s="1">
        <v>7500.0</v>
      </c>
      <c r="AE1112" s="1" t="s">
        <v>40</v>
      </c>
      <c r="AF1112" s="1">
        <v>6.3657528E7</v>
      </c>
      <c r="AG1112" s="1" t="s">
        <v>414</v>
      </c>
      <c r="AH1112" s="1">
        <v>7.0</v>
      </c>
      <c r="AI1112" s="1">
        <v>2014.0</v>
      </c>
      <c r="AJ1112" s="1">
        <v>2014.0</v>
      </c>
      <c r="AK1112" s="1" t="s">
        <v>415</v>
      </c>
    </row>
    <row r="1113">
      <c r="A1113" s="1" t="s">
        <v>2569</v>
      </c>
      <c r="B1113" s="1" t="s">
        <v>2569</v>
      </c>
      <c r="C1113" s="1">
        <v>8653.0</v>
      </c>
      <c r="E1113" s="1">
        <v>2479602.0</v>
      </c>
      <c r="F1113" s="2">
        <v>41558.0</v>
      </c>
      <c r="G1113" s="1" t="s">
        <v>2570</v>
      </c>
      <c r="I1113" s="1" t="s">
        <v>2570</v>
      </c>
      <c r="L1113" s="1" t="s">
        <v>102</v>
      </c>
      <c r="M1113" s="1">
        <v>8600.0</v>
      </c>
      <c r="N1113" s="1" t="s">
        <v>102</v>
      </c>
      <c r="O1113" s="1">
        <v>3.8775243E7</v>
      </c>
      <c r="P1113" s="1" t="s">
        <v>209</v>
      </c>
      <c r="Q1113" s="1" t="s">
        <v>210</v>
      </c>
      <c r="R1113" s="1" t="s">
        <v>211</v>
      </c>
      <c r="S1113" s="1" t="s">
        <v>44</v>
      </c>
      <c r="T1113" s="1" t="s">
        <v>45</v>
      </c>
      <c r="U1113" s="1">
        <v>4.82023068E8</v>
      </c>
      <c r="W1113" s="1" t="s">
        <v>46</v>
      </c>
      <c r="X1113" s="1" t="s">
        <v>45</v>
      </c>
      <c r="Y1113" s="1">
        <v>4.82023068E8</v>
      </c>
      <c r="Z1113" s="1">
        <v>3.8775243E7</v>
      </c>
      <c r="AA1113" s="1" t="s">
        <v>209</v>
      </c>
      <c r="AB1113" s="1">
        <v>117367.0</v>
      </c>
      <c r="AC1113" s="2">
        <v>41558.0</v>
      </c>
      <c r="AD1113" s="1">
        <v>8600.0</v>
      </c>
      <c r="AE1113" s="1" t="s">
        <v>102</v>
      </c>
      <c r="AF1113" s="1">
        <v>2.014071E7</v>
      </c>
      <c r="AG1113" s="1" t="s">
        <v>2571</v>
      </c>
      <c r="AH1113" s="1">
        <v>10.0</v>
      </c>
      <c r="AI1113" s="1">
        <v>2011.0</v>
      </c>
      <c r="AJ1113" s="1">
        <v>2014.0</v>
      </c>
      <c r="AK1113" s="1" t="s">
        <v>2572</v>
      </c>
    </row>
    <row r="1114">
      <c r="A1114" s="1" t="s">
        <v>2569</v>
      </c>
      <c r="B1114" s="1" t="s">
        <v>2569</v>
      </c>
      <c r="C1114" s="1">
        <v>8653.0</v>
      </c>
      <c r="E1114" s="1">
        <v>2479602.0</v>
      </c>
      <c r="F1114" s="2">
        <v>41193.0</v>
      </c>
      <c r="G1114" s="1" t="s">
        <v>2570</v>
      </c>
      <c r="I1114" s="1" t="s">
        <v>2570</v>
      </c>
      <c r="L1114" s="1" t="s">
        <v>102</v>
      </c>
      <c r="M1114" s="1">
        <v>8600.0</v>
      </c>
      <c r="N1114" s="1" t="s">
        <v>102</v>
      </c>
      <c r="O1114" s="1">
        <v>3.8775243E7</v>
      </c>
      <c r="P1114" s="1" t="s">
        <v>209</v>
      </c>
      <c r="Q1114" s="1" t="s">
        <v>210</v>
      </c>
      <c r="R1114" s="1" t="s">
        <v>211</v>
      </c>
      <c r="S1114" s="1" t="s">
        <v>44</v>
      </c>
      <c r="T1114" s="1" t="s">
        <v>45</v>
      </c>
      <c r="U1114" s="1">
        <v>4.82023068E8</v>
      </c>
      <c r="W1114" s="1" t="s">
        <v>46</v>
      </c>
      <c r="X1114" s="1" t="s">
        <v>45</v>
      </c>
      <c r="Y1114" s="1">
        <v>4.82023068E8</v>
      </c>
      <c r="Z1114" s="1">
        <v>3.8775243E7</v>
      </c>
      <c r="AA1114" s="1" t="s">
        <v>209</v>
      </c>
      <c r="AB1114" s="1">
        <v>98971.0</v>
      </c>
      <c r="AC1114" s="2">
        <v>41193.0</v>
      </c>
      <c r="AD1114" s="1">
        <v>8600.0</v>
      </c>
      <c r="AE1114" s="1" t="s">
        <v>102</v>
      </c>
      <c r="AF1114" s="1">
        <v>2.0131227E7</v>
      </c>
      <c r="AG1114" s="1" t="s">
        <v>2571</v>
      </c>
      <c r="AH1114" s="1">
        <v>10.0</v>
      </c>
      <c r="AI1114" s="1">
        <v>2011.0</v>
      </c>
      <c r="AJ1114" s="1">
        <v>2013.0</v>
      </c>
      <c r="AK1114" s="1" t="s">
        <v>2572</v>
      </c>
    </row>
    <row r="1115">
      <c r="A1115" s="1" t="s">
        <v>2569</v>
      </c>
      <c r="B1115" s="1" t="s">
        <v>2569</v>
      </c>
      <c r="C1115" s="1">
        <v>8653.0</v>
      </c>
      <c r="E1115" s="1">
        <v>2479602.0</v>
      </c>
      <c r="F1115" s="2">
        <v>41558.0</v>
      </c>
      <c r="G1115" s="1" t="s">
        <v>2570</v>
      </c>
      <c r="I1115" s="1" t="s">
        <v>2570</v>
      </c>
      <c r="L1115" s="1" t="s">
        <v>102</v>
      </c>
      <c r="M1115" s="1">
        <v>8600.0</v>
      </c>
      <c r="N1115" s="1" t="s">
        <v>102</v>
      </c>
      <c r="O1115" s="1">
        <v>3.8775243E7</v>
      </c>
      <c r="P1115" s="1" t="s">
        <v>209</v>
      </c>
      <c r="Q1115" s="1" t="s">
        <v>210</v>
      </c>
      <c r="R1115" s="1" t="s">
        <v>211</v>
      </c>
      <c r="S1115" s="1" t="s">
        <v>44</v>
      </c>
      <c r="T1115" s="1" t="s">
        <v>45</v>
      </c>
      <c r="U1115" s="1">
        <v>4.82023068E8</v>
      </c>
      <c r="W1115" s="1" t="s">
        <v>46</v>
      </c>
      <c r="X1115" s="1" t="s">
        <v>45</v>
      </c>
      <c r="Y1115" s="1">
        <v>4.82023068E8</v>
      </c>
      <c r="Z1115" s="1">
        <v>3.8775243E7</v>
      </c>
      <c r="AA1115" s="1" t="s">
        <v>209</v>
      </c>
      <c r="AB1115" s="1">
        <v>0.0</v>
      </c>
      <c r="AC1115" s="2">
        <v>41558.0</v>
      </c>
      <c r="AD1115" s="1">
        <v>8600.0</v>
      </c>
      <c r="AE1115" s="1" t="s">
        <v>102</v>
      </c>
      <c r="AF1115" s="1">
        <v>2.014072E7</v>
      </c>
      <c r="AG1115" s="1" t="s">
        <v>2571</v>
      </c>
      <c r="AH1115" s="1">
        <v>10.0</v>
      </c>
      <c r="AI1115" s="1">
        <v>2011.0</v>
      </c>
      <c r="AJ1115" s="1">
        <v>2014.0</v>
      </c>
      <c r="AK1115" s="1" t="s">
        <v>2572</v>
      </c>
    </row>
    <row r="1116">
      <c r="A1116" s="1" t="s">
        <v>2569</v>
      </c>
      <c r="B1116" s="1" t="s">
        <v>2569</v>
      </c>
      <c r="C1116" s="1">
        <v>8653.0</v>
      </c>
      <c r="E1116" s="1">
        <v>2479602.0</v>
      </c>
      <c r="F1116" s="2">
        <v>41193.0</v>
      </c>
      <c r="G1116" s="1" t="s">
        <v>2570</v>
      </c>
      <c r="I1116" s="1" t="s">
        <v>2570</v>
      </c>
      <c r="L1116" s="1" t="s">
        <v>102</v>
      </c>
      <c r="M1116" s="1">
        <v>8600.0</v>
      </c>
      <c r="N1116" s="1" t="s">
        <v>102</v>
      </c>
      <c r="O1116" s="1">
        <v>3.8775243E7</v>
      </c>
      <c r="P1116" s="1" t="s">
        <v>209</v>
      </c>
      <c r="Q1116" s="1" t="s">
        <v>210</v>
      </c>
      <c r="R1116" s="1" t="s">
        <v>211</v>
      </c>
      <c r="S1116" s="1" t="s">
        <v>44</v>
      </c>
      <c r="T1116" s="1" t="s">
        <v>45</v>
      </c>
      <c r="U1116" s="1">
        <v>4.82023068E8</v>
      </c>
      <c r="W1116" s="1" t="s">
        <v>46</v>
      </c>
      <c r="X1116" s="1" t="s">
        <v>45</v>
      </c>
      <c r="Y1116" s="1">
        <v>4.82023068E8</v>
      </c>
      <c r="Z1116" s="1">
        <v>3.8775243E7</v>
      </c>
      <c r="AA1116" s="1" t="s">
        <v>209</v>
      </c>
      <c r="AB1116" s="1">
        <v>5434.0</v>
      </c>
      <c r="AC1116" s="2">
        <v>41193.0</v>
      </c>
      <c r="AD1116" s="1">
        <v>8600.0</v>
      </c>
      <c r="AE1116" s="1" t="s">
        <v>102</v>
      </c>
      <c r="AF1116" s="1">
        <v>2.0131255E7</v>
      </c>
      <c r="AG1116" s="1" t="s">
        <v>2571</v>
      </c>
      <c r="AH1116" s="1">
        <v>10.0</v>
      </c>
      <c r="AI1116" s="1">
        <v>2011.0</v>
      </c>
      <c r="AJ1116" s="1">
        <v>2013.0</v>
      </c>
      <c r="AK1116" s="1" t="s">
        <v>2572</v>
      </c>
    </row>
    <row r="1117">
      <c r="A1117" s="1" t="s">
        <v>2569</v>
      </c>
      <c r="B1117" s="1" t="s">
        <v>2569</v>
      </c>
      <c r="C1117" s="1">
        <v>8653.0</v>
      </c>
      <c r="E1117" s="1">
        <v>2479602.0</v>
      </c>
      <c r="F1117" s="2">
        <v>41193.0</v>
      </c>
      <c r="G1117" s="1" t="s">
        <v>2570</v>
      </c>
      <c r="I1117" s="1" t="s">
        <v>2570</v>
      </c>
      <c r="L1117" s="1" t="s">
        <v>102</v>
      </c>
      <c r="M1117" s="1">
        <v>8600.0</v>
      </c>
      <c r="N1117" s="1" t="s">
        <v>102</v>
      </c>
      <c r="O1117" s="1">
        <v>3.8775243E7</v>
      </c>
      <c r="P1117" s="1" t="s">
        <v>209</v>
      </c>
      <c r="Q1117" s="1" t="s">
        <v>210</v>
      </c>
      <c r="R1117" s="1" t="s">
        <v>211</v>
      </c>
      <c r="S1117" s="1" t="s">
        <v>44</v>
      </c>
      <c r="T1117" s="1" t="s">
        <v>45</v>
      </c>
      <c r="U1117" s="1">
        <v>4.82023068E8</v>
      </c>
      <c r="W1117" s="1" t="s">
        <v>46</v>
      </c>
      <c r="X1117" s="1" t="s">
        <v>45</v>
      </c>
      <c r="Y1117" s="1">
        <v>4.82023068E8</v>
      </c>
      <c r="Z1117" s="1">
        <v>3.8775243E7</v>
      </c>
      <c r="AA1117" s="1" t="s">
        <v>209</v>
      </c>
      <c r="AB1117" s="1">
        <v>0.0</v>
      </c>
      <c r="AC1117" s="2">
        <v>41193.0</v>
      </c>
      <c r="AD1117" s="1">
        <v>8600.0</v>
      </c>
      <c r="AE1117" s="1" t="s">
        <v>102</v>
      </c>
      <c r="AF1117" s="1">
        <v>2.0131237E7</v>
      </c>
      <c r="AG1117" s="1" t="s">
        <v>2571</v>
      </c>
      <c r="AH1117" s="1">
        <v>10.0</v>
      </c>
      <c r="AI1117" s="1">
        <v>2011.0</v>
      </c>
      <c r="AJ1117" s="1">
        <v>2013.0</v>
      </c>
      <c r="AK1117" s="1" t="s">
        <v>2572</v>
      </c>
    </row>
    <row r="1118">
      <c r="A1118" s="1" t="s">
        <v>2569</v>
      </c>
      <c r="B1118" s="1" t="s">
        <v>2569</v>
      </c>
      <c r="C1118" s="1">
        <v>8653.0</v>
      </c>
      <c r="E1118" s="1">
        <v>2479602.0</v>
      </c>
      <c r="F1118" s="2">
        <v>41193.0</v>
      </c>
      <c r="G1118" s="1" t="s">
        <v>2570</v>
      </c>
      <c r="I1118" s="1" t="s">
        <v>2570</v>
      </c>
      <c r="L1118" s="1" t="s">
        <v>102</v>
      </c>
      <c r="M1118" s="1">
        <v>8600.0</v>
      </c>
      <c r="N1118" s="1" t="s">
        <v>102</v>
      </c>
      <c r="O1118" s="1">
        <v>3.8775243E7</v>
      </c>
      <c r="P1118" s="1" t="s">
        <v>209</v>
      </c>
      <c r="Q1118" s="1" t="s">
        <v>210</v>
      </c>
      <c r="R1118" s="1" t="s">
        <v>211</v>
      </c>
      <c r="S1118" s="1" t="s">
        <v>44</v>
      </c>
      <c r="T1118" s="1" t="s">
        <v>45</v>
      </c>
      <c r="U1118" s="1">
        <v>4.82023068E8</v>
      </c>
      <c r="W1118" s="1" t="s">
        <v>46</v>
      </c>
      <c r="X1118" s="1" t="s">
        <v>45</v>
      </c>
      <c r="Y1118" s="1">
        <v>4.82023068E8</v>
      </c>
      <c r="Z1118" s="1">
        <v>3.8775243E7</v>
      </c>
      <c r="AA1118" s="1" t="s">
        <v>209</v>
      </c>
      <c r="AB1118" s="1">
        <v>74282.0</v>
      </c>
      <c r="AC1118" s="2">
        <v>41193.0</v>
      </c>
      <c r="AD1118" s="1">
        <v>8600.0</v>
      </c>
      <c r="AE1118" s="1" t="s">
        <v>102</v>
      </c>
      <c r="AF1118" s="1">
        <v>2.0131228E7</v>
      </c>
      <c r="AG1118" s="1" t="s">
        <v>2571</v>
      </c>
      <c r="AH1118" s="1">
        <v>10.0</v>
      </c>
      <c r="AI1118" s="1">
        <v>2011.0</v>
      </c>
      <c r="AJ1118" s="1">
        <v>2013.0</v>
      </c>
      <c r="AK1118" s="1" t="s">
        <v>2572</v>
      </c>
    </row>
    <row r="1119">
      <c r="A1119" s="1" t="s">
        <v>2573</v>
      </c>
      <c r="B1119" s="1" t="s">
        <v>2573</v>
      </c>
      <c r="C1119" s="1" t="s">
        <v>224</v>
      </c>
      <c r="E1119" s="1">
        <v>1068181.0</v>
      </c>
      <c r="F1119" s="2">
        <v>41787.0</v>
      </c>
      <c r="G1119" s="1" t="s">
        <v>2574</v>
      </c>
      <c r="I1119" s="1" t="s">
        <v>2574</v>
      </c>
      <c r="L1119" s="1" t="s">
        <v>151</v>
      </c>
      <c r="M1119" s="1">
        <v>6900.0</v>
      </c>
      <c r="N1119" s="1" t="s">
        <v>151</v>
      </c>
      <c r="O1119" s="1">
        <v>1.1855476E8</v>
      </c>
      <c r="P1119" s="1" t="s">
        <v>983</v>
      </c>
      <c r="Q1119" s="1" t="s">
        <v>984</v>
      </c>
      <c r="R1119" s="1" t="s">
        <v>227</v>
      </c>
      <c r="S1119" s="1" t="s">
        <v>44</v>
      </c>
      <c r="T1119" s="1" t="s">
        <v>45</v>
      </c>
      <c r="U1119" s="1">
        <v>4.82262886E8</v>
      </c>
      <c r="W1119" s="1" t="s">
        <v>46</v>
      </c>
      <c r="X1119" s="1" t="s">
        <v>45</v>
      </c>
      <c r="Y1119" s="1">
        <v>4.82262886E8</v>
      </c>
      <c r="Z1119" s="1">
        <v>6530661.0</v>
      </c>
      <c r="AA1119" s="1" t="s">
        <v>76</v>
      </c>
      <c r="AB1119" s="1">
        <v>1068181.0</v>
      </c>
      <c r="AC1119" s="2">
        <v>41787.0</v>
      </c>
      <c r="AD1119" s="1">
        <v>6900.0</v>
      </c>
      <c r="AE1119" s="1" t="s">
        <v>151</v>
      </c>
      <c r="AF1119" s="1">
        <v>1.0</v>
      </c>
      <c r="AG1119" s="1" t="s">
        <v>2575</v>
      </c>
      <c r="AH1119" s="1">
        <v>5.0</v>
      </c>
      <c r="AI1119" s="1">
        <v>2014.0</v>
      </c>
      <c r="AJ1119" s="1">
        <v>2014.0</v>
      </c>
      <c r="AK1119" s="1" t="s">
        <v>229</v>
      </c>
    </row>
    <row r="1120">
      <c r="A1120" s="1" t="s">
        <v>2569</v>
      </c>
      <c r="B1120" s="1" t="s">
        <v>2569</v>
      </c>
      <c r="C1120" s="1">
        <v>8653.0</v>
      </c>
      <c r="E1120" s="1">
        <v>2479602.0</v>
      </c>
      <c r="F1120" s="2">
        <v>41558.0</v>
      </c>
      <c r="G1120" s="1" t="s">
        <v>2570</v>
      </c>
      <c r="I1120" s="1" t="s">
        <v>2570</v>
      </c>
      <c r="L1120" s="1" t="s">
        <v>102</v>
      </c>
      <c r="M1120" s="1">
        <v>8600.0</v>
      </c>
      <c r="N1120" s="1" t="s">
        <v>102</v>
      </c>
      <c r="O1120" s="1">
        <v>3.8775243E7</v>
      </c>
      <c r="P1120" s="1" t="s">
        <v>209</v>
      </c>
      <c r="Q1120" s="1" t="s">
        <v>210</v>
      </c>
      <c r="R1120" s="1" t="s">
        <v>211</v>
      </c>
      <c r="S1120" s="1" t="s">
        <v>44</v>
      </c>
      <c r="T1120" s="1" t="s">
        <v>45</v>
      </c>
      <c r="U1120" s="1">
        <v>4.82023068E8</v>
      </c>
      <c r="W1120" s="1" t="s">
        <v>46</v>
      </c>
      <c r="X1120" s="1" t="s">
        <v>45</v>
      </c>
      <c r="Y1120" s="1">
        <v>4.82023068E8</v>
      </c>
      <c r="Z1120" s="1">
        <v>3.8775243E7</v>
      </c>
      <c r="AA1120" s="1" t="s">
        <v>209</v>
      </c>
      <c r="AB1120" s="1">
        <v>81646.0</v>
      </c>
      <c r="AC1120" s="2">
        <v>41558.0</v>
      </c>
      <c r="AD1120" s="1">
        <v>8600.0</v>
      </c>
      <c r="AE1120" s="1" t="s">
        <v>102</v>
      </c>
      <c r="AF1120" s="1">
        <v>2.0140691E7</v>
      </c>
      <c r="AG1120" s="1" t="s">
        <v>2571</v>
      </c>
      <c r="AH1120" s="1">
        <v>10.0</v>
      </c>
      <c r="AI1120" s="1">
        <v>2011.0</v>
      </c>
      <c r="AJ1120" s="1">
        <v>2014.0</v>
      </c>
      <c r="AK1120" s="1" t="s">
        <v>2572</v>
      </c>
    </row>
    <row r="1121">
      <c r="A1121" s="1" t="s">
        <v>2576</v>
      </c>
      <c r="B1121" s="1" t="s">
        <v>2576</v>
      </c>
      <c r="C1121" s="1" t="s">
        <v>38</v>
      </c>
      <c r="E1121" s="1">
        <v>1982191.0</v>
      </c>
      <c r="F1121" s="2">
        <v>41254.0</v>
      </c>
      <c r="G1121" s="1" t="s">
        <v>2577</v>
      </c>
      <c r="I1121" s="1" t="s">
        <v>2577</v>
      </c>
      <c r="L1121" s="1" t="s">
        <v>40</v>
      </c>
      <c r="M1121" s="1">
        <v>7500.0</v>
      </c>
      <c r="N1121" s="1" t="s">
        <v>40</v>
      </c>
      <c r="O1121" s="1">
        <v>7.3134603E7</v>
      </c>
      <c r="P1121" s="1" t="s">
        <v>41</v>
      </c>
      <c r="Q1121" s="1" t="s">
        <v>252</v>
      </c>
      <c r="R1121" s="1" t="s">
        <v>253</v>
      </c>
      <c r="S1121" s="1" t="s">
        <v>44</v>
      </c>
      <c r="T1121" s="1" t="s">
        <v>45</v>
      </c>
      <c r="U1121" s="1">
        <v>4.8202345E8</v>
      </c>
      <c r="W1121" s="1" t="s">
        <v>2578</v>
      </c>
      <c r="X1121" s="1" t="s">
        <v>45</v>
      </c>
      <c r="Y1121" s="1">
        <v>4.81091287E8</v>
      </c>
      <c r="Z1121" s="1">
        <v>7.3134603E7</v>
      </c>
      <c r="AA1121" s="1" t="s">
        <v>41</v>
      </c>
      <c r="AB1121" s="1">
        <v>168466.0</v>
      </c>
      <c r="AC1121" s="2">
        <v>41254.0</v>
      </c>
      <c r="AD1121" s="1">
        <v>7500.0</v>
      </c>
      <c r="AE1121" s="1" t="s">
        <v>40</v>
      </c>
      <c r="AF1121" s="1" t="s">
        <v>2579</v>
      </c>
      <c r="AG1121" s="1" t="s">
        <v>2580</v>
      </c>
      <c r="AH1121" s="1">
        <v>12.0</v>
      </c>
      <c r="AI1121" s="1">
        <v>2012.0</v>
      </c>
      <c r="AJ1121" s="1">
        <v>2013.0</v>
      </c>
      <c r="AK1121" s="1" t="s">
        <v>1558</v>
      </c>
    </row>
    <row r="1122">
      <c r="A1122" s="1" t="s">
        <v>2581</v>
      </c>
      <c r="B1122" s="1" t="s">
        <v>2581</v>
      </c>
      <c r="C1122" s="1" t="s">
        <v>645</v>
      </c>
      <c r="E1122" s="1">
        <v>1.25839776E8</v>
      </c>
      <c r="F1122" s="2">
        <v>41795.0</v>
      </c>
      <c r="G1122" s="1" t="s">
        <v>958</v>
      </c>
      <c r="I1122" s="1" t="s">
        <v>958</v>
      </c>
      <c r="L1122" s="1" t="s">
        <v>647</v>
      </c>
      <c r="M1122" s="1">
        <v>1200.0</v>
      </c>
      <c r="N1122" s="1" t="s">
        <v>647</v>
      </c>
      <c r="O1122" s="1">
        <v>9.68755756E8</v>
      </c>
      <c r="P1122" s="1" t="s">
        <v>1806</v>
      </c>
      <c r="R1122" s="1" t="s">
        <v>1807</v>
      </c>
      <c r="S1122" s="1" t="s">
        <v>44</v>
      </c>
      <c r="T1122" s="1" t="s">
        <v>45</v>
      </c>
      <c r="U1122" s="1">
        <v>4.82262917E8</v>
      </c>
      <c r="W1122" s="1" t="s">
        <v>46</v>
      </c>
      <c r="X1122" s="1" t="s">
        <v>45</v>
      </c>
      <c r="Y1122" s="1">
        <v>4.82022943E8</v>
      </c>
      <c r="AB1122" s="1">
        <v>643120.0</v>
      </c>
      <c r="AC1122" s="2">
        <v>41795.0</v>
      </c>
      <c r="AD1122" s="1">
        <v>1200.0</v>
      </c>
      <c r="AE1122" s="1" t="s">
        <v>647</v>
      </c>
      <c r="AF1122" s="1" t="s">
        <v>2582</v>
      </c>
      <c r="AG1122" s="1" t="s">
        <v>2583</v>
      </c>
      <c r="AH1122" s="1">
        <v>6.0</v>
      </c>
      <c r="AI1122" s="1">
        <v>2014.0</v>
      </c>
      <c r="AJ1122" s="1">
        <v>2014.0</v>
      </c>
      <c r="AK1122" s="1" t="s">
        <v>961</v>
      </c>
    </row>
    <row r="1123">
      <c r="A1123" s="1" t="s">
        <v>2584</v>
      </c>
      <c r="B1123" s="1" t="s">
        <v>2584</v>
      </c>
      <c r="C1123" s="1" t="s">
        <v>129</v>
      </c>
      <c r="E1123" s="1">
        <v>5024418.0</v>
      </c>
      <c r="F1123" s="2">
        <v>41821.0</v>
      </c>
      <c r="G1123" s="1" t="s">
        <v>2585</v>
      </c>
      <c r="I1123" s="1" t="s">
        <v>2585</v>
      </c>
      <c r="L1123" s="1" t="s">
        <v>40</v>
      </c>
      <c r="M1123" s="1">
        <v>7500.0</v>
      </c>
      <c r="N1123" s="1" t="s">
        <v>40</v>
      </c>
      <c r="O1123" s="1">
        <v>9.68755756E8</v>
      </c>
      <c r="P1123" s="1" t="s">
        <v>1806</v>
      </c>
      <c r="R1123" s="1" t="s">
        <v>1807</v>
      </c>
      <c r="S1123" s="1" t="s">
        <v>44</v>
      </c>
      <c r="T1123" s="1" t="s">
        <v>45</v>
      </c>
      <c r="U1123" s="1">
        <v>4.82262917E8</v>
      </c>
      <c r="W1123" s="1" t="s">
        <v>46</v>
      </c>
      <c r="X1123" s="1" t="s">
        <v>45</v>
      </c>
      <c r="Y1123" s="1">
        <v>4.82022943E8</v>
      </c>
      <c r="AB1123" s="1">
        <v>240000.0</v>
      </c>
      <c r="AC1123" s="2">
        <v>41821.0</v>
      </c>
      <c r="AD1123" s="1">
        <v>7500.0</v>
      </c>
      <c r="AE1123" s="1" t="s">
        <v>40</v>
      </c>
      <c r="AF1123" s="1" t="s">
        <v>2586</v>
      </c>
      <c r="AG1123" s="1" t="s">
        <v>2587</v>
      </c>
      <c r="AH1123" s="1">
        <v>7.0</v>
      </c>
      <c r="AI1123" s="1">
        <v>2014.0</v>
      </c>
      <c r="AJ1123" s="1">
        <v>2014.0</v>
      </c>
      <c r="AK1123" s="1" t="s">
        <v>2588</v>
      </c>
    </row>
    <row r="1124">
      <c r="A1124" s="1" t="s">
        <v>2589</v>
      </c>
      <c r="B1124" s="1" t="s">
        <v>2589</v>
      </c>
      <c r="C1124" s="1" t="s">
        <v>70</v>
      </c>
      <c r="E1124" s="1">
        <v>1543414.0</v>
      </c>
      <c r="F1124" s="2">
        <v>41547.0</v>
      </c>
      <c r="G1124" s="1" t="s">
        <v>2590</v>
      </c>
      <c r="I1124" s="1" t="s">
        <v>2590</v>
      </c>
      <c r="L1124" s="1" t="s">
        <v>72</v>
      </c>
      <c r="M1124" s="1">
        <v>1500.0</v>
      </c>
      <c r="N1124" s="1" t="s">
        <v>72</v>
      </c>
      <c r="O1124" s="1">
        <v>1.37199266E8</v>
      </c>
      <c r="P1124" s="1" t="s">
        <v>73</v>
      </c>
      <c r="Q1124" s="1" t="s">
        <v>74</v>
      </c>
      <c r="R1124" s="1" t="s">
        <v>75</v>
      </c>
      <c r="S1124" s="1" t="s">
        <v>44</v>
      </c>
      <c r="T1124" s="1" t="s">
        <v>45</v>
      </c>
      <c r="U1124" s="1">
        <v>4.82262308E8</v>
      </c>
      <c r="W1124" s="1" t="s">
        <v>46</v>
      </c>
      <c r="X1124" s="1" t="s">
        <v>45</v>
      </c>
      <c r="Y1124" s="1">
        <v>4.82262503E8</v>
      </c>
      <c r="Z1124" s="1">
        <v>6530661.0</v>
      </c>
      <c r="AA1124" s="1" t="s">
        <v>76</v>
      </c>
      <c r="AB1124" s="1">
        <v>1077759.0</v>
      </c>
      <c r="AC1124" s="2">
        <v>41547.0</v>
      </c>
      <c r="AD1124" s="1">
        <v>1500.0</v>
      </c>
      <c r="AE1124" s="1" t="s">
        <v>72</v>
      </c>
      <c r="AF1124" s="1" t="s">
        <v>2589</v>
      </c>
      <c r="AG1124" s="1" t="s">
        <v>2591</v>
      </c>
      <c r="AH1124" s="1">
        <v>7.0</v>
      </c>
      <c r="AI1124" s="1">
        <v>2014.0</v>
      </c>
      <c r="AJ1124" s="1">
        <v>2013.0</v>
      </c>
      <c r="AK1124" s="1" t="s">
        <v>79</v>
      </c>
    </row>
    <row r="1125">
      <c r="A1125" s="1" t="s">
        <v>2592</v>
      </c>
      <c r="B1125" s="1" t="s">
        <v>2592</v>
      </c>
      <c r="C1125" s="1" t="s">
        <v>129</v>
      </c>
      <c r="E1125" s="1">
        <v>2.03576512E8</v>
      </c>
      <c r="F1125" s="2">
        <v>41548.0</v>
      </c>
      <c r="G1125" s="1" t="s">
        <v>2593</v>
      </c>
      <c r="I1125" s="1" t="s">
        <v>2593</v>
      </c>
      <c r="L1125" s="1" t="s">
        <v>40</v>
      </c>
      <c r="M1125" s="1">
        <v>7500.0</v>
      </c>
      <c r="N1125" s="1" t="s">
        <v>40</v>
      </c>
      <c r="O1125" s="1">
        <v>6.16950861E8</v>
      </c>
      <c r="P1125" s="1" t="s">
        <v>1084</v>
      </c>
      <c r="Q1125" s="1" t="s">
        <v>2594</v>
      </c>
      <c r="R1125" s="1" t="s">
        <v>2595</v>
      </c>
      <c r="S1125" s="1" t="s">
        <v>44</v>
      </c>
      <c r="T1125" s="1" t="s">
        <v>45</v>
      </c>
      <c r="U1125" s="1">
        <v>4.82264017E8</v>
      </c>
      <c r="W1125" s="1" t="s">
        <v>44</v>
      </c>
      <c r="X1125" s="1" t="s">
        <v>45</v>
      </c>
      <c r="Y1125" s="1">
        <v>4.88264105E8</v>
      </c>
      <c r="Z1125" s="1">
        <v>5.4698428E7</v>
      </c>
      <c r="AB1125" s="3">
        <v>1.704157752E7</v>
      </c>
      <c r="AC1125" s="2">
        <v>41548.0</v>
      </c>
      <c r="AD1125" s="1">
        <v>7500.0</v>
      </c>
      <c r="AE1125" s="1" t="s">
        <v>40</v>
      </c>
      <c r="AF1125" s="1" t="s">
        <v>2596</v>
      </c>
      <c r="AG1125" s="1" t="s">
        <v>2597</v>
      </c>
      <c r="AH1125" s="1">
        <v>10.0</v>
      </c>
      <c r="AI1125" s="1">
        <v>2013.0</v>
      </c>
      <c r="AJ1125" s="1">
        <v>2014.0</v>
      </c>
      <c r="AK1125" s="1" t="s">
        <v>2598</v>
      </c>
    </row>
    <row r="1126">
      <c r="A1126" s="1" t="s">
        <v>2599</v>
      </c>
      <c r="B1126" s="1" t="s">
        <v>2599</v>
      </c>
      <c r="C1126" s="1" t="s">
        <v>70</v>
      </c>
      <c r="E1126" s="1">
        <v>1003921.0</v>
      </c>
      <c r="F1126" s="2">
        <v>41365.0</v>
      </c>
      <c r="G1126" s="1" t="s">
        <v>2600</v>
      </c>
      <c r="I1126" s="1" t="s">
        <v>2600</v>
      </c>
      <c r="L1126" s="1" t="s">
        <v>72</v>
      </c>
      <c r="M1126" s="1">
        <v>1500.0</v>
      </c>
      <c r="N1126" s="1" t="s">
        <v>72</v>
      </c>
      <c r="O1126" s="1">
        <v>7.3134884E7</v>
      </c>
      <c r="P1126" s="1" t="s">
        <v>1796</v>
      </c>
      <c r="R1126" s="1" t="s">
        <v>1855</v>
      </c>
      <c r="S1126" s="1" t="s">
        <v>44</v>
      </c>
      <c r="T1126" s="1" t="s">
        <v>45</v>
      </c>
      <c r="U1126" s="1">
        <v>48226.0</v>
      </c>
      <c r="W1126" s="1" t="s">
        <v>44</v>
      </c>
      <c r="X1126" s="1" t="s">
        <v>45</v>
      </c>
      <c r="Y1126" s="1">
        <v>4.8226348E8</v>
      </c>
      <c r="Z1126" s="1">
        <v>7.3134884E7</v>
      </c>
      <c r="AA1126" s="1" t="s">
        <v>1796</v>
      </c>
      <c r="AB1126" s="1">
        <v>112074.0</v>
      </c>
      <c r="AC1126" s="2">
        <v>41365.0</v>
      </c>
      <c r="AD1126" s="1">
        <v>1500.0</v>
      </c>
      <c r="AE1126" s="1" t="s">
        <v>72</v>
      </c>
      <c r="AF1126" s="1" t="s">
        <v>1964</v>
      </c>
      <c r="AG1126" s="1" t="s">
        <v>2601</v>
      </c>
      <c r="AH1126" s="1">
        <v>5.0</v>
      </c>
      <c r="AI1126" s="1">
        <v>2014.0</v>
      </c>
      <c r="AJ1126" s="1">
        <v>2013.0</v>
      </c>
      <c r="AK1126" s="1" t="s">
        <v>407</v>
      </c>
    </row>
    <row r="1127">
      <c r="A1127" s="1" t="s">
        <v>1271</v>
      </c>
      <c r="B1127" s="1" t="s">
        <v>1271</v>
      </c>
      <c r="C1127" s="1" t="s">
        <v>129</v>
      </c>
      <c r="E1127" s="1">
        <v>4.9392104E7</v>
      </c>
      <c r="F1127" s="2">
        <v>41548.0</v>
      </c>
      <c r="G1127" s="1" t="s">
        <v>1272</v>
      </c>
      <c r="I1127" s="1" t="s">
        <v>1272</v>
      </c>
      <c r="L1127" s="1" t="s">
        <v>40</v>
      </c>
      <c r="M1127" s="1">
        <v>7500.0</v>
      </c>
      <c r="N1127" s="1" t="s">
        <v>40</v>
      </c>
      <c r="O1127" s="1">
        <v>2.0830303E7</v>
      </c>
      <c r="P1127" s="1" t="s">
        <v>424</v>
      </c>
      <c r="Q1127" s="1" t="s">
        <v>425</v>
      </c>
      <c r="R1127" s="1" t="s">
        <v>426</v>
      </c>
      <c r="S1127" s="1" t="s">
        <v>44</v>
      </c>
      <c r="T1127" s="1" t="s">
        <v>45</v>
      </c>
      <c r="U1127" s="1">
        <v>4.82012002E8</v>
      </c>
      <c r="W1127" s="1" t="s">
        <v>44</v>
      </c>
      <c r="X1127" s="1" t="s">
        <v>45</v>
      </c>
      <c r="Y1127" s="1">
        <v>4.82012002E8</v>
      </c>
      <c r="Z1127" s="1">
        <v>2.0830303E7</v>
      </c>
      <c r="AA1127" s="1" t="s">
        <v>424</v>
      </c>
      <c r="AB1127" s="1">
        <v>178657.19</v>
      </c>
      <c r="AC1127" s="2">
        <v>41548.0</v>
      </c>
      <c r="AD1127" s="1">
        <v>7500.0</v>
      </c>
      <c r="AE1127" s="1" t="s">
        <v>40</v>
      </c>
      <c r="AF1127" s="1" t="s">
        <v>1273</v>
      </c>
      <c r="AG1127" s="1" t="s">
        <v>1274</v>
      </c>
      <c r="AH1127" s="1">
        <v>3.0</v>
      </c>
      <c r="AI1127" s="1">
        <v>2014.0</v>
      </c>
      <c r="AJ1127" s="1">
        <v>2014.0</v>
      </c>
      <c r="AK1127" s="1" t="s">
        <v>1275</v>
      </c>
    </row>
    <row r="1128">
      <c r="A1128" s="1" t="s">
        <v>1271</v>
      </c>
      <c r="B1128" s="1" t="s">
        <v>1271</v>
      </c>
      <c r="C1128" s="1" t="s">
        <v>129</v>
      </c>
      <c r="E1128" s="1">
        <v>4.9392104E7</v>
      </c>
      <c r="F1128" s="2">
        <v>41548.0</v>
      </c>
      <c r="G1128" s="1" t="s">
        <v>1272</v>
      </c>
      <c r="I1128" s="1" t="s">
        <v>1272</v>
      </c>
      <c r="L1128" s="1" t="s">
        <v>40</v>
      </c>
      <c r="M1128" s="1">
        <v>7500.0</v>
      </c>
      <c r="N1128" s="1" t="s">
        <v>40</v>
      </c>
      <c r="O1128" s="1">
        <v>2.0830303E7</v>
      </c>
      <c r="P1128" s="1" t="s">
        <v>424</v>
      </c>
      <c r="Q1128" s="1" t="s">
        <v>425</v>
      </c>
      <c r="R1128" s="1" t="s">
        <v>426</v>
      </c>
      <c r="S1128" s="1" t="s">
        <v>44</v>
      </c>
      <c r="T1128" s="1" t="s">
        <v>45</v>
      </c>
      <c r="U1128" s="1">
        <v>4.82012002E8</v>
      </c>
      <c r="W1128" s="1" t="s">
        <v>44</v>
      </c>
      <c r="X1128" s="1" t="s">
        <v>45</v>
      </c>
      <c r="Y1128" s="1">
        <v>4.82012002E8</v>
      </c>
      <c r="Z1128" s="1">
        <v>2.0830303E7</v>
      </c>
      <c r="AA1128" s="1" t="s">
        <v>424</v>
      </c>
      <c r="AB1128" s="1">
        <v>375015.0</v>
      </c>
      <c r="AC1128" s="2">
        <v>41548.0</v>
      </c>
      <c r="AD1128" s="1">
        <v>7500.0</v>
      </c>
      <c r="AE1128" s="1" t="s">
        <v>40</v>
      </c>
      <c r="AF1128" s="1" t="s">
        <v>1273</v>
      </c>
      <c r="AG1128" s="1" t="s">
        <v>1274</v>
      </c>
      <c r="AH1128" s="1">
        <v>3.0</v>
      </c>
      <c r="AI1128" s="1">
        <v>2014.0</v>
      </c>
      <c r="AJ1128" s="1">
        <v>2014.0</v>
      </c>
      <c r="AK1128" s="1" t="s">
        <v>1275</v>
      </c>
    </row>
    <row r="1129">
      <c r="A1129" s="1" t="s">
        <v>1325</v>
      </c>
      <c r="B1129" s="1" t="s">
        <v>1325</v>
      </c>
      <c r="C1129" s="1" t="s">
        <v>129</v>
      </c>
      <c r="E1129" s="1">
        <v>7.7535283E8</v>
      </c>
      <c r="F1129" s="2">
        <v>41711.0</v>
      </c>
      <c r="G1129" s="1" t="s">
        <v>1326</v>
      </c>
      <c r="I1129" s="1" t="s">
        <v>1326</v>
      </c>
      <c r="L1129" s="1" t="s">
        <v>40</v>
      </c>
      <c r="M1129" s="1">
        <v>7500.0</v>
      </c>
      <c r="N1129" s="1" t="s">
        <v>40</v>
      </c>
      <c r="O1129" s="1">
        <v>9.68755756E8</v>
      </c>
      <c r="P1129" s="1" t="s">
        <v>1806</v>
      </c>
      <c r="R1129" s="1" t="s">
        <v>1807</v>
      </c>
      <c r="S1129" s="1" t="s">
        <v>44</v>
      </c>
      <c r="T1129" s="1" t="s">
        <v>45</v>
      </c>
      <c r="U1129" s="1">
        <v>4.82262917E8</v>
      </c>
      <c r="W1129" s="1" t="s">
        <v>44</v>
      </c>
      <c r="X1129" s="1" t="s">
        <v>45</v>
      </c>
      <c r="Y1129" s="1">
        <v>4.82022943E8</v>
      </c>
      <c r="AB1129" s="1">
        <v>300000.0</v>
      </c>
      <c r="AC1129" s="2">
        <v>41711.0</v>
      </c>
      <c r="AD1129" s="1">
        <v>7500.0</v>
      </c>
      <c r="AE1129" s="1" t="s">
        <v>40</v>
      </c>
      <c r="AF1129" s="1" t="s">
        <v>2602</v>
      </c>
      <c r="AG1129" s="1" t="s">
        <v>2603</v>
      </c>
      <c r="AH1129" s="1">
        <v>6.0</v>
      </c>
      <c r="AI1129" s="1">
        <v>2014.0</v>
      </c>
      <c r="AJ1129" s="1">
        <v>2014.0</v>
      </c>
      <c r="AK1129" s="1" t="s">
        <v>385</v>
      </c>
    </row>
    <row r="1130">
      <c r="A1130" s="1" t="s">
        <v>1325</v>
      </c>
      <c r="B1130" s="1" t="s">
        <v>1325</v>
      </c>
      <c r="C1130" s="1" t="s">
        <v>129</v>
      </c>
      <c r="E1130" s="1">
        <v>7.7535283E8</v>
      </c>
      <c r="F1130" s="2">
        <v>41572.0</v>
      </c>
      <c r="G1130" s="1" t="s">
        <v>1326</v>
      </c>
      <c r="I1130" s="1" t="s">
        <v>1326</v>
      </c>
      <c r="L1130" s="1" t="s">
        <v>40</v>
      </c>
      <c r="M1130" s="1">
        <v>7500.0</v>
      </c>
      <c r="N1130" s="1" t="s">
        <v>40</v>
      </c>
      <c r="O1130" s="1">
        <v>9.68755756E8</v>
      </c>
      <c r="P1130" s="1" t="s">
        <v>1806</v>
      </c>
      <c r="R1130" s="1" t="s">
        <v>1807</v>
      </c>
      <c r="S1130" s="1" t="s">
        <v>44</v>
      </c>
      <c r="T1130" s="1" t="s">
        <v>45</v>
      </c>
      <c r="U1130" s="1">
        <v>4.82262917E8</v>
      </c>
      <c r="W1130" s="1" t="s">
        <v>44</v>
      </c>
      <c r="X1130" s="1" t="s">
        <v>45</v>
      </c>
      <c r="Y1130" s="1">
        <v>4.82022943E8</v>
      </c>
      <c r="AB1130" s="1">
        <v>1.3370695E7</v>
      </c>
      <c r="AC1130" s="2">
        <v>41572.0</v>
      </c>
      <c r="AD1130" s="1">
        <v>7500.0</v>
      </c>
      <c r="AE1130" s="1" t="s">
        <v>40</v>
      </c>
      <c r="AF1130" s="1" t="s">
        <v>2604</v>
      </c>
      <c r="AG1130" s="1" t="s">
        <v>2605</v>
      </c>
      <c r="AH1130" s="1">
        <v>6.0</v>
      </c>
      <c r="AI1130" s="1">
        <v>2014.0</v>
      </c>
      <c r="AJ1130" s="1">
        <v>2014.0</v>
      </c>
      <c r="AK1130" s="1" t="s">
        <v>385</v>
      </c>
    </row>
    <row r="1131">
      <c r="A1131" s="1" t="s">
        <v>2606</v>
      </c>
      <c r="B1131" s="1" t="s">
        <v>2606</v>
      </c>
      <c r="C1131" s="1" t="s">
        <v>38</v>
      </c>
      <c r="E1131" s="1">
        <v>350726.0</v>
      </c>
      <c r="F1131" s="2">
        <v>41857.0</v>
      </c>
      <c r="G1131" s="1" t="s">
        <v>2607</v>
      </c>
      <c r="I1131" s="1" t="s">
        <v>2607</v>
      </c>
      <c r="L1131" s="1" t="s">
        <v>40</v>
      </c>
      <c r="M1131" s="1">
        <v>7500.0</v>
      </c>
      <c r="N1131" s="1" t="s">
        <v>40</v>
      </c>
      <c r="O1131" s="1">
        <v>1962224.0</v>
      </c>
      <c r="P1131" s="1" t="s">
        <v>52</v>
      </c>
      <c r="Q1131" s="1" t="s">
        <v>1566</v>
      </c>
      <c r="R1131" s="1" t="s">
        <v>53</v>
      </c>
      <c r="S1131" s="1" t="s">
        <v>44</v>
      </c>
      <c r="T1131" s="1" t="s">
        <v>45</v>
      </c>
      <c r="U1131" s="1">
        <v>4.82023692E8</v>
      </c>
      <c r="W1131" s="1" t="s">
        <v>46</v>
      </c>
      <c r="X1131" s="1" t="s">
        <v>45</v>
      </c>
      <c r="Y1131" s="1">
        <v>4.8202405E8</v>
      </c>
      <c r="Z1131" s="1">
        <v>1962224.0</v>
      </c>
      <c r="AA1131" s="1" t="s">
        <v>52</v>
      </c>
      <c r="AB1131" s="1">
        <v>73757.0</v>
      </c>
      <c r="AC1131" s="2">
        <v>41857.0</v>
      </c>
      <c r="AD1131" s="1">
        <v>7500.0</v>
      </c>
      <c r="AE1131" s="1" t="s">
        <v>40</v>
      </c>
      <c r="AF1131" s="1" t="s">
        <v>2608</v>
      </c>
      <c r="AG1131" s="1" t="s">
        <v>2609</v>
      </c>
      <c r="AH1131" s="1">
        <v>8.0</v>
      </c>
      <c r="AI1131" s="1">
        <v>2014.0</v>
      </c>
      <c r="AJ1131" s="1">
        <v>2014.0</v>
      </c>
      <c r="AK1131" s="1" t="s">
        <v>372</v>
      </c>
    </row>
    <row r="1132">
      <c r="A1132" s="1" t="s">
        <v>1297</v>
      </c>
      <c r="B1132" s="1" t="s">
        <v>1297</v>
      </c>
      <c r="C1132" s="1" t="s">
        <v>1281</v>
      </c>
      <c r="E1132" s="1">
        <v>4867566.0</v>
      </c>
      <c r="F1132" s="2">
        <v>41248.0</v>
      </c>
      <c r="G1132" s="1" t="s">
        <v>2610</v>
      </c>
      <c r="I1132" s="1" t="s">
        <v>2610</v>
      </c>
      <c r="L1132" s="1" t="s">
        <v>1281</v>
      </c>
      <c r="M1132" s="1">
        <v>9577.0</v>
      </c>
      <c r="N1132" s="1" t="s">
        <v>1281</v>
      </c>
      <c r="O1132" s="1">
        <v>1.45406612E8</v>
      </c>
      <c r="P1132" s="1" t="s">
        <v>327</v>
      </c>
      <c r="R1132" s="1" t="s">
        <v>328</v>
      </c>
      <c r="S1132" s="1" t="s">
        <v>44</v>
      </c>
      <c r="T1132" s="1" t="s">
        <v>45</v>
      </c>
      <c r="U1132" s="1">
        <v>4.82112003E8</v>
      </c>
      <c r="W1132" s="1" t="s">
        <v>44</v>
      </c>
      <c r="X1132" s="1" t="s">
        <v>45</v>
      </c>
      <c r="Y1132" s="1">
        <v>4.82112003E8</v>
      </c>
      <c r="AB1132" s="1">
        <v>245129.0</v>
      </c>
      <c r="AC1132" s="2">
        <v>41248.0</v>
      </c>
      <c r="AD1132" s="1">
        <v>9577.0</v>
      </c>
      <c r="AE1132" s="1" t="s">
        <v>1281</v>
      </c>
      <c r="AF1132" s="1" t="s">
        <v>2611</v>
      </c>
      <c r="AG1132" s="1" t="s">
        <v>2612</v>
      </c>
      <c r="AH1132" s="1">
        <v>8.0</v>
      </c>
      <c r="AI1132" s="1">
        <v>2014.0</v>
      </c>
      <c r="AJ1132" s="1">
        <v>2013.0</v>
      </c>
      <c r="AK1132" s="1" t="s">
        <v>1301</v>
      </c>
    </row>
    <row r="1133">
      <c r="A1133" s="1" t="s">
        <v>1745</v>
      </c>
      <c r="B1133" s="1" t="s">
        <v>1745</v>
      </c>
      <c r="C1133" s="1" t="s">
        <v>38</v>
      </c>
      <c r="E1133" s="1">
        <v>1347844.0</v>
      </c>
      <c r="F1133" s="2">
        <v>41859.0</v>
      </c>
      <c r="G1133" s="1" t="s">
        <v>2613</v>
      </c>
      <c r="I1133" s="1" t="s">
        <v>2613</v>
      </c>
      <c r="L1133" s="1" t="s">
        <v>40</v>
      </c>
      <c r="M1133" s="1">
        <v>7500.0</v>
      </c>
      <c r="N1133" s="1" t="s">
        <v>40</v>
      </c>
      <c r="O1133" s="1">
        <v>1962224.0</v>
      </c>
      <c r="P1133" s="1" t="s">
        <v>52</v>
      </c>
      <c r="Q1133" s="1" t="s">
        <v>1566</v>
      </c>
      <c r="R1133" s="1" t="s">
        <v>53</v>
      </c>
      <c r="S1133" s="1" t="s">
        <v>44</v>
      </c>
      <c r="T1133" s="1" t="s">
        <v>45</v>
      </c>
      <c r="U1133" s="1">
        <v>4.82023692E8</v>
      </c>
      <c r="W1133" s="1" t="s">
        <v>46</v>
      </c>
      <c r="X1133" s="1" t="s">
        <v>45</v>
      </c>
      <c r="Y1133" s="1">
        <v>4.8202405E8</v>
      </c>
      <c r="Z1133" s="1">
        <v>1962224.0</v>
      </c>
      <c r="AA1133" s="1" t="s">
        <v>52</v>
      </c>
      <c r="AB1133" s="1">
        <v>55933.0</v>
      </c>
      <c r="AC1133" s="2">
        <v>41859.0</v>
      </c>
      <c r="AD1133" s="1">
        <v>7500.0</v>
      </c>
      <c r="AE1133" s="1" t="s">
        <v>40</v>
      </c>
      <c r="AF1133" s="1" t="s">
        <v>1747</v>
      </c>
      <c r="AG1133" s="1" t="s">
        <v>1748</v>
      </c>
      <c r="AH1133" s="1">
        <v>8.0</v>
      </c>
      <c r="AI1133" s="1">
        <v>2014.0</v>
      </c>
      <c r="AJ1133" s="1">
        <v>2014.0</v>
      </c>
      <c r="AK1133" s="1" t="s">
        <v>1749</v>
      </c>
    </row>
    <row r="1134">
      <c r="A1134" s="1" t="s">
        <v>1325</v>
      </c>
      <c r="B1134" s="1" t="s">
        <v>1325</v>
      </c>
      <c r="C1134" s="1" t="s">
        <v>129</v>
      </c>
      <c r="E1134" s="1">
        <v>7.7535283E8</v>
      </c>
      <c r="F1134" s="2">
        <v>41572.0</v>
      </c>
      <c r="G1134" s="1" t="s">
        <v>1326</v>
      </c>
      <c r="I1134" s="1" t="s">
        <v>1326</v>
      </c>
      <c r="L1134" s="1" t="s">
        <v>40</v>
      </c>
      <c r="M1134" s="1">
        <v>7500.0</v>
      </c>
      <c r="N1134" s="1" t="s">
        <v>40</v>
      </c>
      <c r="O1134" s="1">
        <v>9.68755756E8</v>
      </c>
      <c r="P1134" s="1" t="s">
        <v>1806</v>
      </c>
      <c r="R1134" s="1" t="s">
        <v>1807</v>
      </c>
      <c r="S1134" s="1" t="s">
        <v>44</v>
      </c>
      <c r="T1134" s="1" t="s">
        <v>45</v>
      </c>
      <c r="U1134" s="1">
        <v>4.82262917E8</v>
      </c>
      <c r="W1134" s="1" t="s">
        <v>44</v>
      </c>
      <c r="X1134" s="1" t="s">
        <v>45</v>
      </c>
      <c r="Y1134" s="1">
        <v>4.82022943E8</v>
      </c>
      <c r="AB1134" s="1">
        <v>1.3370695E7</v>
      </c>
      <c r="AC1134" s="2">
        <v>41572.0</v>
      </c>
      <c r="AD1134" s="1">
        <v>7500.0</v>
      </c>
      <c r="AE1134" s="1" t="s">
        <v>40</v>
      </c>
      <c r="AF1134" s="1" t="s">
        <v>2604</v>
      </c>
      <c r="AG1134" s="1" t="s">
        <v>2605</v>
      </c>
      <c r="AH1134" s="1">
        <v>7.0</v>
      </c>
      <c r="AI1134" s="1">
        <v>2014.0</v>
      </c>
      <c r="AJ1134" s="1">
        <v>2014.0</v>
      </c>
      <c r="AK1134" s="1" t="s">
        <v>385</v>
      </c>
    </row>
    <row r="1135">
      <c r="A1135" s="1" t="s">
        <v>1337</v>
      </c>
      <c r="B1135" s="1" t="s">
        <v>1337</v>
      </c>
      <c r="C1135" s="1" t="s">
        <v>1281</v>
      </c>
      <c r="E1135" s="1">
        <v>262500.0</v>
      </c>
      <c r="F1135" s="2">
        <v>41609.0</v>
      </c>
      <c r="G1135" s="1" t="s">
        <v>1338</v>
      </c>
      <c r="I1135" s="1" t="s">
        <v>1338</v>
      </c>
      <c r="L1135" s="1" t="s">
        <v>1281</v>
      </c>
      <c r="M1135" s="1">
        <v>9577.0</v>
      </c>
      <c r="N1135" s="1" t="s">
        <v>1281</v>
      </c>
      <c r="O1135" s="1">
        <v>8.59555054E8</v>
      </c>
      <c r="P1135" s="1" t="s">
        <v>1339</v>
      </c>
      <c r="Q1135" s="1" t="s">
        <v>1340</v>
      </c>
      <c r="R1135" s="1" t="s">
        <v>1341</v>
      </c>
      <c r="S1135" s="1" t="s">
        <v>44</v>
      </c>
      <c r="T1135" s="1" t="s">
        <v>45</v>
      </c>
      <c r="U1135" s="1">
        <v>4.82261656E8</v>
      </c>
      <c r="W1135" s="1" t="s">
        <v>44</v>
      </c>
      <c r="X1135" s="1" t="s">
        <v>45</v>
      </c>
      <c r="Y1135" s="1">
        <v>4.82241506E8</v>
      </c>
      <c r="AB1135" s="1">
        <v>55000.0</v>
      </c>
      <c r="AC1135" s="2">
        <v>41609.0</v>
      </c>
      <c r="AD1135" s="1">
        <v>9577.0</v>
      </c>
      <c r="AE1135" s="1" t="s">
        <v>1281</v>
      </c>
      <c r="AF1135" s="1" t="s">
        <v>1342</v>
      </c>
      <c r="AG1135" s="1" t="s">
        <v>1343</v>
      </c>
      <c r="AH1135" s="1">
        <v>2.0</v>
      </c>
      <c r="AI1135" s="1">
        <v>2014.0</v>
      </c>
      <c r="AJ1135" s="1">
        <v>2014.0</v>
      </c>
      <c r="AK1135" s="1" t="s">
        <v>1344</v>
      </c>
    </row>
    <row r="1136">
      <c r="A1136" s="1" t="s">
        <v>1297</v>
      </c>
      <c r="B1136" s="1" t="s">
        <v>1297</v>
      </c>
      <c r="C1136" s="1" t="s">
        <v>1281</v>
      </c>
      <c r="E1136" s="1">
        <v>4867566.0</v>
      </c>
      <c r="F1136" s="2">
        <v>41183.0</v>
      </c>
      <c r="G1136" s="1" t="s">
        <v>2610</v>
      </c>
      <c r="I1136" s="1" t="s">
        <v>2610</v>
      </c>
      <c r="L1136" s="1" t="s">
        <v>1281</v>
      </c>
      <c r="M1136" s="1">
        <v>9577.0</v>
      </c>
      <c r="N1136" s="1" t="s">
        <v>1281</v>
      </c>
      <c r="O1136" s="1">
        <v>1962224.0</v>
      </c>
      <c r="P1136" s="1" t="s">
        <v>52</v>
      </c>
      <c r="Q1136" s="1" t="s">
        <v>1566</v>
      </c>
      <c r="R1136" s="1" t="s">
        <v>53</v>
      </c>
      <c r="S1136" s="1" t="s">
        <v>44</v>
      </c>
      <c r="T1136" s="1" t="s">
        <v>45</v>
      </c>
      <c r="U1136" s="1">
        <v>4.82023692E8</v>
      </c>
      <c r="W1136" s="1" t="s">
        <v>44</v>
      </c>
      <c r="X1136" s="1" t="s">
        <v>45</v>
      </c>
      <c r="Y1136" s="1">
        <v>4.82023692E8</v>
      </c>
      <c r="Z1136" s="1">
        <v>1962224.0</v>
      </c>
      <c r="AA1136" s="1" t="s">
        <v>52</v>
      </c>
      <c r="AB1136" s="1">
        <v>252899.0</v>
      </c>
      <c r="AC1136" s="2">
        <v>41183.0</v>
      </c>
      <c r="AD1136" s="1">
        <v>9577.0</v>
      </c>
      <c r="AE1136" s="1" t="s">
        <v>1281</v>
      </c>
      <c r="AF1136" s="1" t="s">
        <v>2614</v>
      </c>
      <c r="AG1136" s="1" t="s">
        <v>2612</v>
      </c>
      <c r="AH1136" s="1">
        <v>8.0</v>
      </c>
      <c r="AI1136" s="1">
        <v>2014.0</v>
      </c>
      <c r="AJ1136" s="1">
        <v>2013.0</v>
      </c>
      <c r="AK1136" s="1" t="s">
        <v>1301</v>
      </c>
    </row>
    <row r="1137">
      <c r="A1137" s="1" t="s">
        <v>1325</v>
      </c>
      <c r="B1137" s="1" t="s">
        <v>1325</v>
      </c>
      <c r="C1137" s="1" t="s">
        <v>129</v>
      </c>
      <c r="E1137" s="1">
        <v>7.7535283E8</v>
      </c>
      <c r="F1137" s="2">
        <v>41711.0</v>
      </c>
      <c r="G1137" s="1" t="s">
        <v>1326</v>
      </c>
      <c r="I1137" s="1" t="s">
        <v>1326</v>
      </c>
      <c r="L1137" s="1" t="s">
        <v>40</v>
      </c>
      <c r="M1137" s="1">
        <v>7500.0</v>
      </c>
      <c r="N1137" s="1" t="s">
        <v>40</v>
      </c>
      <c r="O1137" s="1">
        <v>9.68755756E8</v>
      </c>
      <c r="P1137" s="1" t="s">
        <v>1806</v>
      </c>
      <c r="R1137" s="1" t="s">
        <v>1807</v>
      </c>
      <c r="S1137" s="1" t="s">
        <v>44</v>
      </c>
      <c r="T1137" s="1" t="s">
        <v>45</v>
      </c>
      <c r="U1137" s="1">
        <v>4.82262917E8</v>
      </c>
      <c r="W1137" s="1" t="s">
        <v>44</v>
      </c>
      <c r="X1137" s="1" t="s">
        <v>45</v>
      </c>
      <c r="Y1137" s="1">
        <v>4.82022943E8</v>
      </c>
      <c r="AB1137" s="1">
        <v>300000.0</v>
      </c>
      <c r="AC1137" s="2">
        <v>41711.0</v>
      </c>
      <c r="AD1137" s="1">
        <v>7500.0</v>
      </c>
      <c r="AE1137" s="1" t="s">
        <v>40</v>
      </c>
      <c r="AF1137" s="1" t="s">
        <v>2602</v>
      </c>
      <c r="AG1137" s="1" t="s">
        <v>2603</v>
      </c>
      <c r="AH1137" s="1">
        <v>7.0</v>
      </c>
      <c r="AI1137" s="1">
        <v>2014.0</v>
      </c>
      <c r="AJ1137" s="1">
        <v>2014.0</v>
      </c>
      <c r="AK1137" s="1" t="s">
        <v>385</v>
      </c>
    </row>
    <row r="1138">
      <c r="A1138" s="1" t="s">
        <v>2615</v>
      </c>
      <c r="B1138" s="1" t="s">
        <v>2615</v>
      </c>
      <c r="C1138" s="1" t="s">
        <v>38</v>
      </c>
      <c r="E1138" s="1">
        <v>1616955.0</v>
      </c>
      <c r="F1138" s="2">
        <v>41845.0</v>
      </c>
      <c r="G1138" s="1" t="s">
        <v>2616</v>
      </c>
      <c r="I1138" s="1" t="s">
        <v>2616</v>
      </c>
      <c r="L1138" s="1" t="s">
        <v>40</v>
      </c>
      <c r="M1138" s="1">
        <v>7500.0</v>
      </c>
      <c r="N1138" s="1" t="s">
        <v>40</v>
      </c>
      <c r="O1138" s="1">
        <v>7.3134603E7</v>
      </c>
      <c r="P1138" s="1" t="s">
        <v>41</v>
      </c>
      <c r="Q1138" s="1" t="s">
        <v>252</v>
      </c>
      <c r="R1138" s="1" t="s">
        <v>253</v>
      </c>
      <c r="S1138" s="1" t="s">
        <v>44</v>
      </c>
      <c r="T1138" s="1" t="s">
        <v>45</v>
      </c>
      <c r="U1138" s="1">
        <v>4.8202345E8</v>
      </c>
      <c r="W1138" s="1" t="s">
        <v>2617</v>
      </c>
      <c r="X1138" s="1" t="s">
        <v>45</v>
      </c>
      <c r="Y1138" s="1">
        <v>4.82022689E8</v>
      </c>
      <c r="Z1138" s="1">
        <v>7.3134603E7</v>
      </c>
      <c r="AB1138" s="1">
        <v>139403.0</v>
      </c>
      <c r="AC1138" s="2">
        <v>41845.0</v>
      </c>
      <c r="AD1138" s="1">
        <v>7500.0</v>
      </c>
      <c r="AE1138" s="1" t="s">
        <v>40</v>
      </c>
      <c r="AF1138" s="1">
        <v>757757.0</v>
      </c>
      <c r="AG1138" s="1" t="s">
        <v>349</v>
      </c>
      <c r="AH1138" s="1">
        <v>7.0</v>
      </c>
      <c r="AI1138" s="1">
        <v>2014.0</v>
      </c>
      <c r="AJ1138" s="1">
        <v>2014.0</v>
      </c>
      <c r="AK1138" s="1" t="s">
        <v>2618</v>
      </c>
    </row>
    <row r="1139">
      <c r="A1139" s="1" t="s">
        <v>1398</v>
      </c>
      <c r="B1139" s="1" t="s">
        <v>1398</v>
      </c>
      <c r="C1139" s="1" t="s">
        <v>38</v>
      </c>
      <c r="E1139" s="1">
        <v>673692.0</v>
      </c>
      <c r="F1139" s="2">
        <v>41842.0</v>
      </c>
      <c r="G1139" s="1" t="s">
        <v>2619</v>
      </c>
      <c r="I1139" s="1" t="s">
        <v>2619</v>
      </c>
      <c r="L1139" s="1" t="s">
        <v>40</v>
      </c>
      <c r="M1139" s="1">
        <v>7500.0</v>
      </c>
      <c r="N1139" s="1" t="s">
        <v>40</v>
      </c>
      <c r="O1139" s="1">
        <v>1962224.0</v>
      </c>
      <c r="P1139" s="1" t="s">
        <v>52</v>
      </c>
      <c r="Q1139" s="1" t="s">
        <v>1566</v>
      </c>
      <c r="R1139" s="1" t="s">
        <v>53</v>
      </c>
      <c r="S1139" s="1" t="s">
        <v>44</v>
      </c>
      <c r="T1139" s="1" t="s">
        <v>45</v>
      </c>
      <c r="U1139" s="1">
        <v>4.82023692E8</v>
      </c>
      <c r="W1139" s="1" t="s">
        <v>46</v>
      </c>
      <c r="X1139" s="1" t="s">
        <v>45</v>
      </c>
      <c r="Y1139" s="1">
        <v>4.8202405E8</v>
      </c>
      <c r="Z1139" s="1">
        <v>1962224.0</v>
      </c>
      <c r="AA1139" s="1" t="s">
        <v>52</v>
      </c>
      <c r="AB1139" s="1">
        <v>56135.0</v>
      </c>
      <c r="AC1139" s="2">
        <v>41842.0</v>
      </c>
      <c r="AD1139" s="1">
        <v>7500.0</v>
      </c>
      <c r="AE1139" s="1" t="s">
        <v>40</v>
      </c>
      <c r="AF1139" s="1">
        <v>3.002736018E9</v>
      </c>
      <c r="AG1139" s="1" t="s">
        <v>1400</v>
      </c>
      <c r="AH1139" s="1">
        <v>7.0</v>
      </c>
      <c r="AI1139" s="1">
        <v>2014.0</v>
      </c>
      <c r="AJ1139" s="1">
        <v>2014.0</v>
      </c>
      <c r="AK1139" s="1" t="s">
        <v>1021</v>
      </c>
    </row>
    <row r="1140">
      <c r="A1140" s="1" t="s">
        <v>2620</v>
      </c>
      <c r="B1140" s="1" t="s">
        <v>2620</v>
      </c>
      <c r="C1140" s="1" t="s">
        <v>38</v>
      </c>
      <c r="E1140" s="1">
        <v>169106.0</v>
      </c>
      <c r="F1140" s="2">
        <v>41730.0</v>
      </c>
      <c r="G1140" s="1" t="s">
        <v>2621</v>
      </c>
      <c r="I1140" s="1" t="s">
        <v>2621</v>
      </c>
      <c r="L1140" s="1" t="s">
        <v>40</v>
      </c>
      <c r="M1140" s="1">
        <v>7500.0</v>
      </c>
      <c r="N1140" s="1" t="s">
        <v>40</v>
      </c>
      <c r="O1140" s="1">
        <v>1962224.0</v>
      </c>
      <c r="P1140" s="1" t="s">
        <v>52</v>
      </c>
      <c r="Q1140" s="1" t="s">
        <v>1566</v>
      </c>
      <c r="R1140" s="1" t="s">
        <v>53</v>
      </c>
      <c r="S1140" s="1" t="s">
        <v>44</v>
      </c>
      <c r="T1140" s="1" t="s">
        <v>45</v>
      </c>
      <c r="U1140" s="1">
        <v>4.82023692E8</v>
      </c>
      <c r="W1140" s="1" t="s">
        <v>46</v>
      </c>
      <c r="X1140" s="1" t="s">
        <v>45</v>
      </c>
      <c r="Y1140" s="1">
        <v>4.82023692E8</v>
      </c>
      <c r="Z1140" s="1">
        <v>1962224.0</v>
      </c>
      <c r="AA1140" s="1" t="s">
        <v>52</v>
      </c>
      <c r="AB1140" s="1">
        <v>38518.0</v>
      </c>
      <c r="AC1140" s="2">
        <v>41730.0</v>
      </c>
      <c r="AD1140" s="1">
        <v>7500.0</v>
      </c>
      <c r="AE1140" s="1" t="s">
        <v>40</v>
      </c>
      <c r="AF1140" s="1" t="s">
        <v>2622</v>
      </c>
      <c r="AG1140" s="1" t="s">
        <v>2621</v>
      </c>
      <c r="AH1140" s="1">
        <v>8.0</v>
      </c>
      <c r="AI1140" s="1">
        <v>2014.0</v>
      </c>
      <c r="AJ1140" s="1">
        <v>2014.0</v>
      </c>
      <c r="AK1140" s="1" t="s">
        <v>202</v>
      </c>
    </row>
    <row r="1141">
      <c r="A1141" s="1" t="s">
        <v>1470</v>
      </c>
      <c r="B1141" s="1" t="s">
        <v>1470</v>
      </c>
      <c r="C1141" s="1" t="s">
        <v>1281</v>
      </c>
      <c r="E1141" s="1">
        <v>5652841.0</v>
      </c>
      <c r="F1141" s="2">
        <v>41518.0</v>
      </c>
      <c r="G1141" s="1" t="s">
        <v>1298</v>
      </c>
      <c r="I1141" s="1" t="s">
        <v>1298</v>
      </c>
      <c r="L1141" s="1" t="s">
        <v>1281</v>
      </c>
      <c r="M1141" s="1">
        <v>9577.0</v>
      </c>
      <c r="N1141" s="1" t="s">
        <v>1281</v>
      </c>
      <c r="O1141" s="1">
        <v>1.5900083E8</v>
      </c>
      <c r="P1141" s="1" t="s">
        <v>1292</v>
      </c>
      <c r="R1141" s="1" t="s">
        <v>1293</v>
      </c>
      <c r="S1141" s="1" t="s">
        <v>44</v>
      </c>
      <c r="T1141" s="1" t="s">
        <v>45</v>
      </c>
      <c r="U1141" s="1">
        <v>4.82022715E8</v>
      </c>
      <c r="W1141" s="1" t="s">
        <v>44</v>
      </c>
      <c r="X1141" s="1" t="s">
        <v>45</v>
      </c>
      <c r="Y1141" s="1">
        <v>4.82022715E8</v>
      </c>
      <c r="AB1141" s="1">
        <v>315566.0</v>
      </c>
      <c r="AC1141" s="2">
        <v>41518.0</v>
      </c>
      <c r="AD1141" s="1">
        <v>9577.0</v>
      </c>
      <c r="AE1141" s="1" t="s">
        <v>1281</v>
      </c>
      <c r="AF1141" s="1" t="s">
        <v>2623</v>
      </c>
      <c r="AG1141" s="1" t="s">
        <v>2612</v>
      </c>
      <c r="AH1141" s="1">
        <v>8.0</v>
      </c>
      <c r="AI1141" s="1">
        <v>2014.0</v>
      </c>
      <c r="AJ1141" s="1">
        <v>2013.0</v>
      </c>
      <c r="AK1141" s="1" t="s">
        <v>1301</v>
      </c>
    </row>
    <row r="1142">
      <c r="A1142" s="1" t="s">
        <v>2624</v>
      </c>
      <c r="B1142" s="1" t="s">
        <v>2624</v>
      </c>
      <c r="C1142" s="1" t="s">
        <v>194</v>
      </c>
      <c r="E1142" s="1">
        <v>9.3109256E7</v>
      </c>
      <c r="F1142" s="2">
        <v>41373.0</v>
      </c>
      <c r="G1142" s="1" t="s">
        <v>458</v>
      </c>
      <c r="I1142" s="1" t="s">
        <v>458</v>
      </c>
      <c r="L1142" s="1" t="s">
        <v>194</v>
      </c>
      <c r="M1142" s="1">
        <v>9100.0</v>
      </c>
      <c r="N1142" s="1" t="s">
        <v>194</v>
      </c>
      <c r="O1142" s="1">
        <v>1.17726252E8</v>
      </c>
      <c r="P1142" s="1" t="s">
        <v>512</v>
      </c>
      <c r="R1142" s="1" t="s">
        <v>513</v>
      </c>
      <c r="S1142" s="1" t="s">
        <v>44</v>
      </c>
      <c r="T1142" s="1" t="s">
        <v>45</v>
      </c>
      <c r="U1142" s="1">
        <v>4.82193259E8</v>
      </c>
      <c r="W1142" s="1" t="s">
        <v>44</v>
      </c>
      <c r="X1142" s="1" t="s">
        <v>45</v>
      </c>
      <c r="Y1142" s="1">
        <v>4.82193259E8</v>
      </c>
      <c r="AB1142" s="1">
        <v>36877.0</v>
      </c>
      <c r="AC1142" s="2">
        <v>41373.0</v>
      </c>
      <c r="AD1142" s="1">
        <v>9100.0</v>
      </c>
      <c r="AE1142" s="1" t="s">
        <v>194</v>
      </c>
      <c r="AF1142" s="1" t="s">
        <v>514</v>
      </c>
      <c r="AG1142" s="1" t="s">
        <v>463</v>
      </c>
      <c r="AH1142" s="1">
        <v>8.0</v>
      </c>
      <c r="AI1142" s="1">
        <v>2014.0</v>
      </c>
      <c r="AJ1142" s="1">
        <v>2013.0</v>
      </c>
      <c r="AK1142" s="1" t="s">
        <v>277</v>
      </c>
    </row>
    <row r="1143">
      <c r="A1143" s="1" t="s">
        <v>2624</v>
      </c>
      <c r="B1143" s="1" t="s">
        <v>2624</v>
      </c>
      <c r="C1143" s="1" t="s">
        <v>194</v>
      </c>
      <c r="E1143" s="1">
        <v>9.3109256E7</v>
      </c>
      <c r="F1143" s="2">
        <v>41351.0</v>
      </c>
      <c r="G1143" s="1" t="s">
        <v>458</v>
      </c>
      <c r="I1143" s="1" t="s">
        <v>458</v>
      </c>
      <c r="L1143" s="1" t="s">
        <v>194</v>
      </c>
      <c r="M1143" s="1">
        <v>9100.0</v>
      </c>
      <c r="N1143" s="1" t="s">
        <v>194</v>
      </c>
      <c r="O1143" s="1">
        <v>8.0463354E7</v>
      </c>
      <c r="P1143" s="1" t="s">
        <v>518</v>
      </c>
      <c r="R1143" s="1" t="s">
        <v>519</v>
      </c>
      <c r="S1143" s="1" t="s">
        <v>44</v>
      </c>
      <c r="T1143" s="1" t="s">
        <v>45</v>
      </c>
      <c r="U1143" s="1">
        <v>4.82102105E8</v>
      </c>
      <c r="W1143" s="1" t="s">
        <v>44</v>
      </c>
      <c r="X1143" s="1" t="s">
        <v>45</v>
      </c>
      <c r="Y1143" s="1">
        <v>4.82102105E8</v>
      </c>
      <c r="Z1143" s="1">
        <v>8.0463354E7</v>
      </c>
      <c r="AA1143" s="1" t="s">
        <v>518</v>
      </c>
      <c r="AB1143" s="1">
        <v>33561.0</v>
      </c>
      <c r="AC1143" s="2">
        <v>41351.0</v>
      </c>
      <c r="AD1143" s="1">
        <v>9100.0</v>
      </c>
      <c r="AE1143" s="1" t="s">
        <v>194</v>
      </c>
      <c r="AF1143" s="1" t="s">
        <v>520</v>
      </c>
      <c r="AG1143" s="1" t="s">
        <v>463</v>
      </c>
      <c r="AH1143" s="1">
        <v>8.0</v>
      </c>
      <c r="AI1143" s="1">
        <v>2014.0</v>
      </c>
      <c r="AJ1143" s="1">
        <v>2013.0</v>
      </c>
      <c r="AK1143" s="1" t="s">
        <v>277</v>
      </c>
    </row>
    <row r="1144">
      <c r="A1144" s="1" t="s">
        <v>2624</v>
      </c>
      <c r="B1144" s="1" t="s">
        <v>2624</v>
      </c>
      <c r="C1144" s="1" t="s">
        <v>194</v>
      </c>
      <c r="E1144" s="1">
        <v>9.3109256E7</v>
      </c>
      <c r="F1144" s="2">
        <v>41619.0</v>
      </c>
      <c r="G1144" s="1" t="s">
        <v>458</v>
      </c>
      <c r="I1144" s="1" t="s">
        <v>458</v>
      </c>
      <c r="L1144" s="1" t="s">
        <v>194</v>
      </c>
      <c r="M1144" s="1">
        <v>9100.0</v>
      </c>
      <c r="N1144" s="1" t="s">
        <v>194</v>
      </c>
      <c r="O1144" s="1">
        <v>1.80070547E8</v>
      </c>
      <c r="P1144" s="1" t="s">
        <v>508</v>
      </c>
      <c r="R1144" s="1" t="s">
        <v>509</v>
      </c>
      <c r="S1144" s="1" t="s">
        <v>44</v>
      </c>
      <c r="T1144" s="1" t="s">
        <v>45</v>
      </c>
      <c r="U1144" s="1">
        <v>4.82133487E8</v>
      </c>
      <c r="W1144" s="1" t="s">
        <v>44</v>
      </c>
      <c r="X1144" s="1" t="s">
        <v>45</v>
      </c>
      <c r="Y1144" s="1">
        <v>4.82133487E8</v>
      </c>
      <c r="AB1144" s="1">
        <v>43286.0</v>
      </c>
      <c r="AC1144" s="2">
        <v>41619.0</v>
      </c>
      <c r="AD1144" s="1">
        <v>9100.0</v>
      </c>
      <c r="AE1144" s="1" t="s">
        <v>194</v>
      </c>
      <c r="AF1144" s="1" t="s">
        <v>511</v>
      </c>
      <c r="AG1144" s="1" t="s">
        <v>463</v>
      </c>
      <c r="AH1144" s="1">
        <v>8.0</v>
      </c>
      <c r="AI1144" s="1">
        <v>2014.0</v>
      </c>
      <c r="AJ1144" s="1">
        <v>2014.0</v>
      </c>
      <c r="AK1144" s="1" t="s">
        <v>277</v>
      </c>
    </row>
    <row r="1145">
      <c r="A1145" s="1" t="s">
        <v>2624</v>
      </c>
      <c r="B1145" s="1" t="s">
        <v>2624</v>
      </c>
      <c r="C1145" s="1" t="s">
        <v>194</v>
      </c>
      <c r="E1145" s="1">
        <v>9.3109256E7</v>
      </c>
      <c r="F1145" s="2">
        <v>41393.0</v>
      </c>
      <c r="G1145" s="1" t="s">
        <v>458</v>
      </c>
      <c r="I1145" s="1" t="s">
        <v>458</v>
      </c>
      <c r="L1145" s="1" t="s">
        <v>194</v>
      </c>
      <c r="M1145" s="1">
        <v>9100.0</v>
      </c>
      <c r="N1145" s="1" t="s">
        <v>194</v>
      </c>
      <c r="O1145" s="1">
        <v>8.29630537E8</v>
      </c>
      <c r="P1145" s="1" t="s">
        <v>531</v>
      </c>
      <c r="Q1145" s="1" t="s">
        <v>532</v>
      </c>
      <c r="R1145" s="1" t="s">
        <v>533</v>
      </c>
      <c r="S1145" s="1" t="s">
        <v>44</v>
      </c>
      <c r="T1145" s="1" t="s">
        <v>45</v>
      </c>
      <c r="U1145" s="1">
        <v>4.8219181E8</v>
      </c>
      <c r="W1145" s="1" t="s">
        <v>44</v>
      </c>
      <c r="X1145" s="1" t="s">
        <v>45</v>
      </c>
      <c r="Y1145" s="1">
        <v>4.8219181E8</v>
      </c>
      <c r="AB1145" s="1">
        <v>80765.0</v>
      </c>
      <c r="AC1145" s="2">
        <v>41393.0</v>
      </c>
      <c r="AD1145" s="1">
        <v>9100.0</v>
      </c>
      <c r="AE1145" s="1" t="s">
        <v>194</v>
      </c>
      <c r="AF1145" s="1" t="s">
        <v>534</v>
      </c>
      <c r="AG1145" s="1" t="s">
        <v>463</v>
      </c>
      <c r="AH1145" s="1">
        <v>8.0</v>
      </c>
      <c r="AI1145" s="1">
        <v>2014.0</v>
      </c>
      <c r="AJ1145" s="1">
        <v>2013.0</v>
      </c>
      <c r="AK1145" s="1" t="s">
        <v>277</v>
      </c>
    </row>
    <row r="1146">
      <c r="A1146" s="1" t="s">
        <v>2624</v>
      </c>
      <c r="B1146" s="1" t="s">
        <v>2624</v>
      </c>
      <c r="C1146" s="1" t="s">
        <v>194</v>
      </c>
      <c r="E1146" s="1">
        <v>9.3109256E7</v>
      </c>
      <c r="F1146" s="2">
        <v>41390.0</v>
      </c>
      <c r="G1146" s="1" t="s">
        <v>458</v>
      </c>
      <c r="I1146" s="1" t="s">
        <v>458</v>
      </c>
      <c r="L1146" s="1" t="s">
        <v>194</v>
      </c>
      <c r="M1146" s="1">
        <v>9100.0</v>
      </c>
      <c r="N1146" s="1" t="s">
        <v>194</v>
      </c>
      <c r="O1146" s="1">
        <v>7.3832607E7</v>
      </c>
      <c r="P1146" s="1" t="s">
        <v>482</v>
      </c>
      <c r="R1146" s="1" t="s">
        <v>483</v>
      </c>
      <c r="S1146" s="1" t="s">
        <v>44</v>
      </c>
      <c r="T1146" s="1" t="s">
        <v>45</v>
      </c>
      <c r="U1146" s="1">
        <v>4.82074288E8</v>
      </c>
      <c r="W1146" s="1" t="s">
        <v>44</v>
      </c>
      <c r="X1146" s="1" t="s">
        <v>45</v>
      </c>
      <c r="Y1146" s="1">
        <v>4.82074288E8</v>
      </c>
      <c r="AB1146" s="1">
        <v>83210.0</v>
      </c>
      <c r="AC1146" s="2">
        <v>41390.0</v>
      </c>
      <c r="AD1146" s="1">
        <v>9100.0</v>
      </c>
      <c r="AE1146" s="1" t="s">
        <v>194</v>
      </c>
      <c r="AF1146" s="1" t="s">
        <v>485</v>
      </c>
      <c r="AG1146" s="1" t="s">
        <v>463</v>
      </c>
      <c r="AH1146" s="1">
        <v>8.0</v>
      </c>
      <c r="AI1146" s="1">
        <v>2014.0</v>
      </c>
      <c r="AJ1146" s="1">
        <v>2013.0</v>
      </c>
      <c r="AK1146" s="1" t="s">
        <v>277</v>
      </c>
    </row>
    <row r="1147">
      <c r="A1147" s="1" t="s">
        <v>2624</v>
      </c>
      <c r="B1147" s="1" t="s">
        <v>2624</v>
      </c>
      <c r="C1147" s="1" t="s">
        <v>194</v>
      </c>
      <c r="E1147" s="1">
        <v>9.3109256E7</v>
      </c>
      <c r="F1147" s="2">
        <v>41367.0</v>
      </c>
      <c r="G1147" s="1" t="s">
        <v>458</v>
      </c>
      <c r="I1147" s="1" t="s">
        <v>458</v>
      </c>
      <c r="L1147" s="1" t="s">
        <v>194</v>
      </c>
      <c r="M1147" s="1">
        <v>9100.0</v>
      </c>
      <c r="N1147" s="1" t="s">
        <v>194</v>
      </c>
      <c r="O1147" s="1">
        <v>2.496865E7</v>
      </c>
      <c r="P1147" s="1" t="s">
        <v>609</v>
      </c>
      <c r="R1147" s="1" t="s">
        <v>610</v>
      </c>
      <c r="S1147" s="1" t="s">
        <v>44</v>
      </c>
      <c r="T1147" s="1" t="s">
        <v>45</v>
      </c>
      <c r="U1147" s="1">
        <v>4.8235168E8</v>
      </c>
      <c r="W1147" s="1" t="s">
        <v>46</v>
      </c>
      <c r="X1147" s="1" t="s">
        <v>45</v>
      </c>
      <c r="Y1147" s="1">
        <v>4.8235168E8</v>
      </c>
      <c r="AB1147" s="1">
        <v>28524.0</v>
      </c>
      <c r="AC1147" s="2">
        <v>41367.0</v>
      </c>
      <c r="AD1147" s="1">
        <v>9100.0</v>
      </c>
      <c r="AE1147" s="1" t="s">
        <v>194</v>
      </c>
      <c r="AF1147" s="1" t="s">
        <v>611</v>
      </c>
      <c r="AG1147" s="1" t="s">
        <v>463</v>
      </c>
      <c r="AH1147" s="1">
        <v>8.0</v>
      </c>
      <c r="AI1147" s="1">
        <v>2014.0</v>
      </c>
      <c r="AJ1147" s="1">
        <v>2013.0</v>
      </c>
      <c r="AK1147" s="1" t="s">
        <v>277</v>
      </c>
    </row>
    <row r="1148">
      <c r="A1148" s="1" t="s">
        <v>2624</v>
      </c>
      <c r="B1148" s="1" t="s">
        <v>2624</v>
      </c>
      <c r="C1148" s="1" t="s">
        <v>194</v>
      </c>
      <c r="E1148" s="1">
        <v>9.3109256E7</v>
      </c>
      <c r="F1148" s="2">
        <v>41457.0</v>
      </c>
      <c r="G1148" s="1" t="s">
        <v>458</v>
      </c>
      <c r="I1148" s="1" t="s">
        <v>458</v>
      </c>
      <c r="L1148" s="1" t="s">
        <v>194</v>
      </c>
      <c r="M1148" s="1">
        <v>9100.0</v>
      </c>
      <c r="N1148" s="1" t="s">
        <v>194</v>
      </c>
      <c r="O1148" s="1">
        <v>7.8583963E7</v>
      </c>
      <c r="P1148" s="1" t="s">
        <v>526</v>
      </c>
      <c r="Q1148" s="1" t="s">
        <v>527</v>
      </c>
      <c r="R1148" s="1" t="s">
        <v>528</v>
      </c>
      <c r="S1148" s="1" t="s">
        <v>44</v>
      </c>
      <c r="T1148" s="1" t="s">
        <v>45</v>
      </c>
      <c r="U1148" s="1">
        <v>4.82091434E8</v>
      </c>
      <c r="W1148" s="1" t="s">
        <v>46</v>
      </c>
      <c r="X1148" s="1" t="s">
        <v>45</v>
      </c>
      <c r="Y1148" s="1">
        <v>4.82091434E8</v>
      </c>
      <c r="AB1148" s="1">
        <v>28561.0</v>
      </c>
      <c r="AC1148" s="2">
        <v>41457.0</v>
      </c>
      <c r="AD1148" s="1">
        <v>9100.0</v>
      </c>
      <c r="AE1148" s="1" t="s">
        <v>194</v>
      </c>
      <c r="AF1148" s="1" t="s">
        <v>530</v>
      </c>
      <c r="AG1148" s="1" t="s">
        <v>463</v>
      </c>
      <c r="AH1148" s="1">
        <v>8.0</v>
      </c>
      <c r="AI1148" s="1">
        <v>2014.0</v>
      </c>
      <c r="AJ1148" s="1">
        <v>2013.0</v>
      </c>
      <c r="AK1148" s="1" t="s">
        <v>277</v>
      </c>
    </row>
    <row r="1149">
      <c r="A1149" s="1" t="s">
        <v>2624</v>
      </c>
      <c r="B1149" s="1" t="s">
        <v>2624</v>
      </c>
      <c r="C1149" s="1" t="s">
        <v>194</v>
      </c>
      <c r="E1149" s="1">
        <v>9.3109256E7</v>
      </c>
      <c r="F1149" s="2">
        <v>41304.0</v>
      </c>
      <c r="G1149" s="1" t="s">
        <v>458</v>
      </c>
      <c r="I1149" s="1" t="s">
        <v>458</v>
      </c>
      <c r="L1149" s="1" t="s">
        <v>194</v>
      </c>
      <c r="M1149" s="1">
        <v>9100.0</v>
      </c>
      <c r="N1149" s="1" t="s">
        <v>194</v>
      </c>
      <c r="O1149" s="1">
        <v>1.68568132E8</v>
      </c>
      <c r="P1149" s="1" t="s">
        <v>588</v>
      </c>
      <c r="R1149" s="1" t="s">
        <v>589</v>
      </c>
      <c r="S1149" s="1" t="s">
        <v>44</v>
      </c>
      <c r="T1149" s="1" t="s">
        <v>45</v>
      </c>
      <c r="U1149" s="1">
        <v>4.82143323E8</v>
      </c>
      <c r="W1149" s="1" t="s">
        <v>44</v>
      </c>
      <c r="X1149" s="1" t="s">
        <v>45</v>
      </c>
      <c r="Y1149" s="1">
        <v>4.82143323E8</v>
      </c>
      <c r="Z1149" s="1">
        <v>9.60742484E8</v>
      </c>
      <c r="AB1149" s="1">
        <v>29886.0</v>
      </c>
      <c r="AC1149" s="2">
        <v>41304.0</v>
      </c>
      <c r="AD1149" s="1">
        <v>9100.0</v>
      </c>
      <c r="AE1149" s="1" t="s">
        <v>194</v>
      </c>
      <c r="AF1149" s="1" t="s">
        <v>590</v>
      </c>
      <c r="AG1149" s="1" t="s">
        <v>463</v>
      </c>
      <c r="AH1149" s="1">
        <v>8.0</v>
      </c>
      <c r="AI1149" s="1">
        <v>2014.0</v>
      </c>
      <c r="AJ1149" s="1">
        <v>2013.0</v>
      </c>
      <c r="AK1149" s="1" t="s">
        <v>277</v>
      </c>
    </row>
    <row r="1150">
      <c r="A1150" s="1" t="s">
        <v>2624</v>
      </c>
      <c r="B1150" s="1" t="s">
        <v>2624</v>
      </c>
      <c r="C1150" s="1" t="s">
        <v>194</v>
      </c>
      <c r="E1150" s="1">
        <v>9.3109256E7</v>
      </c>
      <c r="F1150" s="2">
        <v>41306.0</v>
      </c>
      <c r="G1150" s="1" t="s">
        <v>458</v>
      </c>
      <c r="I1150" s="1" t="s">
        <v>458</v>
      </c>
      <c r="L1150" s="1" t="s">
        <v>194</v>
      </c>
      <c r="M1150" s="1">
        <v>9100.0</v>
      </c>
      <c r="N1150" s="1" t="s">
        <v>194</v>
      </c>
      <c r="O1150" s="1">
        <v>1.38064923E8</v>
      </c>
      <c r="P1150" s="1" t="s">
        <v>585</v>
      </c>
      <c r="R1150" s="1" t="s">
        <v>586</v>
      </c>
      <c r="S1150" s="1" t="s">
        <v>44</v>
      </c>
      <c r="T1150" s="1" t="s">
        <v>45</v>
      </c>
      <c r="U1150" s="1">
        <v>4.82152861E8</v>
      </c>
      <c r="W1150" s="1" t="s">
        <v>44</v>
      </c>
      <c r="X1150" s="1" t="s">
        <v>45</v>
      </c>
      <c r="Y1150" s="1">
        <v>4.82152861E8</v>
      </c>
      <c r="Z1150" s="1">
        <v>9.60742484E8</v>
      </c>
      <c r="AB1150" s="1">
        <v>31964.0</v>
      </c>
      <c r="AC1150" s="2">
        <v>41306.0</v>
      </c>
      <c r="AD1150" s="1">
        <v>9100.0</v>
      </c>
      <c r="AE1150" s="1" t="s">
        <v>194</v>
      </c>
      <c r="AF1150" s="1" t="s">
        <v>587</v>
      </c>
      <c r="AG1150" s="1" t="s">
        <v>463</v>
      </c>
      <c r="AH1150" s="1">
        <v>8.0</v>
      </c>
      <c r="AI1150" s="1">
        <v>2014.0</v>
      </c>
      <c r="AJ1150" s="1">
        <v>2013.0</v>
      </c>
      <c r="AK1150" s="1" t="s">
        <v>277</v>
      </c>
    </row>
    <row r="1151">
      <c r="A1151" s="1" t="s">
        <v>2624</v>
      </c>
      <c r="B1151" s="1" t="s">
        <v>2624</v>
      </c>
      <c r="C1151" s="1" t="s">
        <v>194</v>
      </c>
      <c r="E1151" s="1">
        <v>9.3109256E7</v>
      </c>
      <c r="F1151" s="2">
        <v>41351.0</v>
      </c>
      <c r="G1151" s="1" t="s">
        <v>458</v>
      </c>
      <c r="I1151" s="1" t="s">
        <v>458</v>
      </c>
      <c r="L1151" s="1" t="s">
        <v>194</v>
      </c>
      <c r="M1151" s="1">
        <v>9100.0</v>
      </c>
      <c r="N1151" s="1" t="s">
        <v>194</v>
      </c>
      <c r="O1151" s="1">
        <v>9.6578333E8</v>
      </c>
      <c r="P1151" s="1" t="s">
        <v>641</v>
      </c>
      <c r="R1151" s="1" t="s">
        <v>642</v>
      </c>
      <c r="S1151" s="1" t="s">
        <v>44</v>
      </c>
      <c r="T1151" s="1" t="s">
        <v>45</v>
      </c>
      <c r="U1151" s="1">
        <v>4.82141762E8</v>
      </c>
      <c r="W1151" s="1" t="s">
        <v>44</v>
      </c>
      <c r="X1151" s="1" t="s">
        <v>45</v>
      </c>
      <c r="Y1151" s="1">
        <v>4.82141762E8</v>
      </c>
      <c r="Z1151" s="1">
        <v>4.0917864E7</v>
      </c>
      <c r="AB1151" s="1">
        <v>25337.0</v>
      </c>
      <c r="AC1151" s="2">
        <v>41351.0</v>
      </c>
      <c r="AD1151" s="1">
        <v>9100.0</v>
      </c>
      <c r="AE1151" s="1" t="s">
        <v>194</v>
      </c>
      <c r="AF1151" s="1" t="s">
        <v>643</v>
      </c>
      <c r="AG1151" s="1" t="s">
        <v>463</v>
      </c>
      <c r="AH1151" s="1">
        <v>8.0</v>
      </c>
      <c r="AI1151" s="1">
        <v>2014.0</v>
      </c>
      <c r="AJ1151" s="1">
        <v>2013.0</v>
      </c>
      <c r="AK1151" s="1" t="s">
        <v>277</v>
      </c>
    </row>
    <row r="1152">
      <c r="A1152" s="1" t="s">
        <v>2624</v>
      </c>
      <c r="B1152" s="1" t="s">
        <v>2624</v>
      </c>
      <c r="C1152" s="1" t="s">
        <v>194</v>
      </c>
      <c r="E1152" s="1">
        <v>9.3109256E7</v>
      </c>
      <c r="F1152" s="2">
        <v>41325.0</v>
      </c>
      <c r="G1152" s="1" t="s">
        <v>458</v>
      </c>
      <c r="I1152" s="1" t="s">
        <v>458</v>
      </c>
      <c r="L1152" s="1" t="s">
        <v>194</v>
      </c>
      <c r="M1152" s="1">
        <v>9100.0</v>
      </c>
      <c r="N1152" s="1" t="s">
        <v>194</v>
      </c>
      <c r="O1152" s="1">
        <v>1.52807538E8</v>
      </c>
      <c r="P1152" s="1" t="s">
        <v>591</v>
      </c>
      <c r="R1152" s="1" t="s">
        <v>592</v>
      </c>
      <c r="S1152" s="1" t="s">
        <v>44</v>
      </c>
      <c r="T1152" s="1" t="s">
        <v>45</v>
      </c>
      <c r="U1152" s="1">
        <v>4.82191161E8</v>
      </c>
      <c r="W1152" s="1" t="s">
        <v>44</v>
      </c>
      <c r="X1152" s="1" t="s">
        <v>45</v>
      </c>
      <c r="Y1152" s="1">
        <v>4.82191161E8</v>
      </c>
      <c r="AB1152" s="1">
        <v>29349.0</v>
      </c>
      <c r="AC1152" s="2">
        <v>41325.0</v>
      </c>
      <c r="AD1152" s="1">
        <v>9100.0</v>
      </c>
      <c r="AE1152" s="1" t="s">
        <v>194</v>
      </c>
      <c r="AF1152" s="1" t="s">
        <v>593</v>
      </c>
      <c r="AG1152" s="1" t="s">
        <v>463</v>
      </c>
      <c r="AH1152" s="1">
        <v>8.0</v>
      </c>
      <c r="AI1152" s="1">
        <v>2014.0</v>
      </c>
      <c r="AJ1152" s="1">
        <v>2013.0</v>
      </c>
      <c r="AK1152" s="1" t="s">
        <v>277</v>
      </c>
    </row>
    <row r="1153">
      <c r="A1153" s="1" t="s">
        <v>2624</v>
      </c>
      <c r="B1153" s="1" t="s">
        <v>2624</v>
      </c>
      <c r="C1153" s="1" t="s">
        <v>194</v>
      </c>
      <c r="E1153" s="1">
        <v>9.3109256E7</v>
      </c>
      <c r="F1153" s="2">
        <v>41409.0</v>
      </c>
      <c r="G1153" s="1" t="s">
        <v>458</v>
      </c>
      <c r="I1153" s="1" t="s">
        <v>458</v>
      </c>
      <c r="L1153" s="1" t="s">
        <v>194</v>
      </c>
      <c r="M1153" s="1">
        <v>9100.0</v>
      </c>
      <c r="N1153" s="1" t="s">
        <v>194</v>
      </c>
      <c r="O1153" s="1">
        <v>7.93697942E8</v>
      </c>
      <c r="P1153" s="1" t="s">
        <v>459</v>
      </c>
      <c r="R1153" s="1" t="s">
        <v>460</v>
      </c>
      <c r="S1153" s="1" t="s">
        <v>44</v>
      </c>
      <c r="T1153" s="1" t="s">
        <v>45</v>
      </c>
      <c r="U1153" s="1">
        <v>4.82141601E8</v>
      </c>
      <c r="W1153" s="1" t="s">
        <v>44</v>
      </c>
      <c r="X1153" s="1" t="s">
        <v>45</v>
      </c>
      <c r="Y1153" s="1">
        <v>4.82141601E8</v>
      </c>
      <c r="Z1153" s="1">
        <v>7.6340843E7</v>
      </c>
      <c r="AA1153" s="1" t="s">
        <v>461</v>
      </c>
      <c r="AB1153" s="1">
        <v>27427.0</v>
      </c>
      <c r="AC1153" s="2">
        <v>41409.0</v>
      </c>
      <c r="AD1153" s="1">
        <v>9100.0</v>
      </c>
      <c r="AE1153" s="1" t="s">
        <v>194</v>
      </c>
      <c r="AF1153" s="1" t="s">
        <v>462</v>
      </c>
      <c r="AG1153" s="1" t="s">
        <v>463</v>
      </c>
      <c r="AH1153" s="1">
        <v>8.0</v>
      </c>
      <c r="AI1153" s="1">
        <v>2014.0</v>
      </c>
      <c r="AJ1153" s="1">
        <v>2013.0</v>
      </c>
      <c r="AK1153" s="1" t="s">
        <v>277</v>
      </c>
    </row>
    <row r="1154">
      <c r="A1154" s="1" t="s">
        <v>2624</v>
      </c>
      <c r="B1154" s="1" t="s">
        <v>2624</v>
      </c>
      <c r="C1154" s="1" t="s">
        <v>194</v>
      </c>
      <c r="E1154" s="1">
        <v>9.3109256E7</v>
      </c>
      <c r="F1154" s="2">
        <v>41327.0</v>
      </c>
      <c r="G1154" s="1" t="s">
        <v>458</v>
      </c>
      <c r="I1154" s="1" t="s">
        <v>458</v>
      </c>
      <c r="L1154" s="1" t="s">
        <v>194</v>
      </c>
      <c r="M1154" s="1">
        <v>9100.0</v>
      </c>
      <c r="N1154" s="1" t="s">
        <v>194</v>
      </c>
      <c r="O1154" s="1">
        <v>1.52892667E8</v>
      </c>
      <c r="P1154" s="1" t="s">
        <v>638</v>
      </c>
      <c r="R1154" s="1" t="s">
        <v>639</v>
      </c>
      <c r="S1154" s="1" t="s">
        <v>44</v>
      </c>
      <c r="T1154" s="1" t="s">
        <v>45</v>
      </c>
      <c r="U1154" s="1">
        <v>4.82343358E8</v>
      </c>
      <c r="W1154" s="1" t="s">
        <v>44</v>
      </c>
      <c r="X1154" s="1" t="s">
        <v>45</v>
      </c>
      <c r="Y1154" s="1">
        <v>4.82343358E8</v>
      </c>
      <c r="AB1154" s="1">
        <v>28515.0</v>
      </c>
      <c r="AC1154" s="2">
        <v>41327.0</v>
      </c>
      <c r="AD1154" s="1">
        <v>9100.0</v>
      </c>
      <c r="AE1154" s="1" t="s">
        <v>194</v>
      </c>
      <c r="AF1154" s="1" t="s">
        <v>640</v>
      </c>
      <c r="AG1154" s="1" t="s">
        <v>463</v>
      </c>
      <c r="AH1154" s="1">
        <v>8.0</v>
      </c>
      <c r="AI1154" s="1">
        <v>2014.0</v>
      </c>
      <c r="AJ1154" s="1">
        <v>2013.0</v>
      </c>
      <c r="AK1154" s="1" t="s">
        <v>277</v>
      </c>
    </row>
    <row r="1155">
      <c r="A1155" s="1" t="s">
        <v>2624</v>
      </c>
      <c r="B1155" s="1" t="s">
        <v>2624</v>
      </c>
      <c r="C1155" s="1" t="s">
        <v>194</v>
      </c>
      <c r="E1155" s="1">
        <v>9.3109256E7</v>
      </c>
      <c r="F1155" s="2">
        <v>41388.0</v>
      </c>
      <c r="G1155" s="1" t="s">
        <v>458</v>
      </c>
      <c r="I1155" s="1" t="s">
        <v>458</v>
      </c>
      <c r="L1155" s="1" t="s">
        <v>194</v>
      </c>
      <c r="M1155" s="1">
        <v>9100.0</v>
      </c>
      <c r="N1155" s="1" t="s">
        <v>194</v>
      </c>
      <c r="O1155" s="1">
        <v>9.65349769E8</v>
      </c>
      <c r="P1155" s="1" t="s">
        <v>465</v>
      </c>
      <c r="Q1155" s="1" t="s">
        <v>466</v>
      </c>
      <c r="R1155" s="1" t="s">
        <v>467</v>
      </c>
      <c r="S1155" s="1" t="s">
        <v>44</v>
      </c>
      <c r="T1155" s="1" t="s">
        <v>45</v>
      </c>
      <c r="U1155" s="1">
        <v>4.8202322E8</v>
      </c>
      <c r="W1155" s="1" t="s">
        <v>44</v>
      </c>
      <c r="X1155" s="1" t="s">
        <v>45</v>
      </c>
      <c r="Y1155" s="1">
        <v>4.8202322E8</v>
      </c>
      <c r="Z1155" s="1">
        <v>1.6338926E8</v>
      </c>
      <c r="AB1155" s="1">
        <v>141218.0</v>
      </c>
      <c r="AC1155" s="2">
        <v>41388.0</v>
      </c>
      <c r="AD1155" s="1">
        <v>9100.0</v>
      </c>
      <c r="AE1155" s="1" t="s">
        <v>194</v>
      </c>
      <c r="AF1155" s="1" t="s">
        <v>468</v>
      </c>
      <c r="AG1155" s="1" t="s">
        <v>463</v>
      </c>
      <c r="AH1155" s="1">
        <v>8.0</v>
      </c>
      <c r="AI1155" s="1">
        <v>2014.0</v>
      </c>
      <c r="AJ1155" s="1">
        <v>2013.0</v>
      </c>
      <c r="AK1155" s="1" t="s">
        <v>277</v>
      </c>
    </row>
    <row r="1156">
      <c r="A1156" s="1" t="s">
        <v>2624</v>
      </c>
      <c r="B1156" s="1" t="s">
        <v>2624</v>
      </c>
      <c r="C1156" s="1" t="s">
        <v>194</v>
      </c>
      <c r="E1156" s="1">
        <v>9.3109256E7</v>
      </c>
      <c r="F1156" s="2">
        <v>41383.0</v>
      </c>
      <c r="G1156" s="1" t="s">
        <v>458</v>
      </c>
      <c r="I1156" s="1" t="s">
        <v>458</v>
      </c>
      <c r="L1156" s="1" t="s">
        <v>194</v>
      </c>
      <c r="M1156" s="1">
        <v>9100.0</v>
      </c>
      <c r="N1156" s="1" t="s">
        <v>194</v>
      </c>
      <c r="O1156" s="1">
        <v>1.6338926E8</v>
      </c>
      <c r="P1156" s="1" t="s">
        <v>465</v>
      </c>
      <c r="Q1156" s="1" t="s">
        <v>598</v>
      </c>
      <c r="R1156" s="1" t="s">
        <v>599</v>
      </c>
      <c r="S1156" s="1" t="s">
        <v>44</v>
      </c>
      <c r="T1156" s="1" t="s">
        <v>45</v>
      </c>
      <c r="U1156" s="1">
        <v>4.82023457E8</v>
      </c>
      <c r="W1156" s="1" t="s">
        <v>44</v>
      </c>
      <c r="X1156" s="1" t="s">
        <v>45</v>
      </c>
      <c r="Y1156" s="1">
        <v>4.82023457E8</v>
      </c>
      <c r="Z1156" s="1">
        <v>1.6338926E8</v>
      </c>
      <c r="AB1156" s="1">
        <v>27360.0</v>
      </c>
      <c r="AC1156" s="2">
        <v>41383.0</v>
      </c>
      <c r="AD1156" s="1">
        <v>9100.0</v>
      </c>
      <c r="AE1156" s="1" t="s">
        <v>194</v>
      </c>
      <c r="AF1156" s="1" t="s">
        <v>600</v>
      </c>
      <c r="AG1156" s="1" t="s">
        <v>463</v>
      </c>
      <c r="AH1156" s="1">
        <v>8.0</v>
      </c>
      <c r="AI1156" s="1">
        <v>2014.0</v>
      </c>
      <c r="AJ1156" s="1">
        <v>2013.0</v>
      </c>
      <c r="AK1156" s="1" t="s">
        <v>277</v>
      </c>
    </row>
    <row r="1157">
      <c r="A1157" s="1" t="s">
        <v>2624</v>
      </c>
      <c r="B1157" s="1" t="s">
        <v>2624</v>
      </c>
      <c r="C1157" s="1" t="s">
        <v>194</v>
      </c>
      <c r="E1157" s="1">
        <v>9.3109256E7</v>
      </c>
      <c r="F1157" s="2">
        <v>41297.0</v>
      </c>
      <c r="G1157" s="1" t="s">
        <v>458</v>
      </c>
      <c r="I1157" s="1" t="s">
        <v>458</v>
      </c>
      <c r="L1157" s="1" t="s">
        <v>194</v>
      </c>
      <c r="M1157" s="1">
        <v>9100.0</v>
      </c>
      <c r="N1157" s="1" t="s">
        <v>194</v>
      </c>
      <c r="O1157" s="1">
        <v>8.3082572E8</v>
      </c>
      <c r="P1157" s="1" t="s">
        <v>465</v>
      </c>
      <c r="Q1157" s="1" t="s">
        <v>554</v>
      </c>
      <c r="R1157" s="1" t="s">
        <v>555</v>
      </c>
      <c r="S1157" s="1" t="s">
        <v>44</v>
      </c>
      <c r="T1157" s="1" t="s">
        <v>45</v>
      </c>
      <c r="U1157" s="1">
        <v>4.82024061E8</v>
      </c>
      <c r="W1157" s="1" t="s">
        <v>44</v>
      </c>
      <c r="X1157" s="1" t="s">
        <v>45</v>
      </c>
      <c r="Y1157" s="1">
        <v>4.82023457E8</v>
      </c>
      <c r="Z1157" s="1">
        <v>1.6338926E8</v>
      </c>
      <c r="AB1157" s="1">
        <v>67299.0</v>
      </c>
      <c r="AC1157" s="2">
        <v>41297.0</v>
      </c>
      <c r="AD1157" s="1">
        <v>9100.0</v>
      </c>
      <c r="AE1157" s="1" t="s">
        <v>194</v>
      </c>
      <c r="AF1157" s="1" t="s">
        <v>556</v>
      </c>
      <c r="AG1157" s="1" t="s">
        <v>463</v>
      </c>
      <c r="AH1157" s="1">
        <v>8.0</v>
      </c>
      <c r="AI1157" s="1">
        <v>2014.0</v>
      </c>
      <c r="AJ1157" s="1">
        <v>2013.0</v>
      </c>
      <c r="AK1157" s="1" t="s">
        <v>277</v>
      </c>
    </row>
    <row r="1158">
      <c r="A1158" s="1" t="s">
        <v>2624</v>
      </c>
      <c r="B1158" s="1" t="s">
        <v>2624</v>
      </c>
      <c r="C1158" s="1" t="s">
        <v>194</v>
      </c>
      <c r="E1158" s="1">
        <v>9.3109256E7</v>
      </c>
      <c r="F1158" s="2">
        <v>41367.0</v>
      </c>
      <c r="G1158" s="1" t="s">
        <v>458</v>
      </c>
      <c r="I1158" s="1" t="s">
        <v>458</v>
      </c>
      <c r="L1158" s="1" t="s">
        <v>194</v>
      </c>
      <c r="M1158" s="1">
        <v>9100.0</v>
      </c>
      <c r="N1158" s="1" t="s">
        <v>194</v>
      </c>
      <c r="O1158" s="1">
        <v>9.0912429E7</v>
      </c>
      <c r="P1158" s="1" t="s">
        <v>521</v>
      </c>
      <c r="R1158" s="1" t="s">
        <v>522</v>
      </c>
      <c r="S1158" s="1" t="s">
        <v>44</v>
      </c>
      <c r="T1158" s="1" t="s">
        <v>45</v>
      </c>
      <c r="U1158" s="1">
        <v>4.82233314E8</v>
      </c>
      <c r="W1158" s="1" t="s">
        <v>44</v>
      </c>
      <c r="X1158" s="1" t="s">
        <v>45</v>
      </c>
      <c r="Y1158" s="1">
        <v>4.82233314E8</v>
      </c>
      <c r="AB1158" s="1">
        <v>30085.0</v>
      </c>
      <c r="AC1158" s="2">
        <v>41367.0</v>
      </c>
      <c r="AD1158" s="1">
        <v>9100.0</v>
      </c>
      <c r="AE1158" s="1" t="s">
        <v>194</v>
      </c>
      <c r="AF1158" s="1" t="s">
        <v>523</v>
      </c>
      <c r="AG1158" s="1" t="s">
        <v>463</v>
      </c>
      <c r="AH1158" s="1">
        <v>8.0</v>
      </c>
      <c r="AI1158" s="1">
        <v>2014.0</v>
      </c>
      <c r="AJ1158" s="1">
        <v>2013.0</v>
      </c>
      <c r="AK1158" s="1" t="s">
        <v>277</v>
      </c>
    </row>
    <row r="1159">
      <c r="A1159" s="1" t="s">
        <v>2624</v>
      </c>
      <c r="B1159" s="1" t="s">
        <v>2624</v>
      </c>
      <c r="C1159" s="1" t="s">
        <v>194</v>
      </c>
      <c r="E1159" s="1">
        <v>9.3109256E7</v>
      </c>
      <c r="F1159" s="2">
        <v>41422.0</v>
      </c>
      <c r="G1159" s="1" t="s">
        <v>458</v>
      </c>
      <c r="I1159" s="1" t="s">
        <v>458</v>
      </c>
      <c r="L1159" s="1" t="s">
        <v>194</v>
      </c>
      <c r="M1159" s="1">
        <v>9100.0</v>
      </c>
      <c r="N1159" s="1" t="s">
        <v>194</v>
      </c>
      <c r="O1159" s="1">
        <v>7.6340843E7</v>
      </c>
      <c r="P1159" s="1" t="s">
        <v>461</v>
      </c>
      <c r="R1159" s="1" t="s">
        <v>1599</v>
      </c>
      <c r="S1159" s="1" t="s">
        <v>44</v>
      </c>
      <c r="T1159" s="1" t="s">
        <v>45</v>
      </c>
      <c r="U1159" s="1">
        <v>4.8202301E8</v>
      </c>
      <c r="W1159" s="1" t="s">
        <v>44</v>
      </c>
      <c r="X1159" s="1" t="s">
        <v>45</v>
      </c>
      <c r="Y1159" s="1">
        <v>4.82023096E8</v>
      </c>
      <c r="Z1159" s="1">
        <v>7.6340843E7</v>
      </c>
      <c r="AA1159" s="1" t="s">
        <v>461</v>
      </c>
      <c r="AB1159" s="1">
        <v>3.2603816E7</v>
      </c>
      <c r="AC1159" s="2">
        <v>41422.0</v>
      </c>
      <c r="AD1159" s="1">
        <v>9100.0</v>
      </c>
      <c r="AE1159" s="1" t="s">
        <v>194</v>
      </c>
      <c r="AF1159" s="1" t="s">
        <v>525</v>
      </c>
      <c r="AG1159" s="1" t="s">
        <v>463</v>
      </c>
      <c r="AH1159" s="1">
        <v>8.0</v>
      </c>
      <c r="AI1159" s="1">
        <v>2014.0</v>
      </c>
      <c r="AJ1159" s="1">
        <v>2013.0</v>
      </c>
      <c r="AK1159" s="1" t="s">
        <v>277</v>
      </c>
    </row>
    <row r="1160">
      <c r="A1160" s="1" t="s">
        <v>2624</v>
      </c>
      <c r="B1160" s="1" t="s">
        <v>2624</v>
      </c>
      <c r="C1160" s="1" t="s">
        <v>194</v>
      </c>
      <c r="E1160" s="1">
        <v>9.3109256E7</v>
      </c>
      <c r="F1160" s="2">
        <v>41358.0</v>
      </c>
      <c r="G1160" s="1" t="s">
        <v>458</v>
      </c>
      <c r="I1160" s="1" t="s">
        <v>458</v>
      </c>
      <c r="L1160" s="1" t="s">
        <v>194</v>
      </c>
      <c r="M1160" s="1">
        <v>9100.0</v>
      </c>
      <c r="N1160" s="1" t="s">
        <v>194</v>
      </c>
      <c r="O1160" s="1">
        <v>1.0030049E8</v>
      </c>
      <c r="P1160" s="1" t="s">
        <v>461</v>
      </c>
      <c r="Q1160" s="1" t="s">
        <v>570</v>
      </c>
      <c r="R1160" s="1" t="s">
        <v>571</v>
      </c>
      <c r="S1160" s="1" t="s">
        <v>44</v>
      </c>
      <c r="T1160" s="1" t="s">
        <v>45</v>
      </c>
      <c r="U1160" s="1">
        <v>4.82382941E8</v>
      </c>
      <c r="W1160" s="1" t="s">
        <v>44</v>
      </c>
      <c r="X1160" s="1" t="s">
        <v>2625</v>
      </c>
      <c r="Y1160" s="1">
        <v>4.82382941E8</v>
      </c>
      <c r="Z1160" s="1">
        <v>7.6340843E7</v>
      </c>
      <c r="AA1160" s="1" t="s">
        <v>461</v>
      </c>
      <c r="AB1160" s="1">
        <v>36181.0</v>
      </c>
      <c r="AC1160" s="2">
        <v>41358.0</v>
      </c>
      <c r="AD1160" s="1">
        <v>9100.0</v>
      </c>
      <c r="AE1160" s="1" t="s">
        <v>194</v>
      </c>
      <c r="AF1160" s="1" t="s">
        <v>572</v>
      </c>
      <c r="AG1160" s="1" t="s">
        <v>463</v>
      </c>
      <c r="AH1160" s="1">
        <v>8.0</v>
      </c>
      <c r="AI1160" s="1">
        <v>2014.0</v>
      </c>
      <c r="AJ1160" s="1">
        <v>2013.0</v>
      </c>
      <c r="AK1160" s="1" t="s">
        <v>277</v>
      </c>
    </row>
    <row r="1161">
      <c r="A1161" s="1" t="s">
        <v>2624</v>
      </c>
      <c r="B1161" s="1" t="s">
        <v>2624</v>
      </c>
      <c r="C1161" s="1" t="s">
        <v>194</v>
      </c>
      <c r="E1161" s="1">
        <v>9.3109256E7</v>
      </c>
      <c r="F1161" s="2">
        <v>41367.0</v>
      </c>
      <c r="G1161" s="1" t="s">
        <v>458</v>
      </c>
      <c r="I1161" s="1" t="s">
        <v>458</v>
      </c>
      <c r="L1161" s="1" t="s">
        <v>194</v>
      </c>
      <c r="M1161" s="1">
        <v>9100.0</v>
      </c>
      <c r="N1161" s="1" t="s">
        <v>194</v>
      </c>
      <c r="O1161" s="1">
        <v>7.97527715E8</v>
      </c>
      <c r="P1161" s="1" t="s">
        <v>567</v>
      </c>
      <c r="R1161" s="1" t="s">
        <v>568</v>
      </c>
      <c r="S1161" s="1" t="s">
        <v>44</v>
      </c>
      <c r="T1161" s="1" t="s">
        <v>45</v>
      </c>
      <c r="U1161" s="1">
        <v>4.82123134E8</v>
      </c>
      <c r="W1161" s="1" t="s">
        <v>498</v>
      </c>
      <c r="X1161" s="1" t="s">
        <v>45</v>
      </c>
      <c r="Y1161" s="1">
        <v>4.82123134E8</v>
      </c>
      <c r="Z1161" s="1">
        <v>9.60742484E8</v>
      </c>
      <c r="AB1161" s="1">
        <v>44369.0</v>
      </c>
      <c r="AC1161" s="2">
        <v>41367.0</v>
      </c>
      <c r="AD1161" s="1">
        <v>9100.0</v>
      </c>
      <c r="AE1161" s="1" t="s">
        <v>194</v>
      </c>
      <c r="AF1161" s="1" t="s">
        <v>569</v>
      </c>
      <c r="AG1161" s="1" t="s">
        <v>463</v>
      </c>
      <c r="AH1161" s="1">
        <v>8.0</v>
      </c>
      <c r="AI1161" s="1">
        <v>2014.0</v>
      </c>
      <c r="AJ1161" s="1">
        <v>2013.0</v>
      </c>
      <c r="AK1161" s="1" t="s">
        <v>277</v>
      </c>
    </row>
    <row r="1162">
      <c r="A1162" s="1" t="s">
        <v>2624</v>
      </c>
      <c r="B1162" s="1" t="s">
        <v>2624</v>
      </c>
      <c r="C1162" s="1" t="s">
        <v>194</v>
      </c>
      <c r="E1162" s="1">
        <v>9.3109256E7</v>
      </c>
      <c r="F1162" s="2">
        <v>41348.0</v>
      </c>
      <c r="G1162" s="1" t="s">
        <v>458</v>
      </c>
      <c r="I1162" s="1" t="s">
        <v>458</v>
      </c>
      <c r="L1162" s="1" t="s">
        <v>194</v>
      </c>
      <c r="M1162" s="1">
        <v>9100.0</v>
      </c>
      <c r="N1162" s="1" t="s">
        <v>194</v>
      </c>
      <c r="O1162" s="1">
        <v>7.94990296E8</v>
      </c>
      <c r="P1162" s="1" t="s">
        <v>601</v>
      </c>
      <c r="R1162" s="1" t="s">
        <v>602</v>
      </c>
      <c r="S1162" s="1" t="s">
        <v>44</v>
      </c>
      <c r="T1162" s="1" t="s">
        <v>45</v>
      </c>
      <c r="U1162" s="1">
        <v>4.82032827E8</v>
      </c>
      <c r="W1162" s="1" t="s">
        <v>603</v>
      </c>
      <c r="X1162" s="1" t="s">
        <v>45</v>
      </c>
      <c r="Y1162" s="1">
        <v>4.82032827E8</v>
      </c>
      <c r="AB1162" s="1">
        <v>28887.0</v>
      </c>
      <c r="AC1162" s="2">
        <v>41348.0</v>
      </c>
      <c r="AD1162" s="1">
        <v>9100.0</v>
      </c>
      <c r="AE1162" s="1" t="s">
        <v>194</v>
      </c>
      <c r="AF1162" s="1" t="s">
        <v>604</v>
      </c>
      <c r="AG1162" s="1" t="s">
        <v>463</v>
      </c>
      <c r="AH1162" s="1">
        <v>8.0</v>
      </c>
      <c r="AI1162" s="1">
        <v>2014.0</v>
      </c>
      <c r="AJ1162" s="1">
        <v>2013.0</v>
      </c>
      <c r="AK1162" s="1" t="s">
        <v>277</v>
      </c>
    </row>
    <row r="1163">
      <c r="A1163" s="1" t="s">
        <v>2624</v>
      </c>
      <c r="B1163" s="1" t="s">
        <v>2624</v>
      </c>
      <c r="C1163" s="1" t="s">
        <v>194</v>
      </c>
      <c r="E1163" s="1">
        <v>9.3109256E7</v>
      </c>
      <c r="F1163" s="2">
        <v>41388.0</v>
      </c>
      <c r="G1163" s="1" t="s">
        <v>458</v>
      </c>
      <c r="I1163" s="1" t="s">
        <v>458</v>
      </c>
      <c r="L1163" s="1" t="s">
        <v>194</v>
      </c>
      <c r="M1163" s="1">
        <v>9100.0</v>
      </c>
      <c r="N1163" s="1" t="s">
        <v>194</v>
      </c>
      <c r="O1163" s="1">
        <v>9.62104118E8</v>
      </c>
      <c r="P1163" s="1" t="s">
        <v>634</v>
      </c>
      <c r="R1163" s="1" t="s">
        <v>635</v>
      </c>
      <c r="S1163" s="1" t="s">
        <v>44</v>
      </c>
      <c r="T1163" s="1" t="s">
        <v>45</v>
      </c>
      <c r="U1163" s="1">
        <v>4.82351111E8</v>
      </c>
      <c r="W1163" s="1" t="s">
        <v>46</v>
      </c>
      <c r="X1163" s="1" t="s">
        <v>45</v>
      </c>
      <c r="Y1163" s="1">
        <v>4.82351111E8</v>
      </c>
      <c r="AB1163" s="1">
        <v>29333.0</v>
      </c>
      <c r="AC1163" s="2">
        <v>41388.0</v>
      </c>
      <c r="AD1163" s="1">
        <v>9100.0</v>
      </c>
      <c r="AE1163" s="1" t="s">
        <v>194</v>
      </c>
      <c r="AF1163" s="1" t="s">
        <v>636</v>
      </c>
      <c r="AG1163" s="1" t="s">
        <v>463</v>
      </c>
      <c r="AH1163" s="1">
        <v>8.0</v>
      </c>
      <c r="AI1163" s="1">
        <v>2014.0</v>
      </c>
      <c r="AJ1163" s="1">
        <v>2013.0</v>
      </c>
      <c r="AK1163" s="1" t="s">
        <v>277</v>
      </c>
    </row>
    <row r="1164">
      <c r="A1164" s="1" t="s">
        <v>2624</v>
      </c>
      <c r="B1164" s="1" t="s">
        <v>2624</v>
      </c>
      <c r="C1164" s="1" t="s">
        <v>194</v>
      </c>
      <c r="E1164" s="1">
        <v>9.3109256E7</v>
      </c>
      <c r="F1164" s="2">
        <v>41390.0</v>
      </c>
      <c r="G1164" s="1" t="s">
        <v>458</v>
      </c>
      <c r="I1164" s="1" t="s">
        <v>458</v>
      </c>
      <c r="L1164" s="1" t="s">
        <v>194</v>
      </c>
      <c r="M1164" s="1">
        <v>9100.0</v>
      </c>
      <c r="N1164" s="1" t="s">
        <v>194</v>
      </c>
      <c r="O1164" s="1">
        <v>7.0381949E7</v>
      </c>
      <c r="P1164" s="1" t="s">
        <v>605</v>
      </c>
      <c r="R1164" s="1" t="s">
        <v>606</v>
      </c>
      <c r="S1164" s="1" t="s">
        <v>44</v>
      </c>
      <c r="T1164" s="1" t="s">
        <v>45</v>
      </c>
      <c r="U1164" s="1">
        <v>4.82123033E8</v>
      </c>
      <c r="W1164" s="1" t="s">
        <v>607</v>
      </c>
      <c r="X1164" s="1" t="s">
        <v>45</v>
      </c>
      <c r="Y1164" s="1">
        <v>4.82123033E8</v>
      </c>
      <c r="AB1164" s="1">
        <v>36671.0</v>
      </c>
      <c r="AC1164" s="2">
        <v>41390.0</v>
      </c>
      <c r="AD1164" s="1">
        <v>9100.0</v>
      </c>
      <c r="AE1164" s="1" t="s">
        <v>194</v>
      </c>
      <c r="AF1164" s="1" t="s">
        <v>608</v>
      </c>
      <c r="AG1164" s="1" t="s">
        <v>463</v>
      </c>
      <c r="AH1164" s="1">
        <v>8.0</v>
      </c>
      <c r="AI1164" s="1">
        <v>2014.0</v>
      </c>
      <c r="AJ1164" s="1">
        <v>2013.0</v>
      </c>
      <c r="AK1164" s="1" t="s">
        <v>277</v>
      </c>
    </row>
    <row r="1165">
      <c r="A1165" s="1" t="s">
        <v>2624</v>
      </c>
      <c r="B1165" s="1" t="s">
        <v>2624</v>
      </c>
      <c r="C1165" s="1" t="s">
        <v>194</v>
      </c>
      <c r="E1165" s="1">
        <v>9.3109256E7</v>
      </c>
      <c r="F1165" s="2">
        <v>41358.0</v>
      </c>
      <c r="G1165" s="1" t="s">
        <v>458</v>
      </c>
      <c r="I1165" s="1" t="s">
        <v>458</v>
      </c>
      <c r="L1165" s="1" t="s">
        <v>194</v>
      </c>
      <c r="M1165" s="1">
        <v>9100.0</v>
      </c>
      <c r="N1165" s="1" t="s">
        <v>194</v>
      </c>
      <c r="O1165" s="1">
        <v>7.8634042E7</v>
      </c>
      <c r="P1165" s="1" t="s">
        <v>473</v>
      </c>
      <c r="R1165" s="1" t="s">
        <v>475</v>
      </c>
      <c r="S1165" s="1" t="s">
        <v>44</v>
      </c>
      <c r="T1165" s="1" t="s">
        <v>45</v>
      </c>
      <c r="U1165" s="1">
        <v>4.82133744E8</v>
      </c>
      <c r="W1165" s="1" t="s">
        <v>46</v>
      </c>
      <c r="X1165" s="1" t="s">
        <v>45</v>
      </c>
      <c r="Y1165" s="1">
        <v>4.82133744E8</v>
      </c>
      <c r="AB1165" s="1">
        <v>115867.0</v>
      </c>
      <c r="AC1165" s="2">
        <v>41358.0</v>
      </c>
      <c r="AD1165" s="1">
        <v>9100.0</v>
      </c>
      <c r="AE1165" s="1" t="s">
        <v>194</v>
      </c>
      <c r="AF1165" s="1" t="s">
        <v>477</v>
      </c>
      <c r="AG1165" s="1" t="s">
        <v>463</v>
      </c>
      <c r="AH1165" s="1">
        <v>8.0</v>
      </c>
      <c r="AI1165" s="1">
        <v>2014.0</v>
      </c>
      <c r="AJ1165" s="1">
        <v>2013.0</v>
      </c>
      <c r="AK1165" s="1" t="s">
        <v>277</v>
      </c>
    </row>
    <row r="1166">
      <c r="A1166" s="1" t="s">
        <v>2624</v>
      </c>
      <c r="B1166" s="1" t="s">
        <v>2624</v>
      </c>
      <c r="C1166" s="1" t="s">
        <v>194</v>
      </c>
      <c r="E1166" s="1">
        <v>9.3109256E7</v>
      </c>
      <c r="F1166" s="2">
        <v>41367.0</v>
      </c>
      <c r="G1166" s="1" t="s">
        <v>458</v>
      </c>
      <c r="I1166" s="1" t="s">
        <v>458</v>
      </c>
      <c r="L1166" s="1" t="s">
        <v>194</v>
      </c>
      <c r="M1166" s="1">
        <v>9100.0</v>
      </c>
      <c r="N1166" s="1" t="s">
        <v>194</v>
      </c>
      <c r="O1166" s="1">
        <v>7.97531279E8</v>
      </c>
      <c r="P1166" s="1" t="s">
        <v>496</v>
      </c>
      <c r="R1166" s="1" t="s">
        <v>497</v>
      </c>
      <c r="S1166" s="1" t="s">
        <v>44</v>
      </c>
      <c r="T1166" s="1" t="s">
        <v>45</v>
      </c>
      <c r="U1166" s="1">
        <v>4.82123323E8</v>
      </c>
      <c r="W1166" s="1" t="s">
        <v>498</v>
      </c>
      <c r="X1166" s="1" t="s">
        <v>45</v>
      </c>
      <c r="Y1166" s="1">
        <v>4.82123323E8</v>
      </c>
      <c r="AB1166" s="1">
        <v>51111.0</v>
      </c>
      <c r="AC1166" s="2">
        <v>41367.0</v>
      </c>
      <c r="AD1166" s="1">
        <v>9100.0</v>
      </c>
      <c r="AE1166" s="1" t="s">
        <v>194</v>
      </c>
      <c r="AF1166" s="1" t="s">
        <v>500</v>
      </c>
      <c r="AG1166" s="1" t="s">
        <v>463</v>
      </c>
      <c r="AH1166" s="1">
        <v>8.0</v>
      </c>
      <c r="AI1166" s="1">
        <v>2014.0</v>
      </c>
      <c r="AJ1166" s="1">
        <v>2013.0</v>
      </c>
      <c r="AK1166" s="1" t="s">
        <v>277</v>
      </c>
    </row>
    <row r="1167">
      <c r="A1167" s="1" t="s">
        <v>2624</v>
      </c>
      <c r="B1167" s="1" t="s">
        <v>2624</v>
      </c>
      <c r="C1167" s="1" t="s">
        <v>194</v>
      </c>
      <c r="E1167" s="1">
        <v>9.3109256E7</v>
      </c>
      <c r="F1167" s="2">
        <v>41358.0</v>
      </c>
      <c r="G1167" s="1" t="s">
        <v>458</v>
      </c>
      <c r="I1167" s="1" t="s">
        <v>458</v>
      </c>
      <c r="L1167" s="1" t="s">
        <v>194</v>
      </c>
      <c r="M1167" s="1">
        <v>9100.0</v>
      </c>
      <c r="N1167" s="1" t="s">
        <v>194</v>
      </c>
      <c r="O1167" s="1">
        <v>7.8359005E7</v>
      </c>
      <c r="P1167" s="1" t="s">
        <v>486</v>
      </c>
      <c r="R1167" s="1" t="s">
        <v>487</v>
      </c>
      <c r="S1167" s="1" t="s">
        <v>44</v>
      </c>
      <c r="T1167" s="1" t="s">
        <v>45</v>
      </c>
      <c r="U1167" s="1">
        <v>4.82011006E8</v>
      </c>
      <c r="W1167" s="1" t="s">
        <v>46</v>
      </c>
      <c r="X1167" s="1" t="s">
        <v>45</v>
      </c>
      <c r="Y1167" s="1">
        <v>4.82011006E8</v>
      </c>
      <c r="AB1167" s="1">
        <v>68345.0</v>
      </c>
      <c r="AC1167" s="2">
        <v>41358.0</v>
      </c>
      <c r="AD1167" s="1">
        <v>9100.0</v>
      </c>
      <c r="AE1167" s="1" t="s">
        <v>194</v>
      </c>
      <c r="AF1167" s="1" t="s">
        <v>489</v>
      </c>
      <c r="AG1167" s="1" t="s">
        <v>463</v>
      </c>
      <c r="AH1167" s="1">
        <v>8.0</v>
      </c>
      <c r="AI1167" s="1">
        <v>2014.0</v>
      </c>
      <c r="AJ1167" s="1">
        <v>2013.0</v>
      </c>
      <c r="AK1167" s="1" t="s">
        <v>277</v>
      </c>
    </row>
    <row r="1168">
      <c r="A1168" s="1" t="s">
        <v>2624</v>
      </c>
      <c r="B1168" s="1" t="s">
        <v>2624</v>
      </c>
      <c r="C1168" s="1" t="s">
        <v>194</v>
      </c>
      <c r="E1168" s="1">
        <v>9.3109256E7</v>
      </c>
      <c r="F1168" s="2">
        <v>41554.0</v>
      </c>
      <c r="G1168" s="1" t="s">
        <v>458</v>
      </c>
      <c r="I1168" s="1" t="s">
        <v>458</v>
      </c>
      <c r="L1168" s="1" t="s">
        <v>194</v>
      </c>
      <c r="M1168" s="1">
        <v>9100.0</v>
      </c>
      <c r="N1168" s="1" t="s">
        <v>194</v>
      </c>
      <c r="O1168" s="1">
        <v>3.1613877E7</v>
      </c>
      <c r="P1168" s="1" t="s">
        <v>2626</v>
      </c>
      <c r="R1168" s="1" t="s">
        <v>2627</v>
      </c>
      <c r="S1168" s="1" t="s">
        <v>44</v>
      </c>
      <c r="T1168" s="1" t="s">
        <v>45</v>
      </c>
      <c r="U1168" s="1">
        <v>4.82111081E8</v>
      </c>
      <c r="W1168" s="1" t="s">
        <v>44</v>
      </c>
      <c r="X1168" s="1" t="s">
        <v>45</v>
      </c>
      <c r="Y1168" s="1">
        <v>4.82111081E8</v>
      </c>
      <c r="AB1168" s="1">
        <v>38019.0</v>
      </c>
      <c r="AC1168" s="2">
        <v>41554.0</v>
      </c>
      <c r="AD1168" s="1">
        <v>9100.0</v>
      </c>
      <c r="AE1168" s="1" t="s">
        <v>194</v>
      </c>
      <c r="AF1168" s="1" t="s">
        <v>2628</v>
      </c>
      <c r="AG1168" s="1" t="s">
        <v>463</v>
      </c>
      <c r="AH1168" s="1">
        <v>8.0</v>
      </c>
      <c r="AI1168" s="1">
        <v>2014.0</v>
      </c>
      <c r="AJ1168" s="1">
        <v>2014.0</v>
      </c>
      <c r="AK1168" s="1" t="s">
        <v>277</v>
      </c>
    </row>
    <row r="1169">
      <c r="A1169" s="1" t="s">
        <v>2624</v>
      </c>
      <c r="B1169" s="1" t="s">
        <v>2624</v>
      </c>
      <c r="C1169" s="1" t="s">
        <v>194</v>
      </c>
      <c r="E1169" s="1">
        <v>9.3109256E7</v>
      </c>
      <c r="F1169" s="2">
        <v>41256.0</v>
      </c>
      <c r="G1169" s="1" t="s">
        <v>458</v>
      </c>
      <c r="I1169" s="1" t="s">
        <v>458</v>
      </c>
      <c r="L1169" s="1" t="s">
        <v>194</v>
      </c>
      <c r="M1169" s="1">
        <v>9100.0</v>
      </c>
      <c r="N1169" s="1" t="s">
        <v>194</v>
      </c>
      <c r="O1169" s="1">
        <v>9.65783199E8</v>
      </c>
      <c r="P1169" s="1" t="s">
        <v>573</v>
      </c>
      <c r="R1169" s="1" t="s">
        <v>574</v>
      </c>
      <c r="S1169" s="1" t="s">
        <v>44</v>
      </c>
      <c r="T1169" s="1" t="s">
        <v>45</v>
      </c>
      <c r="U1169" s="1">
        <v>4.82092169E8</v>
      </c>
      <c r="W1169" s="1" t="s">
        <v>44</v>
      </c>
      <c r="X1169" s="1" t="s">
        <v>45</v>
      </c>
      <c r="Y1169" s="1">
        <v>4.82092169E8</v>
      </c>
      <c r="Z1169" s="1">
        <v>4.0917864E7</v>
      </c>
      <c r="AB1169" s="1">
        <v>35435.0</v>
      </c>
      <c r="AC1169" s="2">
        <v>41256.0</v>
      </c>
      <c r="AD1169" s="1">
        <v>9100.0</v>
      </c>
      <c r="AE1169" s="1" t="s">
        <v>194</v>
      </c>
      <c r="AF1169" s="1" t="s">
        <v>575</v>
      </c>
      <c r="AG1169" s="1" t="s">
        <v>463</v>
      </c>
      <c r="AH1169" s="1">
        <v>8.0</v>
      </c>
      <c r="AI1169" s="1">
        <v>2014.0</v>
      </c>
      <c r="AJ1169" s="1">
        <v>2013.0</v>
      </c>
      <c r="AK1169" s="1" t="s">
        <v>277</v>
      </c>
    </row>
    <row r="1170">
      <c r="A1170" s="1" t="s">
        <v>2624</v>
      </c>
      <c r="B1170" s="1" t="s">
        <v>2624</v>
      </c>
      <c r="C1170" s="1" t="s">
        <v>194</v>
      </c>
      <c r="E1170" s="1">
        <v>9.3109256E7</v>
      </c>
      <c r="F1170" s="2">
        <v>41326.0</v>
      </c>
      <c r="G1170" s="1" t="s">
        <v>458</v>
      </c>
      <c r="I1170" s="1" t="s">
        <v>458</v>
      </c>
      <c r="L1170" s="1" t="s">
        <v>194</v>
      </c>
      <c r="M1170" s="1">
        <v>9100.0</v>
      </c>
      <c r="N1170" s="1" t="s">
        <v>194</v>
      </c>
      <c r="O1170" s="1">
        <v>6.6707493E7</v>
      </c>
      <c r="P1170" s="1" t="s">
        <v>541</v>
      </c>
      <c r="R1170" s="1" t="s">
        <v>542</v>
      </c>
      <c r="S1170" s="1" t="s">
        <v>44</v>
      </c>
      <c r="T1170" s="1" t="s">
        <v>45</v>
      </c>
      <c r="U1170" s="1">
        <v>4.8210252E8</v>
      </c>
      <c r="W1170" s="1" t="s">
        <v>44</v>
      </c>
      <c r="X1170" s="1" t="s">
        <v>45</v>
      </c>
      <c r="Y1170" s="1">
        <v>4.8210252E8</v>
      </c>
      <c r="AB1170" s="1">
        <v>94421.0</v>
      </c>
      <c r="AC1170" s="2">
        <v>41326.0</v>
      </c>
      <c r="AD1170" s="1">
        <v>9100.0</v>
      </c>
      <c r="AE1170" s="1" t="s">
        <v>194</v>
      </c>
      <c r="AF1170" s="1" t="s">
        <v>544</v>
      </c>
      <c r="AG1170" s="1" t="s">
        <v>463</v>
      </c>
      <c r="AH1170" s="1">
        <v>8.0</v>
      </c>
      <c r="AI1170" s="1">
        <v>2014.0</v>
      </c>
      <c r="AJ1170" s="1">
        <v>2013.0</v>
      </c>
      <c r="AK1170" s="1" t="s">
        <v>277</v>
      </c>
    </row>
    <row r="1171">
      <c r="A1171" s="1" t="s">
        <v>2624</v>
      </c>
      <c r="B1171" s="1" t="s">
        <v>2624</v>
      </c>
      <c r="C1171" s="1" t="s">
        <v>194</v>
      </c>
      <c r="E1171" s="1">
        <v>9.3109256E7</v>
      </c>
      <c r="F1171" s="2">
        <v>41353.0</v>
      </c>
      <c r="G1171" s="1" t="s">
        <v>458</v>
      </c>
      <c r="I1171" s="1" t="s">
        <v>458</v>
      </c>
      <c r="L1171" s="1" t="s">
        <v>194</v>
      </c>
      <c r="M1171" s="1">
        <v>9100.0</v>
      </c>
      <c r="N1171" s="1" t="s">
        <v>194</v>
      </c>
      <c r="O1171" s="1">
        <v>1.47777952E8</v>
      </c>
      <c r="P1171" s="1" t="s">
        <v>459</v>
      </c>
      <c r="Q1171" s="1" t="s">
        <v>626</v>
      </c>
      <c r="R1171" s="1" t="s">
        <v>627</v>
      </c>
      <c r="S1171" s="1" t="s">
        <v>44</v>
      </c>
      <c r="T1171" s="1" t="s">
        <v>45</v>
      </c>
      <c r="U1171" s="1">
        <v>4.82072112E8</v>
      </c>
      <c r="W1171" s="1" t="s">
        <v>44</v>
      </c>
      <c r="X1171" s="1" t="s">
        <v>45</v>
      </c>
      <c r="Y1171" s="1">
        <v>4.82072112E8</v>
      </c>
      <c r="Z1171" s="1">
        <v>7.6340843E7</v>
      </c>
      <c r="AA1171" s="1" t="s">
        <v>461</v>
      </c>
      <c r="AB1171" s="1">
        <v>65357.0</v>
      </c>
      <c r="AC1171" s="2">
        <v>41353.0</v>
      </c>
      <c r="AD1171" s="1">
        <v>9100.0</v>
      </c>
      <c r="AE1171" s="1" t="s">
        <v>194</v>
      </c>
      <c r="AF1171" s="1" t="s">
        <v>628</v>
      </c>
      <c r="AG1171" s="1" t="s">
        <v>463</v>
      </c>
      <c r="AH1171" s="1">
        <v>8.0</v>
      </c>
      <c r="AI1171" s="1">
        <v>2014.0</v>
      </c>
      <c r="AJ1171" s="1">
        <v>2013.0</v>
      </c>
      <c r="AK1171" s="1" t="s">
        <v>277</v>
      </c>
    </row>
    <row r="1172">
      <c r="A1172" s="1" t="s">
        <v>2624</v>
      </c>
      <c r="B1172" s="1" t="s">
        <v>2624</v>
      </c>
      <c r="C1172" s="1" t="s">
        <v>194</v>
      </c>
      <c r="E1172" s="1">
        <v>9.3109256E7</v>
      </c>
      <c r="F1172" s="2">
        <v>41428.0</v>
      </c>
      <c r="G1172" s="1" t="s">
        <v>458</v>
      </c>
      <c r="I1172" s="1" t="s">
        <v>458</v>
      </c>
      <c r="L1172" s="1" t="s">
        <v>194</v>
      </c>
      <c r="M1172" s="1">
        <v>9100.0</v>
      </c>
      <c r="N1172" s="1" t="s">
        <v>194</v>
      </c>
      <c r="O1172" s="1">
        <v>1.98438892E8</v>
      </c>
      <c r="P1172" s="1" t="s">
        <v>505</v>
      </c>
      <c r="R1172" s="1" t="s">
        <v>506</v>
      </c>
      <c r="S1172" s="1" t="s">
        <v>44</v>
      </c>
      <c r="T1172" s="1" t="s">
        <v>45</v>
      </c>
      <c r="U1172" s="1">
        <v>4.82123572E8</v>
      </c>
      <c r="W1172" s="1" t="s">
        <v>498</v>
      </c>
      <c r="X1172" s="1" t="s">
        <v>45</v>
      </c>
      <c r="Y1172" s="1">
        <v>4.82123572E8</v>
      </c>
      <c r="Z1172" s="1">
        <v>1.98438892E8</v>
      </c>
      <c r="AA1172" s="1" t="s">
        <v>505</v>
      </c>
      <c r="AB1172" s="1">
        <v>46344.0</v>
      </c>
      <c r="AC1172" s="2">
        <v>41428.0</v>
      </c>
      <c r="AD1172" s="1">
        <v>9100.0</v>
      </c>
      <c r="AE1172" s="1" t="s">
        <v>194</v>
      </c>
      <c r="AF1172" s="1" t="s">
        <v>507</v>
      </c>
      <c r="AG1172" s="1" t="s">
        <v>463</v>
      </c>
      <c r="AH1172" s="1">
        <v>8.0</v>
      </c>
      <c r="AI1172" s="1">
        <v>2014.0</v>
      </c>
      <c r="AJ1172" s="1">
        <v>2013.0</v>
      </c>
      <c r="AK1172" s="1" t="s">
        <v>277</v>
      </c>
    </row>
    <row r="1173">
      <c r="A1173" s="1" t="s">
        <v>2624</v>
      </c>
      <c r="B1173" s="1" t="s">
        <v>2624</v>
      </c>
      <c r="C1173" s="1" t="s">
        <v>194</v>
      </c>
      <c r="E1173" s="1">
        <v>9.3109256E7</v>
      </c>
      <c r="F1173" s="2">
        <v>41351.0</v>
      </c>
      <c r="G1173" s="1" t="s">
        <v>458</v>
      </c>
      <c r="I1173" s="1" t="s">
        <v>458</v>
      </c>
      <c r="L1173" s="1" t="s">
        <v>194</v>
      </c>
      <c r="M1173" s="1">
        <v>9100.0</v>
      </c>
      <c r="N1173" s="1" t="s">
        <v>194</v>
      </c>
      <c r="O1173" s="1">
        <v>3537326.0</v>
      </c>
      <c r="P1173" s="1" t="s">
        <v>560</v>
      </c>
      <c r="R1173" s="1" t="s">
        <v>561</v>
      </c>
      <c r="S1173" s="1" t="s">
        <v>44</v>
      </c>
      <c r="T1173" s="1" t="s">
        <v>45</v>
      </c>
      <c r="U1173" s="1">
        <v>4.8212177E8</v>
      </c>
      <c r="W1173" s="1" t="s">
        <v>498</v>
      </c>
      <c r="X1173" s="1" t="s">
        <v>45</v>
      </c>
      <c r="Y1173" s="1">
        <v>4.82121754E8</v>
      </c>
      <c r="Z1173" s="1">
        <v>3537326.0</v>
      </c>
      <c r="AA1173" s="1" t="s">
        <v>560</v>
      </c>
      <c r="AB1173" s="1">
        <v>66640.0</v>
      </c>
      <c r="AC1173" s="2">
        <v>41351.0</v>
      </c>
      <c r="AD1173" s="1">
        <v>9100.0</v>
      </c>
      <c r="AE1173" s="1" t="s">
        <v>194</v>
      </c>
      <c r="AF1173" s="1" t="s">
        <v>562</v>
      </c>
      <c r="AG1173" s="1" t="s">
        <v>463</v>
      </c>
      <c r="AH1173" s="1">
        <v>8.0</v>
      </c>
      <c r="AI1173" s="1">
        <v>2014.0</v>
      </c>
      <c r="AJ1173" s="1">
        <v>2013.0</v>
      </c>
      <c r="AK1173" s="1" t="s">
        <v>277</v>
      </c>
    </row>
    <row r="1174">
      <c r="A1174" s="1" t="s">
        <v>2624</v>
      </c>
      <c r="B1174" s="1" t="s">
        <v>2624</v>
      </c>
      <c r="C1174" s="1" t="s">
        <v>194</v>
      </c>
      <c r="E1174" s="1">
        <v>9.3109256E7</v>
      </c>
      <c r="F1174" s="2">
        <v>41388.0</v>
      </c>
      <c r="G1174" s="1" t="s">
        <v>458</v>
      </c>
      <c r="I1174" s="1" t="s">
        <v>458</v>
      </c>
      <c r="L1174" s="1" t="s">
        <v>194</v>
      </c>
      <c r="M1174" s="1">
        <v>9100.0</v>
      </c>
      <c r="N1174" s="1" t="s">
        <v>194</v>
      </c>
      <c r="O1174" s="1">
        <v>9.48021373E8</v>
      </c>
      <c r="P1174" s="1" t="s">
        <v>501</v>
      </c>
      <c r="R1174" s="1" t="s">
        <v>502</v>
      </c>
      <c r="S1174" s="1" t="s">
        <v>44</v>
      </c>
      <c r="T1174" s="1" t="s">
        <v>45</v>
      </c>
      <c r="U1174" s="1">
        <v>4.82072901E8</v>
      </c>
      <c r="W1174" s="1" t="s">
        <v>44</v>
      </c>
      <c r="X1174" s="1" t="s">
        <v>45</v>
      </c>
      <c r="Y1174" s="1">
        <v>4.82072901E8</v>
      </c>
      <c r="AB1174" s="1">
        <v>49595.0</v>
      </c>
      <c r="AC1174" s="2">
        <v>41388.0</v>
      </c>
      <c r="AD1174" s="1">
        <v>9100.0</v>
      </c>
      <c r="AE1174" s="1" t="s">
        <v>194</v>
      </c>
      <c r="AF1174" s="1" t="s">
        <v>504</v>
      </c>
      <c r="AG1174" s="1" t="s">
        <v>463</v>
      </c>
      <c r="AH1174" s="1">
        <v>8.0</v>
      </c>
      <c r="AI1174" s="1">
        <v>2014.0</v>
      </c>
      <c r="AJ1174" s="1">
        <v>2013.0</v>
      </c>
      <c r="AK1174" s="1" t="s">
        <v>277</v>
      </c>
    </row>
    <row r="1175">
      <c r="A1175" s="1" t="s">
        <v>2624</v>
      </c>
      <c r="B1175" s="1" t="s">
        <v>2624</v>
      </c>
      <c r="C1175" s="1" t="s">
        <v>194</v>
      </c>
      <c r="E1175" s="1">
        <v>9.3109256E7</v>
      </c>
      <c r="F1175" s="2">
        <v>41409.0</v>
      </c>
      <c r="G1175" s="1" t="s">
        <v>458</v>
      </c>
      <c r="I1175" s="1" t="s">
        <v>458</v>
      </c>
      <c r="L1175" s="1" t="s">
        <v>194</v>
      </c>
      <c r="M1175" s="1">
        <v>9100.0</v>
      </c>
      <c r="N1175" s="1" t="s">
        <v>194</v>
      </c>
      <c r="O1175" s="1">
        <v>7.8811813E7</v>
      </c>
      <c r="P1175" s="1" t="s">
        <v>2629</v>
      </c>
      <c r="R1175" s="1">
        <v>16411.0</v>
      </c>
      <c r="S1175" s="1" t="s">
        <v>44</v>
      </c>
      <c r="T1175" s="1" t="s">
        <v>45</v>
      </c>
      <c r="U1175" s="1">
        <v>48225.0</v>
      </c>
      <c r="W1175" s="1" t="s">
        <v>46</v>
      </c>
      <c r="X1175" s="1" t="s">
        <v>45</v>
      </c>
      <c r="Y1175" s="1">
        <v>4.8238E8</v>
      </c>
      <c r="AB1175" s="1">
        <v>40075.0</v>
      </c>
      <c r="AC1175" s="2">
        <v>41409.0</v>
      </c>
      <c r="AD1175" s="1">
        <v>9100.0</v>
      </c>
      <c r="AE1175" s="1" t="s">
        <v>194</v>
      </c>
      <c r="AF1175" s="1" t="s">
        <v>2630</v>
      </c>
      <c r="AG1175" s="1" t="s">
        <v>463</v>
      </c>
      <c r="AH1175" s="1">
        <v>8.0</v>
      </c>
      <c r="AI1175" s="1">
        <v>2014.0</v>
      </c>
      <c r="AJ1175" s="1">
        <v>2013.0</v>
      </c>
      <c r="AK1175" s="1" t="s">
        <v>277</v>
      </c>
    </row>
    <row r="1176">
      <c r="A1176" s="1" t="s">
        <v>2624</v>
      </c>
      <c r="B1176" s="1" t="s">
        <v>2624</v>
      </c>
      <c r="C1176" s="1" t="s">
        <v>194</v>
      </c>
      <c r="E1176" s="1">
        <v>9.3109256E7</v>
      </c>
      <c r="F1176" s="2">
        <v>41373.0</v>
      </c>
      <c r="G1176" s="1" t="s">
        <v>458</v>
      </c>
      <c r="I1176" s="1" t="s">
        <v>458</v>
      </c>
      <c r="L1176" s="1" t="s">
        <v>194</v>
      </c>
      <c r="M1176" s="1">
        <v>9100.0</v>
      </c>
      <c r="N1176" s="1" t="s">
        <v>194</v>
      </c>
      <c r="O1176" s="1">
        <v>9.62378779E8</v>
      </c>
      <c r="P1176" s="1" t="s">
        <v>478</v>
      </c>
      <c r="R1176" s="1" t="s">
        <v>479</v>
      </c>
      <c r="S1176" s="1" t="s">
        <v>44</v>
      </c>
      <c r="T1176" s="1" t="s">
        <v>45</v>
      </c>
      <c r="U1176" s="1">
        <v>4.82342225E8</v>
      </c>
      <c r="W1176" s="1" t="s">
        <v>44</v>
      </c>
      <c r="X1176" s="1" t="s">
        <v>45</v>
      </c>
      <c r="Y1176" s="1">
        <v>4.82342225E8</v>
      </c>
      <c r="AB1176" s="1">
        <v>115460.0</v>
      </c>
      <c r="AC1176" s="2">
        <v>41373.0</v>
      </c>
      <c r="AD1176" s="1">
        <v>9100.0</v>
      </c>
      <c r="AE1176" s="1" t="s">
        <v>194</v>
      </c>
      <c r="AF1176" s="1" t="s">
        <v>481</v>
      </c>
      <c r="AG1176" s="1" t="s">
        <v>463</v>
      </c>
      <c r="AH1176" s="1">
        <v>8.0</v>
      </c>
      <c r="AI1176" s="1">
        <v>2014.0</v>
      </c>
      <c r="AJ1176" s="1">
        <v>2013.0</v>
      </c>
      <c r="AK1176" s="1" t="s">
        <v>277</v>
      </c>
    </row>
    <row r="1177">
      <c r="A1177" s="1" t="s">
        <v>2624</v>
      </c>
      <c r="B1177" s="1" t="s">
        <v>2624</v>
      </c>
      <c r="C1177" s="1" t="s">
        <v>194</v>
      </c>
      <c r="E1177" s="1">
        <v>9.3109256E7</v>
      </c>
      <c r="F1177" s="2">
        <v>41284.0</v>
      </c>
      <c r="G1177" s="1" t="s">
        <v>458</v>
      </c>
      <c r="I1177" s="1" t="s">
        <v>458</v>
      </c>
      <c r="L1177" s="1" t="s">
        <v>194</v>
      </c>
      <c r="M1177" s="1">
        <v>9100.0</v>
      </c>
      <c r="N1177" s="1" t="s">
        <v>194</v>
      </c>
      <c r="O1177" s="1">
        <v>2.2561935E7</v>
      </c>
      <c r="P1177" s="1" t="s">
        <v>2631</v>
      </c>
      <c r="R1177" s="1" t="s">
        <v>2632</v>
      </c>
      <c r="S1177" s="1" t="s">
        <v>44</v>
      </c>
      <c r="T1177" s="1" t="s">
        <v>45</v>
      </c>
      <c r="U1177" s="1">
        <v>4.8238E8</v>
      </c>
      <c r="W1177" s="1" t="s">
        <v>44</v>
      </c>
      <c r="X1177" s="1" t="s">
        <v>45</v>
      </c>
      <c r="Y1177" s="1">
        <v>4.82382124E8</v>
      </c>
      <c r="AB1177" s="1">
        <v>26413.0</v>
      </c>
      <c r="AC1177" s="2">
        <v>41284.0</v>
      </c>
      <c r="AD1177" s="1">
        <v>9100.0</v>
      </c>
      <c r="AE1177" s="1" t="s">
        <v>194</v>
      </c>
      <c r="AF1177" s="1" t="s">
        <v>2633</v>
      </c>
      <c r="AG1177" s="1" t="s">
        <v>463</v>
      </c>
      <c r="AH1177" s="1">
        <v>8.0</v>
      </c>
      <c r="AI1177" s="1">
        <v>2014.0</v>
      </c>
      <c r="AJ1177" s="1">
        <v>2013.0</v>
      </c>
      <c r="AK1177" s="1" t="s">
        <v>277</v>
      </c>
    </row>
    <row r="1178">
      <c r="A1178" s="1" t="s">
        <v>2624</v>
      </c>
      <c r="B1178" s="1" t="s">
        <v>2624</v>
      </c>
      <c r="C1178" s="1" t="s">
        <v>194</v>
      </c>
      <c r="E1178" s="1">
        <v>9.3109256E7</v>
      </c>
      <c r="F1178" s="2">
        <v>41306.0</v>
      </c>
      <c r="G1178" s="1" t="s">
        <v>458</v>
      </c>
      <c r="I1178" s="1" t="s">
        <v>458</v>
      </c>
      <c r="L1178" s="1" t="s">
        <v>194</v>
      </c>
      <c r="M1178" s="1">
        <v>9100.0</v>
      </c>
      <c r="N1178" s="1" t="s">
        <v>194</v>
      </c>
      <c r="O1178" s="1">
        <v>8.30792151E8</v>
      </c>
      <c r="P1178" s="1" t="s">
        <v>594</v>
      </c>
      <c r="R1178" s="1" t="s">
        <v>596</v>
      </c>
      <c r="S1178" s="1" t="s">
        <v>44</v>
      </c>
      <c r="T1178" s="1" t="s">
        <v>45</v>
      </c>
      <c r="U1178" s="1">
        <v>4.82382356E8</v>
      </c>
      <c r="W1178" s="1" t="s">
        <v>44</v>
      </c>
      <c r="X1178" s="1" t="s">
        <v>45</v>
      </c>
      <c r="Y1178" s="1">
        <v>4.82382356E8</v>
      </c>
      <c r="Z1178" s="1">
        <v>9.60742484E8</v>
      </c>
      <c r="AB1178" s="1">
        <v>46649.0</v>
      </c>
      <c r="AC1178" s="2">
        <v>41306.0</v>
      </c>
      <c r="AD1178" s="1">
        <v>9100.0</v>
      </c>
      <c r="AE1178" s="1" t="s">
        <v>194</v>
      </c>
      <c r="AF1178" s="1" t="s">
        <v>597</v>
      </c>
      <c r="AG1178" s="1" t="s">
        <v>463</v>
      </c>
      <c r="AH1178" s="1">
        <v>8.0</v>
      </c>
      <c r="AI1178" s="1">
        <v>2014.0</v>
      </c>
      <c r="AJ1178" s="1">
        <v>2013.0</v>
      </c>
      <c r="AK1178" s="1" t="s">
        <v>277</v>
      </c>
    </row>
    <row r="1179">
      <c r="A1179" s="1" t="s">
        <v>2624</v>
      </c>
      <c r="B1179" s="1" t="s">
        <v>2624</v>
      </c>
      <c r="C1179" s="1" t="s">
        <v>194</v>
      </c>
      <c r="E1179" s="1">
        <v>9.3109256E7</v>
      </c>
      <c r="F1179" s="2">
        <v>41302.0</v>
      </c>
      <c r="G1179" s="1" t="s">
        <v>458</v>
      </c>
      <c r="I1179" s="1" t="s">
        <v>458</v>
      </c>
      <c r="L1179" s="1" t="s">
        <v>194</v>
      </c>
      <c r="M1179" s="1">
        <v>9100.0</v>
      </c>
      <c r="N1179" s="1" t="s">
        <v>194</v>
      </c>
      <c r="O1179" s="1">
        <v>8.31014068E8</v>
      </c>
      <c r="P1179" s="1" t="s">
        <v>515</v>
      </c>
      <c r="R1179" s="1" t="s">
        <v>516</v>
      </c>
      <c r="S1179" s="1" t="s">
        <v>44</v>
      </c>
      <c r="T1179" s="1" t="s">
        <v>45</v>
      </c>
      <c r="U1179" s="1">
        <v>4.82283685E8</v>
      </c>
      <c r="W1179" s="1" t="s">
        <v>46</v>
      </c>
      <c r="X1179" s="1" t="s">
        <v>45</v>
      </c>
      <c r="Y1179" s="1">
        <v>4.82283685E8</v>
      </c>
      <c r="Z1179" s="1">
        <v>9.60742484E8</v>
      </c>
      <c r="AB1179" s="1">
        <v>34442.0</v>
      </c>
      <c r="AC1179" s="2">
        <v>41302.0</v>
      </c>
      <c r="AD1179" s="1">
        <v>9100.0</v>
      </c>
      <c r="AE1179" s="1" t="s">
        <v>194</v>
      </c>
      <c r="AF1179" s="1" t="s">
        <v>517</v>
      </c>
      <c r="AG1179" s="1" t="s">
        <v>463</v>
      </c>
      <c r="AH1179" s="1">
        <v>8.0</v>
      </c>
      <c r="AI1179" s="1">
        <v>2014.0</v>
      </c>
      <c r="AJ1179" s="1">
        <v>2013.0</v>
      </c>
      <c r="AK1179" s="1" t="s">
        <v>277</v>
      </c>
    </row>
    <row r="1180">
      <c r="A1180" s="1" t="s">
        <v>2624</v>
      </c>
      <c r="B1180" s="1" t="s">
        <v>2624</v>
      </c>
      <c r="C1180" s="1" t="s">
        <v>194</v>
      </c>
      <c r="E1180" s="1">
        <v>9.3109256E7</v>
      </c>
      <c r="F1180" s="2">
        <v>41313.0</v>
      </c>
      <c r="G1180" s="1" t="s">
        <v>458</v>
      </c>
      <c r="I1180" s="1" t="s">
        <v>458</v>
      </c>
      <c r="L1180" s="1" t="s">
        <v>194</v>
      </c>
      <c r="M1180" s="1">
        <v>9100.0</v>
      </c>
      <c r="N1180" s="1" t="s">
        <v>194</v>
      </c>
      <c r="O1180" s="1">
        <v>3.7602699E7</v>
      </c>
      <c r="P1180" s="1" t="s">
        <v>535</v>
      </c>
      <c r="R1180" s="1" t="s">
        <v>536</v>
      </c>
      <c r="S1180" s="1" t="s">
        <v>44</v>
      </c>
      <c r="T1180" s="1" t="s">
        <v>45</v>
      </c>
      <c r="U1180" s="1">
        <v>4.82052545E8</v>
      </c>
      <c r="W1180" s="1" t="s">
        <v>46</v>
      </c>
      <c r="X1180" s="1" t="s">
        <v>45</v>
      </c>
      <c r="Y1180" s="1">
        <v>4.82052545E8</v>
      </c>
      <c r="AB1180" s="1">
        <v>116233.0</v>
      </c>
      <c r="AC1180" s="2">
        <v>41313.0</v>
      </c>
      <c r="AD1180" s="1">
        <v>9100.0</v>
      </c>
      <c r="AE1180" s="1" t="s">
        <v>194</v>
      </c>
      <c r="AF1180" s="1" t="s">
        <v>537</v>
      </c>
      <c r="AG1180" s="1" t="s">
        <v>463</v>
      </c>
      <c r="AH1180" s="1">
        <v>8.0</v>
      </c>
      <c r="AI1180" s="1">
        <v>2014.0</v>
      </c>
      <c r="AJ1180" s="1">
        <v>2013.0</v>
      </c>
      <c r="AK1180" s="1" t="s">
        <v>277</v>
      </c>
    </row>
    <row r="1181">
      <c r="A1181" s="1" t="s">
        <v>2624</v>
      </c>
      <c r="B1181" s="1" t="s">
        <v>2624</v>
      </c>
      <c r="C1181" s="1" t="s">
        <v>194</v>
      </c>
      <c r="E1181" s="1">
        <v>9.3109256E7</v>
      </c>
      <c r="F1181" s="2">
        <v>41366.0</v>
      </c>
      <c r="G1181" s="1" t="s">
        <v>458</v>
      </c>
      <c r="I1181" s="1" t="s">
        <v>458</v>
      </c>
      <c r="L1181" s="1" t="s">
        <v>194</v>
      </c>
      <c r="M1181" s="1">
        <v>9100.0</v>
      </c>
      <c r="N1181" s="1" t="s">
        <v>194</v>
      </c>
      <c r="O1181" s="1">
        <v>7.8359653E7</v>
      </c>
      <c r="P1181" s="1" t="s">
        <v>469</v>
      </c>
      <c r="R1181" s="1" t="s">
        <v>470</v>
      </c>
      <c r="S1181" s="1" t="s">
        <v>44</v>
      </c>
      <c r="T1181" s="1" t="s">
        <v>45</v>
      </c>
      <c r="U1181" s="1">
        <v>4.82122462E8</v>
      </c>
      <c r="W1181" s="1" t="s">
        <v>46</v>
      </c>
      <c r="X1181" s="1" t="s">
        <v>45</v>
      </c>
      <c r="Y1181" s="1">
        <v>4.82122462E8</v>
      </c>
      <c r="AB1181" s="1">
        <v>116277.0</v>
      </c>
      <c r="AC1181" s="2">
        <v>41366.0</v>
      </c>
      <c r="AD1181" s="1">
        <v>9100.0</v>
      </c>
      <c r="AE1181" s="1" t="s">
        <v>194</v>
      </c>
      <c r="AF1181" s="1" t="s">
        <v>472</v>
      </c>
      <c r="AG1181" s="1" t="s">
        <v>463</v>
      </c>
      <c r="AH1181" s="1">
        <v>8.0</v>
      </c>
      <c r="AI1181" s="1">
        <v>2014.0</v>
      </c>
      <c r="AJ1181" s="1">
        <v>2013.0</v>
      </c>
      <c r="AK1181" s="1" t="s">
        <v>277</v>
      </c>
    </row>
    <row r="1182">
      <c r="A1182" s="1" t="s">
        <v>2624</v>
      </c>
      <c r="B1182" s="1" t="s">
        <v>2624</v>
      </c>
      <c r="C1182" s="1" t="s">
        <v>194</v>
      </c>
      <c r="E1182" s="1">
        <v>9.3109256E7</v>
      </c>
      <c r="F1182" s="2">
        <v>41366.0</v>
      </c>
      <c r="G1182" s="1" t="s">
        <v>458</v>
      </c>
      <c r="I1182" s="1" t="s">
        <v>458</v>
      </c>
      <c r="L1182" s="1" t="s">
        <v>194</v>
      </c>
      <c r="M1182" s="1">
        <v>9100.0</v>
      </c>
      <c r="N1182" s="1" t="s">
        <v>194</v>
      </c>
      <c r="O1182" s="1">
        <v>3790107.0</v>
      </c>
      <c r="P1182" s="1" t="s">
        <v>576</v>
      </c>
      <c r="R1182" s="1" t="s">
        <v>577</v>
      </c>
      <c r="S1182" s="1" t="s">
        <v>44</v>
      </c>
      <c r="T1182" s="1" t="s">
        <v>45</v>
      </c>
      <c r="U1182" s="1">
        <v>4.82343284E8</v>
      </c>
      <c r="W1182" s="1" t="s">
        <v>44</v>
      </c>
      <c r="X1182" s="1" t="s">
        <v>45</v>
      </c>
      <c r="Y1182" s="1">
        <v>4.82343284E8</v>
      </c>
      <c r="AB1182" s="1">
        <v>35050.0</v>
      </c>
      <c r="AC1182" s="2">
        <v>41366.0</v>
      </c>
      <c r="AD1182" s="1">
        <v>9100.0</v>
      </c>
      <c r="AE1182" s="1" t="s">
        <v>194</v>
      </c>
      <c r="AF1182" s="1" t="s">
        <v>578</v>
      </c>
      <c r="AG1182" s="1" t="s">
        <v>463</v>
      </c>
      <c r="AH1182" s="1">
        <v>8.0</v>
      </c>
      <c r="AI1182" s="1">
        <v>2014.0</v>
      </c>
      <c r="AJ1182" s="1">
        <v>2013.0</v>
      </c>
      <c r="AK1182" s="1" t="s">
        <v>277</v>
      </c>
    </row>
    <row r="1183">
      <c r="A1183" s="1" t="s">
        <v>2624</v>
      </c>
      <c r="B1183" s="1" t="s">
        <v>2624</v>
      </c>
      <c r="C1183" s="1" t="s">
        <v>194</v>
      </c>
      <c r="E1183" s="1">
        <v>9.3109256E7</v>
      </c>
      <c r="F1183" s="2">
        <v>41304.0</v>
      </c>
      <c r="G1183" s="1" t="s">
        <v>458</v>
      </c>
      <c r="I1183" s="1" t="s">
        <v>458</v>
      </c>
      <c r="L1183" s="1" t="s">
        <v>194</v>
      </c>
      <c r="M1183" s="1">
        <v>9100.0</v>
      </c>
      <c r="N1183" s="1" t="s">
        <v>194</v>
      </c>
      <c r="O1183" s="1">
        <v>1.23577707E8</v>
      </c>
      <c r="P1183" s="1" t="s">
        <v>563</v>
      </c>
      <c r="R1183" s="1" t="s">
        <v>565</v>
      </c>
      <c r="S1183" s="1" t="s">
        <v>44</v>
      </c>
      <c r="T1183" s="1" t="s">
        <v>45</v>
      </c>
      <c r="U1183" s="1">
        <v>4.8228333E8</v>
      </c>
      <c r="W1183" s="1" t="s">
        <v>44</v>
      </c>
      <c r="X1183" s="1" t="s">
        <v>45</v>
      </c>
      <c r="Y1183" s="1">
        <v>4.82283396E8</v>
      </c>
      <c r="Z1183" s="1">
        <v>9.60742484E8</v>
      </c>
      <c r="AB1183" s="1">
        <v>46333.0</v>
      </c>
      <c r="AC1183" s="2">
        <v>41304.0</v>
      </c>
      <c r="AD1183" s="1">
        <v>9100.0</v>
      </c>
      <c r="AE1183" s="1" t="s">
        <v>194</v>
      </c>
      <c r="AF1183" s="1" t="s">
        <v>566</v>
      </c>
      <c r="AG1183" s="1" t="s">
        <v>463</v>
      </c>
      <c r="AH1183" s="1">
        <v>8.0</v>
      </c>
      <c r="AI1183" s="1">
        <v>2014.0</v>
      </c>
      <c r="AJ1183" s="1">
        <v>2013.0</v>
      </c>
      <c r="AK1183" s="1" t="s">
        <v>277</v>
      </c>
    </row>
    <row r="1184">
      <c r="A1184" s="1" t="s">
        <v>2624</v>
      </c>
      <c r="B1184" s="1" t="s">
        <v>2624</v>
      </c>
      <c r="C1184" s="1" t="s">
        <v>194</v>
      </c>
      <c r="E1184" s="1">
        <v>9.3109256E7</v>
      </c>
      <c r="F1184" s="2">
        <v>41457.0</v>
      </c>
      <c r="G1184" s="1" t="s">
        <v>458</v>
      </c>
      <c r="I1184" s="1" t="s">
        <v>458</v>
      </c>
      <c r="L1184" s="1" t="s">
        <v>194</v>
      </c>
      <c r="M1184" s="1">
        <v>9100.0</v>
      </c>
      <c r="N1184" s="1" t="s">
        <v>194</v>
      </c>
      <c r="O1184" s="1">
        <v>7.8346351E7</v>
      </c>
      <c r="P1184" s="1" t="s">
        <v>615</v>
      </c>
      <c r="R1184" s="1" t="s">
        <v>1708</v>
      </c>
      <c r="S1184" s="1" t="s">
        <v>44</v>
      </c>
      <c r="T1184" s="1" t="s">
        <v>45</v>
      </c>
      <c r="U1184" s="1">
        <v>4.82074457E8</v>
      </c>
      <c r="W1184" s="1" t="s">
        <v>46</v>
      </c>
      <c r="X1184" s="1" t="s">
        <v>45</v>
      </c>
      <c r="Y1184" s="1">
        <v>4.82074457E8</v>
      </c>
      <c r="AB1184" s="1">
        <v>991487.0</v>
      </c>
      <c r="AC1184" s="2">
        <v>41457.0</v>
      </c>
      <c r="AD1184" s="1">
        <v>9100.0</v>
      </c>
      <c r="AE1184" s="1" t="s">
        <v>194</v>
      </c>
      <c r="AF1184" s="1" t="s">
        <v>618</v>
      </c>
      <c r="AG1184" s="1" t="s">
        <v>463</v>
      </c>
      <c r="AH1184" s="1">
        <v>8.0</v>
      </c>
      <c r="AI1184" s="1">
        <v>2014.0</v>
      </c>
      <c r="AJ1184" s="1">
        <v>2013.0</v>
      </c>
      <c r="AK1184" s="1" t="s">
        <v>277</v>
      </c>
    </row>
    <row r="1185">
      <c r="A1185" s="1" t="s">
        <v>2624</v>
      </c>
      <c r="B1185" s="1" t="s">
        <v>2624</v>
      </c>
      <c r="C1185" s="1" t="s">
        <v>194</v>
      </c>
      <c r="E1185" s="1">
        <v>9.3109256E7</v>
      </c>
      <c r="F1185" s="2">
        <v>41382.0</v>
      </c>
      <c r="G1185" s="1" t="s">
        <v>458</v>
      </c>
      <c r="I1185" s="1" t="s">
        <v>458</v>
      </c>
      <c r="L1185" s="1" t="s">
        <v>194</v>
      </c>
      <c r="M1185" s="1">
        <v>9100.0</v>
      </c>
      <c r="N1185" s="1" t="s">
        <v>194</v>
      </c>
      <c r="O1185" s="1">
        <v>7.97531295E8</v>
      </c>
      <c r="P1185" s="1" t="s">
        <v>582</v>
      </c>
      <c r="R1185" s="1" t="s">
        <v>583</v>
      </c>
      <c r="S1185" s="1" t="s">
        <v>44</v>
      </c>
      <c r="T1185" s="1" t="s">
        <v>45</v>
      </c>
      <c r="U1185" s="1">
        <v>4.82123452E8</v>
      </c>
      <c r="W1185" s="1" t="s">
        <v>46</v>
      </c>
      <c r="X1185" s="1" t="s">
        <v>45</v>
      </c>
      <c r="Y1185" s="1">
        <v>4.82123452E8</v>
      </c>
      <c r="AB1185" s="1">
        <v>32281.0</v>
      </c>
      <c r="AC1185" s="2">
        <v>41382.0</v>
      </c>
      <c r="AD1185" s="1">
        <v>9100.0</v>
      </c>
      <c r="AE1185" s="1" t="s">
        <v>194</v>
      </c>
      <c r="AF1185" s="1" t="s">
        <v>584</v>
      </c>
      <c r="AG1185" s="1" t="s">
        <v>463</v>
      </c>
      <c r="AH1185" s="1">
        <v>8.0</v>
      </c>
      <c r="AI1185" s="1">
        <v>2014.0</v>
      </c>
      <c r="AJ1185" s="1">
        <v>2013.0</v>
      </c>
      <c r="AK1185" s="1" t="s">
        <v>277</v>
      </c>
    </row>
    <row r="1186">
      <c r="A1186" s="1" t="s">
        <v>2624</v>
      </c>
      <c r="B1186" s="1" t="s">
        <v>2624</v>
      </c>
      <c r="C1186" s="1" t="s">
        <v>194</v>
      </c>
      <c r="E1186" s="1">
        <v>9.3109256E7</v>
      </c>
      <c r="F1186" s="2">
        <v>41351.0</v>
      </c>
      <c r="G1186" s="1" t="s">
        <v>458</v>
      </c>
      <c r="I1186" s="1" t="s">
        <v>458</v>
      </c>
      <c r="L1186" s="1" t="s">
        <v>194</v>
      </c>
      <c r="M1186" s="1">
        <v>9100.0</v>
      </c>
      <c r="N1186" s="1" t="s">
        <v>194</v>
      </c>
      <c r="O1186" s="1">
        <v>5.2874042E7</v>
      </c>
      <c r="P1186" s="1" t="s">
        <v>538</v>
      </c>
      <c r="R1186" s="1" t="s">
        <v>539</v>
      </c>
      <c r="S1186" s="1" t="s">
        <v>44</v>
      </c>
      <c r="T1186" s="1" t="s">
        <v>45</v>
      </c>
      <c r="U1186" s="1">
        <v>4.82091524E8</v>
      </c>
      <c r="W1186" s="1" t="s">
        <v>44</v>
      </c>
      <c r="X1186" s="1" t="s">
        <v>45</v>
      </c>
      <c r="Y1186" s="1">
        <v>4.82091524E8</v>
      </c>
      <c r="AB1186" s="1">
        <v>116024.0</v>
      </c>
      <c r="AC1186" s="2">
        <v>41351.0</v>
      </c>
      <c r="AD1186" s="1">
        <v>9100.0</v>
      </c>
      <c r="AE1186" s="1" t="s">
        <v>194</v>
      </c>
      <c r="AF1186" s="1" t="s">
        <v>540</v>
      </c>
      <c r="AG1186" s="1" t="s">
        <v>463</v>
      </c>
      <c r="AH1186" s="1">
        <v>8.0</v>
      </c>
      <c r="AI1186" s="1">
        <v>2014.0</v>
      </c>
      <c r="AJ1186" s="1">
        <v>2013.0</v>
      </c>
      <c r="AK1186" s="1" t="s">
        <v>277</v>
      </c>
    </row>
    <row r="1187">
      <c r="A1187" s="1" t="s">
        <v>2624</v>
      </c>
      <c r="B1187" s="1" t="s">
        <v>2624</v>
      </c>
      <c r="C1187" s="1" t="s">
        <v>194</v>
      </c>
      <c r="E1187" s="1">
        <v>9.3109256E7</v>
      </c>
      <c r="F1187" s="2">
        <v>41395.0</v>
      </c>
      <c r="G1187" s="1" t="s">
        <v>458</v>
      </c>
      <c r="I1187" s="1" t="s">
        <v>458</v>
      </c>
      <c r="L1187" s="1" t="s">
        <v>194</v>
      </c>
      <c r="M1187" s="1">
        <v>9100.0</v>
      </c>
      <c r="N1187" s="1" t="s">
        <v>194</v>
      </c>
      <c r="O1187" s="1">
        <v>3.9866801E7</v>
      </c>
      <c r="P1187" s="1" t="s">
        <v>612</v>
      </c>
      <c r="R1187" s="1" t="s">
        <v>613</v>
      </c>
      <c r="S1187" s="1" t="s">
        <v>44</v>
      </c>
      <c r="T1187" s="1" t="s">
        <v>45</v>
      </c>
      <c r="U1187" s="1">
        <v>4.8212E8</v>
      </c>
      <c r="W1187" s="1" t="s">
        <v>607</v>
      </c>
      <c r="X1187" s="1" t="s">
        <v>45</v>
      </c>
      <c r="Y1187" s="1">
        <v>4.82120012E8</v>
      </c>
      <c r="Z1187" s="1">
        <v>3.9866801E7</v>
      </c>
      <c r="AA1187" s="1" t="s">
        <v>612</v>
      </c>
      <c r="AB1187" s="1">
        <v>383466.0</v>
      </c>
      <c r="AC1187" s="2">
        <v>41395.0</v>
      </c>
      <c r="AD1187" s="1">
        <v>9100.0</v>
      </c>
      <c r="AE1187" s="1" t="s">
        <v>194</v>
      </c>
      <c r="AF1187" s="1" t="s">
        <v>614</v>
      </c>
      <c r="AG1187" s="1" t="s">
        <v>463</v>
      </c>
      <c r="AH1187" s="1">
        <v>8.0</v>
      </c>
      <c r="AI1187" s="1">
        <v>2014.0</v>
      </c>
      <c r="AJ1187" s="1">
        <v>2013.0</v>
      </c>
      <c r="AK1187" s="1" t="s">
        <v>277</v>
      </c>
    </row>
    <row r="1188">
      <c r="A1188" s="1" t="s">
        <v>2624</v>
      </c>
      <c r="B1188" s="1" t="s">
        <v>2624</v>
      </c>
      <c r="C1188" s="1" t="s">
        <v>194</v>
      </c>
      <c r="E1188" s="1">
        <v>9.3109256E7</v>
      </c>
      <c r="F1188" s="2">
        <v>41298.0</v>
      </c>
      <c r="G1188" s="1" t="s">
        <v>458</v>
      </c>
      <c r="I1188" s="1" t="s">
        <v>458</v>
      </c>
      <c r="L1188" s="1" t="s">
        <v>194</v>
      </c>
      <c r="M1188" s="1">
        <v>9100.0</v>
      </c>
      <c r="N1188" s="1" t="s">
        <v>194</v>
      </c>
      <c r="O1188" s="1">
        <v>4.2136734E7</v>
      </c>
      <c r="P1188" s="1" t="s">
        <v>557</v>
      </c>
      <c r="R1188" s="1" t="s">
        <v>558</v>
      </c>
      <c r="S1188" s="1" t="s">
        <v>44</v>
      </c>
      <c r="T1188" s="1" t="s">
        <v>45</v>
      </c>
      <c r="U1188" s="1">
        <v>4.82082204E8</v>
      </c>
      <c r="W1188" s="1" t="s">
        <v>44</v>
      </c>
      <c r="X1188" s="1" t="s">
        <v>45</v>
      </c>
      <c r="Y1188" s="1">
        <v>4.82082204E8</v>
      </c>
      <c r="AB1188" s="1">
        <v>62470.0</v>
      </c>
      <c r="AC1188" s="2">
        <v>41298.0</v>
      </c>
      <c r="AD1188" s="1">
        <v>9100.0</v>
      </c>
      <c r="AE1188" s="1" t="s">
        <v>194</v>
      </c>
      <c r="AF1188" s="1" t="s">
        <v>559</v>
      </c>
      <c r="AG1188" s="1" t="s">
        <v>463</v>
      </c>
      <c r="AH1188" s="1">
        <v>8.0</v>
      </c>
      <c r="AI1188" s="1">
        <v>2014.0</v>
      </c>
      <c r="AJ1188" s="1">
        <v>2013.0</v>
      </c>
      <c r="AK1188" s="1" t="s">
        <v>277</v>
      </c>
    </row>
    <row r="1189">
      <c r="A1189" s="1" t="s">
        <v>2624</v>
      </c>
      <c r="B1189" s="1" t="s">
        <v>2624</v>
      </c>
      <c r="C1189" s="1" t="s">
        <v>194</v>
      </c>
      <c r="E1189" s="1">
        <v>9.3109256E7</v>
      </c>
      <c r="F1189" s="2">
        <v>41351.0</v>
      </c>
      <c r="G1189" s="1" t="s">
        <v>458</v>
      </c>
      <c r="I1189" s="1" t="s">
        <v>458</v>
      </c>
      <c r="L1189" s="1" t="s">
        <v>194</v>
      </c>
      <c r="M1189" s="1">
        <v>9100.0</v>
      </c>
      <c r="N1189" s="1" t="s">
        <v>194</v>
      </c>
      <c r="O1189" s="1">
        <v>8.30649195E8</v>
      </c>
      <c r="P1189" s="1" t="s">
        <v>545</v>
      </c>
      <c r="R1189" s="1" t="s">
        <v>547</v>
      </c>
      <c r="S1189" s="1" t="s">
        <v>44</v>
      </c>
      <c r="T1189" s="1" t="s">
        <v>45</v>
      </c>
      <c r="U1189" s="1">
        <v>4.82071E8</v>
      </c>
      <c r="W1189" s="1" t="s">
        <v>44</v>
      </c>
      <c r="X1189" s="1" t="s">
        <v>45</v>
      </c>
      <c r="Y1189" s="1">
        <v>4.82071E8</v>
      </c>
      <c r="AB1189" s="1">
        <v>91803.0</v>
      </c>
      <c r="AC1189" s="2">
        <v>41351.0</v>
      </c>
      <c r="AD1189" s="1">
        <v>9100.0</v>
      </c>
      <c r="AE1189" s="1" t="s">
        <v>194</v>
      </c>
      <c r="AF1189" s="1" t="s">
        <v>549</v>
      </c>
      <c r="AG1189" s="1" t="s">
        <v>463</v>
      </c>
      <c r="AH1189" s="1">
        <v>8.0</v>
      </c>
      <c r="AI1189" s="1">
        <v>2014.0</v>
      </c>
      <c r="AJ1189" s="1">
        <v>2013.0</v>
      </c>
      <c r="AK1189" s="1" t="s">
        <v>277</v>
      </c>
    </row>
    <row r="1190">
      <c r="A1190" s="1" t="s">
        <v>2624</v>
      </c>
      <c r="B1190" s="1" t="s">
        <v>2624</v>
      </c>
      <c r="C1190" s="1" t="s">
        <v>194</v>
      </c>
      <c r="E1190" s="1">
        <v>9.3109256E7</v>
      </c>
      <c r="F1190" s="2">
        <v>41311.0</v>
      </c>
      <c r="G1190" s="1" t="s">
        <v>458</v>
      </c>
      <c r="I1190" s="1" t="s">
        <v>458</v>
      </c>
      <c r="L1190" s="1" t="s">
        <v>194</v>
      </c>
      <c r="M1190" s="1">
        <v>9100.0</v>
      </c>
      <c r="N1190" s="1" t="s">
        <v>194</v>
      </c>
      <c r="O1190" s="1">
        <v>8.76992343E8</v>
      </c>
      <c r="P1190" s="1" t="s">
        <v>550</v>
      </c>
      <c r="R1190" s="1" t="s">
        <v>551</v>
      </c>
      <c r="S1190" s="1" t="s">
        <v>44</v>
      </c>
      <c r="T1190" s="1" t="s">
        <v>45</v>
      </c>
      <c r="U1190" s="1">
        <v>4.82102451E8</v>
      </c>
      <c r="W1190" s="1" t="s">
        <v>44</v>
      </c>
      <c r="X1190" s="1" t="s">
        <v>45</v>
      </c>
      <c r="Y1190" s="1">
        <v>4.82102451E8</v>
      </c>
      <c r="AB1190" s="1">
        <v>73528.0</v>
      </c>
      <c r="AC1190" s="2">
        <v>41311.0</v>
      </c>
      <c r="AD1190" s="1">
        <v>9100.0</v>
      </c>
      <c r="AE1190" s="1" t="s">
        <v>194</v>
      </c>
      <c r="AF1190" s="1" t="s">
        <v>553</v>
      </c>
      <c r="AG1190" s="1" t="s">
        <v>463</v>
      </c>
      <c r="AH1190" s="1">
        <v>8.0</v>
      </c>
      <c r="AI1190" s="1">
        <v>2014.0</v>
      </c>
      <c r="AJ1190" s="1">
        <v>2013.0</v>
      </c>
      <c r="AK1190" s="1" t="s">
        <v>277</v>
      </c>
    </row>
    <row r="1191">
      <c r="A1191" s="1" t="s">
        <v>2624</v>
      </c>
      <c r="B1191" s="1" t="s">
        <v>2624</v>
      </c>
      <c r="C1191" s="1" t="s">
        <v>194</v>
      </c>
      <c r="E1191" s="1">
        <v>9.3109256E7</v>
      </c>
      <c r="F1191" s="2">
        <v>41327.0</v>
      </c>
      <c r="G1191" s="1" t="s">
        <v>458</v>
      </c>
      <c r="I1191" s="1" t="s">
        <v>458</v>
      </c>
      <c r="L1191" s="1" t="s">
        <v>194</v>
      </c>
      <c r="M1191" s="1">
        <v>9100.0</v>
      </c>
      <c r="N1191" s="1" t="s">
        <v>194</v>
      </c>
      <c r="O1191" s="1">
        <v>9.6910162E8</v>
      </c>
      <c r="P1191" s="1" t="s">
        <v>579</v>
      </c>
      <c r="R1191" s="1" t="s">
        <v>580</v>
      </c>
      <c r="S1191" s="1" t="s">
        <v>44</v>
      </c>
      <c r="T1191" s="1" t="s">
        <v>45</v>
      </c>
      <c r="U1191" s="1">
        <v>4.82283905E8</v>
      </c>
      <c r="W1191" s="1" t="s">
        <v>287</v>
      </c>
      <c r="X1191" s="1" t="s">
        <v>45</v>
      </c>
      <c r="Y1191" s="1">
        <v>4.82283905E8</v>
      </c>
      <c r="AB1191" s="1">
        <v>31609.0</v>
      </c>
      <c r="AC1191" s="2">
        <v>41327.0</v>
      </c>
      <c r="AD1191" s="1">
        <v>9100.0</v>
      </c>
      <c r="AE1191" s="1" t="s">
        <v>194</v>
      </c>
      <c r="AF1191" s="1" t="s">
        <v>581</v>
      </c>
      <c r="AG1191" s="1" t="s">
        <v>463</v>
      </c>
      <c r="AH1191" s="1">
        <v>8.0</v>
      </c>
      <c r="AI1191" s="1">
        <v>2014.0</v>
      </c>
      <c r="AJ1191" s="1">
        <v>2013.0</v>
      </c>
      <c r="AK1191" s="1" t="s">
        <v>277</v>
      </c>
    </row>
    <row r="1192">
      <c r="A1192" s="1" t="s">
        <v>2624</v>
      </c>
      <c r="B1192" s="1" t="s">
        <v>2624</v>
      </c>
      <c r="C1192" s="1" t="s">
        <v>194</v>
      </c>
      <c r="E1192" s="1">
        <v>9.3109256E7</v>
      </c>
      <c r="F1192" s="2">
        <v>41326.0</v>
      </c>
      <c r="G1192" s="1" t="s">
        <v>458</v>
      </c>
      <c r="I1192" s="1" t="s">
        <v>458</v>
      </c>
      <c r="L1192" s="1" t="s">
        <v>194</v>
      </c>
      <c r="M1192" s="1">
        <v>9100.0</v>
      </c>
      <c r="N1192" s="1" t="s">
        <v>194</v>
      </c>
      <c r="O1192" s="1">
        <v>9.63121426E8</v>
      </c>
      <c r="P1192" s="1" t="s">
        <v>490</v>
      </c>
      <c r="R1192" s="1" t="s">
        <v>491</v>
      </c>
      <c r="S1192" s="1" t="s">
        <v>44</v>
      </c>
      <c r="T1192" s="1" t="s">
        <v>45</v>
      </c>
      <c r="U1192" s="1">
        <v>4.82233051E8</v>
      </c>
      <c r="W1192" s="1" t="s">
        <v>46</v>
      </c>
      <c r="X1192" s="1" t="s">
        <v>45</v>
      </c>
      <c r="Y1192" s="1">
        <v>4.82233051E8</v>
      </c>
      <c r="AB1192" s="1">
        <v>68374.0</v>
      </c>
      <c r="AC1192" s="2">
        <v>41326.0</v>
      </c>
      <c r="AD1192" s="1">
        <v>9100.0</v>
      </c>
      <c r="AE1192" s="1" t="s">
        <v>194</v>
      </c>
      <c r="AF1192" s="1" t="s">
        <v>492</v>
      </c>
      <c r="AG1192" s="1" t="s">
        <v>463</v>
      </c>
      <c r="AH1192" s="1">
        <v>8.0</v>
      </c>
      <c r="AI1192" s="1">
        <v>2014.0</v>
      </c>
      <c r="AJ1192" s="1">
        <v>2013.0</v>
      </c>
      <c r="AK1192" s="1" t="s">
        <v>277</v>
      </c>
    </row>
    <row r="1193">
      <c r="A1193" s="1" t="s">
        <v>2624</v>
      </c>
      <c r="B1193" s="1" t="s">
        <v>2624</v>
      </c>
      <c r="C1193" s="1" t="s">
        <v>194</v>
      </c>
      <c r="E1193" s="1">
        <v>9.3109256E7</v>
      </c>
      <c r="F1193" s="2">
        <v>41695.0</v>
      </c>
      <c r="G1193" s="1" t="s">
        <v>458</v>
      </c>
      <c r="I1193" s="1" t="s">
        <v>458</v>
      </c>
      <c r="L1193" s="1" t="s">
        <v>194</v>
      </c>
      <c r="M1193" s="1">
        <v>9100.0</v>
      </c>
      <c r="N1193" s="1" t="s">
        <v>194</v>
      </c>
      <c r="O1193" s="1">
        <v>8.29503312E8</v>
      </c>
      <c r="P1193" s="1" t="s">
        <v>622</v>
      </c>
      <c r="R1193" s="1" t="s">
        <v>623</v>
      </c>
      <c r="S1193" s="1" t="s">
        <v>44</v>
      </c>
      <c r="T1193" s="1" t="s">
        <v>45</v>
      </c>
      <c r="U1193" s="1">
        <v>4.82035715E8</v>
      </c>
      <c r="W1193" s="1" t="s">
        <v>603</v>
      </c>
      <c r="X1193" s="1" t="s">
        <v>45</v>
      </c>
      <c r="Y1193" s="1">
        <v>4.82035715E8</v>
      </c>
      <c r="AB1193" s="1">
        <v>91088.0</v>
      </c>
      <c r="AC1193" s="2">
        <v>41695.0</v>
      </c>
      <c r="AD1193" s="1">
        <v>9100.0</v>
      </c>
      <c r="AE1193" s="1" t="s">
        <v>194</v>
      </c>
      <c r="AF1193" s="1" t="s">
        <v>625</v>
      </c>
      <c r="AG1193" s="1" t="s">
        <v>463</v>
      </c>
      <c r="AH1193" s="1">
        <v>8.0</v>
      </c>
      <c r="AI1193" s="1">
        <v>2014.0</v>
      </c>
      <c r="AJ1193" s="1">
        <v>2014.0</v>
      </c>
      <c r="AK1193" s="1" t="s">
        <v>277</v>
      </c>
    </row>
    <row r="1194">
      <c r="A1194" s="1" t="s">
        <v>2624</v>
      </c>
      <c r="B1194" s="1" t="s">
        <v>2624</v>
      </c>
      <c r="C1194" s="1" t="s">
        <v>194</v>
      </c>
      <c r="E1194" s="1">
        <v>9.3109256E7</v>
      </c>
      <c r="F1194" s="2">
        <v>41351.0</v>
      </c>
      <c r="G1194" s="1" t="s">
        <v>458</v>
      </c>
      <c r="I1194" s="1" t="s">
        <v>458</v>
      </c>
      <c r="L1194" s="1" t="s">
        <v>194</v>
      </c>
      <c r="M1194" s="1">
        <v>9100.0</v>
      </c>
      <c r="N1194" s="1" t="s">
        <v>194</v>
      </c>
      <c r="O1194" s="1">
        <v>9.65778702E8</v>
      </c>
      <c r="P1194" s="1" t="s">
        <v>493</v>
      </c>
      <c r="R1194" s="1" t="s">
        <v>494</v>
      </c>
      <c r="S1194" s="1" t="s">
        <v>44</v>
      </c>
      <c r="T1194" s="1" t="s">
        <v>45</v>
      </c>
      <c r="U1194" s="1">
        <v>4.82082475E8</v>
      </c>
      <c r="W1194" s="1" t="s">
        <v>44</v>
      </c>
      <c r="X1194" s="1" t="s">
        <v>45</v>
      </c>
      <c r="Y1194" s="1">
        <v>4.82082475E8</v>
      </c>
      <c r="AB1194" s="1">
        <v>56104.0</v>
      </c>
      <c r="AC1194" s="2">
        <v>41351.0</v>
      </c>
      <c r="AD1194" s="1">
        <v>9100.0</v>
      </c>
      <c r="AE1194" s="1" t="s">
        <v>194</v>
      </c>
      <c r="AF1194" s="1" t="s">
        <v>495</v>
      </c>
      <c r="AG1194" s="1" t="s">
        <v>463</v>
      </c>
      <c r="AH1194" s="1">
        <v>8.0</v>
      </c>
      <c r="AI1194" s="1">
        <v>2014.0</v>
      </c>
      <c r="AJ1194" s="1">
        <v>2013.0</v>
      </c>
      <c r="AK1194" s="1" t="s">
        <v>277</v>
      </c>
    </row>
    <row r="1195">
      <c r="A1195" s="1" t="s">
        <v>2624</v>
      </c>
      <c r="B1195" s="1" t="s">
        <v>2624</v>
      </c>
      <c r="C1195" s="1" t="s">
        <v>194</v>
      </c>
      <c r="E1195" s="1">
        <v>9.3109256E7</v>
      </c>
      <c r="F1195" s="2">
        <v>41282.0</v>
      </c>
      <c r="G1195" s="1" t="s">
        <v>458</v>
      </c>
      <c r="I1195" s="1" t="s">
        <v>458</v>
      </c>
      <c r="L1195" s="1" t="s">
        <v>194</v>
      </c>
      <c r="M1195" s="1">
        <v>9100.0</v>
      </c>
      <c r="N1195" s="1" t="s">
        <v>194</v>
      </c>
      <c r="O1195" s="1">
        <v>9.62949843E8</v>
      </c>
      <c r="P1195" s="1" t="s">
        <v>619</v>
      </c>
      <c r="R1195" s="1" t="s">
        <v>620</v>
      </c>
      <c r="S1195" s="1" t="s">
        <v>44</v>
      </c>
      <c r="T1195" s="1" t="s">
        <v>45</v>
      </c>
      <c r="U1195" s="1">
        <v>4.82042306E8</v>
      </c>
      <c r="W1195" s="1" t="s">
        <v>44</v>
      </c>
      <c r="X1195" s="1" t="s">
        <v>45</v>
      </c>
      <c r="Y1195" s="1">
        <v>4.82042306E8</v>
      </c>
      <c r="AB1195" s="1">
        <v>92000.0</v>
      </c>
      <c r="AC1195" s="2">
        <v>41282.0</v>
      </c>
      <c r="AD1195" s="1">
        <v>9100.0</v>
      </c>
      <c r="AE1195" s="1" t="s">
        <v>194</v>
      </c>
      <c r="AF1195" s="1" t="s">
        <v>621</v>
      </c>
      <c r="AG1195" s="1" t="s">
        <v>463</v>
      </c>
      <c r="AH1195" s="1">
        <v>8.0</v>
      </c>
      <c r="AI1195" s="1">
        <v>2014.0</v>
      </c>
      <c r="AJ1195" s="1">
        <v>2013.0</v>
      </c>
      <c r="AK1195" s="1" t="s">
        <v>277</v>
      </c>
    </row>
    <row r="1196">
      <c r="A1196" s="1" t="s">
        <v>2634</v>
      </c>
      <c r="B1196" s="1" t="s">
        <v>2634</v>
      </c>
      <c r="C1196" s="1" t="s">
        <v>63</v>
      </c>
      <c r="E1196" s="1">
        <v>2.0302352E7</v>
      </c>
      <c r="F1196" s="2">
        <v>41548.0</v>
      </c>
      <c r="G1196" s="1" t="s">
        <v>2635</v>
      </c>
      <c r="I1196" s="1" t="s">
        <v>2635</v>
      </c>
      <c r="L1196" s="1" t="s">
        <v>40</v>
      </c>
      <c r="M1196" s="1">
        <v>7500.0</v>
      </c>
      <c r="N1196" s="1" t="s">
        <v>40</v>
      </c>
      <c r="O1196" s="1">
        <v>7840122.0</v>
      </c>
      <c r="P1196" s="1" t="s">
        <v>1246</v>
      </c>
      <c r="Q1196" s="1" t="s">
        <v>2636</v>
      </c>
      <c r="R1196" s="1" t="s">
        <v>1247</v>
      </c>
      <c r="S1196" s="1" t="s">
        <v>44</v>
      </c>
      <c r="T1196" s="1" t="s">
        <v>45</v>
      </c>
      <c r="U1196" s="1">
        <v>4.8216194E8</v>
      </c>
      <c r="W1196" s="1" t="s">
        <v>46</v>
      </c>
      <c r="X1196" s="1" t="s">
        <v>45</v>
      </c>
      <c r="Y1196" s="1">
        <v>4.8216194E8</v>
      </c>
      <c r="Z1196" s="1">
        <v>6.03136417E8</v>
      </c>
      <c r="AA1196" s="1" t="s">
        <v>2637</v>
      </c>
      <c r="AB1196" s="1">
        <v>10000.0</v>
      </c>
      <c r="AC1196" s="2">
        <v>41548.0</v>
      </c>
      <c r="AD1196" s="1">
        <v>7500.0</v>
      </c>
      <c r="AE1196" s="1" t="s">
        <v>40</v>
      </c>
      <c r="AF1196" s="1">
        <v>2.0140326E7</v>
      </c>
      <c r="AG1196" s="1" t="s">
        <v>2638</v>
      </c>
      <c r="AH1196" s="1">
        <v>10.0</v>
      </c>
      <c r="AI1196" s="1">
        <v>2010.0</v>
      </c>
      <c r="AJ1196" s="1">
        <v>2014.0</v>
      </c>
      <c r="AK1196" s="1" t="s">
        <v>2639</v>
      </c>
    </row>
    <row r="1197">
      <c r="A1197" s="1" t="s">
        <v>2640</v>
      </c>
      <c r="B1197" s="1" t="s">
        <v>2640</v>
      </c>
      <c r="C1197" s="1" t="s">
        <v>129</v>
      </c>
      <c r="E1197" s="1">
        <v>1.98133664E8</v>
      </c>
      <c r="F1197" s="2">
        <v>41913.0</v>
      </c>
      <c r="G1197" s="1" t="s">
        <v>2641</v>
      </c>
      <c r="I1197" s="1" t="s">
        <v>2641</v>
      </c>
      <c r="L1197" s="1" t="s">
        <v>40</v>
      </c>
      <c r="M1197" s="1">
        <v>7500.0</v>
      </c>
      <c r="N1197" s="1" t="s">
        <v>40</v>
      </c>
      <c r="O1197" s="1">
        <v>2.0830303E7</v>
      </c>
      <c r="P1197" s="1" t="s">
        <v>424</v>
      </c>
      <c r="Q1197" s="1" t="s">
        <v>425</v>
      </c>
      <c r="R1197" s="1" t="s">
        <v>426</v>
      </c>
      <c r="S1197" s="1" t="s">
        <v>44</v>
      </c>
      <c r="T1197" s="1" t="s">
        <v>45</v>
      </c>
      <c r="U1197" s="1">
        <v>4.82012002E8</v>
      </c>
      <c r="W1197" s="1" t="s">
        <v>44</v>
      </c>
      <c r="X1197" s="1" t="s">
        <v>45</v>
      </c>
      <c r="Y1197" s="1">
        <v>4.82012002E8</v>
      </c>
      <c r="Z1197" s="1">
        <v>2.0830303E7</v>
      </c>
      <c r="AA1197" s="1" t="s">
        <v>424</v>
      </c>
      <c r="AB1197" s="1">
        <v>237932.0</v>
      </c>
      <c r="AC1197" s="2">
        <v>41913.0</v>
      </c>
      <c r="AD1197" s="1">
        <v>7500.0</v>
      </c>
      <c r="AE1197" s="1" t="s">
        <v>40</v>
      </c>
      <c r="AF1197" s="1" t="s">
        <v>2642</v>
      </c>
      <c r="AG1197" s="1" t="s">
        <v>2643</v>
      </c>
      <c r="AH1197" s="1">
        <v>10.0</v>
      </c>
      <c r="AI1197" s="1">
        <v>2014.0</v>
      </c>
      <c r="AJ1197" s="1">
        <v>2015.0</v>
      </c>
      <c r="AK1197" s="1" t="s">
        <v>385</v>
      </c>
    </row>
    <row r="1198">
      <c r="A1198" s="1" t="s">
        <v>2640</v>
      </c>
      <c r="B1198" s="1" t="s">
        <v>2640</v>
      </c>
      <c r="C1198" s="1" t="s">
        <v>129</v>
      </c>
      <c r="E1198" s="1">
        <v>1.98133664E8</v>
      </c>
      <c r="F1198" s="2">
        <v>41913.0</v>
      </c>
      <c r="G1198" s="1" t="s">
        <v>2641</v>
      </c>
      <c r="I1198" s="1" t="s">
        <v>2641</v>
      </c>
      <c r="L1198" s="1" t="s">
        <v>40</v>
      </c>
      <c r="M1198" s="1">
        <v>7500.0</v>
      </c>
      <c r="N1198" s="1" t="s">
        <v>40</v>
      </c>
      <c r="O1198" s="1">
        <v>6.9840817E7</v>
      </c>
      <c r="P1198" s="1" t="s">
        <v>131</v>
      </c>
      <c r="R1198" s="1" t="s">
        <v>132</v>
      </c>
      <c r="S1198" s="1" t="s">
        <v>44</v>
      </c>
      <c r="T1198" s="1" t="s">
        <v>45</v>
      </c>
      <c r="U1198" s="1">
        <v>4.8214261E8</v>
      </c>
      <c r="W1198" s="1" t="s">
        <v>44</v>
      </c>
      <c r="X1198" s="1" t="s">
        <v>45</v>
      </c>
      <c r="Y1198" s="1">
        <v>4.8214261E8</v>
      </c>
      <c r="Z1198" s="1">
        <v>6.9840817E7</v>
      </c>
      <c r="AA1198" s="1" t="s">
        <v>131</v>
      </c>
      <c r="AB1198" s="1">
        <v>457342.0</v>
      </c>
      <c r="AC1198" s="2">
        <v>41913.0</v>
      </c>
      <c r="AD1198" s="1">
        <v>7500.0</v>
      </c>
      <c r="AE1198" s="1" t="s">
        <v>40</v>
      </c>
      <c r="AF1198" s="1" t="s">
        <v>2644</v>
      </c>
      <c r="AG1198" s="1" t="s">
        <v>2645</v>
      </c>
      <c r="AH1198" s="1">
        <v>10.0</v>
      </c>
      <c r="AI1198" s="1">
        <v>2014.0</v>
      </c>
      <c r="AJ1198" s="1">
        <v>2015.0</v>
      </c>
      <c r="AK1198" s="1" t="s">
        <v>385</v>
      </c>
    </row>
    <row r="1199">
      <c r="A1199" s="1" t="s">
        <v>2646</v>
      </c>
      <c r="B1199" s="1" t="s">
        <v>2646</v>
      </c>
      <c r="C1199" s="1" t="s">
        <v>129</v>
      </c>
      <c r="E1199" s="1">
        <v>575000.0</v>
      </c>
      <c r="F1199" s="2">
        <v>41913.0</v>
      </c>
      <c r="G1199" s="1" t="s">
        <v>2647</v>
      </c>
      <c r="I1199" s="1" t="s">
        <v>2647</v>
      </c>
      <c r="L1199" s="1" t="s">
        <v>40</v>
      </c>
      <c r="M1199" s="1">
        <v>7500.0</v>
      </c>
      <c r="N1199" s="1" t="s">
        <v>40</v>
      </c>
      <c r="O1199" s="1">
        <v>6.9840817E7</v>
      </c>
      <c r="P1199" s="1" t="s">
        <v>131</v>
      </c>
      <c r="R1199" s="1" t="s">
        <v>132</v>
      </c>
      <c r="S1199" s="1" t="s">
        <v>44</v>
      </c>
      <c r="T1199" s="1" t="s">
        <v>45</v>
      </c>
      <c r="U1199" s="1">
        <v>4.8214261E8</v>
      </c>
      <c r="W1199" s="1" t="s">
        <v>44</v>
      </c>
      <c r="X1199" s="1" t="s">
        <v>45</v>
      </c>
      <c r="Y1199" s="1">
        <v>4.8214261E8</v>
      </c>
      <c r="Z1199" s="1">
        <v>6.9840817E7</v>
      </c>
      <c r="AA1199" s="1" t="s">
        <v>131</v>
      </c>
      <c r="AB1199" s="1">
        <v>120000.0</v>
      </c>
      <c r="AC1199" s="2">
        <v>41913.0</v>
      </c>
      <c r="AD1199" s="1">
        <v>7500.0</v>
      </c>
      <c r="AE1199" s="1" t="s">
        <v>40</v>
      </c>
      <c r="AF1199" s="1" t="s">
        <v>2648</v>
      </c>
      <c r="AG1199" s="1" t="s">
        <v>2649</v>
      </c>
      <c r="AH1199" s="1">
        <v>10.0</v>
      </c>
      <c r="AI1199" s="1">
        <v>2014.0</v>
      </c>
      <c r="AJ1199" s="1">
        <v>2015.0</v>
      </c>
      <c r="AK1199" s="1" t="s">
        <v>398</v>
      </c>
    </row>
    <row r="1200">
      <c r="A1200" s="1" t="s">
        <v>2646</v>
      </c>
      <c r="B1200" s="1" t="s">
        <v>2646</v>
      </c>
      <c r="C1200" s="1" t="s">
        <v>129</v>
      </c>
      <c r="E1200" s="1">
        <v>575000.0</v>
      </c>
      <c r="F1200" s="2">
        <v>41913.0</v>
      </c>
      <c r="G1200" s="1" t="s">
        <v>2647</v>
      </c>
      <c r="I1200" s="1" t="s">
        <v>2647</v>
      </c>
      <c r="L1200" s="1" t="s">
        <v>40</v>
      </c>
      <c r="M1200" s="1">
        <v>7500.0</v>
      </c>
      <c r="N1200" s="1" t="s">
        <v>40</v>
      </c>
      <c r="O1200" s="1">
        <v>6.9840817E7</v>
      </c>
      <c r="P1200" s="1" t="s">
        <v>131</v>
      </c>
      <c r="R1200" s="1" t="s">
        <v>132</v>
      </c>
      <c r="S1200" s="1" t="s">
        <v>44</v>
      </c>
      <c r="T1200" s="1" t="s">
        <v>45</v>
      </c>
      <c r="U1200" s="1">
        <v>4.8214261E8</v>
      </c>
      <c r="W1200" s="1" t="s">
        <v>44</v>
      </c>
      <c r="X1200" s="1" t="s">
        <v>45</v>
      </c>
      <c r="Y1200" s="1">
        <v>4.8214261E8</v>
      </c>
      <c r="Z1200" s="1">
        <v>6.9840817E7</v>
      </c>
      <c r="AA1200" s="1" t="s">
        <v>131</v>
      </c>
      <c r="AB1200" s="1">
        <v>545000.0</v>
      </c>
      <c r="AC1200" s="2">
        <v>41913.0</v>
      </c>
      <c r="AD1200" s="1">
        <v>7500.0</v>
      </c>
      <c r="AE1200" s="1" t="s">
        <v>40</v>
      </c>
      <c r="AF1200" s="1" t="s">
        <v>2650</v>
      </c>
      <c r="AG1200" s="1" t="s">
        <v>2649</v>
      </c>
      <c r="AH1200" s="1">
        <v>10.0</v>
      </c>
      <c r="AI1200" s="1">
        <v>2014.0</v>
      </c>
      <c r="AJ1200" s="1">
        <v>2015.0</v>
      </c>
      <c r="AK1200" s="1" t="s">
        <v>398</v>
      </c>
    </row>
    <row r="1201">
      <c r="A1201" s="1" t="s">
        <v>2651</v>
      </c>
      <c r="B1201" s="1" t="s">
        <v>2651</v>
      </c>
      <c r="C1201" s="1" t="s">
        <v>159</v>
      </c>
      <c r="E1201" s="1">
        <v>5297759.0</v>
      </c>
      <c r="F1201" s="2">
        <v>41548.0</v>
      </c>
      <c r="G1201" s="1" t="s">
        <v>2652</v>
      </c>
      <c r="I1201" s="1" t="s">
        <v>2652</v>
      </c>
      <c r="L1201" s="1" t="s">
        <v>40</v>
      </c>
      <c r="M1201" s="1">
        <v>7500.0</v>
      </c>
      <c r="N1201" s="1" t="s">
        <v>40</v>
      </c>
      <c r="O1201" s="1">
        <v>8.09204196E8</v>
      </c>
      <c r="P1201" s="1" t="s">
        <v>175</v>
      </c>
      <c r="Q1201" s="1" t="s">
        <v>2059</v>
      </c>
      <c r="R1201" s="1" t="s">
        <v>2078</v>
      </c>
      <c r="S1201" s="1" t="s">
        <v>44</v>
      </c>
      <c r="T1201" s="1" t="s">
        <v>45</v>
      </c>
      <c r="U1201" s="1">
        <v>4.82023026E8</v>
      </c>
      <c r="W1201" s="1" t="s">
        <v>46</v>
      </c>
      <c r="X1201" s="1" t="s">
        <v>45</v>
      </c>
      <c r="Y1201" s="1">
        <v>4.82023025E8</v>
      </c>
      <c r="Z1201" s="1">
        <v>8.09204196E8</v>
      </c>
      <c r="AA1201" s="1" t="s">
        <v>175</v>
      </c>
      <c r="AB1201" s="1">
        <v>458773.0</v>
      </c>
      <c r="AC1201" s="2">
        <v>41548.0</v>
      </c>
      <c r="AD1201" s="1">
        <v>7500.0</v>
      </c>
      <c r="AE1201" s="1" t="s">
        <v>40</v>
      </c>
      <c r="AF1201" s="1">
        <v>2.014029E7</v>
      </c>
      <c r="AG1201" s="1" t="s">
        <v>2653</v>
      </c>
      <c r="AH1201" s="1">
        <v>10.0</v>
      </c>
      <c r="AI1201" s="1">
        <v>2011.0</v>
      </c>
      <c r="AJ1201" s="1">
        <v>2014.0</v>
      </c>
      <c r="AK1201" s="1" t="s">
        <v>2654</v>
      </c>
    </row>
    <row r="1202">
      <c r="A1202" s="1" t="s">
        <v>158</v>
      </c>
      <c r="B1202" s="1" t="s">
        <v>158</v>
      </c>
      <c r="C1202" s="1" t="s">
        <v>159</v>
      </c>
      <c r="E1202" s="1">
        <v>899985.0</v>
      </c>
      <c r="F1202" s="2">
        <v>41548.0</v>
      </c>
      <c r="G1202" s="1" t="s">
        <v>2655</v>
      </c>
      <c r="I1202" s="1" t="s">
        <v>2655</v>
      </c>
      <c r="L1202" s="1" t="s">
        <v>40</v>
      </c>
      <c r="M1202" s="1">
        <v>7500.0</v>
      </c>
      <c r="N1202" s="1" t="s">
        <v>40</v>
      </c>
      <c r="O1202" s="1">
        <v>3.8775243E7</v>
      </c>
      <c r="P1202" s="1" t="s">
        <v>209</v>
      </c>
      <c r="Q1202" s="1" t="s">
        <v>210</v>
      </c>
      <c r="R1202" s="1" t="s">
        <v>211</v>
      </c>
      <c r="S1202" s="1" t="s">
        <v>44</v>
      </c>
      <c r="T1202" s="1" t="s">
        <v>45</v>
      </c>
      <c r="U1202" s="1">
        <v>4.82023068E8</v>
      </c>
      <c r="W1202" s="1" t="s">
        <v>46</v>
      </c>
      <c r="X1202" s="1" t="s">
        <v>45</v>
      </c>
      <c r="Y1202" s="1">
        <v>4.82023068E8</v>
      </c>
      <c r="Z1202" s="1">
        <v>3.8775243E7</v>
      </c>
      <c r="AA1202" s="1" t="s">
        <v>209</v>
      </c>
      <c r="AB1202" s="1">
        <v>15701.0</v>
      </c>
      <c r="AC1202" s="2">
        <v>41548.0</v>
      </c>
      <c r="AD1202" s="1">
        <v>7500.0</v>
      </c>
      <c r="AE1202" s="1" t="s">
        <v>40</v>
      </c>
      <c r="AF1202" s="1">
        <v>2.0140708E7</v>
      </c>
      <c r="AG1202" s="1" t="s">
        <v>2655</v>
      </c>
      <c r="AH1202" s="1">
        <v>10.0</v>
      </c>
      <c r="AI1202" s="1">
        <v>2011.0</v>
      </c>
      <c r="AJ1202" s="1">
        <v>2014.0</v>
      </c>
      <c r="AK1202" s="1" t="s">
        <v>162</v>
      </c>
    </row>
    <row r="1203">
      <c r="A1203" s="1" t="s">
        <v>2656</v>
      </c>
      <c r="B1203" s="1" t="s">
        <v>2656</v>
      </c>
      <c r="C1203" s="1" t="s">
        <v>38</v>
      </c>
      <c r="E1203" s="1">
        <v>809725.0</v>
      </c>
      <c r="F1203" s="2">
        <v>41764.0</v>
      </c>
      <c r="G1203" s="1" t="s">
        <v>2657</v>
      </c>
      <c r="I1203" s="1" t="s">
        <v>2657</v>
      </c>
      <c r="L1203" s="1" t="s">
        <v>40</v>
      </c>
      <c r="M1203" s="1">
        <v>7500.0</v>
      </c>
      <c r="N1203" s="1" t="s">
        <v>40</v>
      </c>
      <c r="O1203" s="1">
        <v>1962224.0</v>
      </c>
      <c r="P1203" s="1" t="s">
        <v>52</v>
      </c>
      <c r="Q1203" s="1" t="s">
        <v>1566</v>
      </c>
      <c r="R1203" s="1" t="s">
        <v>1885</v>
      </c>
      <c r="S1203" s="1" t="s">
        <v>44</v>
      </c>
      <c r="T1203" s="1" t="s">
        <v>45</v>
      </c>
      <c r="U1203" s="1">
        <v>4.82021347E8</v>
      </c>
      <c r="W1203" s="1" t="s">
        <v>44</v>
      </c>
      <c r="X1203" s="1" t="s">
        <v>45</v>
      </c>
      <c r="Y1203" s="1">
        <v>4.8202405E8</v>
      </c>
      <c r="Z1203" s="1">
        <v>1962224.0</v>
      </c>
      <c r="AA1203" s="1" t="s">
        <v>52</v>
      </c>
      <c r="AB1203" s="1">
        <v>20324.0</v>
      </c>
      <c r="AC1203" s="2">
        <v>41764.0</v>
      </c>
      <c r="AD1203" s="1">
        <v>7500.0</v>
      </c>
      <c r="AE1203" s="1" t="s">
        <v>40</v>
      </c>
      <c r="AF1203" s="1" t="s">
        <v>2658</v>
      </c>
      <c r="AG1203" s="1" t="s">
        <v>2659</v>
      </c>
      <c r="AH1203" s="1">
        <v>11.0</v>
      </c>
      <c r="AI1203" s="1">
        <v>2014.0</v>
      </c>
      <c r="AJ1203" s="1">
        <v>2014.0</v>
      </c>
      <c r="AK1203" s="1" t="s">
        <v>1749</v>
      </c>
    </row>
    <row r="1204">
      <c r="A1204" s="1" t="s">
        <v>1874</v>
      </c>
      <c r="B1204" s="1" t="s">
        <v>1874</v>
      </c>
      <c r="C1204" s="1" t="s">
        <v>389</v>
      </c>
      <c r="E1204" s="1">
        <v>2.0636E7</v>
      </c>
      <c r="F1204" s="2">
        <v>41800.0</v>
      </c>
      <c r="G1204" s="1" t="s">
        <v>1875</v>
      </c>
      <c r="I1204" s="1" t="s">
        <v>1875</v>
      </c>
      <c r="L1204" s="1" t="s">
        <v>391</v>
      </c>
      <c r="M1204" s="1">
        <v>1600.0</v>
      </c>
      <c r="N1204" s="1" t="s">
        <v>391</v>
      </c>
      <c r="O1204" s="1">
        <v>9.68755756E8</v>
      </c>
      <c r="P1204" s="1" t="s">
        <v>1806</v>
      </c>
      <c r="R1204" s="1" t="s">
        <v>1807</v>
      </c>
      <c r="S1204" s="1" t="s">
        <v>44</v>
      </c>
      <c r="T1204" s="1" t="s">
        <v>45</v>
      </c>
      <c r="U1204" s="1">
        <v>4.82262917E8</v>
      </c>
      <c r="W1204" s="1" t="s">
        <v>46</v>
      </c>
      <c r="X1204" s="1" t="s">
        <v>45</v>
      </c>
      <c r="Y1204" s="1">
        <v>4.82022943E8</v>
      </c>
      <c r="AB1204" s="1">
        <v>584000.0</v>
      </c>
      <c r="AC1204" s="2">
        <v>41800.0</v>
      </c>
      <c r="AD1204" s="1">
        <v>1600.0</v>
      </c>
      <c r="AE1204" s="1" t="s">
        <v>391</v>
      </c>
      <c r="AF1204" s="1" t="s">
        <v>1883</v>
      </c>
      <c r="AG1204" s="1" t="s">
        <v>1884</v>
      </c>
      <c r="AH1204" s="1">
        <v>11.0</v>
      </c>
      <c r="AI1204" s="1">
        <v>2014.0</v>
      </c>
      <c r="AJ1204" s="1">
        <v>2014.0</v>
      </c>
      <c r="AK1204" s="1" t="s">
        <v>1878</v>
      </c>
    </row>
    <row r="1205">
      <c r="A1205" s="1" t="s">
        <v>1874</v>
      </c>
      <c r="B1205" s="1" t="s">
        <v>1874</v>
      </c>
      <c r="C1205" s="1" t="s">
        <v>389</v>
      </c>
      <c r="E1205" s="1">
        <v>2.0636E7</v>
      </c>
      <c r="F1205" s="2">
        <v>41855.0</v>
      </c>
      <c r="G1205" s="1" t="s">
        <v>1875</v>
      </c>
      <c r="I1205" s="1" t="s">
        <v>1875</v>
      </c>
      <c r="L1205" s="1" t="s">
        <v>391</v>
      </c>
      <c r="M1205" s="1">
        <v>1600.0</v>
      </c>
      <c r="N1205" s="1" t="s">
        <v>391</v>
      </c>
      <c r="O1205" s="1">
        <v>9.68755756E8</v>
      </c>
      <c r="P1205" s="1" t="s">
        <v>1806</v>
      </c>
      <c r="R1205" s="1" t="s">
        <v>1807</v>
      </c>
      <c r="S1205" s="1" t="s">
        <v>44</v>
      </c>
      <c r="T1205" s="1" t="s">
        <v>45</v>
      </c>
      <c r="U1205" s="1">
        <v>4.82262917E8</v>
      </c>
      <c r="W1205" s="1" t="s">
        <v>46</v>
      </c>
      <c r="X1205" s="1" t="s">
        <v>45</v>
      </c>
      <c r="Y1205" s="1">
        <v>4.82022943E8</v>
      </c>
      <c r="AB1205" s="1">
        <v>1443000.0</v>
      </c>
      <c r="AC1205" s="2">
        <v>41855.0</v>
      </c>
      <c r="AD1205" s="1">
        <v>1600.0</v>
      </c>
      <c r="AE1205" s="1" t="s">
        <v>391</v>
      </c>
      <c r="AF1205" s="1" t="s">
        <v>1879</v>
      </c>
      <c r="AG1205" s="1" t="s">
        <v>1880</v>
      </c>
      <c r="AH1205" s="1">
        <v>11.0</v>
      </c>
      <c r="AI1205" s="1">
        <v>2014.0</v>
      </c>
      <c r="AJ1205" s="1">
        <v>2014.0</v>
      </c>
      <c r="AK1205" s="1" t="s">
        <v>1878</v>
      </c>
    </row>
    <row r="1206">
      <c r="A1206" s="1" t="s">
        <v>1874</v>
      </c>
      <c r="B1206" s="1" t="s">
        <v>1874</v>
      </c>
      <c r="C1206" s="1" t="s">
        <v>389</v>
      </c>
      <c r="E1206" s="1">
        <v>2.0636E7</v>
      </c>
      <c r="F1206" s="2">
        <v>41551.0</v>
      </c>
      <c r="G1206" s="1" t="s">
        <v>1875</v>
      </c>
      <c r="I1206" s="1" t="s">
        <v>1875</v>
      </c>
      <c r="L1206" s="1" t="s">
        <v>391</v>
      </c>
      <c r="M1206" s="1">
        <v>1600.0</v>
      </c>
      <c r="N1206" s="1" t="s">
        <v>391</v>
      </c>
      <c r="O1206" s="1">
        <v>9.68755756E8</v>
      </c>
      <c r="P1206" s="1" t="s">
        <v>1806</v>
      </c>
      <c r="R1206" s="1" t="s">
        <v>1807</v>
      </c>
      <c r="S1206" s="1" t="s">
        <v>44</v>
      </c>
      <c r="T1206" s="1" t="s">
        <v>45</v>
      </c>
      <c r="U1206" s="1">
        <v>4.82262917E8</v>
      </c>
      <c r="W1206" s="1" t="s">
        <v>46</v>
      </c>
      <c r="X1206" s="1" t="s">
        <v>45</v>
      </c>
      <c r="Y1206" s="1">
        <v>4.82022943E8</v>
      </c>
      <c r="AB1206" s="1">
        <v>2471400.0</v>
      </c>
      <c r="AC1206" s="2">
        <v>41551.0</v>
      </c>
      <c r="AD1206" s="1">
        <v>1600.0</v>
      </c>
      <c r="AE1206" s="1" t="s">
        <v>391</v>
      </c>
      <c r="AF1206" s="1" t="s">
        <v>1876</v>
      </c>
      <c r="AG1206" s="1" t="s">
        <v>1877</v>
      </c>
      <c r="AH1206" s="1">
        <v>11.0</v>
      </c>
      <c r="AI1206" s="1">
        <v>2014.0</v>
      </c>
      <c r="AJ1206" s="1">
        <v>2014.0</v>
      </c>
      <c r="AK1206" s="1" t="s">
        <v>1878</v>
      </c>
    </row>
    <row r="1207">
      <c r="A1207" s="1" t="s">
        <v>2097</v>
      </c>
      <c r="B1207" s="1" t="s">
        <v>2097</v>
      </c>
      <c r="C1207" s="1" t="s">
        <v>964</v>
      </c>
      <c r="E1207" s="1">
        <v>4.2339816E7</v>
      </c>
      <c r="F1207" s="2">
        <v>41548.0</v>
      </c>
      <c r="G1207" s="1" t="s">
        <v>2098</v>
      </c>
      <c r="I1207" s="1" t="s">
        <v>2098</v>
      </c>
      <c r="L1207" s="1" t="s">
        <v>40</v>
      </c>
      <c r="M1207" s="1">
        <v>7500.0</v>
      </c>
      <c r="N1207" s="1" t="s">
        <v>40</v>
      </c>
      <c r="O1207" s="1">
        <v>1.7406606E7</v>
      </c>
      <c r="P1207" s="1" t="s">
        <v>1574</v>
      </c>
      <c r="Q1207" s="1" t="s">
        <v>2660</v>
      </c>
      <c r="R1207" s="1" t="s">
        <v>1575</v>
      </c>
      <c r="S1207" s="1" t="s">
        <v>44</v>
      </c>
      <c r="T1207" s="1" t="s">
        <v>45</v>
      </c>
      <c r="U1207" s="1">
        <v>4.82282826E8</v>
      </c>
      <c r="W1207" s="1" t="s">
        <v>46</v>
      </c>
      <c r="X1207" s="1" t="s">
        <v>45</v>
      </c>
      <c r="Y1207" s="1">
        <v>4.82282826E8</v>
      </c>
      <c r="Z1207" s="1">
        <v>1.18715846E8</v>
      </c>
      <c r="AA1207" s="1" t="s">
        <v>2661</v>
      </c>
      <c r="AB1207" s="1">
        <v>315553.0</v>
      </c>
      <c r="AC1207" s="2">
        <v>41548.0</v>
      </c>
      <c r="AD1207" s="1">
        <v>7500.0</v>
      </c>
      <c r="AE1207" s="1" t="s">
        <v>40</v>
      </c>
      <c r="AF1207" s="1">
        <v>2.0141454E7</v>
      </c>
      <c r="AG1207" s="1" t="s">
        <v>2099</v>
      </c>
      <c r="AH1207" s="1">
        <v>10.0</v>
      </c>
      <c r="AI1207" s="1">
        <v>2010.0</v>
      </c>
      <c r="AJ1207" s="1">
        <v>2014.0</v>
      </c>
      <c r="AK1207" s="1" t="s">
        <v>2100</v>
      </c>
    </row>
    <row r="1208">
      <c r="A1208" s="1" t="s">
        <v>2097</v>
      </c>
      <c r="B1208" s="1" t="s">
        <v>2097</v>
      </c>
      <c r="C1208" s="1" t="s">
        <v>964</v>
      </c>
      <c r="E1208" s="1">
        <v>4.2339816E7</v>
      </c>
      <c r="F1208" s="2">
        <v>41183.0</v>
      </c>
      <c r="G1208" s="1" t="s">
        <v>2098</v>
      </c>
      <c r="I1208" s="1" t="s">
        <v>2098</v>
      </c>
      <c r="L1208" s="1" t="s">
        <v>40</v>
      </c>
      <c r="M1208" s="1">
        <v>7500.0</v>
      </c>
      <c r="N1208" s="1" t="s">
        <v>40</v>
      </c>
      <c r="O1208" s="1">
        <v>7.8583404E7</v>
      </c>
      <c r="P1208" s="1" t="s">
        <v>65</v>
      </c>
      <c r="R1208" s="1" t="s">
        <v>1573</v>
      </c>
      <c r="S1208" s="1" t="s">
        <v>44</v>
      </c>
      <c r="T1208" s="1" t="s">
        <v>45</v>
      </c>
      <c r="U1208" s="1">
        <v>4.8207311E8</v>
      </c>
      <c r="W1208" s="1" t="s">
        <v>46</v>
      </c>
      <c r="X1208" s="1" t="s">
        <v>45</v>
      </c>
      <c r="Y1208" s="1">
        <v>4.82021732E8</v>
      </c>
      <c r="Z1208" s="1">
        <v>6.0189214E7</v>
      </c>
      <c r="AB1208" s="1">
        <v>314253.0</v>
      </c>
      <c r="AC1208" s="2">
        <v>41183.0</v>
      </c>
      <c r="AD1208" s="1">
        <v>7500.0</v>
      </c>
      <c r="AE1208" s="1" t="s">
        <v>40</v>
      </c>
      <c r="AF1208" s="1">
        <v>2.01304E7</v>
      </c>
      <c r="AG1208" s="1" t="s">
        <v>2099</v>
      </c>
      <c r="AH1208" s="1">
        <v>10.0</v>
      </c>
      <c r="AI1208" s="1">
        <v>2010.0</v>
      </c>
      <c r="AJ1208" s="1">
        <v>2013.0</v>
      </c>
      <c r="AK1208" s="1" t="s">
        <v>2100</v>
      </c>
    </row>
    <row r="1209">
      <c r="A1209" s="1" t="s">
        <v>1922</v>
      </c>
      <c r="B1209" s="1" t="s">
        <v>1922</v>
      </c>
      <c r="C1209" s="1" t="s">
        <v>38</v>
      </c>
      <c r="E1209" s="1">
        <v>1.3829118E7</v>
      </c>
      <c r="F1209" s="2">
        <v>41935.0</v>
      </c>
      <c r="G1209" s="1" t="s">
        <v>1923</v>
      </c>
      <c r="I1209" s="1" t="s">
        <v>1923</v>
      </c>
      <c r="L1209" s="1" t="s">
        <v>40</v>
      </c>
      <c r="M1209" s="1">
        <v>7500.0</v>
      </c>
      <c r="N1209" s="1" t="s">
        <v>40</v>
      </c>
      <c r="O1209" s="1">
        <v>1962224.0</v>
      </c>
      <c r="P1209" s="1" t="s">
        <v>52</v>
      </c>
      <c r="R1209" s="1" t="s">
        <v>53</v>
      </c>
      <c r="S1209" s="1" t="s">
        <v>44</v>
      </c>
      <c r="T1209" s="1" t="s">
        <v>45</v>
      </c>
      <c r="U1209" s="1">
        <v>4.82023692E8</v>
      </c>
      <c r="W1209" s="1" t="s">
        <v>46</v>
      </c>
      <c r="X1209" s="1" t="s">
        <v>45</v>
      </c>
      <c r="Y1209" s="1">
        <v>4.8202405E8</v>
      </c>
      <c r="Z1209" s="1">
        <v>1962224.0</v>
      </c>
      <c r="AA1209" s="1" t="s">
        <v>52</v>
      </c>
      <c r="AB1209" s="1">
        <v>28369.0</v>
      </c>
      <c r="AC1209" s="2">
        <v>41935.0</v>
      </c>
      <c r="AD1209" s="1">
        <v>7500.0</v>
      </c>
      <c r="AE1209" s="1" t="s">
        <v>40</v>
      </c>
      <c r="AF1209" s="1" t="s">
        <v>2662</v>
      </c>
      <c r="AG1209" s="1" t="s">
        <v>1923</v>
      </c>
      <c r="AH1209" s="1">
        <v>11.0</v>
      </c>
      <c r="AI1209" s="1">
        <v>2014.0</v>
      </c>
      <c r="AJ1209" s="1">
        <v>2015.0</v>
      </c>
      <c r="AK1209" s="1" t="s">
        <v>973</v>
      </c>
    </row>
    <row r="1210">
      <c r="A1210" s="1" t="s">
        <v>2663</v>
      </c>
      <c r="B1210" s="1" t="s">
        <v>2663</v>
      </c>
      <c r="C1210" s="1" t="s">
        <v>129</v>
      </c>
      <c r="E1210" s="1">
        <v>1516423.0</v>
      </c>
      <c r="F1210" s="2">
        <v>41913.0</v>
      </c>
      <c r="G1210" s="1" t="s">
        <v>2664</v>
      </c>
      <c r="I1210" s="1" t="s">
        <v>2664</v>
      </c>
      <c r="L1210" s="1" t="s">
        <v>40</v>
      </c>
      <c r="M1210" s="1">
        <v>7500.0</v>
      </c>
      <c r="N1210" s="1" t="s">
        <v>40</v>
      </c>
      <c r="O1210" s="1">
        <v>1.41947783E8</v>
      </c>
      <c r="P1210" s="1" t="s">
        <v>144</v>
      </c>
      <c r="R1210" s="1" t="s">
        <v>145</v>
      </c>
      <c r="S1210" s="1" t="s">
        <v>44</v>
      </c>
      <c r="T1210" s="1" t="s">
        <v>45</v>
      </c>
      <c r="U1210" s="1">
        <v>4.82362148E8</v>
      </c>
      <c r="W1210" s="1" t="s">
        <v>46</v>
      </c>
      <c r="X1210" s="1" t="s">
        <v>45</v>
      </c>
      <c r="Y1210" s="1">
        <v>4.82362148E8</v>
      </c>
      <c r="AB1210" s="1">
        <v>100000.0</v>
      </c>
      <c r="AC1210" s="2">
        <v>41913.0</v>
      </c>
      <c r="AD1210" s="1">
        <v>7500.0</v>
      </c>
      <c r="AE1210" s="1" t="s">
        <v>40</v>
      </c>
      <c r="AF1210" s="1">
        <v>2.0150177E7</v>
      </c>
      <c r="AG1210" s="1" t="s">
        <v>146</v>
      </c>
      <c r="AH1210" s="1">
        <v>10.0</v>
      </c>
      <c r="AI1210" s="1">
        <v>2014.0</v>
      </c>
      <c r="AJ1210" s="1">
        <v>2015.0</v>
      </c>
      <c r="AK1210" s="1" t="s">
        <v>147</v>
      </c>
    </row>
    <row r="1211">
      <c r="A1211" s="1" t="s">
        <v>2665</v>
      </c>
      <c r="B1211" s="1" t="s">
        <v>2665</v>
      </c>
      <c r="C1211" s="1" t="s">
        <v>159</v>
      </c>
      <c r="E1211" s="1">
        <v>1759119.0</v>
      </c>
      <c r="F1211" s="2">
        <v>41936.0</v>
      </c>
      <c r="G1211" s="1" t="s">
        <v>2666</v>
      </c>
      <c r="I1211" s="1" t="s">
        <v>2666</v>
      </c>
      <c r="L1211" s="1" t="s">
        <v>40</v>
      </c>
      <c r="M1211" s="1">
        <v>7500.0</v>
      </c>
      <c r="N1211" s="1" t="s">
        <v>40</v>
      </c>
      <c r="O1211" s="1">
        <v>1962224.0</v>
      </c>
      <c r="P1211" s="1" t="s">
        <v>52</v>
      </c>
      <c r="Q1211" s="1" t="s">
        <v>1566</v>
      </c>
      <c r="R1211" s="1" t="s">
        <v>1885</v>
      </c>
      <c r="S1211" s="1" t="s">
        <v>44</v>
      </c>
      <c r="T1211" s="1" t="s">
        <v>45</v>
      </c>
      <c r="U1211" s="1">
        <v>4.82021347E8</v>
      </c>
      <c r="W1211" s="1" t="s">
        <v>46</v>
      </c>
      <c r="X1211" s="1" t="s">
        <v>45</v>
      </c>
      <c r="Y1211" s="1">
        <v>4.8202405E8</v>
      </c>
      <c r="Z1211" s="1">
        <v>1962224.0</v>
      </c>
      <c r="AA1211" s="1" t="s">
        <v>52</v>
      </c>
      <c r="AB1211" s="1">
        <v>27000.0</v>
      </c>
      <c r="AC1211" s="2">
        <v>41936.0</v>
      </c>
      <c r="AD1211" s="1">
        <v>7500.0</v>
      </c>
      <c r="AE1211" s="1" t="s">
        <v>40</v>
      </c>
      <c r="AF1211" s="1" t="s">
        <v>2667</v>
      </c>
      <c r="AG1211" s="1" t="s">
        <v>2668</v>
      </c>
      <c r="AH1211" s="1">
        <v>11.0</v>
      </c>
      <c r="AI1211" s="1">
        <v>2014.0</v>
      </c>
      <c r="AJ1211" s="1">
        <v>2015.0</v>
      </c>
      <c r="AK1211" s="1" t="s">
        <v>2669</v>
      </c>
    </row>
    <row r="1212">
      <c r="A1212" s="1" t="s">
        <v>128</v>
      </c>
      <c r="B1212" s="1" t="s">
        <v>128</v>
      </c>
      <c r="C1212" s="1" t="s">
        <v>129</v>
      </c>
      <c r="E1212" s="1">
        <v>2.23784E7</v>
      </c>
      <c r="F1212" s="2">
        <v>41912.0</v>
      </c>
      <c r="G1212" s="1" t="s">
        <v>1584</v>
      </c>
      <c r="I1212" s="1" t="s">
        <v>1584</v>
      </c>
      <c r="L1212" s="1" t="s">
        <v>40</v>
      </c>
      <c r="M1212" s="1">
        <v>7500.0</v>
      </c>
      <c r="N1212" s="1" t="s">
        <v>40</v>
      </c>
      <c r="O1212" s="1">
        <v>6.9840817E7</v>
      </c>
      <c r="P1212" s="1" t="s">
        <v>131</v>
      </c>
      <c r="R1212" s="1" t="s">
        <v>132</v>
      </c>
      <c r="S1212" s="1" t="s">
        <v>44</v>
      </c>
      <c r="T1212" s="1" t="s">
        <v>45</v>
      </c>
      <c r="U1212" s="1">
        <v>4.8214261E8</v>
      </c>
      <c r="W1212" s="1" t="s">
        <v>133</v>
      </c>
      <c r="X1212" s="1" t="s">
        <v>45</v>
      </c>
      <c r="Y1212" s="1">
        <v>4.8214261E8</v>
      </c>
      <c r="Z1212" s="1">
        <v>6.9840817E7</v>
      </c>
      <c r="AA1212" s="1" t="s">
        <v>131</v>
      </c>
      <c r="AB1212" s="1">
        <v>849300.0</v>
      </c>
      <c r="AC1212" s="2">
        <v>41912.0</v>
      </c>
      <c r="AD1212" s="1">
        <v>7500.0</v>
      </c>
      <c r="AE1212" s="1" t="s">
        <v>40</v>
      </c>
      <c r="AF1212" s="1" t="s">
        <v>2670</v>
      </c>
      <c r="AG1212" s="1" t="s">
        <v>1262</v>
      </c>
      <c r="AH1212" s="1">
        <v>9.0</v>
      </c>
      <c r="AI1212" s="1">
        <v>2014.0</v>
      </c>
      <c r="AJ1212" s="1">
        <v>2014.0</v>
      </c>
      <c r="AK1212" s="1" t="s">
        <v>136</v>
      </c>
    </row>
    <row r="1213">
      <c r="A1213" s="1" t="s">
        <v>2671</v>
      </c>
      <c r="B1213" s="1" t="s">
        <v>2671</v>
      </c>
      <c r="C1213" s="1" t="s">
        <v>63</v>
      </c>
      <c r="E1213" s="1">
        <v>900000.0</v>
      </c>
      <c r="F1213" s="2">
        <v>41183.0</v>
      </c>
      <c r="G1213" s="1" t="s">
        <v>2672</v>
      </c>
      <c r="I1213" s="1" t="s">
        <v>2672</v>
      </c>
      <c r="L1213" s="1" t="s">
        <v>40</v>
      </c>
      <c r="M1213" s="1">
        <v>7500.0</v>
      </c>
      <c r="N1213" s="1" t="s">
        <v>40</v>
      </c>
      <c r="O1213" s="1">
        <v>1962224.0</v>
      </c>
      <c r="P1213" s="1" t="s">
        <v>52</v>
      </c>
      <c r="Q1213" s="1" t="s">
        <v>1420</v>
      </c>
      <c r="R1213" s="1" t="s">
        <v>1885</v>
      </c>
      <c r="S1213" s="1" t="s">
        <v>44</v>
      </c>
      <c r="T1213" s="1" t="s">
        <v>45</v>
      </c>
      <c r="U1213" s="1">
        <v>4.82021347E8</v>
      </c>
      <c r="W1213" s="1" t="s">
        <v>46</v>
      </c>
      <c r="X1213" s="1" t="s">
        <v>45</v>
      </c>
      <c r="Y1213" s="1">
        <v>4.82023692E8</v>
      </c>
      <c r="Z1213" s="1">
        <v>1962224.0</v>
      </c>
      <c r="AA1213" s="1" t="s">
        <v>52</v>
      </c>
      <c r="AB1213" s="1">
        <v>3000.0</v>
      </c>
      <c r="AC1213" s="2">
        <v>41183.0</v>
      </c>
      <c r="AD1213" s="1">
        <v>7500.0</v>
      </c>
      <c r="AE1213" s="1" t="s">
        <v>40</v>
      </c>
      <c r="AF1213" s="1">
        <v>2.0131054E7</v>
      </c>
      <c r="AG1213" s="1" t="s">
        <v>2673</v>
      </c>
      <c r="AH1213" s="1">
        <v>10.0</v>
      </c>
      <c r="AI1213" s="1">
        <v>2012.0</v>
      </c>
      <c r="AJ1213" s="1">
        <v>2013.0</v>
      </c>
      <c r="AK1213" s="1" t="s">
        <v>2674</v>
      </c>
    </row>
    <row r="1214">
      <c r="A1214" s="1" t="s">
        <v>2671</v>
      </c>
      <c r="B1214" s="1" t="s">
        <v>2671</v>
      </c>
      <c r="C1214" s="1" t="s">
        <v>63</v>
      </c>
      <c r="E1214" s="1">
        <v>900000.0</v>
      </c>
      <c r="F1214" s="2">
        <v>41183.0</v>
      </c>
      <c r="G1214" s="1" t="s">
        <v>2672</v>
      </c>
      <c r="I1214" s="1" t="s">
        <v>2672</v>
      </c>
      <c r="L1214" s="1" t="s">
        <v>40</v>
      </c>
      <c r="M1214" s="1">
        <v>7500.0</v>
      </c>
      <c r="N1214" s="1" t="s">
        <v>40</v>
      </c>
      <c r="O1214" s="1">
        <v>1962224.0</v>
      </c>
      <c r="P1214" s="1" t="s">
        <v>52</v>
      </c>
      <c r="Q1214" s="1" t="s">
        <v>1566</v>
      </c>
      <c r="R1214" s="1" t="s">
        <v>1885</v>
      </c>
      <c r="S1214" s="1" t="s">
        <v>44</v>
      </c>
      <c r="T1214" s="1" t="s">
        <v>45</v>
      </c>
      <c r="U1214" s="1">
        <v>4.82021347E8</v>
      </c>
      <c r="W1214" s="1" t="s">
        <v>46</v>
      </c>
      <c r="X1214" s="1" t="s">
        <v>45</v>
      </c>
      <c r="Y1214" s="1">
        <v>4.82023692E8</v>
      </c>
      <c r="Z1214" s="1">
        <v>1962224.0</v>
      </c>
      <c r="AA1214" s="1" t="s">
        <v>52</v>
      </c>
      <c r="AB1214" s="1">
        <v>20000.0</v>
      </c>
      <c r="AC1214" s="2">
        <v>41183.0</v>
      </c>
      <c r="AD1214" s="1">
        <v>7500.0</v>
      </c>
      <c r="AE1214" s="1" t="s">
        <v>40</v>
      </c>
      <c r="AF1214" s="1">
        <v>2.0131054E7</v>
      </c>
      <c r="AG1214" s="1" t="s">
        <v>2673</v>
      </c>
      <c r="AH1214" s="1">
        <v>10.0</v>
      </c>
      <c r="AI1214" s="1">
        <v>2012.0</v>
      </c>
      <c r="AJ1214" s="1">
        <v>2013.0</v>
      </c>
      <c r="AK1214" s="1" t="s">
        <v>2674</v>
      </c>
    </row>
    <row r="1215">
      <c r="A1215" s="1" t="s">
        <v>2675</v>
      </c>
      <c r="B1215" s="1" t="s">
        <v>2675</v>
      </c>
      <c r="C1215" s="1" t="s">
        <v>63</v>
      </c>
      <c r="E1215" s="1">
        <v>2216760.0</v>
      </c>
      <c r="F1215" s="2">
        <v>41183.0</v>
      </c>
      <c r="G1215" s="1" t="s">
        <v>2676</v>
      </c>
      <c r="I1215" s="1" t="s">
        <v>2676</v>
      </c>
      <c r="L1215" s="1" t="s">
        <v>40</v>
      </c>
      <c r="M1215" s="1">
        <v>7500.0</v>
      </c>
      <c r="N1215" s="1" t="s">
        <v>40</v>
      </c>
      <c r="O1215" s="1">
        <v>3.8775243E7</v>
      </c>
      <c r="P1215" s="1" t="s">
        <v>209</v>
      </c>
      <c r="Q1215" s="1" t="s">
        <v>210</v>
      </c>
      <c r="R1215" s="1" t="s">
        <v>211</v>
      </c>
      <c r="S1215" s="1" t="s">
        <v>44</v>
      </c>
      <c r="T1215" s="1" t="s">
        <v>45</v>
      </c>
      <c r="U1215" s="1">
        <v>4.82023068E8</v>
      </c>
      <c r="W1215" s="1" t="s">
        <v>46</v>
      </c>
      <c r="X1215" s="1" t="s">
        <v>45</v>
      </c>
      <c r="Y1215" s="1">
        <v>4.82023068E8</v>
      </c>
      <c r="Z1215" s="1">
        <v>3.8775243E7</v>
      </c>
      <c r="AA1215" s="1" t="s">
        <v>209</v>
      </c>
      <c r="AB1215" s="1">
        <v>20000.0</v>
      </c>
      <c r="AC1215" s="2">
        <v>41183.0</v>
      </c>
      <c r="AD1215" s="1">
        <v>7500.0</v>
      </c>
      <c r="AE1215" s="1" t="s">
        <v>40</v>
      </c>
      <c r="AF1215" s="1">
        <v>2.013109E7</v>
      </c>
      <c r="AG1215" s="1" t="s">
        <v>2677</v>
      </c>
      <c r="AH1215" s="1">
        <v>10.0</v>
      </c>
      <c r="AI1215" s="1">
        <v>2010.0</v>
      </c>
      <c r="AJ1215" s="1">
        <v>2013.0</v>
      </c>
      <c r="AK1215" s="1" t="s">
        <v>1410</v>
      </c>
    </row>
    <row r="1216">
      <c r="A1216" s="1" t="s">
        <v>2678</v>
      </c>
      <c r="B1216" s="1" t="s">
        <v>2678</v>
      </c>
      <c r="C1216" s="1" t="s">
        <v>63</v>
      </c>
      <c r="E1216" s="1">
        <v>2652028.0</v>
      </c>
      <c r="F1216" s="2">
        <v>41548.0</v>
      </c>
      <c r="G1216" s="1" t="s">
        <v>2679</v>
      </c>
      <c r="I1216" s="1" t="s">
        <v>2679</v>
      </c>
      <c r="L1216" s="1" t="s">
        <v>40</v>
      </c>
      <c r="M1216" s="1">
        <v>7500.0</v>
      </c>
      <c r="N1216" s="1" t="s">
        <v>40</v>
      </c>
      <c r="O1216" s="1">
        <v>3.8775243E7</v>
      </c>
      <c r="P1216" s="1" t="s">
        <v>209</v>
      </c>
      <c r="Q1216" s="1" t="s">
        <v>210</v>
      </c>
      <c r="R1216" s="1" t="s">
        <v>211</v>
      </c>
      <c r="S1216" s="1" t="s">
        <v>44</v>
      </c>
      <c r="T1216" s="1" t="s">
        <v>45</v>
      </c>
      <c r="U1216" s="1">
        <v>4.82023068E8</v>
      </c>
      <c r="W1216" s="1" t="s">
        <v>46</v>
      </c>
      <c r="X1216" s="1" t="s">
        <v>45</v>
      </c>
      <c r="Y1216" s="1">
        <v>4.82023068E8</v>
      </c>
      <c r="Z1216" s="1">
        <v>3.8775243E7</v>
      </c>
      <c r="AA1216" s="1" t="s">
        <v>209</v>
      </c>
      <c r="AB1216" s="1">
        <v>1156784.17</v>
      </c>
      <c r="AC1216" s="2">
        <v>41548.0</v>
      </c>
      <c r="AD1216" s="1">
        <v>7500.0</v>
      </c>
      <c r="AE1216" s="1" t="s">
        <v>40</v>
      </c>
      <c r="AF1216" s="1">
        <v>2.0140733E7</v>
      </c>
      <c r="AG1216" s="1" t="s">
        <v>2680</v>
      </c>
      <c r="AH1216" s="1">
        <v>10.0</v>
      </c>
      <c r="AI1216" s="1">
        <v>2013.0</v>
      </c>
      <c r="AJ1216" s="1">
        <v>2014.0</v>
      </c>
      <c r="AK1216" s="1" t="s">
        <v>1572</v>
      </c>
    </row>
    <row r="1217">
      <c r="A1217" s="1" t="s">
        <v>2681</v>
      </c>
      <c r="B1217" s="1" t="s">
        <v>2681</v>
      </c>
      <c r="C1217" s="1" t="s">
        <v>159</v>
      </c>
      <c r="E1217" s="1">
        <v>1.809661E7</v>
      </c>
      <c r="F1217" s="2">
        <v>41548.0</v>
      </c>
      <c r="G1217" s="1" t="s">
        <v>2682</v>
      </c>
      <c r="I1217" s="1" t="s">
        <v>2682</v>
      </c>
      <c r="L1217" s="1" t="s">
        <v>40</v>
      </c>
      <c r="M1217" s="1">
        <v>7500.0</v>
      </c>
      <c r="N1217" s="1" t="s">
        <v>40</v>
      </c>
      <c r="O1217" s="1">
        <v>7596352.0</v>
      </c>
      <c r="P1217" s="1" t="s">
        <v>73</v>
      </c>
      <c r="R1217" s="1" t="s">
        <v>1578</v>
      </c>
      <c r="S1217" s="1" t="s">
        <v>44</v>
      </c>
      <c r="T1217" s="1" t="s">
        <v>45</v>
      </c>
      <c r="U1217" s="1">
        <v>4.82263269E8</v>
      </c>
      <c r="W1217" s="1" t="s">
        <v>46</v>
      </c>
      <c r="X1217" s="1" t="s">
        <v>45</v>
      </c>
      <c r="Y1217" s="1">
        <v>4.82263269E8</v>
      </c>
      <c r="Z1217" s="1">
        <v>6530661.0</v>
      </c>
      <c r="AA1217" s="1" t="s">
        <v>76</v>
      </c>
      <c r="AB1217" s="1">
        <v>1351698.17</v>
      </c>
      <c r="AC1217" s="2">
        <v>41548.0</v>
      </c>
      <c r="AD1217" s="1">
        <v>7500.0</v>
      </c>
      <c r="AE1217" s="1" t="s">
        <v>40</v>
      </c>
      <c r="AF1217" s="1">
        <v>2.0141454E7</v>
      </c>
      <c r="AG1217" s="1" t="s">
        <v>2683</v>
      </c>
      <c r="AH1217" s="1">
        <v>10.0</v>
      </c>
      <c r="AI1217" s="1">
        <v>2012.0</v>
      </c>
      <c r="AJ1217" s="1">
        <v>2014.0</v>
      </c>
      <c r="AK1217" s="1" t="s">
        <v>2684</v>
      </c>
    </row>
    <row r="1218">
      <c r="A1218" s="1" t="s">
        <v>2681</v>
      </c>
      <c r="B1218" s="1" t="s">
        <v>2681</v>
      </c>
      <c r="C1218" s="1" t="s">
        <v>159</v>
      </c>
      <c r="E1218" s="1">
        <v>1.809661E7</v>
      </c>
      <c r="F1218" s="2">
        <v>41183.0</v>
      </c>
      <c r="G1218" s="1" t="s">
        <v>2682</v>
      </c>
      <c r="I1218" s="1" t="s">
        <v>2682</v>
      </c>
      <c r="L1218" s="1" t="s">
        <v>40</v>
      </c>
      <c r="M1218" s="1">
        <v>7500.0</v>
      </c>
      <c r="N1218" s="1" t="s">
        <v>40</v>
      </c>
      <c r="O1218" s="1">
        <v>1962224.0</v>
      </c>
      <c r="P1218" s="1" t="s">
        <v>52</v>
      </c>
      <c r="R1218" s="1" t="s">
        <v>1885</v>
      </c>
      <c r="S1218" s="1" t="s">
        <v>44</v>
      </c>
      <c r="T1218" s="1" t="s">
        <v>45</v>
      </c>
      <c r="U1218" s="1">
        <v>4.82021347E8</v>
      </c>
      <c r="W1218" s="1" t="s">
        <v>2685</v>
      </c>
      <c r="X1218" s="1" t="s">
        <v>45</v>
      </c>
      <c r="Y1218" s="1">
        <v>4.82011347E8</v>
      </c>
      <c r="Z1218" s="1">
        <v>1962224.0</v>
      </c>
      <c r="AA1218" s="1" t="s">
        <v>52</v>
      </c>
      <c r="AB1218" s="1">
        <v>20000.0</v>
      </c>
      <c r="AC1218" s="2">
        <v>41183.0</v>
      </c>
      <c r="AD1218" s="1">
        <v>7500.0</v>
      </c>
      <c r="AE1218" s="1" t="s">
        <v>40</v>
      </c>
      <c r="AF1218" s="1">
        <v>2.0131609E7</v>
      </c>
      <c r="AG1218" s="1" t="s">
        <v>2683</v>
      </c>
      <c r="AH1218" s="1">
        <v>10.0</v>
      </c>
      <c r="AI1218" s="1">
        <v>2012.0</v>
      </c>
      <c r="AJ1218" s="1">
        <v>2013.0</v>
      </c>
      <c r="AK1218" s="1" t="s">
        <v>2684</v>
      </c>
    </row>
    <row r="1219">
      <c r="A1219" s="1" t="s">
        <v>2681</v>
      </c>
      <c r="B1219" s="1" t="s">
        <v>2681</v>
      </c>
      <c r="C1219" s="1" t="s">
        <v>159</v>
      </c>
      <c r="E1219" s="1">
        <v>1.809661E7</v>
      </c>
      <c r="F1219" s="2">
        <v>41183.0</v>
      </c>
      <c r="G1219" s="1" t="s">
        <v>2682</v>
      </c>
      <c r="I1219" s="1" t="s">
        <v>2682</v>
      </c>
      <c r="L1219" s="1" t="s">
        <v>40</v>
      </c>
      <c r="M1219" s="1">
        <v>7500.0</v>
      </c>
      <c r="N1219" s="1" t="s">
        <v>40</v>
      </c>
      <c r="O1219" s="1">
        <v>3.8775243E7</v>
      </c>
      <c r="P1219" s="1" t="s">
        <v>209</v>
      </c>
      <c r="Q1219" s="1" t="s">
        <v>210</v>
      </c>
      <c r="R1219" s="1" t="s">
        <v>211</v>
      </c>
      <c r="S1219" s="1" t="s">
        <v>44</v>
      </c>
      <c r="T1219" s="1" t="s">
        <v>45</v>
      </c>
      <c r="U1219" s="1">
        <v>4.82023068E8</v>
      </c>
      <c r="W1219" s="1" t="s">
        <v>46</v>
      </c>
      <c r="X1219" s="1" t="s">
        <v>45</v>
      </c>
      <c r="Y1219" s="1">
        <v>4.82023068E8</v>
      </c>
      <c r="Z1219" s="1">
        <v>3.8775243E7</v>
      </c>
      <c r="AA1219" s="1" t="s">
        <v>209</v>
      </c>
      <c r="AB1219" s="1">
        <v>0.0</v>
      </c>
      <c r="AC1219" s="2">
        <v>41183.0</v>
      </c>
      <c r="AD1219" s="1">
        <v>7500.0</v>
      </c>
      <c r="AE1219" s="1" t="s">
        <v>40</v>
      </c>
      <c r="AF1219" s="1">
        <v>2.0131238E7</v>
      </c>
      <c r="AG1219" s="1" t="s">
        <v>2683</v>
      </c>
      <c r="AH1219" s="1">
        <v>10.0</v>
      </c>
      <c r="AI1219" s="1">
        <v>2012.0</v>
      </c>
      <c r="AJ1219" s="1">
        <v>2013.0</v>
      </c>
      <c r="AK1219" s="1" t="s">
        <v>2684</v>
      </c>
    </row>
    <row r="1220">
      <c r="A1220" s="1" t="s">
        <v>2681</v>
      </c>
      <c r="B1220" s="1" t="s">
        <v>2681</v>
      </c>
      <c r="C1220" s="1" t="s">
        <v>159</v>
      </c>
      <c r="E1220" s="1">
        <v>1.809661E7</v>
      </c>
      <c r="F1220" s="2">
        <v>41183.0</v>
      </c>
      <c r="G1220" s="1" t="s">
        <v>2682</v>
      </c>
      <c r="I1220" s="1" t="s">
        <v>2682</v>
      </c>
      <c r="L1220" s="1" t="s">
        <v>40</v>
      </c>
      <c r="M1220" s="1">
        <v>7500.0</v>
      </c>
      <c r="N1220" s="1" t="s">
        <v>40</v>
      </c>
      <c r="O1220" s="1">
        <v>3.8775243E7</v>
      </c>
      <c r="P1220" s="1" t="s">
        <v>209</v>
      </c>
      <c r="Q1220" s="1" t="s">
        <v>210</v>
      </c>
      <c r="R1220" s="1" t="s">
        <v>211</v>
      </c>
      <c r="S1220" s="1" t="s">
        <v>44</v>
      </c>
      <c r="T1220" s="1" t="s">
        <v>45</v>
      </c>
      <c r="U1220" s="1">
        <v>4.82023068E8</v>
      </c>
      <c r="W1220" s="1" t="s">
        <v>46</v>
      </c>
      <c r="X1220" s="1" t="s">
        <v>45</v>
      </c>
      <c r="Y1220" s="1">
        <v>4.82023068E8</v>
      </c>
      <c r="Z1220" s="1">
        <v>3.8775243E7</v>
      </c>
      <c r="AA1220" s="1" t="s">
        <v>209</v>
      </c>
      <c r="AB1220" s="1">
        <v>104600.0</v>
      </c>
      <c r="AC1220" s="2">
        <v>41183.0</v>
      </c>
      <c r="AD1220" s="1">
        <v>7500.0</v>
      </c>
      <c r="AE1220" s="1" t="s">
        <v>40</v>
      </c>
      <c r="AF1220" s="1">
        <v>2.0131095E7</v>
      </c>
      <c r="AG1220" s="1" t="s">
        <v>2683</v>
      </c>
      <c r="AH1220" s="1">
        <v>10.0</v>
      </c>
      <c r="AI1220" s="1">
        <v>2012.0</v>
      </c>
      <c r="AJ1220" s="1">
        <v>2013.0</v>
      </c>
      <c r="AK1220" s="1" t="s">
        <v>2684</v>
      </c>
    </row>
    <row r="1221">
      <c r="A1221" s="1" t="s">
        <v>2681</v>
      </c>
      <c r="B1221" s="1" t="s">
        <v>2681</v>
      </c>
      <c r="C1221" s="1" t="s">
        <v>159</v>
      </c>
      <c r="E1221" s="1">
        <v>1.809661E7</v>
      </c>
      <c r="F1221" s="2">
        <v>41183.0</v>
      </c>
      <c r="G1221" s="1" t="s">
        <v>2682</v>
      </c>
      <c r="I1221" s="1" t="s">
        <v>2682</v>
      </c>
      <c r="L1221" s="1" t="s">
        <v>40</v>
      </c>
      <c r="M1221" s="1">
        <v>7500.0</v>
      </c>
      <c r="N1221" s="1" t="s">
        <v>40</v>
      </c>
      <c r="O1221" s="1">
        <v>7.3134603E7</v>
      </c>
      <c r="P1221" s="1" t="s">
        <v>41</v>
      </c>
      <c r="Q1221" s="1" t="s">
        <v>252</v>
      </c>
      <c r="R1221" s="1" t="s">
        <v>253</v>
      </c>
      <c r="S1221" s="1" t="s">
        <v>44</v>
      </c>
      <c r="T1221" s="1" t="s">
        <v>45</v>
      </c>
      <c r="U1221" s="1">
        <v>4.8202345E8</v>
      </c>
      <c r="W1221" s="1" t="s">
        <v>46</v>
      </c>
      <c r="X1221" s="1" t="s">
        <v>45</v>
      </c>
      <c r="Y1221" s="1">
        <v>4.8202345E8</v>
      </c>
      <c r="Z1221" s="1">
        <v>7.3134603E7</v>
      </c>
      <c r="AA1221" s="1" t="s">
        <v>41</v>
      </c>
      <c r="AB1221" s="1">
        <v>65000.0</v>
      </c>
      <c r="AC1221" s="2">
        <v>41183.0</v>
      </c>
      <c r="AD1221" s="1">
        <v>7500.0</v>
      </c>
      <c r="AE1221" s="1" t="s">
        <v>40</v>
      </c>
      <c r="AF1221" s="1">
        <v>2.0130118E7</v>
      </c>
      <c r="AG1221" s="1" t="s">
        <v>2683</v>
      </c>
      <c r="AH1221" s="1">
        <v>10.0</v>
      </c>
      <c r="AI1221" s="1">
        <v>2012.0</v>
      </c>
      <c r="AJ1221" s="1">
        <v>2013.0</v>
      </c>
      <c r="AK1221" s="1" t="s">
        <v>2684</v>
      </c>
    </row>
    <row r="1222">
      <c r="A1222" s="1" t="s">
        <v>2681</v>
      </c>
      <c r="B1222" s="1" t="s">
        <v>2681</v>
      </c>
      <c r="C1222" s="1" t="s">
        <v>159</v>
      </c>
      <c r="E1222" s="1">
        <v>1.809661E7</v>
      </c>
      <c r="F1222" s="2">
        <v>41183.0</v>
      </c>
      <c r="G1222" s="1" t="s">
        <v>2682</v>
      </c>
      <c r="I1222" s="1" t="s">
        <v>2682</v>
      </c>
      <c r="L1222" s="1" t="s">
        <v>40</v>
      </c>
      <c r="M1222" s="1">
        <v>7500.0</v>
      </c>
      <c r="N1222" s="1" t="s">
        <v>40</v>
      </c>
      <c r="O1222" s="1">
        <v>7.8583404E7</v>
      </c>
      <c r="P1222" s="1" t="s">
        <v>65</v>
      </c>
      <c r="R1222" s="1" t="s">
        <v>1573</v>
      </c>
      <c r="S1222" s="1" t="s">
        <v>44</v>
      </c>
      <c r="T1222" s="1" t="s">
        <v>45</v>
      </c>
      <c r="U1222" s="1">
        <v>4.8207311E8</v>
      </c>
      <c r="W1222" s="1" t="s">
        <v>46</v>
      </c>
      <c r="X1222" s="1" t="s">
        <v>45</v>
      </c>
      <c r="Y1222" s="1">
        <v>4.82021732E8</v>
      </c>
      <c r="AB1222" s="1">
        <v>1114996.0</v>
      </c>
      <c r="AC1222" s="2">
        <v>41183.0</v>
      </c>
      <c r="AD1222" s="1">
        <v>7500.0</v>
      </c>
      <c r="AE1222" s="1" t="s">
        <v>40</v>
      </c>
      <c r="AF1222" s="1">
        <v>2.01304E7</v>
      </c>
      <c r="AG1222" s="1" t="s">
        <v>2683</v>
      </c>
      <c r="AH1222" s="1">
        <v>10.0</v>
      </c>
      <c r="AI1222" s="1">
        <v>2012.0</v>
      </c>
      <c r="AJ1222" s="1">
        <v>2013.0</v>
      </c>
      <c r="AK1222" s="1" t="s">
        <v>2684</v>
      </c>
    </row>
    <row r="1223">
      <c r="A1223" s="1" t="s">
        <v>2671</v>
      </c>
      <c r="B1223" s="1" t="s">
        <v>2671</v>
      </c>
      <c r="C1223" s="1" t="s">
        <v>63</v>
      </c>
      <c r="E1223" s="1">
        <v>900000.0</v>
      </c>
      <c r="F1223" s="2">
        <v>41548.0</v>
      </c>
      <c r="G1223" s="1" t="s">
        <v>2672</v>
      </c>
      <c r="I1223" s="1" t="s">
        <v>2672</v>
      </c>
      <c r="L1223" s="1" t="s">
        <v>40</v>
      </c>
      <c r="M1223" s="1">
        <v>7500.0</v>
      </c>
      <c r="N1223" s="1" t="s">
        <v>40</v>
      </c>
      <c r="O1223" s="1">
        <v>1962224.0</v>
      </c>
      <c r="P1223" s="1" t="s">
        <v>52</v>
      </c>
      <c r="Q1223" s="1" t="s">
        <v>1566</v>
      </c>
      <c r="R1223" s="1" t="s">
        <v>1885</v>
      </c>
      <c r="S1223" s="1" t="s">
        <v>44</v>
      </c>
      <c r="T1223" s="1" t="s">
        <v>45</v>
      </c>
      <c r="U1223" s="1">
        <v>4.82021347E8</v>
      </c>
      <c r="W1223" s="1" t="s">
        <v>46</v>
      </c>
      <c r="X1223" s="1" t="s">
        <v>45</v>
      </c>
      <c r="Y1223" s="1">
        <v>4.82023692E8</v>
      </c>
      <c r="Z1223" s="1">
        <v>1962224.0</v>
      </c>
      <c r="AA1223" s="1" t="s">
        <v>52</v>
      </c>
      <c r="AB1223" s="1">
        <v>16000.0</v>
      </c>
      <c r="AC1223" s="2">
        <v>41548.0</v>
      </c>
      <c r="AD1223" s="1">
        <v>7500.0</v>
      </c>
      <c r="AE1223" s="1" t="s">
        <v>40</v>
      </c>
      <c r="AF1223" s="1">
        <v>2.0141505E7</v>
      </c>
      <c r="AG1223" s="1" t="s">
        <v>2673</v>
      </c>
      <c r="AH1223" s="1">
        <v>10.0</v>
      </c>
      <c r="AI1223" s="1">
        <v>2012.0</v>
      </c>
      <c r="AJ1223" s="1">
        <v>2014.0</v>
      </c>
      <c r="AK1223" s="1" t="s">
        <v>2674</v>
      </c>
    </row>
    <row r="1224">
      <c r="A1224" s="1" t="s">
        <v>2675</v>
      </c>
      <c r="B1224" s="1" t="s">
        <v>2675</v>
      </c>
      <c r="C1224" s="1" t="s">
        <v>63</v>
      </c>
      <c r="E1224" s="1">
        <v>2216760.0</v>
      </c>
      <c r="F1224" s="2">
        <v>41548.0</v>
      </c>
      <c r="G1224" s="1" t="s">
        <v>2676</v>
      </c>
      <c r="I1224" s="1" t="s">
        <v>2676</v>
      </c>
      <c r="L1224" s="1" t="s">
        <v>40</v>
      </c>
      <c r="M1224" s="1">
        <v>7500.0</v>
      </c>
      <c r="N1224" s="1" t="s">
        <v>40</v>
      </c>
      <c r="O1224" s="1">
        <v>3.8775243E7</v>
      </c>
      <c r="P1224" s="1" t="s">
        <v>209</v>
      </c>
      <c r="Q1224" s="1" t="s">
        <v>210</v>
      </c>
      <c r="R1224" s="1" t="s">
        <v>211</v>
      </c>
      <c r="S1224" s="1" t="s">
        <v>44</v>
      </c>
      <c r="T1224" s="1" t="s">
        <v>45</v>
      </c>
      <c r="U1224" s="1">
        <v>4.82023068E8</v>
      </c>
      <c r="W1224" s="1" t="s">
        <v>46</v>
      </c>
      <c r="X1224" s="1" t="s">
        <v>45</v>
      </c>
      <c r="Y1224" s="1">
        <v>4.82023068E8</v>
      </c>
      <c r="Z1224" s="1">
        <v>3.8775243E7</v>
      </c>
      <c r="AA1224" s="1" t="s">
        <v>209</v>
      </c>
      <c r="AB1224" s="1">
        <v>9000.0</v>
      </c>
      <c r="AC1224" s="2">
        <v>41548.0</v>
      </c>
      <c r="AD1224" s="1">
        <v>7500.0</v>
      </c>
      <c r="AE1224" s="1" t="s">
        <v>40</v>
      </c>
      <c r="AF1224" s="1">
        <v>2.01407E7</v>
      </c>
      <c r="AG1224" s="1" t="s">
        <v>2677</v>
      </c>
      <c r="AH1224" s="1">
        <v>10.0</v>
      </c>
      <c r="AI1224" s="1">
        <v>2010.0</v>
      </c>
      <c r="AJ1224" s="1">
        <v>2014.0</v>
      </c>
      <c r="AK1224" s="1" t="s">
        <v>1410</v>
      </c>
    </row>
    <row r="1225">
      <c r="A1225" s="1" t="s">
        <v>2686</v>
      </c>
      <c r="B1225" s="1" t="s">
        <v>2686</v>
      </c>
      <c r="C1225" s="1" t="s">
        <v>159</v>
      </c>
      <c r="E1225" s="1">
        <v>867484.0</v>
      </c>
      <c r="F1225" s="2">
        <v>41183.0</v>
      </c>
      <c r="G1225" s="1" t="s">
        <v>2687</v>
      </c>
      <c r="I1225" s="1" t="s">
        <v>2687</v>
      </c>
      <c r="L1225" s="1" t="s">
        <v>40</v>
      </c>
      <c r="M1225" s="1">
        <v>7500.0</v>
      </c>
      <c r="N1225" s="1" t="s">
        <v>40</v>
      </c>
      <c r="O1225" s="1">
        <v>3.8775243E7</v>
      </c>
      <c r="P1225" s="1" t="s">
        <v>209</v>
      </c>
      <c r="Q1225" s="1" t="s">
        <v>210</v>
      </c>
      <c r="R1225" s="1" t="s">
        <v>211</v>
      </c>
      <c r="S1225" s="1" t="s">
        <v>44</v>
      </c>
      <c r="T1225" s="1" t="s">
        <v>45</v>
      </c>
      <c r="U1225" s="1">
        <v>4.82023068E8</v>
      </c>
      <c r="W1225" s="1" t="s">
        <v>46</v>
      </c>
      <c r="X1225" s="1" t="s">
        <v>45</v>
      </c>
      <c r="Y1225" s="1">
        <v>4.82023068E8</v>
      </c>
      <c r="Z1225" s="1">
        <v>3.8775243E7</v>
      </c>
      <c r="AA1225" s="1" t="s">
        <v>209</v>
      </c>
      <c r="AB1225" s="1">
        <v>302484.0</v>
      </c>
      <c r="AC1225" s="2">
        <v>41183.0</v>
      </c>
      <c r="AD1225" s="1">
        <v>7500.0</v>
      </c>
      <c r="AE1225" s="1" t="s">
        <v>40</v>
      </c>
      <c r="AF1225" s="1">
        <v>2.0130194E7</v>
      </c>
      <c r="AG1225" s="1" t="s">
        <v>2688</v>
      </c>
      <c r="AH1225" s="1">
        <v>10.0</v>
      </c>
      <c r="AI1225" s="1">
        <v>2011.0</v>
      </c>
      <c r="AJ1225" s="1">
        <v>2013.0</v>
      </c>
      <c r="AK1225" s="1" t="s">
        <v>162</v>
      </c>
    </row>
    <row r="1226">
      <c r="A1226" s="1" t="s">
        <v>2686</v>
      </c>
      <c r="B1226" s="1" t="s">
        <v>2686</v>
      </c>
      <c r="C1226" s="1" t="s">
        <v>159</v>
      </c>
      <c r="E1226" s="1">
        <v>867484.0</v>
      </c>
      <c r="F1226" s="2">
        <v>41548.0</v>
      </c>
      <c r="G1226" s="1" t="s">
        <v>2687</v>
      </c>
      <c r="I1226" s="1" t="s">
        <v>2687</v>
      </c>
      <c r="L1226" s="1" t="s">
        <v>40</v>
      </c>
      <c r="M1226" s="1">
        <v>7500.0</v>
      </c>
      <c r="N1226" s="1" t="s">
        <v>40</v>
      </c>
      <c r="O1226" s="1">
        <v>3.8775243E7</v>
      </c>
      <c r="P1226" s="1" t="s">
        <v>209</v>
      </c>
      <c r="Q1226" s="1" t="s">
        <v>210</v>
      </c>
      <c r="R1226" s="1" t="s">
        <v>211</v>
      </c>
      <c r="S1226" s="1" t="s">
        <v>44</v>
      </c>
      <c r="T1226" s="1" t="s">
        <v>45</v>
      </c>
      <c r="U1226" s="1">
        <v>4.82023068E8</v>
      </c>
      <c r="W1226" s="1" t="s">
        <v>46</v>
      </c>
      <c r="X1226" s="1" t="s">
        <v>45</v>
      </c>
      <c r="Y1226" s="1">
        <v>4.82023068E8</v>
      </c>
      <c r="Z1226" s="1">
        <v>3.8775243E7</v>
      </c>
      <c r="AA1226" s="1" t="s">
        <v>209</v>
      </c>
      <c r="AB1226" s="1">
        <v>75000.0</v>
      </c>
      <c r="AC1226" s="2">
        <v>41548.0</v>
      </c>
      <c r="AD1226" s="1">
        <v>7500.0</v>
      </c>
      <c r="AE1226" s="1" t="s">
        <v>40</v>
      </c>
      <c r="AF1226" s="1">
        <v>2.0140705E7</v>
      </c>
      <c r="AG1226" s="1" t="s">
        <v>2688</v>
      </c>
      <c r="AH1226" s="1">
        <v>10.0</v>
      </c>
      <c r="AI1226" s="1">
        <v>2011.0</v>
      </c>
      <c r="AJ1226" s="1">
        <v>2014.0</v>
      </c>
      <c r="AK1226" s="1" t="s">
        <v>162</v>
      </c>
    </row>
    <row r="1227">
      <c r="A1227" s="1" t="s">
        <v>2689</v>
      </c>
      <c r="B1227" s="1" t="s">
        <v>2689</v>
      </c>
      <c r="C1227" s="1" t="s">
        <v>224</v>
      </c>
      <c r="E1227" s="1">
        <v>1118336.0</v>
      </c>
      <c r="F1227" s="2">
        <v>41368.0</v>
      </c>
      <c r="G1227" s="1" t="s">
        <v>2690</v>
      </c>
      <c r="I1227" s="1" t="s">
        <v>2690</v>
      </c>
      <c r="L1227" s="1" t="s">
        <v>151</v>
      </c>
      <c r="M1227" s="1">
        <v>6900.0</v>
      </c>
      <c r="N1227" s="1" t="s">
        <v>151</v>
      </c>
      <c r="O1227" s="1">
        <v>1.1855476E8</v>
      </c>
      <c r="P1227" s="1" t="s">
        <v>73</v>
      </c>
      <c r="Q1227" s="1" t="s">
        <v>226</v>
      </c>
      <c r="R1227" s="1" t="s">
        <v>227</v>
      </c>
      <c r="S1227" s="1" t="s">
        <v>44</v>
      </c>
      <c r="T1227" s="1" t="s">
        <v>45</v>
      </c>
      <c r="U1227" s="1">
        <v>4.82262886E8</v>
      </c>
      <c r="W1227" s="1" t="s">
        <v>46</v>
      </c>
      <c r="X1227" s="1" t="s">
        <v>45</v>
      </c>
      <c r="Y1227" s="1">
        <v>4.82262886E8</v>
      </c>
      <c r="Z1227" s="1">
        <v>6530661.0</v>
      </c>
      <c r="AA1227" s="1" t="s">
        <v>76</v>
      </c>
      <c r="AB1227" s="1">
        <v>1118336.03</v>
      </c>
      <c r="AC1227" s="2">
        <v>41368.0</v>
      </c>
      <c r="AD1227" s="1">
        <v>6900.0</v>
      </c>
      <c r="AE1227" s="1" t="s">
        <v>151</v>
      </c>
      <c r="AF1227" s="1">
        <v>1.0</v>
      </c>
      <c r="AG1227" s="1" t="s">
        <v>2691</v>
      </c>
      <c r="AH1227" s="1">
        <v>10.0</v>
      </c>
      <c r="AI1227" s="1">
        <v>2014.0</v>
      </c>
      <c r="AJ1227" s="1">
        <v>2013.0</v>
      </c>
      <c r="AK1227" s="1" t="s">
        <v>229</v>
      </c>
    </row>
    <row r="1228">
      <c r="A1228" s="1" t="s">
        <v>2681</v>
      </c>
      <c r="B1228" s="1" t="s">
        <v>2681</v>
      </c>
      <c r="C1228" s="1" t="s">
        <v>159</v>
      </c>
      <c r="E1228" s="1">
        <v>1.809661E7</v>
      </c>
      <c r="F1228" s="2">
        <v>41183.0</v>
      </c>
      <c r="G1228" s="1" t="s">
        <v>2682</v>
      </c>
      <c r="I1228" s="1" t="s">
        <v>2682</v>
      </c>
      <c r="L1228" s="1" t="s">
        <v>40</v>
      </c>
      <c r="M1228" s="1">
        <v>7500.0</v>
      </c>
      <c r="N1228" s="1" t="s">
        <v>40</v>
      </c>
      <c r="O1228" s="1">
        <v>7.6377316E7</v>
      </c>
      <c r="P1228" s="1" t="s">
        <v>2302</v>
      </c>
      <c r="R1228" s="1" t="s">
        <v>2303</v>
      </c>
      <c r="S1228" s="1" t="s">
        <v>44</v>
      </c>
      <c r="T1228" s="1" t="s">
        <v>45</v>
      </c>
      <c r="U1228" s="1">
        <v>4.82012119E8</v>
      </c>
      <c r="W1228" s="1" t="s">
        <v>46</v>
      </c>
      <c r="X1228" s="1" t="s">
        <v>45</v>
      </c>
      <c r="Y1228" s="1">
        <v>4.82012119E8</v>
      </c>
      <c r="Z1228" s="1">
        <v>5.3866661E7</v>
      </c>
      <c r="AB1228" s="1">
        <v>16500.0</v>
      </c>
      <c r="AC1228" s="2">
        <v>41183.0</v>
      </c>
      <c r="AD1228" s="1">
        <v>7500.0</v>
      </c>
      <c r="AE1228" s="1" t="s">
        <v>40</v>
      </c>
      <c r="AF1228" s="1">
        <v>2.0131017E7</v>
      </c>
      <c r="AG1228" s="1" t="s">
        <v>2683</v>
      </c>
      <c r="AH1228" s="1">
        <v>10.0</v>
      </c>
      <c r="AI1228" s="1">
        <v>2012.0</v>
      </c>
      <c r="AJ1228" s="1">
        <v>2013.0</v>
      </c>
      <c r="AK1228" s="1" t="s">
        <v>2684</v>
      </c>
    </row>
    <row r="1229">
      <c r="A1229" s="1" t="s">
        <v>2692</v>
      </c>
      <c r="B1229" s="1" t="s">
        <v>2692</v>
      </c>
      <c r="C1229" s="1" t="s">
        <v>389</v>
      </c>
      <c r="E1229" s="1">
        <v>2.4080564E7</v>
      </c>
      <c r="F1229" s="2">
        <v>41456.0</v>
      </c>
      <c r="G1229" s="1" t="s">
        <v>390</v>
      </c>
      <c r="I1229" s="1" t="s">
        <v>390</v>
      </c>
      <c r="L1229" s="1" t="s">
        <v>391</v>
      </c>
      <c r="M1229" s="1">
        <v>1600.0</v>
      </c>
      <c r="N1229" s="1" t="s">
        <v>391</v>
      </c>
      <c r="O1229" s="1">
        <v>1.4193515E8</v>
      </c>
      <c r="P1229" s="1" t="s">
        <v>877</v>
      </c>
      <c r="R1229" s="1" t="s">
        <v>878</v>
      </c>
      <c r="S1229" s="1" t="s">
        <v>44</v>
      </c>
      <c r="T1229" s="1" t="s">
        <v>45</v>
      </c>
      <c r="U1229" s="1">
        <v>4.82102038E8</v>
      </c>
      <c r="W1229" s="1" t="s">
        <v>2693</v>
      </c>
      <c r="X1229" s="1" t="s">
        <v>880</v>
      </c>
      <c r="Y1229" s="1">
        <v>6.06233738E8</v>
      </c>
      <c r="AB1229" s="1">
        <v>114000.0</v>
      </c>
      <c r="AC1229" s="2">
        <v>41456.0</v>
      </c>
      <c r="AD1229" s="1">
        <v>1600.0</v>
      </c>
      <c r="AE1229" s="1" t="s">
        <v>391</v>
      </c>
      <c r="AF1229" s="1" t="s">
        <v>2694</v>
      </c>
      <c r="AG1229" s="1" t="s">
        <v>2695</v>
      </c>
      <c r="AH1229" s="1">
        <v>10.0</v>
      </c>
      <c r="AI1229" s="1">
        <v>2014.0</v>
      </c>
      <c r="AJ1229" s="1">
        <v>2013.0</v>
      </c>
      <c r="AK1229" s="1" t="s">
        <v>393</v>
      </c>
    </row>
    <row r="1230">
      <c r="A1230" s="1" t="s">
        <v>2696</v>
      </c>
      <c r="B1230" s="1" t="s">
        <v>2696</v>
      </c>
      <c r="C1230" s="1" t="s">
        <v>224</v>
      </c>
      <c r="E1230" s="1">
        <v>169021.0</v>
      </c>
      <c r="F1230" s="2">
        <v>41368.0</v>
      </c>
      <c r="G1230" s="1" t="s">
        <v>2690</v>
      </c>
      <c r="I1230" s="1" t="s">
        <v>2690</v>
      </c>
      <c r="L1230" s="1" t="s">
        <v>151</v>
      </c>
      <c r="M1230" s="1">
        <v>6900.0</v>
      </c>
      <c r="N1230" s="1" t="s">
        <v>151</v>
      </c>
      <c r="O1230" s="1">
        <v>1.1855476E8</v>
      </c>
      <c r="P1230" s="1" t="s">
        <v>73</v>
      </c>
      <c r="Q1230" s="1" t="s">
        <v>226</v>
      </c>
      <c r="R1230" s="1" t="s">
        <v>227</v>
      </c>
      <c r="S1230" s="1" t="s">
        <v>44</v>
      </c>
      <c r="T1230" s="1" t="s">
        <v>45</v>
      </c>
      <c r="U1230" s="1">
        <v>4.82262886E8</v>
      </c>
      <c r="W1230" s="1" t="s">
        <v>46</v>
      </c>
      <c r="X1230" s="1" t="s">
        <v>45</v>
      </c>
      <c r="Y1230" s="1">
        <v>4.82262886E8</v>
      </c>
      <c r="Z1230" s="1">
        <v>6530661.0</v>
      </c>
      <c r="AA1230" s="1" t="s">
        <v>76</v>
      </c>
      <c r="AB1230" s="1">
        <v>169021.23</v>
      </c>
      <c r="AC1230" s="2">
        <v>41368.0</v>
      </c>
      <c r="AD1230" s="1">
        <v>6900.0</v>
      </c>
      <c r="AE1230" s="1" t="s">
        <v>151</v>
      </c>
      <c r="AF1230" s="1">
        <v>1.0</v>
      </c>
      <c r="AG1230" s="1" t="s">
        <v>2691</v>
      </c>
      <c r="AH1230" s="1">
        <v>10.0</v>
      </c>
      <c r="AI1230" s="1">
        <v>2014.0</v>
      </c>
      <c r="AJ1230" s="1">
        <v>2013.0</v>
      </c>
      <c r="AK1230" s="1" t="s">
        <v>229</v>
      </c>
    </row>
    <row r="1231">
      <c r="A1231" s="1" t="s">
        <v>2697</v>
      </c>
      <c r="B1231" s="1" t="s">
        <v>2697</v>
      </c>
      <c r="C1231" s="1" t="s">
        <v>85</v>
      </c>
      <c r="E1231" s="1">
        <v>1984000.0</v>
      </c>
      <c r="F1231" s="2">
        <v>41183.0</v>
      </c>
      <c r="G1231" s="1" t="s">
        <v>2605</v>
      </c>
      <c r="I1231" s="1" t="s">
        <v>2605</v>
      </c>
      <c r="L1231" s="1" t="s">
        <v>40</v>
      </c>
      <c r="M1231" s="1">
        <v>7500.0</v>
      </c>
      <c r="N1231" s="1" t="s">
        <v>40</v>
      </c>
      <c r="O1231" s="1">
        <v>7.914812E7</v>
      </c>
      <c r="P1231" s="1" t="s">
        <v>1944</v>
      </c>
      <c r="R1231" s="1" t="s">
        <v>1945</v>
      </c>
      <c r="S1231" s="1" t="s">
        <v>44</v>
      </c>
      <c r="T1231" s="1" t="s">
        <v>45</v>
      </c>
      <c r="U1231" s="1">
        <v>4.820125E8</v>
      </c>
      <c r="W1231" s="1" t="s">
        <v>46</v>
      </c>
      <c r="X1231" s="1" t="s">
        <v>45</v>
      </c>
      <c r="Y1231" s="1">
        <v>4.820125E8</v>
      </c>
      <c r="Z1231" s="1">
        <v>7.3134884E7</v>
      </c>
      <c r="AA1231" s="1" t="s">
        <v>1796</v>
      </c>
      <c r="AB1231" s="1">
        <v>42702.84</v>
      </c>
      <c r="AC1231" s="2">
        <v>41183.0</v>
      </c>
      <c r="AD1231" s="1">
        <v>7500.0</v>
      </c>
      <c r="AE1231" s="1" t="s">
        <v>40</v>
      </c>
      <c r="AF1231" s="1">
        <v>2.0130304E7</v>
      </c>
      <c r="AG1231" s="1" t="s">
        <v>2698</v>
      </c>
      <c r="AH1231" s="1">
        <v>10.0</v>
      </c>
      <c r="AI1231" s="1">
        <v>2011.0</v>
      </c>
      <c r="AJ1231" s="1">
        <v>2013.0</v>
      </c>
      <c r="AK1231" s="1" t="s">
        <v>2699</v>
      </c>
    </row>
    <row r="1232">
      <c r="A1232" s="1" t="s">
        <v>2697</v>
      </c>
      <c r="B1232" s="1" t="s">
        <v>2697</v>
      </c>
      <c r="C1232" s="1" t="s">
        <v>85</v>
      </c>
      <c r="E1232" s="1">
        <v>1984000.0</v>
      </c>
      <c r="F1232" s="2">
        <v>41183.0</v>
      </c>
      <c r="G1232" s="1" t="s">
        <v>2605</v>
      </c>
      <c r="I1232" s="1" t="s">
        <v>2605</v>
      </c>
      <c r="L1232" s="1" t="s">
        <v>40</v>
      </c>
      <c r="M1232" s="1">
        <v>7500.0</v>
      </c>
      <c r="N1232" s="1" t="s">
        <v>40</v>
      </c>
      <c r="O1232" s="1">
        <v>7.914812E7</v>
      </c>
      <c r="P1232" s="1" t="s">
        <v>1944</v>
      </c>
      <c r="Q1232" s="1" t="s">
        <v>2700</v>
      </c>
      <c r="R1232" s="1" t="s">
        <v>1945</v>
      </c>
      <c r="S1232" s="1" t="s">
        <v>44</v>
      </c>
      <c r="T1232" s="1" t="s">
        <v>45</v>
      </c>
      <c r="U1232" s="1">
        <v>4.820125E8</v>
      </c>
      <c r="W1232" s="1" t="s">
        <v>46</v>
      </c>
      <c r="X1232" s="1" t="s">
        <v>45</v>
      </c>
      <c r="Y1232" s="1">
        <v>4.820125E8</v>
      </c>
      <c r="Z1232" s="1">
        <v>1.18714237E8</v>
      </c>
      <c r="AA1232" s="1" t="s">
        <v>2701</v>
      </c>
      <c r="AB1232" s="1">
        <v>28853.0</v>
      </c>
      <c r="AC1232" s="2">
        <v>41183.0</v>
      </c>
      <c r="AD1232" s="1">
        <v>7500.0</v>
      </c>
      <c r="AE1232" s="1" t="s">
        <v>40</v>
      </c>
      <c r="AF1232" s="1">
        <v>2.0130307E7</v>
      </c>
      <c r="AG1232" s="1" t="s">
        <v>2698</v>
      </c>
      <c r="AH1232" s="1">
        <v>10.0</v>
      </c>
      <c r="AI1232" s="1">
        <v>2011.0</v>
      </c>
      <c r="AJ1232" s="1">
        <v>2013.0</v>
      </c>
      <c r="AK1232" s="1" t="s">
        <v>2699</v>
      </c>
    </row>
    <row r="1233">
      <c r="A1233" s="1" t="s">
        <v>2702</v>
      </c>
      <c r="B1233" s="1" t="s">
        <v>2702</v>
      </c>
      <c r="C1233" s="1" t="s">
        <v>85</v>
      </c>
      <c r="E1233" s="1">
        <v>1863000.0</v>
      </c>
      <c r="F1233" s="2">
        <v>41548.0</v>
      </c>
      <c r="G1233" s="1" t="s">
        <v>2605</v>
      </c>
      <c r="I1233" s="1" t="s">
        <v>2605</v>
      </c>
      <c r="L1233" s="1" t="s">
        <v>40</v>
      </c>
      <c r="M1233" s="1">
        <v>7500.0</v>
      </c>
      <c r="N1233" s="1" t="s">
        <v>40</v>
      </c>
      <c r="O1233" s="1">
        <v>7.6385699E7</v>
      </c>
      <c r="P1233" s="1" t="s">
        <v>106</v>
      </c>
      <c r="Q1233" s="1" t="s">
        <v>1005</v>
      </c>
      <c r="R1233" s="1" t="s">
        <v>1006</v>
      </c>
      <c r="S1233" s="1" t="s">
        <v>44</v>
      </c>
      <c r="T1233" s="1" t="s">
        <v>45</v>
      </c>
      <c r="U1233" s="1">
        <v>4.82092022E8</v>
      </c>
      <c r="W1233" s="1" t="s">
        <v>46</v>
      </c>
      <c r="X1233" s="1" t="s">
        <v>45</v>
      </c>
      <c r="Y1233" s="1">
        <v>4.82092022E8</v>
      </c>
      <c r="Z1233" s="1">
        <v>7.6385699E7</v>
      </c>
      <c r="AA1233" s="1" t="s">
        <v>106</v>
      </c>
      <c r="AB1233" s="1">
        <v>46750.0</v>
      </c>
      <c r="AC1233" s="2">
        <v>41548.0</v>
      </c>
      <c r="AD1233" s="1">
        <v>7500.0</v>
      </c>
      <c r="AE1233" s="1" t="s">
        <v>40</v>
      </c>
      <c r="AF1233" s="1">
        <v>2.0141749E7</v>
      </c>
      <c r="AG1233" s="1" t="s">
        <v>2698</v>
      </c>
      <c r="AH1233" s="1">
        <v>10.0</v>
      </c>
      <c r="AI1233" s="1">
        <v>2012.0</v>
      </c>
      <c r="AJ1233" s="1">
        <v>2014.0</v>
      </c>
      <c r="AK1233" s="1" t="s">
        <v>2699</v>
      </c>
    </row>
    <row r="1234">
      <c r="A1234" s="1" t="s">
        <v>2702</v>
      </c>
      <c r="B1234" s="1" t="s">
        <v>2702</v>
      </c>
      <c r="C1234" s="1" t="s">
        <v>85</v>
      </c>
      <c r="E1234" s="1">
        <v>1863000.0</v>
      </c>
      <c r="F1234" s="2">
        <v>41548.0</v>
      </c>
      <c r="G1234" s="1" t="s">
        <v>2605</v>
      </c>
      <c r="I1234" s="1" t="s">
        <v>2605</v>
      </c>
      <c r="L1234" s="1" t="s">
        <v>40</v>
      </c>
      <c r="M1234" s="1">
        <v>7500.0</v>
      </c>
      <c r="N1234" s="1" t="s">
        <v>40</v>
      </c>
      <c r="O1234" s="1">
        <v>7.914812E7</v>
      </c>
      <c r="P1234" s="1" t="s">
        <v>1944</v>
      </c>
      <c r="R1234" s="1" t="s">
        <v>1945</v>
      </c>
      <c r="S1234" s="1" t="s">
        <v>44</v>
      </c>
      <c r="T1234" s="1" t="s">
        <v>45</v>
      </c>
      <c r="U1234" s="1">
        <v>4.820125E8</v>
      </c>
      <c r="W1234" s="1" t="s">
        <v>46</v>
      </c>
      <c r="X1234" s="1" t="s">
        <v>45</v>
      </c>
      <c r="Y1234" s="1">
        <v>4.8226348E8</v>
      </c>
      <c r="AB1234" s="1">
        <v>43477.0</v>
      </c>
      <c r="AC1234" s="2">
        <v>41548.0</v>
      </c>
      <c r="AD1234" s="1">
        <v>7500.0</v>
      </c>
      <c r="AE1234" s="1" t="s">
        <v>40</v>
      </c>
      <c r="AF1234" s="1">
        <v>2.0141736E7</v>
      </c>
      <c r="AG1234" s="1" t="s">
        <v>2698</v>
      </c>
      <c r="AH1234" s="1">
        <v>10.0</v>
      </c>
      <c r="AI1234" s="1">
        <v>2012.0</v>
      </c>
      <c r="AJ1234" s="1">
        <v>2014.0</v>
      </c>
      <c r="AK1234" s="1" t="s">
        <v>2699</v>
      </c>
    </row>
    <row r="1235">
      <c r="A1235" s="1" t="s">
        <v>2671</v>
      </c>
      <c r="B1235" s="1" t="s">
        <v>2671</v>
      </c>
      <c r="C1235" s="1" t="s">
        <v>63</v>
      </c>
      <c r="E1235" s="1">
        <v>900000.0</v>
      </c>
      <c r="F1235" s="2">
        <v>41913.0</v>
      </c>
      <c r="G1235" s="1" t="s">
        <v>2672</v>
      </c>
      <c r="I1235" s="1" t="s">
        <v>2672</v>
      </c>
      <c r="L1235" s="1" t="s">
        <v>40</v>
      </c>
      <c r="M1235" s="1">
        <v>7500.0</v>
      </c>
      <c r="N1235" s="1" t="s">
        <v>40</v>
      </c>
      <c r="O1235" s="1">
        <v>1962224.0</v>
      </c>
      <c r="P1235" s="1" t="s">
        <v>52</v>
      </c>
      <c r="Q1235" s="1" t="s">
        <v>1566</v>
      </c>
      <c r="R1235" s="1" t="s">
        <v>1885</v>
      </c>
      <c r="S1235" s="1" t="s">
        <v>44</v>
      </c>
      <c r="T1235" s="1" t="s">
        <v>45</v>
      </c>
      <c r="U1235" s="1">
        <v>4.82021347E8</v>
      </c>
      <c r="W1235" s="1" t="s">
        <v>46</v>
      </c>
      <c r="X1235" s="1" t="s">
        <v>45</v>
      </c>
      <c r="Y1235" s="1">
        <v>4.82023692E8</v>
      </c>
      <c r="Z1235" s="1">
        <v>1962224.0</v>
      </c>
      <c r="AA1235" s="1" t="s">
        <v>52</v>
      </c>
      <c r="AB1235" s="1">
        <v>4000.0</v>
      </c>
      <c r="AC1235" s="2">
        <v>41913.0</v>
      </c>
      <c r="AD1235" s="1">
        <v>7500.0</v>
      </c>
      <c r="AE1235" s="1" t="s">
        <v>40</v>
      </c>
      <c r="AF1235" s="1">
        <v>2.0141505E7</v>
      </c>
      <c r="AG1235" s="1" t="s">
        <v>2673</v>
      </c>
      <c r="AH1235" s="1">
        <v>10.0</v>
      </c>
      <c r="AI1235" s="1">
        <v>2012.0</v>
      </c>
      <c r="AJ1235" s="1">
        <v>2015.0</v>
      </c>
      <c r="AK1235" s="1" t="s">
        <v>2674</v>
      </c>
    </row>
    <row r="1236">
      <c r="A1236" s="1" t="s">
        <v>2671</v>
      </c>
      <c r="B1236" s="1" t="s">
        <v>2671</v>
      </c>
      <c r="C1236" s="1" t="s">
        <v>63</v>
      </c>
      <c r="E1236" s="1">
        <v>900000.0</v>
      </c>
      <c r="F1236" s="2">
        <v>41548.0</v>
      </c>
      <c r="G1236" s="1" t="s">
        <v>2672</v>
      </c>
      <c r="I1236" s="1" t="s">
        <v>2672</v>
      </c>
      <c r="L1236" s="1" t="s">
        <v>40</v>
      </c>
      <c r="M1236" s="1">
        <v>7500.0</v>
      </c>
      <c r="N1236" s="1" t="s">
        <v>40</v>
      </c>
      <c r="O1236" s="1">
        <v>3.8775243E7</v>
      </c>
      <c r="P1236" s="1" t="s">
        <v>209</v>
      </c>
      <c r="Q1236" s="1" t="s">
        <v>210</v>
      </c>
      <c r="R1236" s="1" t="s">
        <v>211</v>
      </c>
      <c r="S1236" s="1" t="s">
        <v>44</v>
      </c>
      <c r="T1236" s="1" t="s">
        <v>45</v>
      </c>
      <c r="U1236" s="1">
        <v>4.82023068E8</v>
      </c>
      <c r="W1236" s="1" t="s">
        <v>46</v>
      </c>
      <c r="X1236" s="1" t="s">
        <v>45</v>
      </c>
      <c r="Y1236" s="1">
        <v>4.82013096E8</v>
      </c>
      <c r="Z1236" s="1">
        <v>3.8775243E7</v>
      </c>
      <c r="AA1236" s="1" t="s">
        <v>209</v>
      </c>
      <c r="AB1236" s="1">
        <v>18462.0</v>
      </c>
      <c r="AC1236" s="2">
        <v>41548.0</v>
      </c>
      <c r="AD1236" s="1">
        <v>7500.0</v>
      </c>
      <c r="AE1236" s="1" t="s">
        <v>40</v>
      </c>
      <c r="AF1236" s="1">
        <v>2.0140708E7</v>
      </c>
      <c r="AG1236" s="1" t="s">
        <v>2673</v>
      </c>
      <c r="AH1236" s="1">
        <v>10.0</v>
      </c>
      <c r="AI1236" s="1">
        <v>2012.0</v>
      </c>
      <c r="AJ1236" s="1">
        <v>2014.0</v>
      </c>
      <c r="AK1236" s="1" t="s">
        <v>2674</v>
      </c>
    </row>
    <row r="1237">
      <c r="A1237" s="1" t="s">
        <v>2703</v>
      </c>
      <c r="B1237" s="1" t="s">
        <v>2703</v>
      </c>
      <c r="C1237" s="1" t="s">
        <v>389</v>
      </c>
      <c r="E1237" s="1">
        <v>2.449984E7</v>
      </c>
      <c r="F1237" s="2">
        <v>41821.0</v>
      </c>
      <c r="G1237" s="1" t="s">
        <v>390</v>
      </c>
      <c r="I1237" s="1" t="s">
        <v>390</v>
      </c>
      <c r="L1237" s="1" t="s">
        <v>391</v>
      </c>
      <c r="M1237" s="1">
        <v>1600.0</v>
      </c>
      <c r="N1237" s="1" t="s">
        <v>391</v>
      </c>
      <c r="O1237" s="1">
        <v>1.4193515E8</v>
      </c>
      <c r="P1237" s="1" t="s">
        <v>877</v>
      </c>
      <c r="R1237" s="1" t="s">
        <v>878</v>
      </c>
      <c r="S1237" s="1" t="s">
        <v>44</v>
      </c>
      <c r="T1237" s="1" t="s">
        <v>45</v>
      </c>
      <c r="U1237" s="1">
        <v>4.82102038E8</v>
      </c>
      <c r="W1237" s="1" t="s">
        <v>2693</v>
      </c>
      <c r="X1237" s="1" t="s">
        <v>880</v>
      </c>
      <c r="Y1237" s="1">
        <v>6.06233738E8</v>
      </c>
      <c r="AB1237" s="1">
        <v>114000.0</v>
      </c>
      <c r="AC1237" s="2">
        <v>41821.0</v>
      </c>
      <c r="AD1237" s="1">
        <v>1600.0</v>
      </c>
      <c r="AE1237" s="1" t="s">
        <v>391</v>
      </c>
      <c r="AF1237" s="1" t="s">
        <v>2704</v>
      </c>
      <c r="AG1237" s="1" t="s">
        <v>2695</v>
      </c>
      <c r="AH1237" s="1">
        <v>10.0</v>
      </c>
      <c r="AI1237" s="1">
        <v>2014.0</v>
      </c>
      <c r="AJ1237" s="1">
        <v>2014.0</v>
      </c>
      <c r="AK1237" s="1" t="s">
        <v>393</v>
      </c>
    </row>
    <row r="1238">
      <c r="A1238" s="1" t="s">
        <v>2705</v>
      </c>
      <c r="B1238" s="1" t="s">
        <v>2705</v>
      </c>
      <c r="C1238" s="1" t="s">
        <v>159</v>
      </c>
      <c r="E1238" s="1">
        <v>5682507.0</v>
      </c>
      <c r="F1238" s="2">
        <v>41548.0</v>
      </c>
      <c r="G1238" s="1" t="s">
        <v>2706</v>
      </c>
      <c r="I1238" s="1" t="s">
        <v>2706</v>
      </c>
      <c r="L1238" s="1" t="s">
        <v>40</v>
      </c>
      <c r="M1238" s="1">
        <v>7500.0</v>
      </c>
      <c r="N1238" s="1" t="s">
        <v>40</v>
      </c>
      <c r="O1238" s="1">
        <v>8.09204196E8</v>
      </c>
      <c r="P1238" s="1" t="s">
        <v>175</v>
      </c>
      <c r="Q1238" s="1" t="s">
        <v>2707</v>
      </c>
      <c r="R1238" s="1" t="s">
        <v>2078</v>
      </c>
      <c r="S1238" s="1" t="s">
        <v>44</v>
      </c>
      <c r="T1238" s="1" t="s">
        <v>45</v>
      </c>
      <c r="U1238" s="1">
        <v>4.82023026E8</v>
      </c>
      <c r="W1238" s="1" t="s">
        <v>46</v>
      </c>
      <c r="X1238" s="1" t="s">
        <v>45</v>
      </c>
      <c r="Y1238" s="1">
        <v>4.82023025E8</v>
      </c>
      <c r="Z1238" s="1">
        <v>8.09204196E8</v>
      </c>
      <c r="AA1238" s="1" t="s">
        <v>175</v>
      </c>
      <c r="AB1238" s="1">
        <v>10750.0</v>
      </c>
      <c r="AC1238" s="2">
        <v>41548.0</v>
      </c>
      <c r="AD1238" s="1">
        <v>7500.0</v>
      </c>
      <c r="AE1238" s="1" t="s">
        <v>40</v>
      </c>
      <c r="AF1238" s="1">
        <v>2.014029E7</v>
      </c>
      <c r="AG1238" s="1" t="s">
        <v>2708</v>
      </c>
      <c r="AH1238" s="1">
        <v>10.0</v>
      </c>
      <c r="AI1238" s="1">
        <v>2011.0</v>
      </c>
      <c r="AJ1238" s="1">
        <v>2014.0</v>
      </c>
      <c r="AK1238" s="1" t="s">
        <v>2654</v>
      </c>
    </row>
    <row r="1239">
      <c r="A1239" s="1" t="s">
        <v>2705</v>
      </c>
      <c r="B1239" s="1" t="s">
        <v>2705</v>
      </c>
      <c r="C1239" s="1" t="s">
        <v>159</v>
      </c>
      <c r="E1239" s="1">
        <v>5682507.0</v>
      </c>
      <c r="F1239" s="2">
        <v>41548.0</v>
      </c>
      <c r="G1239" s="1" t="s">
        <v>2706</v>
      </c>
      <c r="I1239" s="1" t="s">
        <v>2706</v>
      </c>
      <c r="L1239" s="1" t="s">
        <v>40</v>
      </c>
      <c r="M1239" s="1">
        <v>7500.0</v>
      </c>
      <c r="N1239" s="1" t="s">
        <v>40</v>
      </c>
      <c r="O1239" s="1">
        <v>3.8775243E7</v>
      </c>
      <c r="P1239" s="1" t="s">
        <v>209</v>
      </c>
      <c r="Q1239" s="1" t="s">
        <v>210</v>
      </c>
      <c r="R1239" s="1" t="s">
        <v>211</v>
      </c>
      <c r="S1239" s="1" t="s">
        <v>44</v>
      </c>
      <c r="T1239" s="1" t="s">
        <v>45</v>
      </c>
      <c r="U1239" s="1">
        <v>4.82023068E8</v>
      </c>
      <c r="W1239" s="1" t="s">
        <v>46</v>
      </c>
      <c r="X1239" s="1" t="s">
        <v>45</v>
      </c>
      <c r="Y1239" s="1">
        <v>4.82013096E8</v>
      </c>
      <c r="Z1239" s="1">
        <v>3.8775243E7</v>
      </c>
      <c r="AA1239" s="1" t="s">
        <v>209</v>
      </c>
      <c r="AB1239" s="1">
        <v>0.0</v>
      </c>
      <c r="AC1239" s="2">
        <v>41548.0</v>
      </c>
      <c r="AD1239" s="1">
        <v>7500.0</v>
      </c>
      <c r="AE1239" s="1" t="s">
        <v>40</v>
      </c>
      <c r="AF1239" s="1">
        <v>2.0140716E7</v>
      </c>
      <c r="AG1239" s="1" t="s">
        <v>2708</v>
      </c>
      <c r="AH1239" s="1">
        <v>10.0</v>
      </c>
      <c r="AI1239" s="1">
        <v>2011.0</v>
      </c>
      <c r="AJ1239" s="1">
        <v>2014.0</v>
      </c>
      <c r="AK1239" s="1" t="s">
        <v>2654</v>
      </c>
    </row>
    <row r="1240">
      <c r="A1240" s="1" t="s">
        <v>2705</v>
      </c>
      <c r="B1240" s="1" t="s">
        <v>2705</v>
      </c>
      <c r="C1240" s="1" t="s">
        <v>159</v>
      </c>
      <c r="E1240" s="1">
        <v>5682507.0</v>
      </c>
      <c r="F1240" s="2">
        <v>41183.0</v>
      </c>
      <c r="G1240" s="1" t="s">
        <v>2706</v>
      </c>
      <c r="I1240" s="1" t="s">
        <v>2706</v>
      </c>
      <c r="L1240" s="1" t="s">
        <v>40</v>
      </c>
      <c r="M1240" s="1">
        <v>7500.0</v>
      </c>
      <c r="N1240" s="1" t="s">
        <v>40</v>
      </c>
      <c r="O1240" s="1">
        <v>1962224.0</v>
      </c>
      <c r="P1240" s="1" t="s">
        <v>52</v>
      </c>
      <c r="Q1240" s="1" t="s">
        <v>1408</v>
      </c>
      <c r="R1240" s="1" t="s">
        <v>1885</v>
      </c>
      <c r="S1240" s="1" t="s">
        <v>44</v>
      </c>
      <c r="T1240" s="1" t="s">
        <v>45</v>
      </c>
      <c r="U1240" s="1">
        <v>4.82021347E8</v>
      </c>
      <c r="W1240" s="1" t="s">
        <v>46</v>
      </c>
      <c r="X1240" s="1" t="s">
        <v>45</v>
      </c>
      <c r="Y1240" s="1">
        <v>4.82011347E8</v>
      </c>
      <c r="Z1240" s="1">
        <v>1962224.0</v>
      </c>
      <c r="AA1240" s="1" t="s">
        <v>52</v>
      </c>
      <c r="AB1240" s="1">
        <v>20000.0</v>
      </c>
      <c r="AC1240" s="2">
        <v>41183.0</v>
      </c>
      <c r="AD1240" s="1">
        <v>7500.0</v>
      </c>
      <c r="AE1240" s="1" t="s">
        <v>40</v>
      </c>
      <c r="AF1240" s="1">
        <v>2.0131609E7</v>
      </c>
      <c r="AG1240" s="1" t="s">
        <v>2708</v>
      </c>
      <c r="AH1240" s="1">
        <v>10.0</v>
      </c>
      <c r="AI1240" s="1">
        <v>2011.0</v>
      </c>
      <c r="AJ1240" s="1">
        <v>2013.0</v>
      </c>
      <c r="AK1240" s="1" t="s">
        <v>2654</v>
      </c>
    </row>
    <row r="1241">
      <c r="A1241" s="1" t="s">
        <v>2675</v>
      </c>
      <c r="B1241" s="1" t="s">
        <v>2675</v>
      </c>
      <c r="C1241" s="1" t="s">
        <v>63</v>
      </c>
      <c r="E1241" s="1">
        <v>2216760.0</v>
      </c>
      <c r="F1241" s="2">
        <v>41548.0</v>
      </c>
      <c r="G1241" s="1" t="s">
        <v>2676</v>
      </c>
      <c r="I1241" s="1" t="s">
        <v>2676</v>
      </c>
      <c r="L1241" s="1" t="s">
        <v>40</v>
      </c>
      <c r="M1241" s="1">
        <v>7500.0</v>
      </c>
      <c r="N1241" s="1" t="s">
        <v>40</v>
      </c>
      <c r="O1241" s="1">
        <v>3.8775243E7</v>
      </c>
      <c r="P1241" s="1" t="s">
        <v>209</v>
      </c>
      <c r="Q1241" s="1" t="s">
        <v>210</v>
      </c>
      <c r="R1241" s="1" t="s">
        <v>211</v>
      </c>
      <c r="S1241" s="1" t="s">
        <v>44</v>
      </c>
      <c r="T1241" s="1" t="s">
        <v>45</v>
      </c>
      <c r="U1241" s="1">
        <v>4.82023068E8</v>
      </c>
      <c r="W1241" s="1" t="s">
        <v>46</v>
      </c>
      <c r="X1241" s="1" t="s">
        <v>45</v>
      </c>
      <c r="Y1241" s="1">
        <v>4.82023068E8</v>
      </c>
      <c r="Z1241" s="1">
        <v>3.8775243E7</v>
      </c>
      <c r="AA1241" s="1" t="s">
        <v>209</v>
      </c>
      <c r="AB1241" s="1">
        <v>32667.0</v>
      </c>
      <c r="AC1241" s="2">
        <v>41548.0</v>
      </c>
      <c r="AD1241" s="1">
        <v>7500.0</v>
      </c>
      <c r="AE1241" s="1" t="s">
        <v>40</v>
      </c>
      <c r="AF1241" s="1">
        <v>2.0140708E7</v>
      </c>
      <c r="AG1241" s="1" t="s">
        <v>2677</v>
      </c>
      <c r="AH1241" s="1">
        <v>10.0</v>
      </c>
      <c r="AI1241" s="1">
        <v>2010.0</v>
      </c>
      <c r="AJ1241" s="1">
        <v>2014.0</v>
      </c>
      <c r="AK1241" s="1" t="s">
        <v>1410</v>
      </c>
    </row>
    <row r="1242">
      <c r="A1242" s="1" t="s">
        <v>2675</v>
      </c>
      <c r="B1242" s="1" t="s">
        <v>2675</v>
      </c>
      <c r="C1242" s="1" t="s">
        <v>63</v>
      </c>
      <c r="E1242" s="1">
        <v>2216760.0</v>
      </c>
      <c r="F1242" s="2">
        <v>41183.0</v>
      </c>
      <c r="G1242" s="1" t="s">
        <v>2676</v>
      </c>
      <c r="I1242" s="1" t="s">
        <v>2676</v>
      </c>
      <c r="L1242" s="1" t="s">
        <v>40</v>
      </c>
      <c r="M1242" s="1">
        <v>7500.0</v>
      </c>
      <c r="N1242" s="1" t="s">
        <v>40</v>
      </c>
      <c r="O1242" s="1">
        <v>3.8775243E7</v>
      </c>
      <c r="P1242" s="1" t="s">
        <v>209</v>
      </c>
      <c r="Q1242" s="1" t="s">
        <v>210</v>
      </c>
      <c r="R1242" s="1" t="s">
        <v>211</v>
      </c>
      <c r="S1242" s="1" t="s">
        <v>44</v>
      </c>
      <c r="T1242" s="1" t="s">
        <v>45</v>
      </c>
      <c r="U1242" s="1">
        <v>4.82023068E8</v>
      </c>
      <c r="W1242" s="1" t="s">
        <v>46</v>
      </c>
      <c r="X1242" s="1" t="s">
        <v>45</v>
      </c>
      <c r="Y1242" s="1">
        <v>4.82023068E8</v>
      </c>
      <c r="Z1242" s="1">
        <v>3.8775243E7</v>
      </c>
      <c r="AA1242" s="1" t="s">
        <v>209</v>
      </c>
      <c r="AB1242" s="1">
        <v>16611.0</v>
      </c>
      <c r="AC1242" s="2">
        <v>41183.0</v>
      </c>
      <c r="AD1242" s="1">
        <v>7500.0</v>
      </c>
      <c r="AE1242" s="1" t="s">
        <v>40</v>
      </c>
      <c r="AF1242" s="1">
        <v>2.0131224E7</v>
      </c>
      <c r="AG1242" s="1" t="s">
        <v>2677</v>
      </c>
      <c r="AH1242" s="1">
        <v>10.0</v>
      </c>
      <c r="AI1242" s="1">
        <v>2010.0</v>
      </c>
      <c r="AJ1242" s="1">
        <v>2013.0</v>
      </c>
      <c r="AK1242" s="1" t="s">
        <v>1410</v>
      </c>
    </row>
    <row r="1243">
      <c r="A1243" s="1" t="s">
        <v>2678</v>
      </c>
      <c r="B1243" s="1" t="s">
        <v>2678</v>
      </c>
      <c r="C1243" s="1" t="s">
        <v>63</v>
      </c>
      <c r="E1243" s="1">
        <v>2652028.0</v>
      </c>
      <c r="F1243" s="2">
        <v>41548.0</v>
      </c>
      <c r="G1243" s="1" t="s">
        <v>2679</v>
      </c>
      <c r="I1243" s="1" t="s">
        <v>2679</v>
      </c>
      <c r="L1243" s="1" t="s">
        <v>40</v>
      </c>
      <c r="M1243" s="1">
        <v>7500.0</v>
      </c>
      <c r="N1243" s="1" t="s">
        <v>40</v>
      </c>
      <c r="O1243" s="1">
        <v>1962224.0</v>
      </c>
      <c r="P1243" s="1" t="s">
        <v>52</v>
      </c>
      <c r="Q1243" s="1" t="s">
        <v>1408</v>
      </c>
      <c r="R1243" s="1" t="s">
        <v>1885</v>
      </c>
      <c r="S1243" s="1" t="s">
        <v>44</v>
      </c>
      <c r="T1243" s="1" t="s">
        <v>45</v>
      </c>
      <c r="U1243" s="1">
        <v>4.82021347E8</v>
      </c>
      <c r="W1243" s="1" t="s">
        <v>46</v>
      </c>
      <c r="X1243" s="1" t="s">
        <v>45</v>
      </c>
      <c r="Y1243" s="1">
        <v>4.82024123E8</v>
      </c>
      <c r="Z1243" s="1">
        <v>1962224.0</v>
      </c>
      <c r="AA1243" s="1" t="s">
        <v>52</v>
      </c>
      <c r="AB1243" s="1">
        <v>9916.35</v>
      </c>
      <c r="AC1243" s="2">
        <v>41548.0</v>
      </c>
      <c r="AD1243" s="1">
        <v>7500.0</v>
      </c>
      <c r="AE1243" s="1" t="s">
        <v>40</v>
      </c>
      <c r="AF1243" s="1">
        <v>2.0141501E7</v>
      </c>
      <c r="AG1243" s="1" t="s">
        <v>2680</v>
      </c>
      <c r="AH1243" s="1">
        <v>10.0</v>
      </c>
      <c r="AI1243" s="1">
        <v>2013.0</v>
      </c>
      <c r="AJ1243" s="1">
        <v>2014.0</v>
      </c>
      <c r="AK1243" s="1" t="s">
        <v>1572</v>
      </c>
    </row>
    <row r="1244">
      <c r="A1244" s="1" t="s">
        <v>2678</v>
      </c>
      <c r="B1244" s="1" t="s">
        <v>2678</v>
      </c>
      <c r="C1244" s="1" t="s">
        <v>63</v>
      </c>
      <c r="E1244" s="1">
        <v>2652028.0</v>
      </c>
      <c r="F1244" s="2">
        <v>41548.0</v>
      </c>
      <c r="G1244" s="1" t="s">
        <v>2679</v>
      </c>
      <c r="I1244" s="1" t="s">
        <v>2679</v>
      </c>
      <c r="L1244" s="1" t="s">
        <v>40</v>
      </c>
      <c r="M1244" s="1">
        <v>7500.0</v>
      </c>
      <c r="N1244" s="1" t="s">
        <v>40</v>
      </c>
      <c r="O1244" s="1">
        <v>6530661.0</v>
      </c>
      <c r="P1244" s="1" t="s">
        <v>73</v>
      </c>
      <c r="Q1244" s="1" t="s">
        <v>323</v>
      </c>
      <c r="R1244" s="1" t="s">
        <v>1961</v>
      </c>
      <c r="S1244" s="1" t="s">
        <v>44</v>
      </c>
      <c r="T1244" s="1" t="s">
        <v>45</v>
      </c>
      <c r="U1244" s="1">
        <v>4.82263443E8</v>
      </c>
      <c r="W1244" s="1" t="s">
        <v>46</v>
      </c>
      <c r="X1244" s="1" t="s">
        <v>45</v>
      </c>
      <c r="Y1244" s="1">
        <v>4.82021732E8</v>
      </c>
      <c r="Z1244" s="1">
        <v>6530661.0</v>
      </c>
      <c r="AA1244" s="1" t="s">
        <v>76</v>
      </c>
      <c r="AB1244" s="1">
        <v>268200.0</v>
      </c>
      <c r="AC1244" s="2">
        <v>41548.0</v>
      </c>
      <c r="AD1244" s="1">
        <v>7500.0</v>
      </c>
      <c r="AE1244" s="1" t="s">
        <v>40</v>
      </c>
      <c r="AF1244" s="1">
        <v>2.0141454E7</v>
      </c>
      <c r="AG1244" s="1" t="s">
        <v>2680</v>
      </c>
      <c r="AH1244" s="1">
        <v>10.0</v>
      </c>
      <c r="AI1244" s="1">
        <v>2013.0</v>
      </c>
      <c r="AJ1244" s="1">
        <v>2014.0</v>
      </c>
      <c r="AK1244" s="1" t="s">
        <v>1572</v>
      </c>
    </row>
    <row r="1245">
      <c r="A1245" s="1" t="s">
        <v>2697</v>
      </c>
      <c r="B1245" s="1" t="s">
        <v>2697</v>
      </c>
      <c r="C1245" s="1" t="s">
        <v>85</v>
      </c>
      <c r="E1245" s="1">
        <v>1984000.0</v>
      </c>
      <c r="F1245" s="2">
        <v>41548.0</v>
      </c>
      <c r="G1245" s="1" t="s">
        <v>2605</v>
      </c>
      <c r="I1245" s="1" t="s">
        <v>2605</v>
      </c>
      <c r="L1245" s="1" t="s">
        <v>40</v>
      </c>
      <c r="M1245" s="1">
        <v>7500.0</v>
      </c>
      <c r="N1245" s="1" t="s">
        <v>40</v>
      </c>
      <c r="O1245" s="1">
        <v>7.914812E7</v>
      </c>
      <c r="P1245" s="1" t="s">
        <v>1944</v>
      </c>
      <c r="R1245" s="1" t="s">
        <v>1945</v>
      </c>
      <c r="S1245" s="1" t="s">
        <v>44</v>
      </c>
      <c r="T1245" s="1" t="s">
        <v>45</v>
      </c>
      <c r="U1245" s="1">
        <v>4.820125E8</v>
      </c>
      <c r="W1245" s="1" t="s">
        <v>46</v>
      </c>
      <c r="X1245" s="1" t="s">
        <v>45</v>
      </c>
      <c r="Y1245" s="1">
        <v>4.820125E8</v>
      </c>
      <c r="Z1245" s="1">
        <v>1.26212617E8</v>
      </c>
      <c r="AB1245" s="1">
        <v>71316.0</v>
      </c>
      <c r="AC1245" s="2">
        <v>41548.0</v>
      </c>
      <c r="AD1245" s="1">
        <v>7500.0</v>
      </c>
      <c r="AE1245" s="1" t="s">
        <v>40</v>
      </c>
      <c r="AF1245" s="1">
        <v>2.0141738E7</v>
      </c>
      <c r="AG1245" s="1" t="s">
        <v>2698</v>
      </c>
      <c r="AH1245" s="1">
        <v>10.0</v>
      </c>
      <c r="AI1245" s="1">
        <v>2011.0</v>
      </c>
      <c r="AJ1245" s="1">
        <v>2014.0</v>
      </c>
      <c r="AK1245" s="1" t="s">
        <v>2699</v>
      </c>
    </row>
    <row r="1246">
      <c r="A1246" s="1" t="s">
        <v>2697</v>
      </c>
      <c r="B1246" s="1" t="s">
        <v>2697</v>
      </c>
      <c r="C1246" s="1" t="s">
        <v>85</v>
      </c>
      <c r="E1246" s="1">
        <v>1984000.0</v>
      </c>
      <c r="F1246" s="2">
        <v>41183.0</v>
      </c>
      <c r="G1246" s="1" t="s">
        <v>2605</v>
      </c>
      <c r="I1246" s="1" t="s">
        <v>2605</v>
      </c>
      <c r="L1246" s="1" t="s">
        <v>40</v>
      </c>
      <c r="M1246" s="1">
        <v>7500.0</v>
      </c>
      <c r="N1246" s="1" t="s">
        <v>40</v>
      </c>
      <c r="O1246" s="1">
        <v>7.6385699E7</v>
      </c>
      <c r="P1246" s="1" t="s">
        <v>106</v>
      </c>
      <c r="Q1246" s="1" t="s">
        <v>1005</v>
      </c>
      <c r="R1246" s="1" t="s">
        <v>1006</v>
      </c>
      <c r="S1246" s="1" t="s">
        <v>44</v>
      </c>
      <c r="T1246" s="1" t="s">
        <v>45</v>
      </c>
      <c r="U1246" s="1">
        <v>4.82092022E8</v>
      </c>
      <c r="W1246" s="1" t="s">
        <v>46</v>
      </c>
      <c r="X1246" s="1" t="s">
        <v>45</v>
      </c>
      <c r="Y1246" s="1">
        <v>4.82092022E8</v>
      </c>
      <c r="Z1246" s="1">
        <v>7.6385699E7</v>
      </c>
      <c r="AA1246" s="1" t="s">
        <v>106</v>
      </c>
      <c r="AB1246" s="1">
        <v>50000.0</v>
      </c>
      <c r="AC1246" s="2">
        <v>41183.0</v>
      </c>
      <c r="AD1246" s="1">
        <v>7500.0</v>
      </c>
      <c r="AE1246" s="1" t="s">
        <v>40</v>
      </c>
      <c r="AF1246" s="1">
        <v>2.0130319E7</v>
      </c>
      <c r="AG1246" s="1" t="s">
        <v>2698</v>
      </c>
      <c r="AH1246" s="1">
        <v>10.0</v>
      </c>
      <c r="AI1246" s="1">
        <v>2011.0</v>
      </c>
      <c r="AJ1246" s="1">
        <v>2013.0</v>
      </c>
      <c r="AK1246" s="1" t="s">
        <v>2699</v>
      </c>
    </row>
    <row r="1247">
      <c r="A1247" s="1" t="s">
        <v>2697</v>
      </c>
      <c r="B1247" s="1" t="s">
        <v>2697</v>
      </c>
      <c r="C1247" s="1" t="s">
        <v>85</v>
      </c>
      <c r="E1247" s="1">
        <v>1984000.0</v>
      </c>
      <c r="F1247" s="2">
        <v>41183.0</v>
      </c>
      <c r="G1247" s="1" t="s">
        <v>2605</v>
      </c>
      <c r="I1247" s="1" t="s">
        <v>2605</v>
      </c>
      <c r="L1247" s="1" t="s">
        <v>40</v>
      </c>
      <c r="M1247" s="1">
        <v>7500.0</v>
      </c>
      <c r="N1247" s="1" t="s">
        <v>40</v>
      </c>
      <c r="O1247" s="1">
        <v>7.914812E7</v>
      </c>
      <c r="P1247" s="1" t="s">
        <v>1944</v>
      </c>
      <c r="R1247" s="1" t="s">
        <v>1945</v>
      </c>
      <c r="S1247" s="1" t="s">
        <v>44</v>
      </c>
      <c r="T1247" s="1" t="s">
        <v>45</v>
      </c>
      <c r="U1247" s="1">
        <v>4.820125E8</v>
      </c>
      <c r="W1247" s="1" t="s">
        <v>46</v>
      </c>
      <c r="X1247" s="1" t="s">
        <v>45</v>
      </c>
      <c r="Y1247" s="1">
        <v>4.820125E8</v>
      </c>
      <c r="Z1247" s="1">
        <v>7.3134884E7</v>
      </c>
      <c r="AA1247" s="1" t="s">
        <v>1796</v>
      </c>
      <c r="AB1247" s="1">
        <v>4188.0</v>
      </c>
      <c r="AC1247" s="2">
        <v>41183.0</v>
      </c>
      <c r="AD1247" s="1">
        <v>7500.0</v>
      </c>
      <c r="AE1247" s="1" t="s">
        <v>40</v>
      </c>
      <c r="AF1247" s="1">
        <v>2.0131101E7</v>
      </c>
      <c r="AG1247" s="1" t="s">
        <v>2698</v>
      </c>
      <c r="AH1247" s="1">
        <v>10.0</v>
      </c>
      <c r="AI1247" s="1">
        <v>2011.0</v>
      </c>
      <c r="AJ1247" s="1">
        <v>2013.0</v>
      </c>
      <c r="AK1247" s="1" t="s">
        <v>2699</v>
      </c>
    </row>
    <row r="1248">
      <c r="A1248" s="1" t="s">
        <v>2697</v>
      </c>
      <c r="B1248" s="1" t="s">
        <v>2697</v>
      </c>
      <c r="C1248" s="1" t="s">
        <v>85</v>
      </c>
      <c r="E1248" s="1">
        <v>1984000.0</v>
      </c>
      <c r="F1248" s="2">
        <v>41183.0</v>
      </c>
      <c r="G1248" s="1" t="s">
        <v>2605</v>
      </c>
      <c r="I1248" s="1" t="s">
        <v>2605</v>
      </c>
      <c r="L1248" s="1" t="s">
        <v>40</v>
      </c>
      <c r="M1248" s="1">
        <v>7500.0</v>
      </c>
      <c r="N1248" s="1" t="s">
        <v>40</v>
      </c>
      <c r="O1248" s="1">
        <v>7.914812E7</v>
      </c>
      <c r="P1248" s="1" t="s">
        <v>1944</v>
      </c>
      <c r="R1248" s="1" t="s">
        <v>1945</v>
      </c>
      <c r="S1248" s="1" t="s">
        <v>44</v>
      </c>
      <c r="T1248" s="1" t="s">
        <v>45</v>
      </c>
      <c r="U1248" s="1">
        <v>4.820125E8</v>
      </c>
      <c r="W1248" s="1" t="s">
        <v>46</v>
      </c>
      <c r="X1248" s="1" t="s">
        <v>45</v>
      </c>
      <c r="Y1248" s="1">
        <v>4.820125E8</v>
      </c>
      <c r="Z1248" s="1">
        <v>1.63854E7</v>
      </c>
      <c r="AA1248" s="1" t="s">
        <v>2709</v>
      </c>
      <c r="AB1248" s="1">
        <v>17626.0</v>
      </c>
      <c r="AC1248" s="2">
        <v>41183.0</v>
      </c>
      <c r="AD1248" s="1">
        <v>7500.0</v>
      </c>
      <c r="AE1248" s="1" t="s">
        <v>40</v>
      </c>
      <c r="AF1248" s="1">
        <v>2.0130306E7</v>
      </c>
      <c r="AG1248" s="1" t="s">
        <v>2698</v>
      </c>
      <c r="AH1248" s="1">
        <v>10.0</v>
      </c>
      <c r="AI1248" s="1">
        <v>2011.0</v>
      </c>
      <c r="AJ1248" s="1">
        <v>2013.0</v>
      </c>
      <c r="AK1248" s="1" t="s">
        <v>2699</v>
      </c>
    </row>
    <row r="1249">
      <c r="A1249" s="1" t="s">
        <v>2702</v>
      </c>
      <c r="B1249" s="1" t="s">
        <v>2702</v>
      </c>
      <c r="C1249" s="1" t="s">
        <v>85</v>
      </c>
      <c r="E1249" s="1">
        <v>1863000.0</v>
      </c>
      <c r="F1249" s="2">
        <v>41548.0</v>
      </c>
      <c r="G1249" s="1" t="s">
        <v>2605</v>
      </c>
      <c r="I1249" s="1" t="s">
        <v>2605</v>
      </c>
      <c r="L1249" s="1" t="s">
        <v>40</v>
      </c>
      <c r="M1249" s="1">
        <v>7500.0</v>
      </c>
      <c r="N1249" s="1" t="s">
        <v>40</v>
      </c>
      <c r="O1249" s="1">
        <v>7.914812E7</v>
      </c>
      <c r="P1249" s="1" t="s">
        <v>1944</v>
      </c>
      <c r="R1249" s="1" t="s">
        <v>1945</v>
      </c>
      <c r="S1249" s="1" t="s">
        <v>44</v>
      </c>
      <c r="T1249" s="1" t="s">
        <v>45</v>
      </c>
      <c r="U1249" s="1">
        <v>4.820125E8</v>
      </c>
      <c r="W1249" s="1" t="s">
        <v>46</v>
      </c>
      <c r="X1249" s="1" t="s">
        <v>45</v>
      </c>
      <c r="Y1249" s="1">
        <v>4.8226348E8</v>
      </c>
      <c r="AB1249" s="1">
        <v>157547.0</v>
      </c>
      <c r="AC1249" s="2">
        <v>41548.0</v>
      </c>
      <c r="AD1249" s="1">
        <v>7500.0</v>
      </c>
      <c r="AE1249" s="1" t="s">
        <v>40</v>
      </c>
      <c r="AF1249" s="1">
        <v>2.0141739E7</v>
      </c>
      <c r="AG1249" s="1" t="s">
        <v>2698</v>
      </c>
      <c r="AH1249" s="1">
        <v>10.0</v>
      </c>
      <c r="AI1249" s="1">
        <v>2012.0</v>
      </c>
      <c r="AJ1249" s="1">
        <v>2014.0</v>
      </c>
      <c r="AK1249" s="1" t="s">
        <v>2699</v>
      </c>
    </row>
    <row r="1250">
      <c r="A1250" s="1" t="s">
        <v>2702</v>
      </c>
      <c r="B1250" s="1" t="s">
        <v>2702</v>
      </c>
      <c r="C1250" s="1" t="s">
        <v>85</v>
      </c>
      <c r="E1250" s="1">
        <v>1863000.0</v>
      </c>
      <c r="F1250" s="2">
        <v>41548.0</v>
      </c>
      <c r="G1250" s="1" t="s">
        <v>2605</v>
      </c>
      <c r="I1250" s="1" t="s">
        <v>2605</v>
      </c>
      <c r="L1250" s="1" t="s">
        <v>40</v>
      </c>
      <c r="M1250" s="1">
        <v>7500.0</v>
      </c>
      <c r="N1250" s="1" t="s">
        <v>40</v>
      </c>
      <c r="O1250" s="1">
        <v>7.914812E7</v>
      </c>
      <c r="P1250" s="1" t="s">
        <v>1944</v>
      </c>
      <c r="R1250" s="1" t="s">
        <v>1945</v>
      </c>
      <c r="S1250" s="1" t="s">
        <v>44</v>
      </c>
      <c r="T1250" s="1" t="s">
        <v>45</v>
      </c>
      <c r="U1250" s="1">
        <v>4.820125E8</v>
      </c>
      <c r="W1250" s="1" t="s">
        <v>46</v>
      </c>
      <c r="X1250" s="1" t="s">
        <v>45</v>
      </c>
      <c r="Y1250" s="1">
        <v>4.8226348E8</v>
      </c>
      <c r="AB1250" s="1">
        <v>37470.0</v>
      </c>
      <c r="AC1250" s="2">
        <v>41548.0</v>
      </c>
      <c r="AD1250" s="1">
        <v>7500.0</v>
      </c>
      <c r="AE1250" s="1" t="s">
        <v>40</v>
      </c>
      <c r="AF1250" s="1">
        <v>2.0141737E7</v>
      </c>
      <c r="AG1250" s="1" t="s">
        <v>2698</v>
      </c>
      <c r="AH1250" s="1">
        <v>10.0</v>
      </c>
      <c r="AI1250" s="1">
        <v>2012.0</v>
      </c>
      <c r="AJ1250" s="1">
        <v>2014.0</v>
      </c>
      <c r="AK1250" s="1" t="s">
        <v>2699</v>
      </c>
    </row>
    <row r="1251">
      <c r="A1251" s="1" t="s">
        <v>2697</v>
      </c>
      <c r="B1251" s="1" t="s">
        <v>2697</v>
      </c>
      <c r="C1251" s="1" t="s">
        <v>85</v>
      </c>
      <c r="E1251" s="1">
        <v>1984000.0</v>
      </c>
      <c r="F1251" s="2">
        <v>41183.0</v>
      </c>
      <c r="G1251" s="1" t="s">
        <v>2605</v>
      </c>
      <c r="I1251" s="1" t="s">
        <v>2605</v>
      </c>
      <c r="L1251" s="1" t="s">
        <v>40</v>
      </c>
      <c r="M1251" s="1">
        <v>7500.0</v>
      </c>
      <c r="N1251" s="1" t="s">
        <v>40</v>
      </c>
      <c r="O1251" s="1">
        <v>7.914812E7</v>
      </c>
      <c r="P1251" s="1" t="s">
        <v>1944</v>
      </c>
      <c r="R1251" s="1" t="s">
        <v>1945</v>
      </c>
      <c r="S1251" s="1" t="s">
        <v>44</v>
      </c>
      <c r="T1251" s="1" t="s">
        <v>45</v>
      </c>
      <c r="U1251" s="1">
        <v>4.820125E8</v>
      </c>
      <c r="W1251" s="1" t="s">
        <v>46</v>
      </c>
      <c r="X1251" s="1" t="s">
        <v>45</v>
      </c>
      <c r="Y1251" s="1">
        <v>4.820125E8</v>
      </c>
      <c r="Z1251" s="1">
        <v>1.0879989E7</v>
      </c>
      <c r="AA1251" s="1" t="s">
        <v>2710</v>
      </c>
      <c r="AB1251" s="1">
        <v>23019.0</v>
      </c>
      <c r="AC1251" s="2">
        <v>41183.0</v>
      </c>
      <c r="AD1251" s="1">
        <v>7500.0</v>
      </c>
      <c r="AE1251" s="1" t="s">
        <v>40</v>
      </c>
      <c r="AF1251" s="1">
        <v>2.0130305E7</v>
      </c>
      <c r="AG1251" s="1" t="s">
        <v>2698</v>
      </c>
      <c r="AH1251" s="1">
        <v>10.0</v>
      </c>
      <c r="AI1251" s="1">
        <v>2011.0</v>
      </c>
      <c r="AJ1251" s="1">
        <v>2013.0</v>
      </c>
      <c r="AK1251" s="1" t="s">
        <v>2699</v>
      </c>
    </row>
    <row r="1252">
      <c r="A1252" s="1" t="s">
        <v>2697</v>
      </c>
      <c r="B1252" s="1" t="s">
        <v>2697</v>
      </c>
      <c r="C1252" s="1" t="s">
        <v>85</v>
      </c>
      <c r="E1252" s="1">
        <v>1984000.0</v>
      </c>
      <c r="F1252" s="2">
        <v>41183.0</v>
      </c>
      <c r="G1252" s="1" t="s">
        <v>2605</v>
      </c>
      <c r="I1252" s="1" t="s">
        <v>2605</v>
      </c>
      <c r="L1252" s="1" t="s">
        <v>40</v>
      </c>
      <c r="M1252" s="1">
        <v>7500.0</v>
      </c>
      <c r="N1252" s="1" t="s">
        <v>40</v>
      </c>
      <c r="O1252" s="1">
        <v>7.914812E7</v>
      </c>
      <c r="P1252" s="1" t="s">
        <v>1944</v>
      </c>
      <c r="R1252" s="1" t="s">
        <v>1945</v>
      </c>
      <c r="S1252" s="1" t="s">
        <v>44</v>
      </c>
      <c r="T1252" s="1" t="s">
        <v>45</v>
      </c>
      <c r="U1252" s="1">
        <v>4.820125E8</v>
      </c>
      <c r="W1252" s="1" t="s">
        <v>46</v>
      </c>
      <c r="X1252" s="1" t="s">
        <v>45</v>
      </c>
      <c r="Y1252" s="1">
        <v>4.820125E8</v>
      </c>
      <c r="Z1252" s="1">
        <v>1.63854E7</v>
      </c>
      <c r="AA1252" s="1" t="s">
        <v>2709</v>
      </c>
      <c r="AB1252" s="1">
        <v>66383.0</v>
      </c>
      <c r="AC1252" s="2">
        <v>41183.0</v>
      </c>
      <c r="AD1252" s="1">
        <v>7500.0</v>
      </c>
      <c r="AE1252" s="1" t="s">
        <v>40</v>
      </c>
      <c r="AF1252" s="1">
        <v>2.0130346E7</v>
      </c>
      <c r="AG1252" s="1" t="s">
        <v>2698</v>
      </c>
      <c r="AH1252" s="1">
        <v>10.0</v>
      </c>
      <c r="AI1252" s="1">
        <v>2011.0</v>
      </c>
      <c r="AJ1252" s="1">
        <v>2013.0</v>
      </c>
      <c r="AK1252" s="1" t="s">
        <v>2699</v>
      </c>
    </row>
    <row r="1253">
      <c r="A1253" s="1" t="s">
        <v>2702</v>
      </c>
      <c r="B1253" s="1" t="s">
        <v>2702</v>
      </c>
      <c r="C1253" s="1" t="s">
        <v>85</v>
      </c>
      <c r="E1253" s="1">
        <v>1863000.0</v>
      </c>
      <c r="F1253" s="2">
        <v>41548.0</v>
      </c>
      <c r="G1253" s="1" t="s">
        <v>2605</v>
      </c>
      <c r="I1253" s="1" t="s">
        <v>2605</v>
      </c>
      <c r="L1253" s="1" t="s">
        <v>40</v>
      </c>
      <c r="M1253" s="1">
        <v>7500.0</v>
      </c>
      <c r="N1253" s="1" t="s">
        <v>40</v>
      </c>
      <c r="O1253" s="1">
        <v>7.914812E7</v>
      </c>
      <c r="P1253" s="1" t="s">
        <v>1944</v>
      </c>
      <c r="R1253" s="1" t="s">
        <v>1945</v>
      </c>
      <c r="S1253" s="1" t="s">
        <v>44</v>
      </c>
      <c r="T1253" s="1" t="s">
        <v>45</v>
      </c>
      <c r="U1253" s="1">
        <v>4.820125E8</v>
      </c>
      <c r="W1253" s="1" t="s">
        <v>46</v>
      </c>
      <c r="X1253" s="1" t="s">
        <v>45</v>
      </c>
      <c r="Y1253" s="1">
        <v>4.8226348E8</v>
      </c>
      <c r="AB1253" s="1">
        <v>86487.0</v>
      </c>
      <c r="AC1253" s="2">
        <v>41548.0</v>
      </c>
      <c r="AD1253" s="1">
        <v>7500.0</v>
      </c>
      <c r="AE1253" s="1" t="s">
        <v>40</v>
      </c>
      <c r="AF1253" s="1">
        <v>2.014174E7</v>
      </c>
      <c r="AG1253" s="1" t="s">
        <v>2698</v>
      </c>
      <c r="AH1253" s="1">
        <v>10.0</v>
      </c>
      <c r="AI1253" s="1">
        <v>2012.0</v>
      </c>
      <c r="AJ1253" s="1">
        <v>2014.0</v>
      </c>
      <c r="AK1253" s="1" t="s">
        <v>2699</v>
      </c>
    </row>
    <row r="1254">
      <c r="A1254" s="1" t="s">
        <v>2702</v>
      </c>
      <c r="B1254" s="1" t="s">
        <v>2702</v>
      </c>
      <c r="C1254" s="1" t="s">
        <v>85</v>
      </c>
      <c r="E1254" s="1">
        <v>1863000.0</v>
      </c>
      <c r="F1254" s="2">
        <v>41548.0</v>
      </c>
      <c r="G1254" s="1" t="s">
        <v>2605</v>
      </c>
      <c r="I1254" s="1" t="s">
        <v>2605</v>
      </c>
      <c r="L1254" s="1" t="s">
        <v>40</v>
      </c>
      <c r="M1254" s="1">
        <v>7500.0</v>
      </c>
      <c r="N1254" s="1" t="s">
        <v>40</v>
      </c>
      <c r="O1254" s="1">
        <v>7.914812E7</v>
      </c>
      <c r="P1254" s="1" t="s">
        <v>1944</v>
      </c>
      <c r="R1254" s="1" t="s">
        <v>1945</v>
      </c>
      <c r="S1254" s="1" t="s">
        <v>44</v>
      </c>
      <c r="T1254" s="1" t="s">
        <v>45</v>
      </c>
      <c r="U1254" s="1">
        <v>4.820125E8</v>
      </c>
      <c r="W1254" s="1" t="s">
        <v>46</v>
      </c>
      <c r="X1254" s="1" t="s">
        <v>45</v>
      </c>
      <c r="Y1254" s="1">
        <v>4.8226348E8</v>
      </c>
      <c r="AB1254" s="1">
        <v>56311.0</v>
      </c>
      <c r="AC1254" s="2">
        <v>41548.0</v>
      </c>
      <c r="AD1254" s="1">
        <v>7500.0</v>
      </c>
      <c r="AE1254" s="1" t="s">
        <v>40</v>
      </c>
      <c r="AF1254" s="1">
        <v>2.0141738E7</v>
      </c>
      <c r="AG1254" s="1" t="s">
        <v>2698</v>
      </c>
      <c r="AH1254" s="1">
        <v>10.0</v>
      </c>
      <c r="AI1254" s="1">
        <v>2012.0</v>
      </c>
      <c r="AJ1254" s="1">
        <v>2014.0</v>
      </c>
      <c r="AK1254" s="1" t="s">
        <v>2699</v>
      </c>
    </row>
    <row r="1255">
      <c r="A1255" s="1" t="s">
        <v>2711</v>
      </c>
      <c r="B1255" s="1" t="s">
        <v>2711</v>
      </c>
      <c r="C1255" s="1" t="s">
        <v>38</v>
      </c>
      <c r="E1255" s="1">
        <v>243376.0</v>
      </c>
      <c r="F1255" s="2">
        <v>41906.0</v>
      </c>
      <c r="G1255" s="1" t="s">
        <v>2712</v>
      </c>
      <c r="I1255" s="1" t="s">
        <v>2712</v>
      </c>
      <c r="L1255" s="1" t="s">
        <v>40</v>
      </c>
      <c r="M1255" s="1">
        <v>7500.0</v>
      </c>
      <c r="N1255" s="1" t="s">
        <v>40</v>
      </c>
      <c r="O1255" s="1">
        <v>1962224.0</v>
      </c>
      <c r="P1255" s="1" t="s">
        <v>52</v>
      </c>
      <c r="R1255" s="1" t="s">
        <v>1885</v>
      </c>
      <c r="S1255" s="1" t="s">
        <v>44</v>
      </c>
      <c r="T1255" s="1" t="s">
        <v>45</v>
      </c>
      <c r="U1255" s="1">
        <v>4.82021347E8</v>
      </c>
      <c r="W1255" s="1" t="s">
        <v>46</v>
      </c>
      <c r="X1255" s="1" t="s">
        <v>45</v>
      </c>
      <c r="Y1255" s="1">
        <v>4.8202405E8</v>
      </c>
      <c r="Z1255" s="1">
        <v>1962224.0</v>
      </c>
      <c r="AA1255" s="1" t="s">
        <v>52</v>
      </c>
      <c r="AB1255" s="1">
        <v>27033.0</v>
      </c>
      <c r="AC1255" s="2">
        <v>41906.0</v>
      </c>
      <c r="AD1255" s="1">
        <v>7500.0</v>
      </c>
      <c r="AE1255" s="1" t="s">
        <v>40</v>
      </c>
      <c r="AF1255" s="1" t="s">
        <v>2713</v>
      </c>
      <c r="AG1255" s="1" t="s">
        <v>2714</v>
      </c>
      <c r="AH1255" s="1">
        <v>10.0</v>
      </c>
      <c r="AI1255" s="1">
        <v>2014.0</v>
      </c>
      <c r="AJ1255" s="1">
        <v>2014.0</v>
      </c>
      <c r="AK1255" s="1" t="s">
        <v>2715</v>
      </c>
    </row>
    <row r="1256">
      <c r="A1256" s="1" t="s">
        <v>142</v>
      </c>
      <c r="B1256" s="1" t="s">
        <v>142</v>
      </c>
      <c r="C1256" s="1" t="s">
        <v>129</v>
      </c>
      <c r="E1256" s="1">
        <v>1566217.0</v>
      </c>
      <c r="F1256" s="2">
        <v>41183.0</v>
      </c>
      <c r="G1256" s="1" t="s">
        <v>143</v>
      </c>
      <c r="I1256" s="1" t="s">
        <v>143</v>
      </c>
      <c r="L1256" s="1" t="s">
        <v>40</v>
      </c>
      <c r="M1256" s="1">
        <v>7500.0</v>
      </c>
      <c r="N1256" s="1" t="s">
        <v>40</v>
      </c>
      <c r="O1256" s="1">
        <v>1.41947783E8</v>
      </c>
      <c r="P1256" s="1" t="s">
        <v>144</v>
      </c>
      <c r="R1256" s="1" t="s">
        <v>145</v>
      </c>
      <c r="S1256" s="1" t="s">
        <v>44</v>
      </c>
      <c r="T1256" s="1" t="s">
        <v>45</v>
      </c>
      <c r="U1256" s="1">
        <v>4.82362148E8</v>
      </c>
      <c r="W1256" s="1" t="s">
        <v>46</v>
      </c>
      <c r="X1256" s="1" t="s">
        <v>45</v>
      </c>
      <c r="Y1256" s="1">
        <v>4.82362148E8</v>
      </c>
      <c r="AB1256" s="1">
        <v>0.0</v>
      </c>
      <c r="AC1256" s="2">
        <v>41183.0</v>
      </c>
      <c r="AD1256" s="1">
        <v>7500.0</v>
      </c>
      <c r="AE1256" s="1" t="s">
        <v>40</v>
      </c>
      <c r="AF1256" s="1">
        <v>2.0130452E7</v>
      </c>
      <c r="AG1256" s="1" t="s">
        <v>146</v>
      </c>
      <c r="AH1256" s="1">
        <v>11.0</v>
      </c>
      <c r="AI1256" s="1">
        <v>2012.0</v>
      </c>
      <c r="AJ1256" s="1">
        <v>2013.0</v>
      </c>
      <c r="AK1256" s="1" t="s">
        <v>147</v>
      </c>
    </row>
    <row r="1257">
      <c r="A1257" s="1" t="s">
        <v>2716</v>
      </c>
      <c r="B1257" s="1" t="s">
        <v>2716</v>
      </c>
      <c r="C1257" s="1" t="s">
        <v>85</v>
      </c>
      <c r="E1257" s="1">
        <v>1707551.0</v>
      </c>
      <c r="F1257" s="2">
        <v>41548.0</v>
      </c>
      <c r="G1257" s="1" t="s">
        <v>2717</v>
      </c>
      <c r="I1257" s="1" t="s">
        <v>2717</v>
      </c>
      <c r="L1257" s="1" t="s">
        <v>40</v>
      </c>
      <c r="M1257" s="1">
        <v>7500.0</v>
      </c>
      <c r="N1257" s="1" t="s">
        <v>40</v>
      </c>
      <c r="O1257" s="1">
        <v>7.6385699E7</v>
      </c>
      <c r="P1257" s="1" t="s">
        <v>106</v>
      </c>
      <c r="Q1257" s="1" t="s">
        <v>1005</v>
      </c>
      <c r="R1257" s="1" t="s">
        <v>1006</v>
      </c>
      <c r="S1257" s="1" t="s">
        <v>44</v>
      </c>
      <c r="T1257" s="1" t="s">
        <v>45</v>
      </c>
      <c r="U1257" s="1">
        <v>4.82092022E8</v>
      </c>
      <c r="W1257" s="1" t="s">
        <v>46</v>
      </c>
      <c r="X1257" s="1" t="s">
        <v>45</v>
      </c>
      <c r="Y1257" s="1">
        <v>4.82092022E8</v>
      </c>
      <c r="Z1257" s="1">
        <v>7.6385699E7</v>
      </c>
      <c r="AA1257" s="1" t="s">
        <v>106</v>
      </c>
      <c r="AB1257" s="1">
        <v>317764.0</v>
      </c>
      <c r="AC1257" s="2">
        <v>41548.0</v>
      </c>
      <c r="AD1257" s="1">
        <v>7500.0</v>
      </c>
      <c r="AE1257" s="1" t="s">
        <v>40</v>
      </c>
      <c r="AF1257" s="1">
        <v>2.014316E7</v>
      </c>
      <c r="AG1257" s="1" t="s">
        <v>1359</v>
      </c>
      <c r="AH1257" s="1">
        <v>10.0</v>
      </c>
      <c r="AI1257" s="1">
        <v>2012.0</v>
      </c>
      <c r="AJ1257" s="1">
        <v>2014.0</v>
      </c>
      <c r="AK1257" s="1" t="s">
        <v>88</v>
      </c>
    </row>
    <row r="1258">
      <c r="A1258" s="1" t="s">
        <v>2716</v>
      </c>
      <c r="B1258" s="1" t="s">
        <v>2716</v>
      </c>
      <c r="C1258" s="1" t="s">
        <v>85</v>
      </c>
      <c r="E1258" s="1">
        <v>1707551.0</v>
      </c>
      <c r="F1258" s="2">
        <v>41548.0</v>
      </c>
      <c r="G1258" s="1" t="s">
        <v>2717</v>
      </c>
      <c r="I1258" s="1" t="s">
        <v>2717</v>
      </c>
      <c r="L1258" s="1" t="s">
        <v>40</v>
      </c>
      <c r="M1258" s="1">
        <v>7500.0</v>
      </c>
      <c r="N1258" s="1" t="s">
        <v>40</v>
      </c>
      <c r="O1258" s="1">
        <v>1.35021181E8</v>
      </c>
      <c r="P1258" s="1" t="s">
        <v>979</v>
      </c>
      <c r="R1258" s="1" t="s">
        <v>980</v>
      </c>
      <c r="S1258" s="1" t="s">
        <v>44</v>
      </c>
      <c r="T1258" s="1" t="s">
        <v>45</v>
      </c>
      <c r="U1258" s="1">
        <v>4.82261412E8</v>
      </c>
      <c r="W1258" s="1" t="s">
        <v>46</v>
      </c>
      <c r="X1258" s="1" t="s">
        <v>45</v>
      </c>
      <c r="Y1258" s="1">
        <v>4.82261412E8</v>
      </c>
      <c r="Z1258" s="1">
        <v>4.3419399E7</v>
      </c>
      <c r="AA1258" s="1" t="s">
        <v>979</v>
      </c>
      <c r="AB1258" s="1">
        <v>251000.0</v>
      </c>
      <c r="AC1258" s="2">
        <v>41548.0</v>
      </c>
      <c r="AD1258" s="1">
        <v>7500.0</v>
      </c>
      <c r="AE1258" s="1" t="s">
        <v>40</v>
      </c>
      <c r="AF1258" s="1">
        <v>2.0143111E7</v>
      </c>
      <c r="AG1258" s="1" t="s">
        <v>1359</v>
      </c>
      <c r="AH1258" s="1">
        <v>10.0</v>
      </c>
      <c r="AI1258" s="1">
        <v>2012.0</v>
      </c>
      <c r="AJ1258" s="1">
        <v>2014.0</v>
      </c>
      <c r="AK1258" s="1" t="s">
        <v>88</v>
      </c>
    </row>
    <row r="1259">
      <c r="A1259" s="1">
        <v>1346688.0</v>
      </c>
      <c r="B1259" s="1">
        <v>1346688.0</v>
      </c>
      <c r="C1259" s="1" t="s">
        <v>109</v>
      </c>
      <c r="E1259" s="1">
        <v>7428610.0</v>
      </c>
      <c r="F1259" s="2">
        <v>41920.0</v>
      </c>
      <c r="G1259" s="1" t="s">
        <v>1786</v>
      </c>
      <c r="I1259" s="1" t="s">
        <v>1786</v>
      </c>
      <c r="L1259" s="1" t="s">
        <v>109</v>
      </c>
      <c r="M1259" s="1">
        <v>4900.0</v>
      </c>
      <c r="N1259" s="1" t="s">
        <v>109</v>
      </c>
      <c r="O1259" s="1">
        <v>1962224.0</v>
      </c>
      <c r="P1259" s="1" t="s">
        <v>52</v>
      </c>
      <c r="R1259" s="1" t="s">
        <v>1885</v>
      </c>
      <c r="S1259" s="1" t="s">
        <v>44</v>
      </c>
      <c r="T1259" s="1" t="s">
        <v>45</v>
      </c>
      <c r="U1259" s="1">
        <v>4.82021347E8</v>
      </c>
      <c r="W1259" s="1" t="s">
        <v>46</v>
      </c>
      <c r="X1259" s="1" t="s">
        <v>45</v>
      </c>
      <c r="Y1259" s="1">
        <v>4.8202405E8</v>
      </c>
      <c r="Z1259" s="1">
        <v>1962224.0</v>
      </c>
      <c r="AA1259" s="1" t="s">
        <v>52</v>
      </c>
      <c r="AB1259" s="1">
        <v>88678.0</v>
      </c>
      <c r="AC1259" s="2">
        <v>41920.0</v>
      </c>
      <c r="AD1259" s="1">
        <v>4900.0</v>
      </c>
      <c r="AE1259" s="1" t="s">
        <v>109</v>
      </c>
      <c r="AF1259" s="1" t="s">
        <v>1787</v>
      </c>
      <c r="AG1259" s="1" t="s">
        <v>1788</v>
      </c>
      <c r="AH1259" s="1">
        <v>10.0</v>
      </c>
      <c r="AI1259" s="1">
        <v>2014.0</v>
      </c>
      <c r="AJ1259" s="1">
        <v>2015.0</v>
      </c>
      <c r="AK1259" s="1" t="s">
        <v>113</v>
      </c>
    </row>
    <row r="1260">
      <c r="A1260" s="1" t="s">
        <v>2718</v>
      </c>
      <c r="B1260" s="1" t="s">
        <v>2718</v>
      </c>
      <c r="C1260" s="1" t="s">
        <v>224</v>
      </c>
      <c r="E1260" s="1">
        <v>750000.0</v>
      </c>
      <c r="F1260" s="2">
        <v>41906.0</v>
      </c>
      <c r="G1260" s="1" t="s">
        <v>2719</v>
      </c>
      <c r="I1260" s="1" t="s">
        <v>2719</v>
      </c>
      <c r="L1260" s="1" t="s">
        <v>151</v>
      </c>
      <c r="M1260" s="1">
        <v>6900.0</v>
      </c>
      <c r="N1260" s="1" t="s">
        <v>151</v>
      </c>
      <c r="O1260" s="1">
        <v>1.1855476E8</v>
      </c>
      <c r="P1260" s="1" t="s">
        <v>983</v>
      </c>
      <c r="Q1260" s="1" t="s">
        <v>984</v>
      </c>
      <c r="R1260" s="1" t="s">
        <v>227</v>
      </c>
      <c r="S1260" s="1" t="s">
        <v>44</v>
      </c>
      <c r="T1260" s="1" t="s">
        <v>45</v>
      </c>
      <c r="U1260" s="1">
        <v>4.82262886E8</v>
      </c>
      <c r="W1260" s="1" t="s">
        <v>46</v>
      </c>
      <c r="X1260" s="1" t="s">
        <v>45</v>
      </c>
      <c r="Y1260" s="1">
        <v>4.82262886E8</v>
      </c>
      <c r="Z1260" s="1">
        <v>6530661.0</v>
      </c>
      <c r="AA1260" s="1" t="s">
        <v>76</v>
      </c>
      <c r="AB1260" s="1">
        <v>750000.0</v>
      </c>
      <c r="AC1260" s="2">
        <v>41906.0</v>
      </c>
      <c r="AD1260" s="1">
        <v>6900.0</v>
      </c>
      <c r="AE1260" s="1" t="s">
        <v>151</v>
      </c>
      <c r="AF1260" s="1">
        <v>1.0</v>
      </c>
      <c r="AG1260" s="1" t="s">
        <v>2720</v>
      </c>
      <c r="AH1260" s="1">
        <v>10.0</v>
      </c>
      <c r="AI1260" s="1">
        <v>2014.0</v>
      </c>
      <c r="AJ1260" s="1">
        <v>2014.0</v>
      </c>
      <c r="AK1260" s="1" t="s">
        <v>229</v>
      </c>
    </row>
    <row r="1261">
      <c r="A1261" s="1" t="s">
        <v>2721</v>
      </c>
      <c r="B1261" s="1" t="s">
        <v>2721</v>
      </c>
      <c r="C1261" s="1" t="s">
        <v>194</v>
      </c>
      <c r="E1261" s="1">
        <v>1.3188316E7</v>
      </c>
      <c r="F1261" s="2">
        <v>41690.0</v>
      </c>
      <c r="G1261" s="1" t="s">
        <v>1228</v>
      </c>
      <c r="I1261" s="1" t="s">
        <v>1228</v>
      </c>
      <c r="L1261" s="1" t="s">
        <v>194</v>
      </c>
      <c r="M1261" s="1">
        <v>9100.0</v>
      </c>
      <c r="N1261" s="1" t="s">
        <v>194</v>
      </c>
      <c r="O1261" s="1">
        <v>7.6340843E7</v>
      </c>
      <c r="P1261" s="1" t="s">
        <v>461</v>
      </c>
      <c r="R1261" s="1" t="s">
        <v>1599</v>
      </c>
      <c r="S1261" s="1" t="s">
        <v>44</v>
      </c>
      <c r="T1261" s="1" t="s">
        <v>45</v>
      </c>
      <c r="U1261" s="1">
        <v>4.8202301E8</v>
      </c>
      <c r="W1261" s="1" t="s">
        <v>44</v>
      </c>
      <c r="X1261" s="1" t="s">
        <v>45</v>
      </c>
      <c r="Y1261" s="1">
        <v>4.82023096E8</v>
      </c>
      <c r="Z1261" s="1">
        <v>7.6340843E7</v>
      </c>
      <c r="AA1261" s="1" t="s">
        <v>461</v>
      </c>
      <c r="AB1261" s="1">
        <v>60000.0</v>
      </c>
      <c r="AC1261" s="2">
        <v>41690.0</v>
      </c>
      <c r="AD1261" s="1">
        <v>9100.0</v>
      </c>
      <c r="AE1261" s="1" t="s">
        <v>194</v>
      </c>
      <c r="AF1261" s="1" t="s">
        <v>2722</v>
      </c>
      <c r="AG1261" s="1" t="s">
        <v>1232</v>
      </c>
      <c r="AH1261" s="1">
        <v>10.0</v>
      </c>
      <c r="AI1261" s="1">
        <v>2014.0</v>
      </c>
      <c r="AJ1261" s="1">
        <v>2014.0</v>
      </c>
      <c r="AK1261" s="1" t="s">
        <v>1233</v>
      </c>
    </row>
    <row r="1262">
      <c r="A1262" s="1" t="s">
        <v>142</v>
      </c>
      <c r="B1262" s="1" t="s">
        <v>142</v>
      </c>
      <c r="C1262" s="1" t="s">
        <v>129</v>
      </c>
      <c r="E1262" s="1">
        <v>1566217.0</v>
      </c>
      <c r="F1262" s="2">
        <v>41548.0</v>
      </c>
      <c r="G1262" s="1" t="s">
        <v>143</v>
      </c>
      <c r="I1262" s="1" t="s">
        <v>143</v>
      </c>
      <c r="L1262" s="1" t="s">
        <v>40</v>
      </c>
      <c r="M1262" s="1">
        <v>7500.0</v>
      </c>
      <c r="N1262" s="1" t="s">
        <v>40</v>
      </c>
      <c r="O1262" s="1">
        <v>1.41947783E8</v>
      </c>
      <c r="P1262" s="1" t="s">
        <v>144</v>
      </c>
      <c r="R1262" s="1" t="s">
        <v>145</v>
      </c>
      <c r="S1262" s="1" t="s">
        <v>44</v>
      </c>
      <c r="T1262" s="1" t="s">
        <v>45</v>
      </c>
      <c r="U1262" s="1">
        <v>4.82362148E8</v>
      </c>
      <c r="W1262" s="1" t="s">
        <v>46</v>
      </c>
      <c r="X1262" s="1" t="s">
        <v>45</v>
      </c>
      <c r="Y1262" s="1">
        <v>4.82362148E8</v>
      </c>
      <c r="AB1262" s="1">
        <v>100000.0</v>
      </c>
      <c r="AC1262" s="2">
        <v>41548.0</v>
      </c>
      <c r="AD1262" s="1">
        <v>7500.0</v>
      </c>
      <c r="AE1262" s="1" t="s">
        <v>40</v>
      </c>
      <c r="AF1262" s="1">
        <v>2.0140005E7</v>
      </c>
      <c r="AG1262" s="1" t="s">
        <v>146</v>
      </c>
      <c r="AH1262" s="1">
        <v>11.0</v>
      </c>
      <c r="AI1262" s="1">
        <v>2012.0</v>
      </c>
      <c r="AJ1262" s="1">
        <v>2014.0</v>
      </c>
      <c r="AK1262" s="1" t="s">
        <v>147</v>
      </c>
    </row>
    <row r="1263">
      <c r="A1263" s="1" t="s">
        <v>2721</v>
      </c>
      <c r="B1263" s="1" t="s">
        <v>2721</v>
      </c>
      <c r="C1263" s="1" t="s">
        <v>194</v>
      </c>
      <c r="E1263" s="1">
        <v>1.3188316E7</v>
      </c>
      <c r="F1263" s="2">
        <v>41513.0</v>
      </c>
      <c r="G1263" s="1" t="s">
        <v>1228</v>
      </c>
      <c r="I1263" s="1" t="s">
        <v>1228</v>
      </c>
      <c r="L1263" s="1" t="s">
        <v>194</v>
      </c>
      <c r="M1263" s="1">
        <v>9100.0</v>
      </c>
      <c r="N1263" s="1" t="s">
        <v>194</v>
      </c>
      <c r="O1263" s="1">
        <v>9.58138059E8</v>
      </c>
      <c r="P1263" s="1" t="s">
        <v>2723</v>
      </c>
      <c r="R1263" s="1" t="s">
        <v>2724</v>
      </c>
      <c r="S1263" s="1" t="s">
        <v>44</v>
      </c>
      <c r="T1263" s="1" t="s">
        <v>45</v>
      </c>
      <c r="U1263" s="1">
        <v>4.82193968E8</v>
      </c>
      <c r="W1263" s="1" t="s">
        <v>44</v>
      </c>
      <c r="X1263" s="1" t="s">
        <v>45</v>
      </c>
      <c r="Y1263" s="1">
        <v>4.8219363E8</v>
      </c>
      <c r="AB1263" s="1">
        <v>80000.0</v>
      </c>
      <c r="AC1263" s="2">
        <v>41513.0</v>
      </c>
      <c r="AD1263" s="1">
        <v>9100.0</v>
      </c>
      <c r="AE1263" s="1" t="s">
        <v>194</v>
      </c>
      <c r="AF1263" s="1" t="s">
        <v>2725</v>
      </c>
      <c r="AG1263" s="1" t="s">
        <v>1232</v>
      </c>
      <c r="AH1263" s="1">
        <v>10.0</v>
      </c>
      <c r="AI1263" s="1">
        <v>2014.0</v>
      </c>
      <c r="AJ1263" s="1">
        <v>2013.0</v>
      </c>
      <c r="AK1263" s="1" t="s">
        <v>1233</v>
      </c>
    </row>
    <row r="1264">
      <c r="A1264" s="1" t="s">
        <v>2721</v>
      </c>
      <c r="B1264" s="1" t="s">
        <v>2721</v>
      </c>
      <c r="C1264" s="1" t="s">
        <v>194</v>
      </c>
      <c r="E1264" s="1">
        <v>1.3188316E7</v>
      </c>
      <c r="F1264" s="2">
        <v>41717.0</v>
      </c>
      <c r="G1264" s="1" t="s">
        <v>1228</v>
      </c>
      <c r="I1264" s="1" t="s">
        <v>1228</v>
      </c>
      <c r="L1264" s="1" t="s">
        <v>194</v>
      </c>
      <c r="M1264" s="1">
        <v>9100.0</v>
      </c>
      <c r="N1264" s="1" t="s">
        <v>194</v>
      </c>
      <c r="O1264" s="1">
        <v>1962224.0</v>
      </c>
      <c r="P1264" s="1" t="s">
        <v>52</v>
      </c>
      <c r="R1264" s="1" t="s">
        <v>1885</v>
      </c>
      <c r="S1264" s="1" t="s">
        <v>44</v>
      </c>
      <c r="T1264" s="1" t="s">
        <v>45</v>
      </c>
      <c r="U1264" s="1">
        <v>4.82021347E8</v>
      </c>
      <c r="W1264" s="1" t="s">
        <v>44</v>
      </c>
      <c r="X1264" s="1" t="s">
        <v>45</v>
      </c>
      <c r="Y1264" s="1">
        <v>4.82023424E8</v>
      </c>
      <c r="Z1264" s="1">
        <v>1962224.0</v>
      </c>
      <c r="AA1264" s="1" t="s">
        <v>52</v>
      </c>
      <c r="AB1264" s="1">
        <v>85000.0</v>
      </c>
      <c r="AC1264" s="2">
        <v>41717.0</v>
      </c>
      <c r="AD1264" s="1">
        <v>9100.0</v>
      </c>
      <c r="AE1264" s="1" t="s">
        <v>194</v>
      </c>
      <c r="AF1264" s="1" t="s">
        <v>2726</v>
      </c>
      <c r="AG1264" s="1" t="s">
        <v>1232</v>
      </c>
      <c r="AH1264" s="1">
        <v>10.0</v>
      </c>
      <c r="AI1264" s="1">
        <v>2014.0</v>
      </c>
      <c r="AJ1264" s="1">
        <v>2014.0</v>
      </c>
      <c r="AK1264" s="1" t="s">
        <v>1233</v>
      </c>
    </row>
    <row r="1265">
      <c r="A1265" s="1" t="s">
        <v>2727</v>
      </c>
      <c r="B1265" s="1" t="s">
        <v>2727</v>
      </c>
      <c r="C1265" s="1" t="s">
        <v>431</v>
      </c>
      <c r="E1265" s="1">
        <v>1629960.0</v>
      </c>
      <c r="F1265" s="2">
        <v>41887.0</v>
      </c>
      <c r="G1265" s="1" t="s">
        <v>2728</v>
      </c>
      <c r="I1265" s="1" t="s">
        <v>2728</v>
      </c>
      <c r="L1265" s="1" t="s">
        <v>431</v>
      </c>
      <c r="M1265" s="1">
        <v>9700.0</v>
      </c>
      <c r="N1265" s="1" t="s">
        <v>431</v>
      </c>
      <c r="O1265" s="1">
        <v>1962224.0</v>
      </c>
      <c r="P1265" s="1" t="s">
        <v>52</v>
      </c>
      <c r="R1265" s="1" t="s">
        <v>1885</v>
      </c>
      <c r="S1265" s="1" t="s">
        <v>44</v>
      </c>
      <c r="T1265" s="1" t="s">
        <v>45</v>
      </c>
      <c r="U1265" s="1">
        <v>4.82021347E8</v>
      </c>
      <c r="W1265" s="1" t="s">
        <v>46</v>
      </c>
      <c r="X1265" s="1" t="s">
        <v>45</v>
      </c>
      <c r="Y1265" s="1">
        <v>4.8202405E8</v>
      </c>
      <c r="Z1265" s="1">
        <v>1962224.0</v>
      </c>
      <c r="AA1265" s="1" t="s">
        <v>52</v>
      </c>
      <c r="AB1265" s="1">
        <v>48603.0</v>
      </c>
      <c r="AC1265" s="2">
        <v>41887.0</v>
      </c>
      <c r="AD1265" s="1">
        <v>9700.0</v>
      </c>
      <c r="AE1265" s="1" t="s">
        <v>431</v>
      </c>
      <c r="AF1265" s="1" t="s">
        <v>2729</v>
      </c>
      <c r="AG1265" s="1" t="s">
        <v>2730</v>
      </c>
      <c r="AH1265" s="1">
        <v>10.0</v>
      </c>
      <c r="AI1265" s="1">
        <v>2014.0</v>
      </c>
      <c r="AJ1265" s="1">
        <v>2014.0</v>
      </c>
      <c r="AK1265" s="1" t="s">
        <v>1094</v>
      </c>
    </row>
    <row r="1266">
      <c r="A1266" s="1" t="s">
        <v>2721</v>
      </c>
      <c r="B1266" s="1" t="s">
        <v>2721</v>
      </c>
      <c r="C1266" s="1" t="s">
        <v>194</v>
      </c>
      <c r="E1266" s="1">
        <v>1.3188316E7</v>
      </c>
      <c r="F1266" s="2">
        <v>41592.0</v>
      </c>
      <c r="G1266" s="1" t="s">
        <v>1228</v>
      </c>
      <c r="I1266" s="1" t="s">
        <v>1228</v>
      </c>
      <c r="L1266" s="1" t="s">
        <v>194</v>
      </c>
      <c r="M1266" s="1">
        <v>9100.0</v>
      </c>
      <c r="N1266" s="1" t="s">
        <v>194</v>
      </c>
      <c r="O1266" s="1">
        <v>6.07770427E8</v>
      </c>
      <c r="P1266" s="1" t="s">
        <v>1249</v>
      </c>
      <c r="R1266" s="1" t="s">
        <v>1250</v>
      </c>
      <c r="S1266" s="1" t="s">
        <v>44</v>
      </c>
      <c r="T1266" s="1" t="s">
        <v>45</v>
      </c>
      <c r="U1266" s="1">
        <v>4.82133364E8</v>
      </c>
      <c r="W1266" s="1" t="s">
        <v>44</v>
      </c>
      <c r="X1266" s="1" t="s">
        <v>45</v>
      </c>
      <c r="Y1266" s="1">
        <v>4.82242517E8</v>
      </c>
      <c r="AB1266" s="1">
        <v>397341.0</v>
      </c>
      <c r="AC1266" s="2">
        <v>41592.0</v>
      </c>
      <c r="AD1266" s="1">
        <v>9100.0</v>
      </c>
      <c r="AE1266" s="1" t="s">
        <v>194</v>
      </c>
      <c r="AF1266" s="1" t="s">
        <v>2731</v>
      </c>
      <c r="AG1266" s="1" t="s">
        <v>1232</v>
      </c>
      <c r="AH1266" s="1">
        <v>10.0</v>
      </c>
      <c r="AI1266" s="1">
        <v>2014.0</v>
      </c>
      <c r="AJ1266" s="1">
        <v>2014.0</v>
      </c>
      <c r="AK1266" s="1" t="s">
        <v>1233</v>
      </c>
    </row>
    <row r="1267">
      <c r="A1267" s="1" t="s">
        <v>2721</v>
      </c>
      <c r="B1267" s="1" t="s">
        <v>2721</v>
      </c>
      <c r="C1267" s="1" t="s">
        <v>194</v>
      </c>
      <c r="E1267" s="1">
        <v>1.3188316E7</v>
      </c>
      <c r="F1267" s="2">
        <v>41813.0</v>
      </c>
      <c r="G1267" s="1" t="s">
        <v>1228</v>
      </c>
      <c r="I1267" s="1" t="s">
        <v>1228</v>
      </c>
      <c r="L1267" s="1" t="s">
        <v>194</v>
      </c>
      <c r="M1267" s="1">
        <v>9100.0</v>
      </c>
      <c r="N1267" s="1" t="s">
        <v>194</v>
      </c>
      <c r="O1267" s="1">
        <v>6.2962068E7</v>
      </c>
      <c r="P1267" s="1" t="s">
        <v>1252</v>
      </c>
      <c r="R1267" s="1" t="s">
        <v>1253</v>
      </c>
      <c r="S1267" s="1" t="s">
        <v>44</v>
      </c>
      <c r="T1267" s="1" t="s">
        <v>45</v>
      </c>
      <c r="U1267" s="1">
        <v>4.82161917E8</v>
      </c>
      <c r="W1267" s="1" t="s">
        <v>44</v>
      </c>
      <c r="X1267" s="1" t="s">
        <v>45</v>
      </c>
      <c r="Y1267" s="1">
        <v>4.82161917E8</v>
      </c>
      <c r="AB1267" s="1">
        <v>60000.0</v>
      </c>
      <c r="AC1267" s="2">
        <v>41813.0</v>
      </c>
      <c r="AD1267" s="1">
        <v>9100.0</v>
      </c>
      <c r="AE1267" s="1" t="s">
        <v>194</v>
      </c>
      <c r="AF1267" s="1" t="s">
        <v>2732</v>
      </c>
      <c r="AG1267" s="1" t="s">
        <v>1232</v>
      </c>
      <c r="AH1267" s="1">
        <v>10.0</v>
      </c>
      <c r="AI1267" s="1">
        <v>2014.0</v>
      </c>
      <c r="AJ1267" s="1">
        <v>2014.0</v>
      </c>
      <c r="AK1267" s="1" t="s">
        <v>1233</v>
      </c>
    </row>
    <row r="1268">
      <c r="A1268" s="1" t="s">
        <v>2721</v>
      </c>
      <c r="B1268" s="1" t="s">
        <v>2721</v>
      </c>
      <c r="C1268" s="1" t="s">
        <v>194</v>
      </c>
      <c r="E1268" s="1">
        <v>1.3188316E7</v>
      </c>
      <c r="F1268" s="2">
        <v>41481.0</v>
      </c>
      <c r="G1268" s="1" t="s">
        <v>1228</v>
      </c>
      <c r="I1268" s="1" t="s">
        <v>1228</v>
      </c>
      <c r="L1268" s="1" t="s">
        <v>194</v>
      </c>
      <c r="M1268" s="1">
        <v>9100.0</v>
      </c>
      <c r="N1268" s="1" t="s">
        <v>194</v>
      </c>
      <c r="O1268" s="1">
        <v>7840122.0</v>
      </c>
      <c r="P1268" s="1" t="s">
        <v>1246</v>
      </c>
      <c r="R1268" s="1" t="s">
        <v>1247</v>
      </c>
      <c r="S1268" s="1" t="s">
        <v>44</v>
      </c>
      <c r="T1268" s="1" t="s">
        <v>45</v>
      </c>
      <c r="U1268" s="1">
        <v>4.8216194E8</v>
      </c>
      <c r="W1268" s="1" t="s">
        <v>44</v>
      </c>
      <c r="X1268" s="1" t="s">
        <v>45</v>
      </c>
      <c r="Y1268" s="1">
        <v>4.8216194E8</v>
      </c>
      <c r="AB1268" s="1">
        <v>80000.0</v>
      </c>
      <c r="AC1268" s="2">
        <v>41481.0</v>
      </c>
      <c r="AD1268" s="1">
        <v>9100.0</v>
      </c>
      <c r="AE1268" s="1" t="s">
        <v>194</v>
      </c>
      <c r="AF1268" s="1" t="s">
        <v>2733</v>
      </c>
      <c r="AG1268" s="1" t="s">
        <v>1232</v>
      </c>
      <c r="AH1268" s="1">
        <v>10.0</v>
      </c>
      <c r="AI1268" s="1">
        <v>2014.0</v>
      </c>
      <c r="AJ1268" s="1">
        <v>2013.0</v>
      </c>
      <c r="AK1268" s="1" t="s">
        <v>1233</v>
      </c>
    </row>
    <row r="1269">
      <c r="A1269" s="1" t="s">
        <v>2734</v>
      </c>
      <c r="B1269" s="1" t="s">
        <v>2734</v>
      </c>
      <c r="C1269" s="1" t="s">
        <v>224</v>
      </c>
      <c r="E1269" s="1">
        <v>123048.0</v>
      </c>
      <c r="F1269" s="2">
        <v>41891.0</v>
      </c>
      <c r="G1269" s="1" t="s">
        <v>2735</v>
      </c>
      <c r="I1269" s="1" t="s">
        <v>2735</v>
      </c>
      <c r="L1269" s="1" t="s">
        <v>151</v>
      </c>
      <c r="M1269" s="1">
        <v>6900.0</v>
      </c>
      <c r="N1269" s="1" t="s">
        <v>151</v>
      </c>
      <c r="O1269" s="1">
        <v>9.63886101E8</v>
      </c>
      <c r="P1269" s="1" t="s">
        <v>259</v>
      </c>
      <c r="Q1269" s="1" t="s">
        <v>1795</v>
      </c>
      <c r="R1269" s="1" t="s">
        <v>260</v>
      </c>
      <c r="S1269" s="1" t="s">
        <v>44</v>
      </c>
      <c r="T1269" s="1" t="s">
        <v>45</v>
      </c>
      <c r="U1269" s="1">
        <v>4.8226348E8</v>
      </c>
      <c r="W1269" s="1" t="s">
        <v>46</v>
      </c>
      <c r="X1269" s="1" t="s">
        <v>45</v>
      </c>
      <c r="Y1269" s="1">
        <v>4.8226348E8</v>
      </c>
      <c r="Z1269" s="1">
        <v>7.3134884E7</v>
      </c>
      <c r="AA1269" s="1" t="s">
        <v>1796</v>
      </c>
      <c r="AB1269" s="1">
        <v>123048.0</v>
      </c>
      <c r="AC1269" s="2">
        <v>41891.0</v>
      </c>
      <c r="AD1269" s="1">
        <v>6900.0</v>
      </c>
      <c r="AE1269" s="1" t="s">
        <v>151</v>
      </c>
      <c r="AF1269" s="1">
        <v>145553.0</v>
      </c>
      <c r="AG1269" s="1" t="s">
        <v>2736</v>
      </c>
      <c r="AH1269" s="1">
        <v>10.0</v>
      </c>
      <c r="AI1269" s="1">
        <v>2014.0</v>
      </c>
      <c r="AJ1269" s="1">
        <v>2014.0</v>
      </c>
      <c r="AK1269" s="1" t="s">
        <v>229</v>
      </c>
    </row>
    <row r="1270">
      <c r="A1270" s="1" t="s">
        <v>2332</v>
      </c>
      <c r="B1270" s="1" t="s">
        <v>2332</v>
      </c>
      <c r="C1270" s="1" t="s">
        <v>100</v>
      </c>
      <c r="E1270" s="1">
        <v>2903719.0</v>
      </c>
      <c r="F1270" s="2">
        <v>41287.0</v>
      </c>
      <c r="G1270" s="1" t="s">
        <v>361</v>
      </c>
      <c r="I1270" s="1" t="s">
        <v>361</v>
      </c>
      <c r="L1270" s="1" t="s">
        <v>102</v>
      </c>
      <c r="M1270" s="1">
        <v>8600.0</v>
      </c>
      <c r="N1270" s="1" t="s">
        <v>102</v>
      </c>
      <c r="O1270" s="1">
        <v>4.0560898E7</v>
      </c>
      <c r="P1270" s="1" t="s">
        <v>2304</v>
      </c>
      <c r="R1270" s="1" t="s">
        <v>2305</v>
      </c>
      <c r="S1270" s="1" t="s">
        <v>44</v>
      </c>
      <c r="T1270" s="1" t="s">
        <v>45</v>
      </c>
      <c r="U1270" s="1">
        <v>4.82261348E8</v>
      </c>
      <c r="W1270" s="1" t="s">
        <v>46</v>
      </c>
      <c r="X1270" s="1" t="s">
        <v>45</v>
      </c>
      <c r="Y1270" s="1">
        <v>4.82261348E8</v>
      </c>
      <c r="Z1270" s="1">
        <v>4.0560898E7</v>
      </c>
      <c r="AA1270" s="1" t="s">
        <v>2304</v>
      </c>
      <c r="AB1270" s="1">
        <v>200000.0</v>
      </c>
      <c r="AC1270" s="2">
        <v>41287.0</v>
      </c>
      <c r="AD1270" s="1">
        <v>8600.0</v>
      </c>
      <c r="AE1270" s="1" t="s">
        <v>102</v>
      </c>
      <c r="AF1270" s="1">
        <v>4.0</v>
      </c>
      <c r="AG1270" s="1" t="s">
        <v>2737</v>
      </c>
      <c r="AH1270" s="1">
        <v>2.0</v>
      </c>
      <c r="AI1270" s="1">
        <v>2013.0</v>
      </c>
      <c r="AJ1270" s="1">
        <v>2013.0</v>
      </c>
      <c r="AK1270" s="1" t="s">
        <v>367</v>
      </c>
    </row>
    <row r="1271">
      <c r="A1271" s="1" t="s">
        <v>2332</v>
      </c>
      <c r="B1271" s="1" t="s">
        <v>2332</v>
      </c>
      <c r="C1271" s="1" t="s">
        <v>100</v>
      </c>
      <c r="E1271" s="1">
        <v>2903719.0</v>
      </c>
      <c r="F1271" s="2">
        <v>41287.0</v>
      </c>
      <c r="G1271" s="1" t="s">
        <v>361</v>
      </c>
      <c r="I1271" s="1" t="s">
        <v>361</v>
      </c>
      <c r="L1271" s="1" t="s">
        <v>102</v>
      </c>
      <c r="M1271" s="1">
        <v>8600.0</v>
      </c>
      <c r="N1271" s="1" t="s">
        <v>102</v>
      </c>
      <c r="O1271" s="1">
        <v>4.3419399E7</v>
      </c>
      <c r="P1271" s="1" t="s">
        <v>979</v>
      </c>
      <c r="R1271" s="1" t="s">
        <v>1934</v>
      </c>
      <c r="S1271" s="1" t="s">
        <v>44</v>
      </c>
      <c r="T1271" s="1" t="s">
        <v>45</v>
      </c>
      <c r="U1271" s="1">
        <v>4.82384019E8</v>
      </c>
      <c r="W1271" s="1" t="s">
        <v>46</v>
      </c>
      <c r="X1271" s="1" t="s">
        <v>45</v>
      </c>
      <c r="Y1271" s="1">
        <v>4.82384019E8</v>
      </c>
      <c r="Z1271" s="1">
        <v>4.3419399E7</v>
      </c>
      <c r="AA1271" s="1" t="s">
        <v>979</v>
      </c>
      <c r="AB1271" s="1">
        <v>313963.0</v>
      </c>
      <c r="AC1271" s="2">
        <v>41287.0</v>
      </c>
      <c r="AD1271" s="1">
        <v>8600.0</v>
      </c>
      <c r="AE1271" s="1" t="s">
        <v>102</v>
      </c>
      <c r="AF1271" s="1">
        <v>6.0</v>
      </c>
      <c r="AG1271" s="1" t="s">
        <v>2738</v>
      </c>
      <c r="AH1271" s="1">
        <v>2.0</v>
      </c>
      <c r="AI1271" s="1">
        <v>2013.0</v>
      </c>
      <c r="AJ1271" s="1">
        <v>2013.0</v>
      </c>
      <c r="AK1271" s="1" t="s">
        <v>367</v>
      </c>
    </row>
    <row r="1272">
      <c r="A1272" s="1" t="s">
        <v>2332</v>
      </c>
      <c r="B1272" s="1" t="s">
        <v>2332</v>
      </c>
      <c r="C1272" s="1" t="s">
        <v>100</v>
      </c>
      <c r="E1272" s="1">
        <v>2903719.0</v>
      </c>
      <c r="F1272" s="2">
        <v>41287.0</v>
      </c>
      <c r="G1272" s="1" t="s">
        <v>361</v>
      </c>
      <c r="I1272" s="1" t="s">
        <v>361</v>
      </c>
      <c r="L1272" s="1" t="s">
        <v>102</v>
      </c>
      <c r="M1272" s="1">
        <v>8600.0</v>
      </c>
      <c r="N1272" s="1" t="s">
        <v>102</v>
      </c>
      <c r="O1272" s="1">
        <v>8.44806708E8</v>
      </c>
      <c r="P1272" s="1" t="s">
        <v>103</v>
      </c>
      <c r="Q1272" s="1" t="s">
        <v>1507</v>
      </c>
      <c r="R1272" s="1" t="s">
        <v>1006</v>
      </c>
      <c r="S1272" s="1" t="s">
        <v>44</v>
      </c>
      <c r="T1272" s="1" t="s">
        <v>45</v>
      </c>
      <c r="U1272" s="1">
        <v>4.82092022E8</v>
      </c>
      <c r="W1272" s="1" t="s">
        <v>46</v>
      </c>
      <c r="X1272" s="1" t="s">
        <v>45</v>
      </c>
      <c r="Y1272" s="1">
        <v>4.82092022E8</v>
      </c>
      <c r="Z1272" s="1">
        <v>7.6385699E7</v>
      </c>
      <c r="AA1272" s="1" t="s">
        <v>106</v>
      </c>
      <c r="AB1272" s="1">
        <v>500000.0</v>
      </c>
      <c r="AC1272" s="2">
        <v>41287.0</v>
      </c>
      <c r="AD1272" s="1">
        <v>8600.0</v>
      </c>
      <c r="AE1272" s="1" t="s">
        <v>102</v>
      </c>
      <c r="AF1272" s="1">
        <v>9.0</v>
      </c>
      <c r="AG1272" s="1" t="s">
        <v>2337</v>
      </c>
      <c r="AH1272" s="1">
        <v>2.0</v>
      </c>
      <c r="AI1272" s="1">
        <v>2013.0</v>
      </c>
      <c r="AJ1272" s="1">
        <v>2013.0</v>
      </c>
      <c r="AK1272" s="1" t="s">
        <v>367</v>
      </c>
    </row>
    <row r="1273">
      <c r="A1273" s="1" t="s">
        <v>2332</v>
      </c>
      <c r="B1273" s="1" t="s">
        <v>2332</v>
      </c>
      <c r="C1273" s="1" t="s">
        <v>100</v>
      </c>
      <c r="E1273" s="1">
        <v>2903719.0</v>
      </c>
      <c r="F1273" s="2">
        <v>41287.0</v>
      </c>
      <c r="G1273" s="1" t="s">
        <v>361</v>
      </c>
      <c r="I1273" s="1" t="s">
        <v>361</v>
      </c>
      <c r="L1273" s="1" t="s">
        <v>102</v>
      </c>
      <c r="M1273" s="1">
        <v>8600.0</v>
      </c>
      <c r="N1273" s="1" t="s">
        <v>102</v>
      </c>
      <c r="O1273" s="1">
        <v>1.06504459E8</v>
      </c>
      <c r="P1273" s="1" t="s">
        <v>2240</v>
      </c>
      <c r="R1273" s="1" t="s">
        <v>2241</v>
      </c>
      <c r="S1273" s="1" t="s">
        <v>44</v>
      </c>
      <c r="T1273" s="1" t="s">
        <v>45</v>
      </c>
      <c r="U1273" s="1">
        <v>4.82133112E8</v>
      </c>
      <c r="W1273" s="1" t="s">
        <v>46</v>
      </c>
      <c r="X1273" s="1" t="s">
        <v>45</v>
      </c>
      <c r="Y1273" s="1">
        <v>4.82133112E8</v>
      </c>
      <c r="AB1273" s="1">
        <v>200000.0</v>
      </c>
      <c r="AC1273" s="2">
        <v>41287.0</v>
      </c>
      <c r="AD1273" s="1">
        <v>8600.0</v>
      </c>
      <c r="AE1273" s="1" t="s">
        <v>102</v>
      </c>
      <c r="AF1273" s="1">
        <v>7.0</v>
      </c>
      <c r="AG1273" s="1" t="s">
        <v>2739</v>
      </c>
      <c r="AH1273" s="1">
        <v>2.0</v>
      </c>
      <c r="AI1273" s="1">
        <v>2013.0</v>
      </c>
      <c r="AJ1273" s="1">
        <v>2013.0</v>
      </c>
      <c r="AK1273" s="1" t="s">
        <v>367</v>
      </c>
    </row>
    <row r="1274">
      <c r="A1274" s="1" t="s">
        <v>2332</v>
      </c>
      <c r="B1274" s="1" t="s">
        <v>2332</v>
      </c>
      <c r="C1274" s="1" t="s">
        <v>100</v>
      </c>
      <c r="E1274" s="1">
        <v>2903719.0</v>
      </c>
      <c r="F1274" s="2">
        <v>41287.0</v>
      </c>
      <c r="G1274" s="1" t="s">
        <v>361</v>
      </c>
      <c r="I1274" s="1" t="s">
        <v>361</v>
      </c>
      <c r="L1274" s="1" t="s">
        <v>102</v>
      </c>
      <c r="M1274" s="1">
        <v>8600.0</v>
      </c>
      <c r="N1274" s="1" t="s">
        <v>102</v>
      </c>
      <c r="O1274" s="1">
        <v>1.6752507E8</v>
      </c>
      <c r="P1274" s="1" t="s">
        <v>2352</v>
      </c>
      <c r="R1274" s="1" t="s">
        <v>2353</v>
      </c>
      <c r="S1274" s="1" t="s">
        <v>44</v>
      </c>
      <c r="T1274" s="1" t="s">
        <v>45</v>
      </c>
      <c r="U1274" s="1">
        <v>4.82061351E8</v>
      </c>
      <c r="W1274" s="1" t="s">
        <v>46</v>
      </c>
      <c r="X1274" s="1" t="s">
        <v>45</v>
      </c>
      <c r="Y1274" s="1">
        <v>4.82061351E8</v>
      </c>
      <c r="Z1274" s="1">
        <v>1.6752507E8</v>
      </c>
      <c r="AA1274" s="1" t="s">
        <v>2352</v>
      </c>
      <c r="AB1274" s="1">
        <v>280000.0</v>
      </c>
      <c r="AC1274" s="2">
        <v>41287.0</v>
      </c>
      <c r="AD1274" s="1">
        <v>8600.0</v>
      </c>
      <c r="AE1274" s="1" t="s">
        <v>102</v>
      </c>
      <c r="AF1274" s="1">
        <v>5.0</v>
      </c>
      <c r="AG1274" s="1" t="s">
        <v>2740</v>
      </c>
      <c r="AH1274" s="1">
        <v>2.0</v>
      </c>
      <c r="AI1274" s="1">
        <v>2013.0</v>
      </c>
      <c r="AJ1274" s="1">
        <v>2013.0</v>
      </c>
      <c r="AK1274" s="1" t="s">
        <v>367</v>
      </c>
    </row>
    <row r="1275">
      <c r="A1275" s="1" t="s">
        <v>2332</v>
      </c>
      <c r="B1275" s="1" t="s">
        <v>2332</v>
      </c>
      <c r="C1275" s="1" t="s">
        <v>100</v>
      </c>
      <c r="E1275" s="1">
        <v>2903719.0</v>
      </c>
      <c r="F1275" s="2">
        <v>41288.0</v>
      </c>
      <c r="G1275" s="1" t="s">
        <v>361</v>
      </c>
      <c r="I1275" s="1" t="s">
        <v>361</v>
      </c>
      <c r="L1275" s="1" t="s">
        <v>102</v>
      </c>
      <c r="M1275" s="1">
        <v>8600.0</v>
      </c>
      <c r="N1275" s="1" t="s">
        <v>102</v>
      </c>
      <c r="O1275" s="1">
        <v>4.3419399E7</v>
      </c>
      <c r="P1275" s="1" t="s">
        <v>979</v>
      </c>
      <c r="R1275" s="1" t="s">
        <v>980</v>
      </c>
      <c r="S1275" s="1" t="s">
        <v>44</v>
      </c>
      <c r="T1275" s="1" t="s">
        <v>45</v>
      </c>
      <c r="U1275" s="1">
        <v>4.82261412E8</v>
      </c>
      <c r="W1275" s="1" t="s">
        <v>46</v>
      </c>
      <c r="X1275" s="1" t="s">
        <v>45</v>
      </c>
      <c r="Y1275" s="1">
        <v>4.82261412E8</v>
      </c>
      <c r="Z1275" s="1">
        <v>4.3419399E7</v>
      </c>
      <c r="AA1275" s="1" t="s">
        <v>979</v>
      </c>
      <c r="AB1275" s="1">
        <v>313963.0</v>
      </c>
      <c r="AC1275" s="2">
        <v>41288.0</v>
      </c>
      <c r="AD1275" s="1">
        <v>8600.0</v>
      </c>
      <c r="AE1275" s="1" t="s">
        <v>102</v>
      </c>
      <c r="AF1275" s="1">
        <v>6.0</v>
      </c>
      <c r="AG1275" s="1" t="s">
        <v>2741</v>
      </c>
      <c r="AH1275" s="1">
        <v>2.0</v>
      </c>
      <c r="AI1275" s="1">
        <v>2013.0</v>
      </c>
      <c r="AJ1275" s="1">
        <v>2013.0</v>
      </c>
      <c r="AK1275" s="1" t="s">
        <v>367</v>
      </c>
    </row>
    <row r="1276">
      <c r="A1276" s="1" t="s">
        <v>2742</v>
      </c>
      <c r="B1276" s="1" t="s">
        <v>2742</v>
      </c>
      <c r="C1276" s="1" t="s">
        <v>100</v>
      </c>
      <c r="E1276" s="1">
        <v>2433238.0</v>
      </c>
      <c r="F1276" s="2">
        <v>41598.0</v>
      </c>
      <c r="G1276" s="1" t="s">
        <v>1433</v>
      </c>
      <c r="I1276" s="1" t="s">
        <v>1433</v>
      </c>
      <c r="L1276" s="1" t="s">
        <v>102</v>
      </c>
      <c r="M1276" s="1">
        <v>8600.0</v>
      </c>
      <c r="N1276" s="1" t="s">
        <v>102</v>
      </c>
      <c r="O1276" s="1">
        <v>8.06464913E8</v>
      </c>
      <c r="P1276" s="1" t="s">
        <v>2205</v>
      </c>
      <c r="Q1276" s="1" t="s">
        <v>2206</v>
      </c>
      <c r="R1276" s="1" t="s">
        <v>2207</v>
      </c>
      <c r="S1276" s="1" t="s">
        <v>44</v>
      </c>
      <c r="T1276" s="1" t="s">
        <v>45</v>
      </c>
      <c r="U1276" s="1">
        <v>4.82082475E8</v>
      </c>
      <c r="W1276" s="1" t="s">
        <v>46</v>
      </c>
      <c r="X1276" s="1" t="s">
        <v>45</v>
      </c>
      <c r="Y1276" s="1">
        <v>4.82082474E8</v>
      </c>
      <c r="AB1276" s="1">
        <v>100000.0</v>
      </c>
      <c r="AC1276" s="2">
        <v>41598.0</v>
      </c>
      <c r="AD1276" s="1">
        <v>8600.0</v>
      </c>
      <c r="AE1276" s="1" t="s">
        <v>102</v>
      </c>
      <c r="AF1276" s="1">
        <v>8.0</v>
      </c>
      <c r="AG1276" s="1" t="s">
        <v>2743</v>
      </c>
      <c r="AH1276" s="1">
        <v>6.0</v>
      </c>
      <c r="AI1276" s="1">
        <v>2014.0</v>
      </c>
      <c r="AJ1276" s="1">
        <v>2014.0</v>
      </c>
      <c r="AK1276" s="1" t="s">
        <v>367</v>
      </c>
    </row>
    <row r="1277">
      <c r="A1277" s="1" t="s">
        <v>2742</v>
      </c>
      <c r="B1277" s="1" t="s">
        <v>2742</v>
      </c>
      <c r="C1277" s="1" t="s">
        <v>100</v>
      </c>
      <c r="E1277" s="1">
        <v>2433238.0</v>
      </c>
      <c r="F1277" s="2">
        <v>41598.0</v>
      </c>
      <c r="G1277" s="1" t="s">
        <v>1433</v>
      </c>
      <c r="I1277" s="1" t="s">
        <v>1433</v>
      </c>
      <c r="L1277" s="1" t="s">
        <v>102</v>
      </c>
      <c r="M1277" s="1">
        <v>8600.0</v>
      </c>
      <c r="N1277" s="1" t="s">
        <v>102</v>
      </c>
      <c r="O1277" s="1">
        <v>1.6752507E8</v>
      </c>
      <c r="P1277" s="1" t="s">
        <v>2352</v>
      </c>
      <c r="R1277" s="1" t="s">
        <v>2353</v>
      </c>
      <c r="S1277" s="1" t="s">
        <v>44</v>
      </c>
      <c r="T1277" s="1" t="s">
        <v>45</v>
      </c>
      <c r="U1277" s="1">
        <v>4.82061351E8</v>
      </c>
      <c r="W1277" s="1" t="s">
        <v>46</v>
      </c>
      <c r="X1277" s="1" t="s">
        <v>45</v>
      </c>
      <c r="Y1277" s="1">
        <v>4.82061315E8</v>
      </c>
      <c r="Z1277" s="1">
        <v>1.6752507E8</v>
      </c>
      <c r="AA1277" s="1" t="s">
        <v>2352</v>
      </c>
      <c r="AB1277" s="1">
        <v>100000.0</v>
      </c>
      <c r="AC1277" s="2">
        <v>41598.0</v>
      </c>
      <c r="AD1277" s="1">
        <v>8600.0</v>
      </c>
      <c r="AE1277" s="1" t="s">
        <v>102</v>
      </c>
      <c r="AF1277" s="1">
        <v>11.0</v>
      </c>
      <c r="AG1277" s="1" t="s">
        <v>2337</v>
      </c>
      <c r="AH1277" s="1">
        <v>6.0</v>
      </c>
      <c r="AI1277" s="1">
        <v>2014.0</v>
      </c>
      <c r="AJ1277" s="1">
        <v>2014.0</v>
      </c>
      <c r="AK1277" s="1" t="s">
        <v>367</v>
      </c>
    </row>
    <row r="1278">
      <c r="A1278" s="1" t="s">
        <v>2742</v>
      </c>
      <c r="B1278" s="1" t="s">
        <v>2742</v>
      </c>
      <c r="C1278" s="1" t="s">
        <v>100</v>
      </c>
      <c r="E1278" s="1">
        <v>2433238.0</v>
      </c>
      <c r="F1278" s="2">
        <v>41598.0</v>
      </c>
      <c r="G1278" s="1" t="s">
        <v>1433</v>
      </c>
      <c r="I1278" s="1" t="s">
        <v>1433</v>
      </c>
      <c r="L1278" s="1" t="s">
        <v>102</v>
      </c>
      <c r="M1278" s="1">
        <v>8600.0</v>
      </c>
      <c r="N1278" s="1" t="s">
        <v>102</v>
      </c>
      <c r="O1278" s="1">
        <v>1.42793053E8</v>
      </c>
      <c r="P1278" s="1" t="s">
        <v>994</v>
      </c>
      <c r="R1278" s="1" t="s">
        <v>995</v>
      </c>
      <c r="S1278" s="1" t="s">
        <v>44</v>
      </c>
      <c r="T1278" s="1" t="s">
        <v>45</v>
      </c>
      <c r="U1278" s="1">
        <v>4.82282721E8</v>
      </c>
      <c r="W1278" s="1" t="s">
        <v>46</v>
      </c>
      <c r="X1278" s="1" t="s">
        <v>45</v>
      </c>
      <c r="Y1278" s="1">
        <v>4.82282721E8</v>
      </c>
      <c r="AB1278" s="1">
        <v>100000.0</v>
      </c>
      <c r="AC1278" s="2">
        <v>41598.0</v>
      </c>
      <c r="AD1278" s="1">
        <v>8600.0</v>
      </c>
      <c r="AE1278" s="1" t="s">
        <v>102</v>
      </c>
      <c r="AF1278" s="1">
        <v>11.0</v>
      </c>
      <c r="AG1278" s="1" t="s">
        <v>2744</v>
      </c>
      <c r="AH1278" s="1">
        <v>6.0</v>
      </c>
      <c r="AI1278" s="1">
        <v>2014.0</v>
      </c>
      <c r="AJ1278" s="1">
        <v>2014.0</v>
      </c>
      <c r="AK1278" s="1" t="s">
        <v>367</v>
      </c>
    </row>
    <row r="1279">
      <c r="A1279" s="1" t="s">
        <v>2742</v>
      </c>
      <c r="B1279" s="1" t="s">
        <v>2742</v>
      </c>
      <c r="C1279" s="1" t="s">
        <v>100</v>
      </c>
      <c r="E1279" s="1">
        <v>2433238.0</v>
      </c>
      <c r="F1279" s="2">
        <v>41598.0</v>
      </c>
      <c r="G1279" s="1" t="s">
        <v>1433</v>
      </c>
      <c r="I1279" s="1" t="s">
        <v>1433</v>
      </c>
      <c r="L1279" s="1" t="s">
        <v>102</v>
      </c>
      <c r="M1279" s="1">
        <v>8600.0</v>
      </c>
      <c r="N1279" s="1" t="s">
        <v>102</v>
      </c>
      <c r="O1279" s="1">
        <v>1.586118E7</v>
      </c>
      <c r="P1279" s="1" t="s">
        <v>2334</v>
      </c>
      <c r="Q1279" s="1" t="s">
        <v>2335</v>
      </c>
      <c r="R1279" s="1" t="s">
        <v>2336</v>
      </c>
      <c r="S1279" s="1" t="s">
        <v>44</v>
      </c>
      <c r="T1279" s="1" t="s">
        <v>45</v>
      </c>
      <c r="U1279" s="1">
        <v>4.820825E8</v>
      </c>
      <c r="W1279" s="1" t="s">
        <v>46</v>
      </c>
      <c r="X1279" s="1" t="s">
        <v>45</v>
      </c>
      <c r="Y1279" s="1">
        <v>4.820825E8</v>
      </c>
      <c r="Z1279" s="1">
        <v>1.25435284E8</v>
      </c>
      <c r="AB1279" s="1">
        <v>250000.0</v>
      </c>
      <c r="AC1279" s="2">
        <v>41598.0</v>
      </c>
      <c r="AD1279" s="1">
        <v>8600.0</v>
      </c>
      <c r="AE1279" s="1" t="s">
        <v>102</v>
      </c>
      <c r="AF1279" s="1">
        <v>2.0</v>
      </c>
      <c r="AG1279" s="1" t="s">
        <v>2745</v>
      </c>
      <c r="AH1279" s="1">
        <v>6.0</v>
      </c>
      <c r="AI1279" s="1">
        <v>2014.0</v>
      </c>
      <c r="AJ1279" s="1">
        <v>2014.0</v>
      </c>
      <c r="AK1279" s="1" t="s">
        <v>367</v>
      </c>
    </row>
    <row r="1280">
      <c r="A1280" s="1" t="s">
        <v>2742</v>
      </c>
      <c r="B1280" s="1" t="s">
        <v>2742</v>
      </c>
      <c r="C1280" s="1" t="s">
        <v>100</v>
      </c>
      <c r="E1280" s="1">
        <v>2433238.0</v>
      </c>
      <c r="F1280" s="2">
        <v>41598.0</v>
      </c>
      <c r="G1280" s="1" t="s">
        <v>1433</v>
      </c>
      <c r="I1280" s="1" t="s">
        <v>1433</v>
      </c>
      <c r="L1280" s="1" t="s">
        <v>102</v>
      </c>
      <c r="M1280" s="1">
        <v>8600.0</v>
      </c>
      <c r="N1280" s="1" t="s">
        <v>102</v>
      </c>
      <c r="O1280" s="1">
        <v>9.4547247E7</v>
      </c>
      <c r="P1280" s="1" t="s">
        <v>2201</v>
      </c>
      <c r="Q1280" s="1" t="s">
        <v>2202</v>
      </c>
      <c r="R1280" s="1" t="s">
        <v>2203</v>
      </c>
      <c r="S1280" s="1" t="s">
        <v>44</v>
      </c>
      <c r="T1280" s="1" t="s">
        <v>45</v>
      </c>
      <c r="U1280" s="1">
        <v>4.8201241E8</v>
      </c>
      <c r="W1280" s="1" t="s">
        <v>46</v>
      </c>
      <c r="X1280" s="1" t="s">
        <v>45</v>
      </c>
      <c r="Y1280" s="1">
        <v>4.8201241E8</v>
      </c>
      <c r="Z1280" s="1">
        <v>9.4547247E7</v>
      </c>
      <c r="AA1280" s="1" t="s">
        <v>2201</v>
      </c>
      <c r="AB1280" s="1">
        <v>314120.0</v>
      </c>
      <c r="AC1280" s="2">
        <v>41598.0</v>
      </c>
      <c r="AD1280" s="1">
        <v>8600.0</v>
      </c>
      <c r="AE1280" s="1" t="s">
        <v>102</v>
      </c>
      <c r="AF1280" s="1">
        <v>1.0</v>
      </c>
      <c r="AG1280" s="1" t="s">
        <v>2746</v>
      </c>
      <c r="AH1280" s="1">
        <v>6.0</v>
      </c>
      <c r="AI1280" s="1">
        <v>2014.0</v>
      </c>
      <c r="AJ1280" s="1">
        <v>2014.0</v>
      </c>
      <c r="AK1280" s="1" t="s">
        <v>367</v>
      </c>
    </row>
    <row r="1281">
      <c r="A1281" s="1" t="s">
        <v>2742</v>
      </c>
      <c r="B1281" s="1" t="s">
        <v>2742</v>
      </c>
      <c r="C1281" s="1" t="s">
        <v>100</v>
      </c>
      <c r="E1281" s="1">
        <v>2433238.0</v>
      </c>
      <c r="F1281" s="2">
        <v>41598.0</v>
      </c>
      <c r="G1281" s="1" t="s">
        <v>1433</v>
      </c>
      <c r="I1281" s="1" t="s">
        <v>1433</v>
      </c>
      <c r="L1281" s="1" t="s">
        <v>102</v>
      </c>
      <c r="M1281" s="1">
        <v>8600.0</v>
      </c>
      <c r="N1281" s="1" t="s">
        <v>102</v>
      </c>
      <c r="O1281" s="1">
        <v>2.6320691E7</v>
      </c>
      <c r="P1281" s="1" t="s">
        <v>2747</v>
      </c>
      <c r="R1281" s="1" t="s">
        <v>2748</v>
      </c>
      <c r="S1281" s="1" t="s">
        <v>44</v>
      </c>
      <c r="T1281" s="1" t="s">
        <v>45</v>
      </c>
      <c r="U1281" s="1">
        <v>4.82013421E8</v>
      </c>
      <c r="W1281" s="1" t="s">
        <v>46</v>
      </c>
      <c r="X1281" s="1" t="s">
        <v>45</v>
      </c>
      <c r="Y1281" s="1">
        <v>4.82013421E8</v>
      </c>
      <c r="AB1281" s="1">
        <v>200000.0</v>
      </c>
      <c r="AC1281" s="2">
        <v>41598.0</v>
      </c>
      <c r="AD1281" s="1">
        <v>8600.0</v>
      </c>
      <c r="AE1281" s="1" t="s">
        <v>102</v>
      </c>
      <c r="AF1281" s="1">
        <v>3.0</v>
      </c>
      <c r="AG1281" s="1" t="s">
        <v>2749</v>
      </c>
      <c r="AH1281" s="1">
        <v>6.0</v>
      </c>
      <c r="AI1281" s="1">
        <v>2014.0</v>
      </c>
      <c r="AJ1281" s="1">
        <v>2014.0</v>
      </c>
      <c r="AK1281" s="1" t="s">
        <v>367</v>
      </c>
    </row>
    <row r="1282">
      <c r="A1282" s="1" t="s">
        <v>2742</v>
      </c>
      <c r="B1282" s="1" t="s">
        <v>2742</v>
      </c>
      <c r="C1282" s="1" t="s">
        <v>100</v>
      </c>
      <c r="E1282" s="1">
        <v>2433238.0</v>
      </c>
      <c r="F1282" s="2">
        <v>41598.0</v>
      </c>
      <c r="G1282" s="1" t="s">
        <v>1433</v>
      </c>
      <c r="I1282" s="1" t="s">
        <v>1433</v>
      </c>
      <c r="L1282" s="1" t="s">
        <v>102</v>
      </c>
      <c r="M1282" s="1">
        <v>8600.0</v>
      </c>
      <c r="N1282" s="1" t="s">
        <v>102</v>
      </c>
      <c r="O1282" s="1">
        <v>4.3419399E7</v>
      </c>
      <c r="P1282" s="1" t="s">
        <v>979</v>
      </c>
      <c r="R1282" s="1" t="s">
        <v>1934</v>
      </c>
      <c r="S1282" s="1" t="s">
        <v>44</v>
      </c>
      <c r="T1282" s="1" t="s">
        <v>45</v>
      </c>
      <c r="U1282" s="1">
        <v>4.82384019E8</v>
      </c>
      <c r="W1282" s="1" t="s">
        <v>46</v>
      </c>
      <c r="X1282" s="1" t="s">
        <v>45</v>
      </c>
      <c r="Y1282" s="1">
        <v>4.82384019E8</v>
      </c>
      <c r="Z1282" s="1">
        <v>4.3419399E7</v>
      </c>
      <c r="AA1282" s="1" t="s">
        <v>979</v>
      </c>
      <c r="AB1282" s="1">
        <v>194824.0</v>
      </c>
      <c r="AC1282" s="2">
        <v>41598.0</v>
      </c>
      <c r="AD1282" s="1">
        <v>8600.0</v>
      </c>
      <c r="AE1282" s="1" t="s">
        <v>102</v>
      </c>
      <c r="AF1282" s="1">
        <v>12.0</v>
      </c>
      <c r="AG1282" s="1" t="s">
        <v>2750</v>
      </c>
      <c r="AH1282" s="1">
        <v>6.0</v>
      </c>
      <c r="AI1282" s="1">
        <v>2014.0</v>
      </c>
      <c r="AJ1282" s="1">
        <v>2014.0</v>
      </c>
      <c r="AK1282" s="1" t="s">
        <v>367</v>
      </c>
    </row>
    <row r="1283">
      <c r="A1283" s="1" t="s">
        <v>2742</v>
      </c>
      <c r="B1283" s="1" t="s">
        <v>2742</v>
      </c>
      <c r="C1283" s="1" t="s">
        <v>100</v>
      </c>
      <c r="E1283" s="1">
        <v>2433238.0</v>
      </c>
      <c r="F1283" s="2">
        <v>41598.0</v>
      </c>
      <c r="G1283" s="1" t="s">
        <v>1433</v>
      </c>
      <c r="I1283" s="1" t="s">
        <v>1433</v>
      </c>
      <c r="L1283" s="1" t="s">
        <v>102</v>
      </c>
      <c r="M1283" s="1">
        <v>8600.0</v>
      </c>
      <c r="N1283" s="1" t="s">
        <v>102</v>
      </c>
      <c r="O1283" s="1">
        <v>2.0830303E7</v>
      </c>
      <c r="P1283" s="1" t="s">
        <v>424</v>
      </c>
      <c r="Q1283" s="1" t="s">
        <v>425</v>
      </c>
      <c r="R1283" s="1" t="s">
        <v>426</v>
      </c>
      <c r="S1283" s="1" t="s">
        <v>44</v>
      </c>
      <c r="T1283" s="1" t="s">
        <v>45</v>
      </c>
      <c r="U1283" s="1">
        <v>4.82012002E8</v>
      </c>
      <c r="W1283" s="1" t="s">
        <v>46</v>
      </c>
      <c r="X1283" s="1" t="s">
        <v>45</v>
      </c>
      <c r="Y1283" s="1">
        <v>4.82012002E8</v>
      </c>
      <c r="Z1283" s="1">
        <v>2.0830303E7</v>
      </c>
      <c r="AA1283" s="1" t="s">
        <v>424</v>
      </c>
      <c r="AB1283" s="1">
        <v>100000.0</v>
      </c>
      <c r="AC1283" s="2">
        <v>41598.0</v>
      </c>
      <c r="AD1283" s="1">
        <v>8600.0</v>
      </c>
      <c r="AE1283" s="1" t="s">
        <v>102</v>
      </c>
      <c r="AF1283" s="1">
        <v>6.0</v>
      </c>
      <c r="AG1283" s="1" t="s">
        <v>2337</v>
      </c>
      <c r="AH1283" s="1">
        <v>6.0</v>
      </c>
      <c r="AI1283" s="1">
        <v>2014.0</v>
      </c>
      <c r="AJ1283" s="1">
        <v>2014.0</v>
      </c>
      <c r="AK1283" s="1" t="s">
        <v>367</v>
      </c>
    </row>
    <row r="1284">
      <c r="A1284" s="1" t="s">
        <v>2742</v>
      </c>
      <c r="B1284" s="1" t="s">
        <v>2742</v>
      </c>
      <c r="C1284" s="1" t="s">
        <v>100</v>
      </c>
      <c r="E1284" s="1">
        <v>2433238.0</v>
      </c>
      <c r="F1284" s="2">
        <v>41598.0</v>
      </c>
      <c r="G1284" s="1" t="s">
        <v>1433</v>
      </c>
      <c r="I1284" s="1" t="s">
        <v>1433</v>
      </c>
      <c r="L1284" s="1" t="s">
        <v>102</v>
      </c>
      <c r="M1284" s="1">
        <v>8600.0</v>
      </c>
      <c r="N1284" s="1" t="s">
        <v>102</v>
      </c>
      <c r="O1284" s="1">
        <v>5.1034718E7</v>
      </c>
      <c r="P1284" s="1" t="s">
        <v>2162</v>
      </c>
      <c r="R1284" s="1" t="s">
        <v>2163</v>
      </c>
      <c r="S1284" s="1" t="s">
        <v>44</v>
      </c>
      <c r="T1284" s="1" t="s">
        <v>45</v>
      </c>
      <c r="U1284" s="1">
        <v>4.82261472E8</v>
      </c>
      <c r="W1284" s="1" t="s">
        <v>46</v>
      </c>
      <c r="X1284" s="1" t="s">
        <v>45</v>
      </c>
      <c r="Y1284" s="1">
        <v>4.82261472E8</v>
      </c>
      <c r="AB1284" s="1">
        <v>135536.0</v>
      </c>
      <c r="AC1284" s="2">
        <v>41598.0</v>
      </c>
      <c r="AD1284" s="1">
        <v>8600.0</v>
      </c>
      <c r="AE1284" s="1" t="s">
        <v>102</v>
      </c>
      <c r="AF1284" s="1">
        <v>9.0</v>
      </c>
      <c r="AG1284" s="1" t="s">
        <v>2738</v>
      </c>
      <c r="AH1284" s="1">
        <v>6.0</v>
      </c>
      <c r="AI1284" s="1">
        <v>2014.0</v>
      </c>
      <c r="AJ1284" s="1">
        <v>2014.0</v>
      </c>
      <c r="AK1284" s="1" t="s">
        <v>367</v>
      </c>
    </row>
    <row r="1285">
      <c r="A1285" s="1" t="s">
        <v>2742</v>
      </c>
      <c r="B1285" s="1" t="s">
        <v>2742</v>
      </c>
      <c r="C1285" s="1" t="s">
        <v>100</v>
      </c>
      <c r="E1285" s="1">
        <v>2433238.0</v>
      </c>
      <c r="F1285" s="2">
        <v>41598.0</v>
      </c>
      <c r="G1285" s="1" t="s">
        <v>1433</v>
      </c>
      <c r="I1285" s="1" t="s">
        <v>1433</v>
      </c>
      <c r="L1285" s="1" t="s">
        <v>102</v>
      </c>
      <c r="M1285" s="1">
        <v>8600.0</v>
      </c>
      <c r="N1285" s="1" t="s">
        <v>102</v>
      </c>
      <c r="O1285" s="1">
        <v>1.27458909E8</v>
      </c>
      <c r="P1285" s="1" t="s">
        <v>2195</v>
      </c>
      <c r="R1285" s="1" t="s">
        <v>2196</v>
      </c>
      <c r="S1285" s="1" t="s">
        <v>44</v>
      </c>
      <c r="T1285" s="1" t="s">
        <v>45</v>
      </c>
      <c r="U1285" s="1">
        <v>4.82012641E8</v>
      </c>
      <c r="W1285" s="1" t="s">
        <v>46</v>
      </c>
      <c r="X1285" s="1" t="s">
        <v>45</v>
      </c>
      <c r="Y1285" s="1">
        <v>4.82012641E8</v>
      </c>
      <c r="AB1285" s="1">
        <v>140000.0</v>
      </c>
      <c r="AC1285" s="2">
        <v>41598.0</v>
      </c>
      <c r="AD1285" s="1">
        <v>8600.0</v>
      </c>
      <c r="AE1285" s="1" t="s">
        <v>102</v>
      </c>
      <c r="AF1285" s="1">
        <v>4.0</v>
      </c>
      <c r="AG1285" s="1" t="s">
        <v>2751</v>
      </c>
      <c r="AH1285" s="1">
        <v>6.0</v>
      </c>
      <c r="AI1285" s="1">
        <v>2014.0</v>
      </c>
      <c r="AJ1285" s="1">
        <v>2014.0</v>
      </c>
      <c r="AK1285" s="1" t="s">
        <v>367</v>
      </c>
    </row>
    <row r="1286">
      <c r="A1286" s="1" t="s">
        <v>2742</v>
      </c>
      <c r="B1286" s="1" t="s">
        <v>2742</v>
      </c>
      <c r="C1286" s="1" t="s">
        <v>100</v>
      </c>
      <c r="E1286" s="1">
        <v>2433238.0</v>
      </c>
      <c r="F1286" s="2">
        <v>41598.0</v>
      </c>
      <c r="G1286" s="1" t="s">
        <v>1433</v>
      </c>
      <c r="I1286" s="1" t="s">
        <v>1433</v>
      </c>
      <c r="L1286" s="1" t="s">
        <v>102</v>
      </c>
      <c r="M1286" s="1">
        <v>8600.0</v>
      </c>
      <c r="N1286" s="1" t="s">
        <v>102</v>
      </c>
      <c r="O1286" s="1">
        <v>7.8074923E8</v>
      </c>
      <c r="P1286" s="1" t="s">
        <v>419</v>
      </c>
      <c r="R1286" s="1" t="s">
        <v>420</v>
      </c>
      <c r="S1286" s="1" t="s">
        <v>44</v>
      </c>
      <c r="T1286" s="1" t="s">
        <v>45</v>
      </c>
      <c r="U1286" s="1">
        <v>4.82082365E8</v>
      </c>
      <c r="W1286" s="1" t="s">
        <v>46</v>
      </c>
      <c r="X1286" s="1" t="s">
        <v>45</v>
      </c>
      <c r="Y1286" s="1">
        <v>4.82082365E8</v>
      </c>
      <c r="AB1286" s="1">
        <v>120943.0</v>
      </c>
      <c r="AC1286" s="2">
        <v>41598.0</v>
      </c>
      <c r="AD1286" s="1">
        <v>8600.0</v>
      </c>
      <c r="AE1286" s="1" t="s">
        <v>102</v>
      </c>
      <c r="AF1286" s="1">
        <v>5.0</v>
      </c>
      <c r="AG1286" s="1" t="s">
        <v>2745</v>
      </c>
      <c r="AH1286" s="1">
        <v>6.0</v>
      </c>
      <c r="AI1286" s="1">
        <v>2014.0</v>
      </c>
      <c r="AJ1286" s="1">
        <v>2014.0</v>
      </c>
      <c r="AK1286" s="1" t="s">
        <v>367</v>
      </c>
    </row>
    <row r="1287">
      <c r="A1287" s="1" t="s">
        <v>2742</v>
      </c>
      <c r="B1287" s="1" t="s">
        <v>2742</v>
      </c>
      <c r="C1287" s="1" t="s">
        <v>100</v>
      </c>
      <c r="E1287" s="1">
        <v>2433238.0</v>
      </c>
      <c r="F1287" s="2">
        <v>41598.0</v>
      </c>
      <c r="G1287" s="1" t="s">
        <v>1433</v>
      </c>
      <c r="I1287" s="1" t="s">
        <v>1433</v>
      </c>
      <c r="L1287" s="1" t="s">
        <v>102</v>
      </c>
      <c r="M1287" s="1">
        <v>8600.0</v>
      </c>
      <c r="N1287" s="1" t="s">
        <v>102</v>
      </c>
      <c r="O1287" s="1">
        <v>1.61078902E8</v>
      </c>
      <c r="P1287" s="1" t="s">
        <v>1010</v>
      </c>
      <c r="Q1287" s="1" t="s">
        <v>1011</v>
      </c>
      <c r="R1287" s="1" t="s">
        <v>1012</v>
      </c>
      <c r="S1287" s="1" t="s">
        <v>44</v>
      </c>
      <c r="T1287" s="1" t="s">
        <v>45</v>
      </c>
      <c r="U1287" s="1">
        <v>4.82012722E8</v>
      </c>
      <c r="W1287" s="1" t="s">
        <v>46</v>
      </c>
      <c r="X1287" s="1" t="s">
        <v>45</v>
      </c>
      <c r="Y1287" s="1">
        <v>4.82012722E8</v>
      </c>
      <c r="Z1287" s="1">
        <v>1.61078902E8</v>
      </c>
      <c r="AA1287" s="1" t="s">
        <v>1010</v>
      </c>
      <c r="AB1287" s="1">
        <v>135000.0</v>
      </c>
      <c r="AC1287" s="2">
        <v>41598.0</v>
      </c>
      <c r="AD1287" s="1">
        <v>8600.0</v>
      </c>
      <c r="AE1287" s="1" t="s">
        <v>102</v>
      </c>
      <c r="AF1287" s="1">
        <v>10.0</v>
      </c>
      <c r="AG1287" s="1" t="s">
        <v>2752</v>
      </c>
      <c r="AH1287" s="1">
        <v>6.0</v>
      </c>
      <c r="AI1287" s="1">
        <v>2014.0</v>
      </c>
      <c r="AJ1287" s="1">
        <v>2014.0</v>
      </c>
      <c r="AK1287" s="1" t="s">
        <v>367</v>
      </c>
    </row>
    <row r="1288">
      <c r="A1288" s="1" t="s">
        <v>2742</v>
      </c>
      <c r="B1288" s="1" t="s">
        <v>2742</v>
      </c>
      <c r="C1288" s="1" t="s">
        <v>100</v>
      </c>
      <c r="E1288" s="1">
        <v>2433238.0</v>
      </c>
      <c r="F1288" s="2">
        <v>41598.0</v>
      </c>
      <c r="G1288" s="1" t="s">
        <v>1433</v>
      </c>
      <c r="I1288" s="1" t="s">
        <v>1433</v>
      </c>
      <c r="L1288" s="1" t="s">
        <v>102</v>
      </c>
      <c r="M1288" s="1">
        <v>8600.0</v>
      </c>
      <c r="N1288" s="1" t="s">
        <v>102</v>
      </c>
      <c r="O1288" s="1">
        <v>6.07778081E8</v>
      </c>
      <c r="P1288" s="1" t="s">
        <v>1002</v>
      </c>
      <c r="Q1288" s="1" t="s">
        <v>1003</v>
      </c>
      <c r="R1288" s="1" t="s">
        <v>1004</v>
      </c>
      <c r="S1288" s="1" t="s">
        <v>44</v>
      </c>
      <c r="T1288" s="1" t="s">
        <v>45</v>
      </c>
      <c r="U1288" s="1">
        <v>4.82261986E8</v>
      </c>
      <c r="W1288" s="1" t="s">
        <v>46</v>
      </c>
      <c r="X1288" s="1" t="s">
        <v>45</v>
      </c>
      <c r="Y1288" s="1">
        <v>4.82261986E8</v>
      </c>
      <c r="Z1288" s="1">
        <v>6.07778081E8</v>
      </c>
      <c r="AA1288" s="1" t="s">
        <v>1002</v>
      </c>
      <c r="AB1288" s="1">
        <v>61232.0</v>
      </c>
      <c r="AC1288" s="2">
        <v>41598.0</v>
      </c>
      <c r="AD1288" s="1">
        <v>8600.0</v>
      </c>
      <c r="AE1288" s="1" t="s">
        <v>102</v>
      </c>
      <c r="AF1288" s="1">
        <v>14.0</v>
      </c>
      <c r="AG1288" s="1" t="s">
        <v>2333</v>
      </c>
      <c r="AH1288" s="1">
        <v>6.0</v>
      </c>
      <c r="AI1288" s="1">
        <v>2014.0</v>
      </c>
      <c r="AJ1288" s="1">
        <v>2014.0</v>
      </c>
      <c r="AK1288" s="1" t="s">
        <v>367</v>
      </c>
    </row>
    <row r="1289">
      <c r="A1289" s="1" t="s">
        <v>2742</v>
      </c>
      <c r="B1289" s="1" t="s">
        <v>2742</v>
      </c>
      <c r="C1289" s="1" t="s">
        <v>100</v>
      </c>
      <c r="E1289" s="1">
        <v>2433238.0</v>
      </c>
      <c r="F1289" s="2">
        <v>41598.0</v>
      </c>
      <c r="G1289" s="1" t="s">
        <v>1433</v>
      </c>
      <c r="I1289" s="1" t="s">
        <v>1433</v>
      </c>
      <c r="L1289" s="1" t="s">
        <v>102</v>
      </c>
      <c r="M1289" s="1">
        <v>8600.0</v>
      </c>
      <c r="N1289" s="1" t="s">
        <v>102</v>
      </c>
      <c r="O1289" s="1">
        <v>9.9654048E7</v>
      </c>
      <c r="P1289" s="1" t="s">
        <v>2436</v>
      </c>
      <c r="R1289" s="1" t="s">
        <v>2437</v>
      </c>
      <c r="S1289" s="1" t="s">
        <v>44</v>
      </c>
      <c r="T1289" s="1" t="s">
        <v>45</v>
      </c>
      <c r="U1289" s="1">
        <v>4.82012722E8</v>
      </c>
      <c r="W1289" s="1" t="s">
        <v>46</v>
      </c>
      <c r="X1289" s="1" t="s">
        <v>45</v>
      </c>
      <c r="Y1289" s="1">
        <v>4.82012722E8</v>
      </c>
      <c r="AB1289" s="1">
        <v>100000.0</v>
      </c>
      <c r="AC1289" s="2">
        <v>41598.0</v>
      </c>
      <c r="AD1289" s="1">
        <v>8600.0</v>
      </c>
      <c r="AE1289" s="1" t="s">
        <v>102</v>
      </c>
      <c r="AF1289" s="1">
        <v>7.0</v>
      </c>
      <c r="AG1289" s="1" t="s">
        <v>2333</v>
      </c>
      <c r="AH1289" s="1">
        <v>6.0</v>
      </c>
      <c r="AI1289" s="1">
        <v>2014.0</v>
      </c>
      <c r="AJ1289" s="1">
        <v>2014.0</v>
      </c>
      <c r="AK1289" s="1" t="s">
        <v>367</v>
      </c>
    </row>
    <row r="1290">
      <c r="A1290" s="1" t="s">
        <v>2742</v>
      </c>
      <c r="B1290" s="1" t="s">
        <v>2742</v>
      </c>
      <c r="C1290" s="1" t="s">
        <v>100</v>
      </c>
      <c r="E1290" s="1">
        <v>2433238.0</v>
      </c>
      <c r="F1290" s="2">
        <v>41598.0</v>
      </c>
      <c r="G1290" s="1" t="s">
        <v>1433</v>
      </c>
      <c r="I1290" s="1" t="s">
        <v>1433</v>
      </c>
      <c r="L1290" s="1" t="s">
        <v>102</v>
      </c>
      <c r="M1290" s="1">
        <v>8600.0</v>
      </c>
      <c r="N1290" s="1" t="s">
        <v>102</v>
      </c>
      <c r="O1290" s="1">
        <v>1.06504459E8</v>
      </c>
      <c r="P1290" s="1" t="s">
        <v>2240</v>
      </c>
      <c r="R1290" s="1" t="s">
        <v>2241</v>
      </c>
      <c r="S1290" s="1" t="s">
        <v>44</v>
      </c>
      <c r="T1290" s="1" t="s">
        <v>45</v>
      </c>
      <c r="U1290" s="1">
        <v>4.82133112E8</v>
      </c>
      <c r="W1290" s="1" t="s">
        <v>46</v>
      </c>
      <c r="X1290" s="1" t="s">
        <v>45</v>
      </c>
      <c r="Y1290" s="1">
        <v>4.82133112E8</v>
      </c>
      <c r="AB1290" s="1">
        <v>100000.0</v>
      </c>
      <c r="AC1290" s="2">
        <v>41598.0</v>
      </c>
      <c r="AD1290" s="1">
        <v>8600.0</v>
      </c>
      <c r="AE1290" s="1" t="s">
        <v>102</v>
      </c>
      <c r="AF1290" s="1">
        <v>13.0</v>
      </c>
      <c r="AG1290" s="1" t="s">
        <v>2752</v>
      </c>
      <c r="AH1290" s="1">
        <v>6.0</v>
      </c>
      <c r="AI1290" s="1">
        <v>2014.0</v>
      </c>
      <c r="AJ1290" s="1">
        <v>2014.0</v>
      </c>
      <c r="AK1290" s="1" t="s">
        <v>367</v>
      </c>
    </row>
    <row r="1291">
      <c r="A1291" s="1" t="s">
        <v>2753</v>
      </c>
      <c r="B1291" s="1" t="s">
        <v>2753</v>
      </c>
      <c r="C1291" s="1" t="s">
        <v>100</v>
      </c>
      <c r="E1291" s="1">
        <v>4350454.0</v>
      </c>
      <c r="F1291" s="2">
        <v>41598.0</v>
      </c>
      <c r="G1291" s="1" t="s">
        <v>332</v>
      </c>
      <c r="I1291" s="1" t="s">
        <v>332</v>
      </c>
      <c r="L1291" s="1" t="s">
        <v>102</v>
      </c>
      <c r="M1291" s="1">
        <v>8600.0</v>
      </c>
      <c r="N1291" s="1" t="s">
        <v>102</v>
      </c>
      <c r="O1291" s="1">
        <v>6530661.0</v>
      </c>
      <c r="P1291" s="1" t="s">
        <v>73</v>
      </c>
      <c r="Q1291" s="1" t="s">
        <v>323</v>
      </c>
      <c r="R1291" s="1" t="s">
        <v>1961</v>
      </c>
      <c r="S1291" s="1" t="s">
        <v>44</v>
      </c>
      <c r="T1291" s="1" t="s">
        <v>45</v>
      </c>
      <c r="U1291" s="1">
        <v>4.82263443E8</v>
      </c>
      <c r="W1291" s="1" t="s">
        <v>46</v>
      </c>
      <c r="X1291" s="1" t="s">
        <v>45</v>
      </c>
      <c r="Y1291" s="1">
        <v>4.82263443E8</v>
      </c>
      <c r="Z1291" s="1">
        <v>6530661.0</v>
      </c>
      <c r="AA1291" s="1" t="s">
        <v>76</v>
      </c>
      <c r="AB1291" s="1">
        <v>2433238.0</v>
      </c>
      <c r="AC1291" s="2">
        <v>41598.0</v>
      </c>
      <c r="AD1291" s="1">
        <v>8600.0</v>
      </c>
      <c r="AE1291" s="1" t="s">
        <v>102</v>
      </c>
      <c r="AF1291" s="1">
        <v>1.0</v>
      </c>
      <c r="AG1291" s="1" t="s">
        <v>2754</v>
      </c>
      <c r="AH1291" s="1">
        <v>6.0</v>
      </c>
      <c r="AI1291" s="1">
        <v>2014.0</v>
      </c>
      <c r="AJ1291" s="1">
        <v>2014.0</v>
      </c>
      <c r="AK1291" s="1" t="s">
        <v>334</v>
      </c>
    </row>
    <row r="1292">
      <c r="A1292" s="1" t="s">
        <v>2755</v>
      </c>
      <c r="B1292" s="1" t="s">
        <v>2755</v>
      </c>
      <c r="C1292" s="1" t="s">
        <v>38</v>
      </c>
      <c r="E1292" s="1">
        <v>9586194.0</v>
      </c>
      <c r="F1292" s="2">
        <v>41879.0</v>
      </c>
      <c r="G1292" s="1" t="s">
        <v>2756</v>
      </c>
      <c r="I1292" s="1" t="s">
        <v>2756</v>
      </c>
      <c r="L1292" s="1" t="s">
        <v>40</v>
      </c>
      <c r="M1292" s="1">
        <v>7500.0</v>
      </c>
      <c r="N1292" s="1" t="s">
        <v>40</v>
      </c>
      <c r="O1292" s="1">
        <v>1962224.0</v>
      </c>
      <c r="P1292" s="1" t="s">
        <v>52</v>
      </c>
      <c r="Q1292" s="1" t="s">
        <v>1566</v>
      </c>
      <c r="R1292" s="1" t="s">
        <v>53</v>
      </c>
      <c r="S1292" s="1" t="s">
        <v>44</v>
      </c>
      <c r="T1292" s="1" t="s">
        <v>45</v>
      </c>
      <c r="U1292" s="1">
        <v>4.82023692E8</v>
      </c>
      <c r="W1292" s="1" t="s">
        <v>46</v>
      </c>
      <c r="X1292" s="1" t="s">
        <v>45</v>
      </c>
      <c r="Y1292" s="1">
        <v>4.8202405E8</v>
      </c>
      <c r="Z1292" s="1">
        <v>1962224.0</v>
      </c>
      <c r="AA1292" s="1" t="s">
        <v>52</v>
      </c>
      <c r="AB1292" s="1">
        <v>432603.0</v>
      </c>
      <c r="AC1292" s="2">
        <v>41879.0</v>
      </c>
      <c r="AD1292" s="1">
        <v>7500.0</v>
      </c>
      <c r="AE1292" s="1" t="s">
        <v>40</v>
      </c>
      <c r="AF1292" s="1">
        <v>1.53405504E8</v>
      </c>
      <c r="AG1292" s="1" t="s">
        <v>2757</v>
      </c>
      <c r="AH1292" s="1">
        <v>9.0</v>
      </c>
      <c r="AI1292" s="1">
        <v>2014.0</v>
      </c>
      <c r="AJ1292" s="1">
        <v>2014.0</v>
      </c>
      <c r="AK1292" s="1" t="s">
        <v>202</v>
      </c>
    </row>
    <row r="1293">
      <c r="A1293" s="1" t="s">
        <v>2758</v>
      </c>
      <c r="B1293" s="1" t="s">
        <v>2758</v>
      </c>
      <c r="C1293" s="1" t="s">
        <v>745</v>
      </c>
      <c r="E1293" s="1">
        <v>2638090.0</v>
      </c>
      <c r="F1293" s="2">
        <v>41866.0</v>
      </c>
      <c r="G1293" s="1" t="s">
        <v>2759</v>
      </c>
      <c r="I1293" s="1" t="s">
        <v>2759</v>
      </c>
      <c r="L1293" s="1" t="s">
        <v>151</v>
      </c>
      <c r="M1293" s="1">
        <v>6900.0</v>
      </c>
      <c r="N1293" s="1" t="s">
        <v>151</v>
      </c>
      <c r="O1293" s="1">
        <v>1.01552941E8</v>
      </c>
      <c r="P1293" s="1" t="s">
        <v>747</v>
      </c>
      <c r="Q1293" s="1" t="s">
        <v>748</v>
      </c>
      <c r="R1293" s="1" t="s">
        <v>749</v>
      </c>
      <c r="S1293" s="1" t="s">
        <v>44</v>
      </c>
      <c r="T1293" s="1" t="s">
        <v>45</v>
      </c>
      <c r="U1293" s="1">
        <v>4.82263515E8</v>
      </c>
      <c r="W1293" s="1" t="s">
        <v>46</v>
      </c>
      <c r="X1293" s="1" t="s">
        <v>45</v>
      </c>
      <c r="Y1293" s="1">
        <v>4.82263515E8</v>
      </c>
      <c r="Z1293" s="1">
        <v>1.01552941E8</v>
      </c>
      <c r="AA1293" s="1" t="s">
        <v>747</v>
      </c>
      <c r="AB1293" s="1">
        <v>82459.0</v>
      </c>
      <c r="AC1293" s="2">
        <v>41866.0</v>
      </c>
      <c r="AD1293" s="1">
        <v>6900.0</v>
      </c>
      <c r="AE1293" s="1" t="s">
        <v>151</v>
      </c>
      <c r="AF1293" s="1" t="s">
        <v>2760</v>
      </c>
      <c r="AG1293" s="1" t="s">
        <v>2761</v>
      </c>
      <c r="AH1293" s="1">
        <v>9.0</v>
      </c>
      <c r="AI1293" s="1">
        <v>2014.0</v>
      </c>
      <c r="AJ1293" s="1">
        <v>2014.0</v>
      </c>
      <c r="AK1293" s="1" t="s">
        <v>1842</v>
      </c>
    </row>
    <row r="1294">
      <c r="A1294" s="1" t="s">
        <v>1263</v>
      </c>
      <c r="B1294" s="1" t="s">
        <v>1263</v>
      </c>
      <c r="C1294" s="1" t="s">
        <v>188</v>
      </c>
      <c r="E1294" s="1">
        <v>2.3517134E7</v>
      </c>
      <c r="F1294" s="2">
        <v>41912.0</v>
      </c>
      <c r="G1294" s="1" t="s">
        <v>1264</v>
      </c>
      <c r="I1294" s="1" t="s">
        <v>1264</v>
      </c>
      <c r="L1294" s="1" t="s">
        <v>188</v>
      </c>
      <c r="M1294" s="1">
        <v>1900.0</v>
      </c>
      <c r="N1294" s="1" t="s">
        <v>188</v>
      </c>
      <c r="O1294" s="1">
        <v>6.9840817E7</v>
      </c>
      <c r="P1294" s="1" t="s">
        <v>131</v>
      </c>
      <c r="R1294" s="1" t="s">
        <v>132</v>
      </c>
      <c r="S1294" s="1" t="s">
        <v>44</v>
      </c>
      <c r="T1294" s="1" t="s">
        <v>45</v>
      </c>
      <c r="U1294" s="1">
        <v>4.8214261E8</v>
      </c>
      <c r="W1294" s="1" t="s">
        <v>46</v>
      </c>
      <c r="X1294" s="1" t="s">
        <v>45</v>
      </c>
      <c r="Y1294" s="1">
        <v>4.8214261E8</v>
      </c>
      <c r="Z1294" s="1">
        <v>6.9840817E7</v>
      </c>
      <c r="AA1294" s="1" t="s">
        <v>131</v>
      </c>
      <c r="AB1294" s="1">
        <v>2204125.0</v>
      </c>
      <c r="AC1294" s="2">
        <v>41912.0</v>
      </c>
      <c r="AD1294" s="1">
        <v>1900.0</v>
      </c>
      <c r="AE1294" s="1" t="s">
        <v>188</v>
      </c>
      <c r="AF1294" s="1" t="s">
        <v>2762</v>
      </c>
      <c r="AG1294" s="1" t="s">
        <v>1266</v>
      </c>
      <c r="AH1294" s="1">
        <v>9.0</v>
      </c>
      <c r="AI1294" s="1">
        <v>2014.0</v>
      </c>
      <c r="AJ1294" s="1">
        <v>2014.0</v>
      </c>
      <c r="AK1294" s="1" t="s">
        <v>192</v>
      </c>
    </row>
    <row r="1295">
      <c r="A1295" s="1" t="s">
        <v>2763</v>
      </c>
      <c r="B1295" s="1" t="s">
        <v>2763</v>
      </c>
      <c r="C1295" s="1" t="s">
        <v>100</v>
      </c>
      <c r="E1295" s="1">
        <v>1978226.0</v>
      </c>
      <c r="F1295" s="2">
        <v>41598.0</v>
      </c>
      <c r="G1295" s="1" t="s">
        <v>322</v>
      </c>
      <c r="I1295" s="1" t="s">
        <v>322</v>
      </c>
      <c r="L1295" s="1" t="s">
        <v>102</v>
      </c>
      <c r="M1295" s="1">
        <v>8600.0</v>
      </c>
      <c r="N1295" s="1" t="s">
        <v>102</v>
      </c>
      <c r="O1295" s="1">
        <v>6.03005542E8</v>
      </c>
      <c r="P1295" s="1" t="s">
        <v>73</v>
      </c>
      <c r="Q1295" s="1" t="s">
        <v>2764</v>
      </c>
      <c r="R1295" s="1" t="s">
        <v>2765</v>
      </c>
      <c r="S1295" s="1" t="s">
        <v>44</v>
      </c>
      <c r="T1295" s="1" t="s">
        <v>45</v>
      </c>
      <c r="U1295" s="1">
        <v>4.82161928E8</v>
      </c>
      <c r="W1295" s="1" t="s">
        <v>46</v>
      </c>
      <c r="X1295" s="1" t="s">
        <v>45</v>
      </c>
      <c r="Y1295" s="1">
        <v>4.82161928E8</v>
      </c>
      <c r="Z1295" s="1">
        <v>6530661.0</v>
      </c>
      <c r="AA1295" s="1" t="s">
        <v>76</v>
      </c>
      <c r="AB1295" s="1">
        <v>1978226.0</v>
      </c>
      <c r="AC1295" s="2">
        <v>41598.0</v>
      </c>
      <c r="AD1295" s="1">
        <v>8600.0</v>
      </c>
      <c r="AE1295" s="1" t="s">
        <v>102</v>
      </c>
      <c r="AF1295" s="1">
        <v>1.0</v>
      </c>
      <c r="AG1295" s="1" t="s">
        <v>2766</v>
      </c>
      <c r="AH1295" s="1">
        <v>10.0</v>
      </c>
      <c r="AI1295" s="1">
        <v>2014.0</v>
      </c>
      <c r="AJ1295" s="1">
        <v>2014.0</v>
      </c>
      <c r="AK1295" s="1" t="s">
        <v>326</v>
      </c>
    </row>
    <row r="1296">
      <c r="A1296" s="1" t="s">
        <v>2767</v>
      </c>
      <c r="B1296" s="1" t="s">
        <v>2767</v>
      </c>
      <c r="C1296" s="1" t="s">
        <v>207</v>
      </c>
      <c r="E1296" s="1">
        <v>2.23540403E9</v>
      </c>
      <c r="F1296" s="2">
        <v>41183.0</v>
      </c>
      <c r="G1296" s="1" t="s">
        <v>2768</v>
      </c>
      <c r="I1296" s="1" t="s">
        <v>2768</v>
      </c>
      <c r="L1296" s="1" t="s">
        <v>40</v>
      </c>
      <c r="M1296" s="1">
        <v>7500.0</v>
      </c>
      <c r="N1296" s="1" t="s">
        <v>40</v>
      </c>
      <c r="O1296" s="1">
        <v>7.92267549E8</v>
      </c>
      <c r="P1296" s="1" t="s">
        <v>41</v>
      </c>
      <c r="Q1296" s="1" t="s">
        <v>2769</v>
      </c>
      <c r="R1296" s="1" t="s">
        <v>2770</v>
      </c>
      <c r="S1296" s="1" t="s">
        <v>44</v>
      </c>
      <c r="T1296" s="1" t="s">
        <v>45</v>
      </c>
      <c r="U1296" s="1">
        <v>4.82353296E8</v>
      </c>
      <c r="W1296" s="1" t="s">
        <v>46</v>
      </c>
      <c r="X1296" s="1" t="s">
        <v>45</v>
      </c>
      <c r="Y1296" s="1">
        <v>4.82353456E8</v>
      </c>
      <c r="Z1296" s="1">
        <v>7.3134603E7</v>
      </c>
      <c r="AA1296" s="1" t="s">
        <v>41</v>
      </c>
      <c r="AB1296" s="1">
        <v>1493775.0</v>
      </c>
      <c r="AC1296" s="2">
        <v>41183.0</v>
      </c>
      <c r="AD1296" s="1">
        <v>7500.0</v>
      </c>
      <c r="AE1296" s="1" t="s">
        <v>40</v>
      </c>
      <c r="AF1296" s="1">
        <v>2.0130336E7</v>
      </c>
      <c r="AG1296" s="1" t="s">
        <v>2771</v>
      </c>
      <c r="AH1296" s="1">
        <v>10.0</v>
      </c>
      <c r="AI1296" s="1">
        <v>2012.0</v>
      </c>
      <c r="AJ1296" s="1">
        <v>2013.0</v>
      </c>
      <c r="AK1296" s="1" t="s">
        <v>213</v>
      </c>
    </row>
    <row r="1297">
      <c r="A1297" s="1" t="s">
        <v>2767</v>
      </c>
      <c r="B1297" s="1" t="s">
        <v>2767</v>
      </c>
      <c r="C1297" s="1" t="s">
        <v>207</v>
      </c>
      <c r="E1297" s="1">
        <v>2.23540403E9</v>
      </c>
      <c r="F1297" s="2">
        <v>41183.0</v>
      </c>
      <c r="G1297" s="1" t="s">
        <v>2768</v>
      </c>
      <c r="I1297" s="1" t="s">
        <v>2768</v>
      </c>
      <c r="L1297" s="1" t="s">
        <v>40</v>
      </c>
      <c r="M1297" s="1">
        <v>7500.0</v>
      </c>
      <c r="N1297" s="1" t="s">
        <v>40</v>
      </c>
      <c r="O1297" s="1">
        <v>3.8775243E7</v>
      </c>
      <c r="P1297" s="1" t="s">
        <v>209</v>
      </c>
      <c r="Q1297" s="1" t="s">
        <v>210</v>
      </c>
      <c r="R1297" s="1" t="s">
        <v>211</v>
      </c>
      <c r="S1297" s="1" t="s">
        <v>44</v>
      </c>
      <c r="T1297" s="1" t="s">
        <v>45</v>
      </c>
      <c r="U1297" s="1">
        <v>4.82023068E8</v>
      </c>
      <c r="W1297" s="1" t="s">
        <v>46</v>
      </c>
      <c r="X1297" s="1" t="s">
        <v>45</v>
      </c>
      <c r="Y1297" s="1">
        <v>4.82023068E8</v>
      </c>
      <c r="Z1297" s="1">
        <v>3.8775243E7</v>
      </c>
      <c r="AA1297" s="1" t="s">
        <v>209</v>
      </c>
      <c r="AB1297" s="1">
        <v>22521.0</v>
      </c>
      <c r="AC1297" s="2">
        <v>41183.0</v>
      </c>
      <c r="AD1297" s="1">
        <v>7500.0</v>
      </c>
      <c r="AE1297" s="1" t="s">
        <v>40</v>
      </c>
      <c r="AF1297" s="1">
        <v>2.0131085E7</v>
      </c>
      <c r="AG1297" s="1" t="s">
        <v>212</v>
      </c>
      <c r="AH1297" s="1">
        <v>10.0</v>
      </c>
      <c r="AI1297" s="1">
        <v>2012.0</v>
      </c>
      <c r="AJ1297" s="1">
        <v>2013.0</v>
      </c>
      <c r="AK1297" s="1" t="s">
        <v>213</v>
      </c>
    </row>
    <row r="1298">
      <c r="A1298" s="1" t="s">
        <v>2767</v>
      </c>
      <c r="B1298" s="1" t="s">
        <v>2767</v>
      </c>
      <c r="C1298" s="1" t="s">
        <v>207</v>
      </c>
      <c r="E1298" s="1">
        <v>2.23540403E9</v>
      </c>
      <c r="F1298" s="2">
        <v>41183.0</v>
      </c>
      <c r="G1298" s="1" t="s">
        <v>2768</v>
      </c>
      <c r="I1298" s="1" t="s">
        <v>2768</v>
      </c>
      <c r="L1298" s="1" t="s">
        <v>40</v>
      </c>
      <c r="M1298" s="1">
        <v>7500.0</v>
      </c>
      <c r="N1298" s="1" t="s">
        <v>40</v>
      </c>
      <c r="O1298" s="1">
        <v>3.8775243E7</v>
      </c>
      <c r="P1298" s="1" t="s">
        <v>209</v>
      </c>
      <c r="Q1298" s="1" t="s">
        <v>210</v>
      </c>
      <c r="R1298" s="1" t="s">
        <v>211</v>
      </c>
      <c r="S1298" s="1" t="s">
        <v>44</v>
      </c>
      <c r="T1298" s="1" t="s">
        <v>45</v>
      </c>
      <c r="U1298" s="1">
        <v>4.82023068E8</v>
      </c>
      <c r="W1298" s="1" t="s">
        <v>46</v>
      </c>
      <c r="X1298" s="1" t="s">
        <v>45</v>
      </c>
      <c r="Y1298" s="1">
        <v>4.82023068E8</v>
      </c>
      <c r="Z1298" s="1">
        <v>3.8775243E7</v>
      </c>
      <c r="AA1298" s="1" t="s">
        <v>209</v>
      </c>
      <c r="AB1298" s="1">
        <v>9966.75</v>
      </c>
      <c r="AC1298" s="2">
        <v>41183.0</v>
      </c>
      <c r="AD1298" s="1">
        <v>7500.0</v>
      </c>
      <c r="AE1298" s="1" t="s">
        <v>40</v>
      </c>
      <c r="AF1298" s="1">
        <v>2.0131079E7</v>
      </c>
      <c r="AG1298" s="1" t="s">
        <v>212</v>
      </c>
      <c r="AH1298" s="1">
        <v>10.0</v>
      </c>
      <c r="AI1298" s="1">
        <v>2012.0</v>
      </c>
      <c r="AJ1298" s="1">
        <v>2013.0</v>
      </c>
      <c r="AK1298" s="1" t="s">
        <v>213</v>
      </c>
    </row>
    <row r="1299">
      <c r="A1299" s="1" t="s">
        <v>2767</v>
      </c>
      <c r="B1299" s="1" t="s">
        <v>2767</v>
      </c>
      <c r="C1299" s="1" t="s">
        <v>207</v>
      </c>
      <c r="E1299" s="1">
        <v>2.23540403E9</v>
      </c>
      <c r="F1299" s="2">
        <v>41183.0</v>
      </c>
      <c r="G1299" s="1" t="s">
        <v>2768</v>
      </c>
      <c r="I1299" s="1" t="s">
        <v>2768</v>
      </c>
      <c r="L1299" s="1" t="s">
        <v>40</v>
      </c>
      <c r="M1299" s="1">
        <v>7500.0</v>
      </c>
      <c r="N1299" s="1" t="s">
        <v>40</v>
      </c>
      <c r="O1299" s="1">
        <v>3.8775243E7</v>
      </c>
      <c r="P1299" s="1" t="s">
        <v>209</v>
      </c>
      <c r="Q1299" s="1" t="s">
        <v>210</v>
      </c>
      <c r="R1299" s="1" t="s">
        <v>211</v>
      </c>
      <c r="S1299" s="1" t="s">
        <v>44</v>
      </c>
      <c r="T1299" s="1" t="s">
        <v>45</v>
      </c>
      <c r="U1299" s="1">
        <v>4.82023068E8</v>
      </c>
      <c r="W1299" s="1" t="s">
        <v>46</v>
      </c>
      <c r="X1299" s="1" t="s">
        <v>45</v>
      </c>
      <c r="Y1299" s="1">
        <v>4.82023068E8</v>
      </c>
      <c r="Z1299" s="1">
        <v>3.8775243E7</v>
      </c>
      <c r="AA1299" s="1" t="s">
        <v>209</v>
      </c>
      <c r="AB1299" s="1">
        <v>12603.25</v>
      </c>
      <c r="AC1299" s="2">
        <v>41183.0</v>
      </c>
      <c r="AD1299" s="1">
        <v>7500.0</v>
      </c>
      <c r="AE1299" s="1" t="s">
        <v>40</v>
      </c>
      <c r="AF1299" s="1">
        <v>2.0131081E7</v>
      </c>
      <c r="AG1299" s="1" t="s">
        <v>212</v>
      </c>
      <c r="AH1299" s="1">
        <v>10.0</v>
      </c>
      <c r="AI1299" s="1">
        <v>2012.0</v>
      </c>
      <c r="AJ1299" s="1">
        <v>2013.0</v>
      </c>
      <c r="AK1299" s="1" t="s">
        <v>213</v>
      </c>
    </row>
    <row r="1300">
      <c r="A1300" s="1" t="s">
        <v>2767</v>
      </c>
      <c r="B1300" s="1" t="s">
        <v>2767</v>
      </c>
      <c r="C1300" s="1" t="s">
        <v>207</v>
      </c>
      <c r="E1300" s="1">
        <v>2.23540403E9</v>
      </c>
      <c r="F1300" s="2">
        <v>41183.0</v>
      </c>
      <c r="G1300" s="1" t="s">
        <v>2768</v>
      </c>
      <c r="I1300" s="1" t="s">
        <v>2768</v>
      </c>
      <c r="L1300" s="1" t="s">
        <v>40</v>
      </c>
      <c r="M1300" s="1">
        <v>7500.0</v>
      </c>
      <c r="N1300" s="1" t="s">
        <v>40</v>
      </c>
      <c r="O1300" s="1">
        <v>3.8775243E7</v>
      </c>
      <c r="P1300" s="1" t="s">
        <v>209</v>
      </c>
      <c r="Q1300" s="1" t="s">
        <v>210</v>
      </c>
      <c r="R1300" s="1" t="s">
        <v>211</v>
      </c>
      <c r="S1300" s="1" t="s">
        <v>44</v>
      </c>
      <c r="T1300" s="1" t="s">
        <v>45</v>
      </c>
      <c r="U1300" s="1">
        <v>4.82023068E8</v>
      </c>
      <c r="W1300" s="1" t="s">
        <v>46</v>
      </c>
      <c r="X1300" s="1" t="s">
        <v>45</v>
      </c>
      <c r="Y1300" s="1">
        <v>4.82023068E8</v>
      </c>
      <c r="Z1300" s="1">
        <v>3.8775243E7</v>
      </c>
      <c r="AA1300" s="1" t="s">
        <v>209</v>
      </c>
      <c r="AB1300" s="1">
        <v>731.25</v>
      </c>
      <c r="AC1300" s="2">
        <v>41183.0</v>
      </c>
      <c r="AD1300" s="1">
        <v>7500.0</v>
      </c>
      <c r="AE1300" s="1" t="s">
        <v>40</v>
      </c>
      <c r="AF1300" s="1">
        <v>2.0131087E7</v>
      </c>
      <c r="AG1300" s="1" t="s">
        <v>212</v>
      </c>
      <c r="AH1300" s="1">
        <v>10.0</v>
      </c>
      <c r="AI1300" s="1">
        <v>2012.0</v>
      </c>
      <c r="AJ1300" s="1">
        <v>2013.0</v>
      </c>
      <c r="AK1300" s="1" t="s">
        <v>213</v>
      </c>
    </row>
    <row r="1301">
      <c r="A1301" s="1" t="s">
        <v>2767</v>
      </c>
      <c r="B1301" s="1" t="s">
        <v>2767</v>
      </c>
      <c r="C1301" s="1" t="s">
        <v>207</v>
      </c>
      <c r="E1301" s="1">
        <v>2.23540403E9</v>
      </c>
      <c r="F1301" s="2">
        <v>41183.0</v>
      </c>
      <c r="G1301" s="1" t="s">
        <v>2768</v>
      </c>
      <c r="I1301" s="1" t="s">
        <v>2768</v>
      </c>
      <c r="L1301" s="1" t="s">
        <v>40</v>
      </c>
      <c r="M1301" s="1">
        <v>7500.0</v>
      </c>
      <c r="N1301" s="1" t="s">
        <v>40</v>
      </c>
      <c r="O1301" s="1">
        <v>4.6842605E7</v>
      </c>
      <c r="P1301" s="1" t="s">
        <v>165</v>
      </c>
      <c r="Q1301" s="1" t="s">
        <v>166</v>
      </c>
      <c r="R1301" s="1" t="s">
        <v>167</v>
      </c>
      <c r="S1301" s="1" t="s">
        <v>44</v>
      </c>
      <c r="T1301" s="1" t="s">
        <v>45</v>
      </c>
      <c r="U1301" s="1">
        <v>4.82074544E8</v>
      </c>
      <c r="W1301" s="1" t="s">
        <v>46</v>
      </c>
      <c r="X1301" s="1" t="s">
        <v>45</v>
      </c>
      <c r="Y1301" s="1">
        <v>4.82074544E8</v>
      </c>
      <c r="Z1301" s="1">
        <v>7.3134603E7</v>
      </c>
      <c r="AA1301" s="1" t="s">
        <v>41</v>
      </c>
      <c r="AB1301" s="1">
        <v>3575679.92</v>
      </c>
      <c r="AC1301" s="2">
        <v>41183.0</v>
      </c>
      <c r="AD1301" s="1">
        <v>7500.0</v>
      </c>
      <c r="AE1301" s="1" t="s">
        <v>40</v>
      </c>
      <c r="AF1301" s="1">
        <v>2.0130477E7</v>
      </c>
      <c r="AG1301" s="1" t="s">
        <v>2771</v>
      </c>
      <c r="AH1301" s="1">
        <v>10.0</v>
      </c>
      <c r="AI1301" s="1">
        <v>2012.0</v>
      </c>
      <c r="AJ1301" s="1">
        <v>2013.0</v>
      </c>
      <c r="AK1301" s="1" t="s">
        <v>213</v>
      </c>
    </row>
    <row r="1302">
      <c r="A1302" s="1" t="s">
        <v>2767</v>
      </c>
      <c r="B1302" s="1" t="s">
        <v>2767</v>
      </c>
      <c r="C1302" s="1" t="s">
        <v>207</v>
      </c>
      <c r="E1302" s="1">
        <v>2.23540403E9</v>
      </c>
      <c r="F1302" s="2">
        <v>41183.0</v>
      </c>
      <c r="G1302" s="1" t="s">
        <v>2768</v>
      </c>
      <c r="I1302" s="1" t="s">
        <v>2768</v>
      </c>
      <c r="L1302" s="1" t="s">
        <v>40</v>
      </c>
      <c r="M1302" s="1">
        <v>7500.0</v>
      </c>
      <c r="N1302" s="1" t="s">
        <v>40</v>
      </c>
      <c r="O1302" s="1">
        <v>3.8775243E7</v>
      </c>
      <c r="P1302" s="1" t="s">
        <v>209</v>
      </c>
      <c r="Q1302" s="1" t="s">
        <v>210</v>
      </c>
      <c r="R1302" s="1" t="s">
        <v>211</v>
      </c>
      <c r="S1302" s="1" t="s">
        <v>44</v>
      </c>
      <c r="T1302" s="1" t="s">
        <v>45</v>
      </c>
      <c r="U1302" s="1">
        <v>4.82023068E8</v>
      </c>
      <c r="W1302" s="1" t="s">
        <v>46</v>
      </c>
      <c r="X1302" s="1" t="s">
        <v>45</v>
      </c>
      <c r="Y1302" s="1">
        <v>4.82023068E8</v>
      </c>
      <c r="Z1302" s="1">
        <v>3.8775243E7</v>
      </c>
      <c r="AA1302" s="1" t="s">
        <v>209</v>
      </c>
      <c r="AB1302" s="1">
        <v>3749.99</v>
      </c>
      <c r="AC1302" s="2">
        <v>41183.0</v>
      </c>
      <c r="AD1302" s="1">
        <v>7500.0</v>
      </c>
      <c r="AE1302" s="1" t="s">
        <v>40</v>
      </c>
      <c r="AF1302" s="1">
        <v>2.0133941E7</v>
      </c>
      <c r="AG1302" s="1" t="s">
        <v>212</v>
      </c>
      <c r="AH1302" s="1">
        <v>10.0</v>
      </c>
      <c r="AI1302" s="1">
        <v>2012.0</v>
      </c>
      <c r="AJ1302" s="1">
        <v>2013.0</v>
      </c>
      <c r="AK1302" s="1" t="s">
        <v>213</v>
      </c>
    </row>
    <row r="1303">
      <c r="A1303" s="1" t="s">
        <v>2767</v>
      </c>
      <c r="B1303" s="1" t="s">
        <v>2767</v>
      </c>
      <c r="C1303" s="1" t="s">
        <v>207</v>
      </c>
      <c r="E1303" s="1">
        <v>2.23540403E9</v>
      </c>
      <c r="F1303" s="2">
        <v>41183.0</v>
      </c>
      <c r="G1303" s="1" t="s">
        <v>2768</v>
      </c>
      <c r="I1303" s="1" t="s">
        <v>2768</v>
      </c>
      <c r="L1303" s="1" t="s">
        <v>40</v>
      </c>
      <c r="M1303" s="1">
        <v>7500.0</v>
      </c>
      <c r="N1303" s="1" t="s">
        <v>40</v>
      </c>
      <c r="O1303" s="1">
        <v>3.8775243E7</v>
      </c>
      <c r="P1303" s="1" t="s">
        <v>209</v>
      </c>
      <c r="Q1303" s="1" t="s">
        <v>210</v>
      </c>
      <c r="R1303" s="1" t="s">
        <v>211</v>
      </c>
      <c r="S1303" s="1" t="s">
        <v>44</v>
      </c>
      <c r="T1303" s="1" t="s">
        <v>45</v>
      </c>
      <c r="U1303" s="1">
        <v>4.82023068E8</v>
      </c>
      <c r="W1303" s="1" t="s">
        <v>46</v>
      </c>
      <c r="X1303" s="1" t="s">
        <v>45</v>
      </c>
      <c r="Y1303" s="1">
        <v>4.82023068E8</v>
      </c>
      <c r="Z1303" s="1">
        <v>3.8775243E7</v>
      </c>
      <c r="AA1303" s="1" t="s">
        <v>209</v>
      </c>
      <c r="AB1303" s="1">
        <v>2145.97</v>
      </c>
      <c r="AC1303" s="2">
        <v>41183.0</v>
      </c>
      <c r="AD1303" s="1">
        <v>7500.0</v>
      </c>
      <c r="AE1303" s="1" t="s">
        <v>40</v>
      </c>
      <c r="AF1303" s="1">
        <v>2.0131083E7</v>
      </c>
      <c r="AG1303" s="1" t="s">
        <v>212</v>
      </c>
      <c r="AH1303" s="1">
        <v>10.0</v>
      </c>
      <c r="AI1303" s="1">
        <v>2012.0</v>
      </c>
      <c r="AJ1303" s="1">
        <v>2013.0</v>
      </c>
      <c r="AK1303" s="1" t="s">
        <v>213</v>
      </c>
    </row>
    <row r="1304">
      <c r="A1304" s="1" t="s">
        <v>2772</v>
      </c>
      <c r="B1304" s="1" t="s">
        <v>2772</v>
      </c>
      <c r="C1304" s="1" t="s">
        <v>207</v>
      </c>
      <c r="E1304" s="1">
        <v>2.67163955E9</v>
      </c>
      <c r="F1304" s="2">
        <v>41183.0</v>
      </c>
      <c r="G1304" s="1" t="s">
        <v>2773</v>
      </c>
      <c r="I1304" s="1" t="s">
        <v>2773</v>
      </c>
      <c r="L1304" s="1" t="s">
        <v>40</v>
      </c>
      <c r="M1304" s="1">
        <v>7500.0</v>
      </c>
      <c r="N1304" s="1" t="s">
        <v>40</v>
      </c>
      <c r="O1304" s="1">
        <v>3.8775243E7</v>
      </c>
      <c r="P1304" s="1" t="s">
        <v>209</v>
      </c>
      <c r="Q1304" s="1" t="s">
        <v>210</v>
      </c>
      <c r="R1304" s="1" t="s">
        <v>211</v>
      </c>
      <c r="S1304" s="1" t="s">
        <v>44</v>
      </c>
      <c r="T1304" s="1" t="s">
        <v>45</v>
      </c>
      <c r="U1304" s="1">
        <v>4.82023068E8</v>
      </c>
      <c r="W1304" s="1" t="s">
        <v>46</v>
      </c>
      <c r="X1304" s="1" t="s">
        <v>45</v>
      </c>
      <c r="Y1304" s="1">
        <v>4.82023068E8</v>
      </c>
      <c r="Z1304" s="1">
        <v>3.8775243E7</v>
      </c>
      <c r="AA1304" s="1" t="s">
        <v>209</v>
      </c>
      <c r="AB1304" s="1">
        <v>9966.75</v>
      </c>
      <c r="AC1304" s="2">
        <v>41183.0</v>
      </c>
      <c r="AD1304" s="1">
        <v>7500.0</v>
      </c>
      <c r="AE1304" s="1" t="s">
        <v>40</v>
      </c>
      <c r="AF1304" s="1">
        <v>2.0131079E7</v>
      </c>
      <c r="AG1304" s="1" t="s">
        <v>212</v>
      </c>
      <c r="AH1304" s="1">
        <v>10.0</v>
      </c>
      <c r="AI1304" s="1">
        <v>2012.0</v>
      </c>
      <c r="AJ1304" s="1">
        <v>2013.0</v>
      </c>
      <c r="AK1304" s="1" t="s">
        <v>213</v>
      </c>
    </row>
    <row r="1305">
      <c r="A1305" s="1" t="s">
        <v>2772</v>
      </c>
      <c r="B1305" s="1" t="s">
        <v>2772</v>
      </c>
      <c r="C1305" s="1" t="s">
        <v>207</v>
      </c>
      <c r="E1305" s="1">
        <v>2.67163955E9</v>
      </c>
      <c r="F1305" s="2">
        <v>41183.0</v>
      </c>
      <c r="G1305" s="1" t="s">
        <v>2773</v>
      </c>
      <c r="I1305" s="1" t="s">
        <v>2773</v>
      </c>
      <c r="L1305" s="1" t="s">
        <v>40</v>
      </c>
      <c r="M1305" s="1">
        <v>7500.0</v>
      </c>
      <c r="N1305" s="1" t="s">
        <v>40</v>
      </c>
      <c r="O1305" s="1">
        <v>3.8775243E7</v>
      </c>
      <c r="P1305" s="1" t="s">
        <v>209</v>
      </c>
      <c r="Q1305" s="1" t="s">
        <v>210</v>
      </c>
      <c r="R1305" s="1" t="s">
        <v>211</v>
      </c>
      <c r="S1305" s="1" t="s">
        <v>44</v>
      </c>
      <c r="T1305" s="1" t="s">
        <v>45</v>
      </c>
      <c r="U1305" s="1">
        <v>4.82023068E8</v>
      </c>
      <c r="W1305" s="1" t="s">
        <v>46</v>
      </c>
      <c r="X1305" s="1" t="s">
        <v>45</v>
      </c>
      <c r="Y1305" s="1">
        <v>4.82023068E8</v>
      </c>
      <c r="Z1305" s="1">
        <v>3.8775243E7</v>
      </c>
      <c r="AA1305" s="1" t="s">
        <v>209</v>
      </c>
      <c r="AB1305" s="1">
        <v>26013.75</v>
      </c>
      <c r="AC1305" s="2">
        <v>41183.0</v>
      </c>
      <c r="AD1305" s="1">
        <v>7500.0</v>
      </c>
      <c r="AE1305" s="1" t="s">
        <v>40</v>
      </c>
      <c r="AF1305" s="1">
        <v>2.0131095E7</v>
      </c>
      <c r="AG1305" s="1" t="s">
        <v>212</v>
      </c>
      <c r="AH1305" s="1">
        <v>10.0</v>
      </c>
      <c r="AI1305" s="1">
        <v>2012.0</v>
      </c>
      <c r="AJ1305" s="1">
        <v>2013.0</v>
      </c>
      <c r="AK1305" s="1" t="s">
        <v>213</v>
      </c>
    </row>
    <row r="1306">
      <c r="A1306" s="1" t="s">
        <v>2772</v>
      </c>
      <c r="B1306" s="1" t="s">
        <v>2772</v>
      </c>
      <c r="C1306" s="1" t="s">
        <v>207</v>
      </c>
      <c r="E1306" s="1">
        <v>2.67163955E9</v>
      </c>
      <c r="F1306" s="2">
        <v>41183.0</v>
      </c>
      <c r="G1306" s="1" t="s">
        <v>2773</v>
      </c>
      <c r="I1306" s="1" t="s">
        <v>2773</v>
      </c>
      <c r="L1306" s="1" t="s">
        <v>40</v>
      </c>
      <c r="M1306" s="1">
        <v>7500.0</v>
      </c>
      <c r="N1306" s="1" t="s">
        <v>40</v>
      </c>
      <c r="O1306" s="1">
        <v>7.92267549E8</v>
      </c>
      <c r="P1306" s="1" t="s">
        <v>41</v>
      </c>
      <c r="Q1306" s="1" t="s">
        <v>2769</v>
      </c>
      <c r="R1306" s="1" t="s">
        <v>2770</v>
      </c>
      <c r="S1306" s="1" t="s">
        <v>44</v>
      </c>
      <c r="T1306" s="1" t="s">
        <v>45</v>
      </c>
      <c r="U1306" s="1">
        <v>4.82353296E8</v>
      </c>
      <c r="W1306" s="1" t="s">
        <v>46</v>
      </c>
      <c r="X1306" s="1" t="s">
        <v>45</v>
      </c>
      <c r="Y1306" s="1">
        <v>4.82353456E8</v>
      </c>
      <c r="Z1306" s="1">
        <v>7.3134603E7</v>
      </c>
      <c r="AA1306" s="1" t="s">
        <v>41</v>
      </c>
      <c r="AB1306" s="1">
        <v>1493775.0</v>
      </c>
      <c r="AC1306" s="2">
        <v>41183.0</v>
      </c>
      <c r="AD1306" s="1">
        <v>7500.0</v>
      </c>
      <c r="AE1306" s="1" t="s">
        <v>40</v>
      </c>
      <c r="AF1306" s="1">
        <v>2.0130336E7</v>
      </c>
      <c r="AG1306" s="1" t="s">
        <v>2771</v>
      </c>
      <c r="AH1306" s="1">
        <v>10.0</v>
      </c>
      <c r="AI1306" s="1">
        <v>2012.0</v>
      </c>
      <c r="AJ1306" s="1">
        <v>2013.0</v>
      </c>
      <c r="AK1306" s="1" t="s">
        <v>213</v>
      </c>
    </row>
    <row r="1307">
      <c r="A1307" s="1" t="s">
        <v>2772</v>
      </c>
      <c r="B1307" s="1" t="s">
        <v>2772</v>
      </c>
      <c r="C1307" s="1" t="s">
        <v>207</v>
      </c>
      <c r="E1307" s="1">
        <v>2.67163955E9</v>
      </c>
      <c r="F1307" s="2">
        <v>41183.0</v>
      </c>
      <c r="G1307" s="1" t="s">
        <v>2773</v>
      </c>
      <c r="I1307" s="1" t="s">
        <v>2773</v>
      </c>
      <c r="L1307" s="1" t="s">
        <v>40</v>
      </c>
      <c r="M1307" s="1">
        <v>7500.0</v>
      </c>
      <c r="N1307" s="1" t="s">
        <v>40</v>
      </c>
      <c r="O1307" s="1">
        <v>3.8775243E7</v>
      </c>
      <c r="P1307" s="1" t="s">
        <v>209</v>
      </c>
      <c r="Q1307" s="1" t="s">
        <v>210</v>
      </c>
      <c r="R1307" s="1" t="s">
        <v>211</v>
      </c>
      <c r="S1307" s="1" t="s">
        <v>44</v>
      </c>
      <c r="T1307" s="1" t="s">
        <v>45</v>
      </c>
      <c r="U1307" s="1">
        <v>4.82023068E8</v>
      </c>
      <c r="W1307" s="1" t="s">
        <v>46</v>
      </c>
      <c r="X1307" s="1" t="s">
        <v>45</v>
      </c>
      <c r="Y1307" s="1">
        <v>4.82023068E8</v>
      </c>
      <c r="Z1307" s="1">
        <v>3.8775243E7</v>
      </c>
      <c r="AA1307" s="1" t="s">
        <v>209</v>
      </c>
      <c r="AB1307" s="1">
        <v>11056.5</v>
      </c>
      <c r="AC1307" s="2">
        <v>41183.0</v>
      </c>
      <c r="AD1307" s="1">
        <v>7500.0</v>
      </c>
      <c r="AE1307" s="1" t="s">
        <v>40</v>
      </c>
      <c r="AF1307" s="1">
        <v>2.0131257E7</v>
      </c>
      <c r="AG1307" s="1" t="s">
        <v>212</v>
      </c>
      <c r="AH1307" s="1">
        <v>10.0</v>
      </c>
      <c r="AI1307" s="1">
        <v>2012.0</v>
      </c>
      <c r="AJ1307" s="1">
        <v>2013.0</v>
      </c>
      <c r="AK1307" s="1" t="s">
        <v>213</v>
      </c>
    </row>
    <row r="1308">
      <c r="A1308" s="1" t="s">
        <v>2772</v>
      </c>
      <c r="B1308" s="1" t="s">
        <v>2772</v>
      </c>
      <c r="C1308" s="1" t="s">
        <v>207</v>
      </c>
      <c r="E1308" s="1">
        <v>2.67163955E9</v>
      </c>
      <c r="F1308" s="2">
        <v>41183.0</v>
      </c>
      <c r="G1308" s="1" t="s">
        <v>2773</v>
      </c>
      <c r="I1308" s="1" t="s">
        <v>2773</v>
      </c>
      <c r="L1308" s="1" t="s">
        <v>40</v>
      </c>
      <c r="M1308" s="1">
        <v>7500.0</v>
      </c>
      <c r="N1308" s="1" t="s">
        <v>40</v>
      </c>
      <c r="O1308" s="1">
        <v>4.6842605E7</v>
      </c>
      <c r="P1308" s="1" t="s">
        <v>165</v>
      </c>
      <c r="Q1308" s="1" t="s">
        <v>166</v>
      </c>
      <c r="R1308" s="1" t="s">
        <v>167</v>
      </c>
      <c r="S1308" s="1" t="s">
        <v>44</v>
      </c>
      <c r="T1308" s="1" t="s">
        <v>45</v>
      </c>
      <c r="U1308" s="1">
        <v>4.82074544E8</v>
      </c>
      <c r="W1308" s="1" t="s">
        <v>46</v>
      </c>
      <c r="X1308" s="1" t="s">
        <v>45</v>
      </c>
      <c r="Y1308" s="1">
        <v>4.82074544E8</v>
      </c>
      <c r="Z1308" s="1">
        <v>8.8328877E7</v>
      </c>
      <c r="AA1308" s="1" t="s">
        <v>2774</v>
      </c>
      <c r="AB1308" s="1">
        <v>3575679.92</v>
      </c>
      <c r="AC1308" s="2">
        <v>41183.0</v>
      </c>
      <c r="AD1308" s="1">
        <v>7500.0</v>
      </c>
      <c r="AE1308" s="1" t="s">
        <v>40</v>
      </c>
      <c r="AF1308" s="1">
        <v>2.0130477E7</v>
      </c>
      <c r="AG1308" s="1" t="s">
        <v>2771</v>
      </c>
      <c r="AH1308" s="1">
        <v>10.0</v>
      </c>
      <c r="AI1308" s="1">
        <v>2012.0</v>
      </c>
      <c r="AJ1308" s="1">
        <v>2013.0</v>
      </c>
      <c r="AK1308" s="1" t="s">
        <v>213</v>
      </c>
    </row>
    <row r="1309">
      <c r="A1309" s="1" t="s">
        <v>2772</v>
      </c>
      <c r="B1309" s="1" t="s">
        <v>2772</v>
      </c>
      <c r="C1309" s="1" t="s">
        <v>207</v>
      </c>
      <c r="E1309" s="1">
        <v>2.67163955E9</v>
      </c>
      <c r="F1309" s="2">
        <v>41183.0</v>
      </c>
      <c r="G1309" s="1" t="s">
        <v>2773</v>
      </c>
      <c r="I1309" s="1" t="s">
        <v>2773</v>
      </c>
      <c r="L1309" s="1" t="s">
        <v>40</v>
      </c>
      <c r="M1309" s="1">
        <v>7500.0</v>
      </c>
      <c r="N1309" s="1" t="s">
        <v>40</v>
      </c>
      <c r="O1309" s="1">
        <v>3.8775243E7</v>
      </c>
      <c r="P1309" s="1" t="s">
        <v>209</v>
      </c>
      <c r="Q1309" s="1" t="s">
        <v>210</v>
      </c>
      <c r="R1309" s="1" t="s">
        <v>211</v>
      </c>
      <c r="S1309" s="1" t="s">
        <v>44</v>
      </c>
      <c r="T1309" s="1" t="s">
        <v>45</v>
      </c>
      <c r="U1309" s="1">
        <v>4.82023068E8</v>
      </c>
      <c r="W1309" s="1" t="s">
        <v>46</v>
      </c>
      <c r="X1309" s="1" t="s">
        <v>45</v>
      </c>
      <c r="Y1309" s="1">
        <v>4.82023068E8</v>
      </c>
      <c r="Z1309" s="1">
        <v>3.8775243E7</v>
      </c>
      <c r="AA1309" s="1" t="s">
        <v>209</v>
      </c>
      <c r="AB1309" s="1">
        <v>3749.99</v>
      </c>
      <c r="AC1309" s="2">
        <v>41183.0</v>
      </c>
      <c r="AD1309" s="1">
        <v>7500.0</v>
      </c>
      <c r="AE1309" s="1" t="s">
        <v>40</v>
      </c>
      <c r="AF1309" s="1">
        <v>2.0133941E7</v>
      </c>
      <c r="AG1309" s="1" t="s">
        <v>212</v>
      </c>
      <c r="AH1309" s="1">
        <v>10.0</v>
      </c>
      <c r="AI1309" s="1">
        <v>2012.0</v>
      </c>
      <c r="AJ1309" s="1">
        <v>2013.0</v>
      </c>
      <c r="AK1309" s="1" t="s">
        <v>213</v>
      </c>
    </row>
    <row r="1310">
      <c r="A1310" s="1" t="s">
        <v>2772</v>
      </c>
      <c r="B1310" s="1" t="s">
        <v>2772</v>
      </c>
      <c r="C1310" s="1" t="s">
        <v>207</v>
      </c>
      <c r="E1310" s="1">
        <v>2.67163955E9</v>
      </c>
      <c r="F1310" s="2">
        <v>41183.0</v>
      </c>
      <c r="G1310" s="1" t="s">
        <v>2773</v>
      </c>
      <c r="I1310" s="1" t="s">
        <v>2773</v>
      </c>
      <c r="L1310" s="1" t="s">
        <v>40</v>
      </c>
      <c r="M1310" s="1">
        <v>7500.0</v>
      </c>
      <c r="N1310" s="1" t="s">
        <v>40</v>
      </c>
      <c r="O1310" s="1">
        <v>3.8775243E7</v>
      </c>
      <c r="P1310" s="1" t="s">
        <v>209</v>
      </c>
      <c r="Q1310" s="1" t="s">
        <v>210</v>
      </c>
      <c r="R1310" s="1" t="s">
        <v>211</v>
      </c>
      <c r="S1310" s="1" t="s">
        <v>44</v>
      </c>
      <c r="T1310" s="1" t="s">
        <v>45</v>
      </c>
      <c r="U1310" s="1">
        <v>4.82023068E8</v>
      </c>
      <c r="W1310" s="1" t="s">
        <v>46</v>
      </c>
      <c r="X1310" s="1" t="s">
        <v>45</v>
      </c>
      <c r="Y1310" s="1">
        <v>4.82023068E8</v>
      </c>
      <c r="Z1310" s="1">
        <v>3.8775243E7</v>
      </c>
      <c r="AA1310" s="1" t="s">
        <v>209</v>
      </c>
      <c r="AB1310" s="1">
        <v>731.25</v>
      </c>
      <c r="AC1310" s="2">
        <v>41183.0</v>
      </c>
      <c r="AD1310" s="1">
        <v>7500.0</v>
      </c>
      <c r="AE1310" s="1" t="s">
        <v>40</v>
      </c>
      <c r="AF1310" s="1">
        <v>2.0131087E7</v>
      </c>
      <c r="AG1310" s="1" t="s">
        <v>212</v>
      </c>
      <c r="AH1310" s="1">
        <v>10.0</v>
      </c>
      <c r="AI1310" s="1">
        <v>2012.0</v>
      </c>
      <c r="AJ1310" s="1">
        <v>2013.0</v>
      </c>
      <c r="AK1310" s="1" t="s">
        <v>213</v>
      </c>
    </row>
    <row r="1311">
      <c r="A1311" s="1" t="s">
        <v>2772</v>
      </c>
      <c r="B1311" s="1" t="s">
        <v>2772</v>
      </c>
      <c r="C1311" s="1" t="s">
        <v>207</v>
      </c>
      <c r="E1311" s="1">
        <v>2.67163955E9</v>
      </c>
      <c r="F1311" s="2">
        <v>41183.0</v>
      </c>
      <c r="G1311" s="1" t="s">
        <v>2773</v>
      </c>
      <c r="I1311" s="1" t="s">
        <v>2773</v>
      </c>
      <c r="L1311" s="1" t="s">
        <v>40</v>
      </c>
      <c r="M1311" s="1">
        <v>7500.0</v>
      </c>
      <c r="N1311" s="1" t="s">
        <v>40</v>
      </c>
      <c r="O1311" s="1">
        <v>3.8775243E7</v>
      </c>
      <c r="P1311" s="1" t="s">
        <v>209</v>
      </c>
      <c r="Q1311" s="1" t="s">
        <v>210</v>
      </c>
      <c r="R1311" s="1" t="s">
        <v>211</v>
      </c>
      <c r="S1311" s="1" t="s">
        <v>44</v>
      </c>
      <c r="T1311" s="1" t="s">
        <v>45</v>
      </c>
      <c r="U1311" s="1">
        <v>4.82023068E8</v>
      </c>
      <c r="W1311" s="1" t="s">
        <v>46</v>
      </c>
      <c r="X1311" s="1" t="s">
        <v>45</v>
      </c>
      <c r="Y1311" s="1">
        <v>4.82023068E8</v>
      </c>
      <c r="Z1311" s="1">
        <v>3.8775243E7</v>
      </c>
      <c r="AA1311" s="1" t="s">
        <v>209</v>
      </c>
      <c r="AB1311" s="1">
        <v>12603.25</v>
      </c>
      <c r="AC1311" s="2">
        <v>41183.0</v>
      </c>
      <c r="AD1311" s="1">
        <v>7500.0</v>
      </c>
      <c r="AE1311" s="1" t="s">
        <v>40</v>
      </c>
      <c r="AF1311" s="1">
        <v>2.0131081E7</v>
      </c>
      <c r="AG1311" s="1" t="s">
        <v>212</v>
      </c>
      <c r="AH1311" s="1">
        <v>10.0</v>
      </c>
      <c r="AI1311" s="1">
        <v>2012.0</v>
      </c>
      <c r="AJ1311" s="1">
        <v>2013.0</v>
      </c>
      <c r="AK1311" s="1" t="s">
        <v>213</v>
      </c>
    </row>
    <row r="1312">
      <c r="A1312" s="1" t="s">
        <v>2772</v>
      </c>
      <c r="B1312" s="1" t="s">
        <v>2772</v>
      </c>
      <c r="C1312" s="1" t="s">
        <v>207</v>
      </c>
      <c r="E1312" s="1">
        <v>2.67163955E9</v>
      </c>
      <c r="F1312" s="2">
        <v>41183.0</v>
      </c>
      <c r="G1312" s="1" t="s">
        <v>2773</v>
      </c>
      <c r="I1312" s="1" t="s">
        <v>2773</v>
      </c>
      <c r="L1312" s="1" t="s">
        <v>40</v>
      </c>
      <c r="M1312" s="1">
        <v>7500.0</v>
      </c>
      <c r="N1312" s="1" t="s">
        <v>40</v>
      </c>
      <c r="O1312" s="1">
        <v>7.3134884E7</v>
      </c>
      <c r="P1312" s="1" t="s">
        <v>259</v>
      </c>
      <c r="Q1312" s="1" t="s">
        <v>2077</v>
      </c>
      <c r="R1312" s="1" t="s">
        <v>286</v>
      </c>
      <c r="S1312" s="1" t="s">
        <v>44</v>
      </c>
      <c r="T1312" s="1" t="s">
        <v>45</v>
      </c>
      <c r="U1312" s="1">
        <v>4.82262841E8</v>
      </c>
      <c r="W1312" s="1" t="s">
        <v>46</v>
      </c>
      <c r="X1312" s="1" t="s">
        <v>45</v>
      </c>
      <c r="Y1312" s="1">
        <v>4.8226348E8</v>
      </c>
      <c r="Z1312" s="1">
        <v>7.3134884E7</v>
      </c>
      <c r="AA1312" s="1" t="s">
        <v>1796</v>
      </c>
      <c r="AB1312" s="1">
        <v>410870.1</v>
      </c>
      <c r="AC1312" s="2">
        <v>41183.0</v>
      </c>
      <c r="AD1312" s="1">
        <v>7500.0</v>
      </c>
      <c r="AE1312" s="1" t="s">
        <v>40</v>
      </c>
      <c r="AF1312" s="1">
        <v>2.0131302E7</v>
      </c>
      <c r="AG1312" s="1" t="s">
        <v>212</v>
      </c>
      <c r="AH1312" s="1">
        <v>10.0</v>
      </c>
      <c r="AI1312" s="1">
        <v>2012.0</v>
      </c>
      <c r="AJ1312" s="1">
        <v>2013.0</v>
      </c>
      <c r="AK1312" s="1" t="s">
        <v>213</v>
      </c>
    </row>
    <row r="1313">
      <c r="A1313" s="1" t="s">
        <v>2772</v>
      </c>
      <c r="B1313" s="1" t="s">
        <v>2772</v>
      </c>
      <c r="C1313" s="1" t="s">
        <v>207</v>
      </c>
      <c r="E1313" s="1">
        <v>2.67163955E9</v>
      </c>
      <c r="F1313" s="2">
        <v>41183.0</v>
      </c>
      <c r="G1313" s="1" t="s">
        <v>2773</v>
      </c>
      <c r="I1313" s="1" t="s">
        <v>2773</v>
      </c>
      <c r="L1313" s="1" t="s">
        <v>40</v>
      </c>
      <c r="M1313" s="1">
        <v>7500.0</v>
      </c>
      <c r="N1313" s="1" t="s">
        <v>40</v>
      </c>
      <c r="O1313" s="1">
        <v>8.09204196E8</v>
      </c>
      <c r="P1313" s="1" t="s">
        <v>175</v>
      </c>
      <c r="Q1313" s="1" t="s">
        <v>2775</v>
      </c>
      <c r="R1313" s="1" t="s">
        <v>2078</v>
      </c>
      <c r="S1313" s="1" t="s">
        <v>44</v>
      </c>
      <c r="T1313" s="1" t="s">
        <v>45</v>
      </c>
      <c r="U1313" s="1">
        <v>4.82023026E8</v>
      </c>
      <c r="W1313" s="1" t="s">
        <v>46</v>
      </c>
      <c r="X1313" s="1" t="s">
        <v>45</v>
      </c>
      <c r="Y1313" s="1">
        <v>4.82023025E8</v>
      </c>
      <c r="Z1313" s="1">
        <v>8.09204196E8</v>
      </c>
      <c r="AA1313" s="1" t="s">
        <v>175</v>
      </c>
      <c r="AB1313" s="1">
        <v>157655.5</v>
      </c>
      <c r="AC1313" s="2">
        <v>41183.0</v>
      </c>
      <c r="AD1313" s="1">
        <v>7500.0</v>
      </c>
      <c r="AE1313" s="1" t="s">
        <v>40</v>
      </c>
      <c r="AF1313" s="1">
        <v>2.0131444E7</v>
      </c>
      <c r="AG1313" s="1" t="s">
        <v>212</v>
      </c>
      <c r="AH1313" s="1">
        <v>10.0</v>
      </c>
      <c r="AI1313" s="1">
        <v>2012.0</v>
      </c>
      <c r="AJ1313" s="1">
        <v>2013.0</v>
      </c>
      <c r="AK1313" s="1" t="s">
        <v>213</v>
      </c>
    </row>
    <row r="1314">
      <c r="A1314" s="1" t="s">
        <v>2772</v>
      </c>
      <c r="B1314" s="1" t="s">
        <v>2772</v>
      </c>
      <c r="C1314" s="1" t="s">
        <v>207</v>
      </c>
      <c r="E1314" s="1">
        <v>2.67163955E9</v>
      </c>
      <c r="F1314" s="2">
        <v>41183.0</v>
      </c>
      <c r="G1314" s="1" t="s">
        <v>2773</v>
      </c>
      <c r="I1314" s="1" t="s">
        <v>2773</v>
      </c>
      <c r="L1314" s="1" t="s">
        <v>40</v>
      </c>
      <c r="M1314" s="1">
        <v>7500.0</v>
      </c>
      <c r="N1314" s="1" t="s">
        <v>40</v>
      </c>
      <c r="O1314" s="1">
        <v>7.8583404E7</v>
      </c>
      <c r="P1314" s="1" t="s">
        <v>65</v>
      </c>
      <c r="Q1314" s="1" t="s">
        <v>2014</v>
      </c>
      <c r="R1314" s="1" t="s">
        <v>1573</v>
      </c>
      <c r="S1314" s="1" t="s">
        <v>44</v>
      </c>
      <c r="T1314" s="1" t="s">
        <v>45</v>
      </c>
      <c r="U1314" s="1">
        <v>4.8207311E8</v>
      </c>
      <c r="W1314" s="1" t="s">
        <v>46</v>
      </c>
      <c r="X1314" s="1" t="s">
        <v>45</v>
      </c>
      <c r="Y1314" s="1">
        <v>4.82021732E8</v>
      </c>
      <c r="Z1314" s="1">
        <v>8.6183175E7</v>
      </c>
      <c r="AA1314" s="1" t="s">
        <v>2776</v>
      </c>
      <c r="AB1314" s="1">
        <v>100785.0</v>
      </c>
      <c r="AC1314" s="2">
        <v>41183.0</v>
      </c>
      <c r="AD1314" s="1">
        <v>7500.0</v>
      </c>
      <c r="AE1314" s="1" t="s">
        <v>40</v>
      </c>
      <c r="AF1314" s="1">
        <v>2.01304E7</v>
      </c>
      <c r="AG1314" s="1" t="s">
        <v>212</v>
      </c>
      <c r="AH1314" s="1">
        <v>10.0</v>
      </c>
      <c r="AI1314" s="1">
        <v>2012.0</v>
      </c>
      <c r="AJ1314" s="1">
        <v>2013.0</v>
      </c>
      <c r="AK1314" s="1" t="s">
        <v>213</v>
      </c>
    </row>
    <row r="1315">
      <c r="A1315" s="1" t="s">
        <v>2755</v>
      </c>
      <c r="B1315" s="1" t="s">
        <v>2755</v>
      </c>
      <c r="C1315" s="1" t="s">
        <v>38</v>
      </c>
      <c r="E1315" s="1">
        <v>9586194.0</v>
      </c>
      <c r="F1315" s="2">
        <v>41879.0</v>
      </c>
      <c r="G1315" s="1" t="s">
        <v>2756</v>
      </c>
      <c r="I1315" s="1" t="s">
        <v>2756</v>
      </c>
      <c r="L1315" s="1" t="s">
        <v>40</v>
      </c>
      <c r="M1315" s="1">
        <v>7500.0</v>
      </c>
      <c r="N1315" s="1" t="s">
        <v>40</v>
      </c>
      <c r="O1315" s="1">
        <v>1962224.0</v>
      </c>
      <c r="P1315" s="1" t="s">
        <v>52</v>
      </c>
      <c r="R1315" s="1" t="s">
        <v>53</v>
      </c>
      <c r="S1315" s="1" t="s">
        <v>44</v>
      </c>
      <c r="T1315" s="1" t="s">
        <v>45</v>
      </c>
      <c r="U1315" s="1">
        <v>4.82023692E8</v>
      </c>
      <c r="W1315" s="1" t="s">
        <v>46</v>
      </c>
      <c r="X1315" s="1" t="s">
        <v>45</v>
      </c>
      <c r="Y1315" s="1">
        <v>4.8202405E8</v>
      </c>
      <c r="Z1315" s="1">
        <v>1962224.0</v>
      </c>
      <c r="AA1315" s="1" t="s">
        <v>52</v>
      </c>
      <c r="AB1315" s="1">
        <v>1166373.0</v>
      </c>
      <c r="AC1315" s="2">
        <v>41879.0</v>
      </c>
      <c r="AD1315" s="1">
        <v>7500.0</v>
      </c>
      <c r="AE1315" s="1" t="s">
        <v>40</v>
      </c>
      <c r="AF1315" s="1">
        <v>1.53405504E8</v>
      </c>
      <c r="AG1315" s="1" t="s">
        <v>2757</v>
      </c>
      <c r="AH1315" s="1">
        <v>11.0</v>
      </c>
      <c r="AI1315" s="1">
        <v>2014.0</v>
      </c>
      <c r="AJ1315" s="1">
        <v>2014.0</v>
      </c>
      <c r="AK1315" s="1" t="s">
        <v>202</v>
      </c>
    </row>
    <row r="1316">
      <c r="A1316" s="1" t="s">
        <v>2777</v>
      </c>
      <c r="B1316" s="1" t="s">
        <v>2777</v>
      </c>
      <c r="C1316" s="1" t="s">
        <v>38</v>
      </c>
      <c r="E1316" s="1">
        <v>1242356.0</v>
      </c>
      <c r="F1316" s="2">
        <v>41932.0</v>
      </c>
      <c r="G1316" s="1" t="s">
        <v>2778</v>
      </c>
      <c r="I1316" s="1" t="s">
        <v>2778</v>
      </c>
      <c r="L1316" s="1" t="s">
        <v>40</v>
      </c>
      <c r="M1316" s="1">
        <v>7500.0</v>
      </c>
      <c r="N1316" s="1" t="s">
        <v>40</v>
      </c>
      <c r="O1316" s="1">
        <v>1962224.0</v>
      </c>
      <c r="P1316" s="1" t="s">
        <v>52</v>
      </c>
      <c r="R1316" s="1" t="s">
        <v>53</v>
      </c>
      <c r="S1316" s="1" t="s">
        <v>44</v>
      </c>
      <c r="T1316" s="1" t="s">
        <v>45</v>
      </c>
      <c r="U1316" s="1">
        <v>4.82023692E8</v>
      </c>
      <c r="W1316" s="1" t="s">
        <v>46</v>
      </c>
      <c r="X1316" s="1" t="s">
        <v>45</v>
      </c>
      <c r="Y1316" s="1">
        <v>4.8202405E8</v>
      </c>
      <c r="Z1316" s="1">
        <v>1962224.0</v>
      </c>
      <c r="AA1316" s="1" t="s">
        <v>52</v>
      </c>
      <c r="AB1316" s="1">
        <v>368143.0</v>
      </c>
      <c r="AC1316" s="2">
        <v>41932.0</v>
      </c>
      <c r="AD1316" s="1">
        <v>7500.0</v>
      </c>
      <c r="AE1316" s="1" t="s">
        <v>40</v>
      </c>
      <c r="AF1316" s="1">
        <v>8065.0</v>
      </c>
      <c r="AG1316" s="1" t="s">
        <v>2779</v>
      </c>
      <c r="AH1316" s="1">
        <v>10.0</v>
      </c>
      <c r="AI1316" s="1">
        <v>2014.0</v>
      </c>
      <c r="AJ1316" s="1">
        <v>2015.0</v>
      </c>
      <c r="AK1316" s="1" t="s">
        <v>2780</v>
      </c>
    </row>
    <row r="1317">
      <c r="A1317" s="1" t="s">
        <v>2781</v>
      </c>
      <c r="B1317" s="1" t="s">
        <v>2781</v>
      </c>
      <c r="C1317" s="1" t="s">
        <v>129</v>
      </c>
      <c r="E1317" s="1">
        <v>1.0306387E7</v>
      </c>
      <c r="F1317" s="2">
        <v>41913.0</v>
      </c>
      <c r="G1317" s="1" t="s">
        <v>2782</v>
      </c>
      <c r="I1317" s="1" t="s">
        <v>2782</v>
      </c>
      <c r="L1317" s="1" t="s">
        <v>40</v>
      </c>
      <c r="M1317" s="1">
        <v>7500.0</v>
      </c>
      <c r="N1317" s="1" t="s">
        <v>40</v>
      </c>
      <c r="O1317" s="1">
        <v>6.9840817E7</v>
      </c>
      <c r="P1317" s="1" t="s">
        <v>131</v>
      </c>
      <c r="R1317" s="1" t="s">
        <v>132</v>
      </c>
      <c r="S1317" s="1" t="s">
        <v>44</v>
      </c>
      <c r="T1317" s="1" t="s">
        <v>45</v>
      </c>
      <c r="U1317" s="1">
        <v>4.8214261E8</v>
      </c>
      <c r="W1317" s="1" t="s">
        <v>44</v>
      </c>
      <c r="X1317" s="1" t="s">
        <v>45</v>
      </c>
      <c r="Y1317" s="1">
        <v>4.8214261E8</v>
      </c>
      <c r="Z1317" s="1">
        <v>6.9840817E7</v>
      </c>
      <c r="AA1317" s="1" t="s">
        <v>131</v>
      </c>
      <c r="AB1317" s="1">
        <v>95000.0</v>
      </c>
      <c r="AC1317" s="2">
        <v>41913.0</v>
      </c>
      <c r="AD1317" s="1">
        <v>7500.0</v>
      </c>
      <c r="AE1317" s="1" t="s">
        <v>40</v>
      </c>
      <c r="AF1317" s="1" t="s">
        <v>2783</v>
      </c>
      <c r="AG1317" s="1" t="s">
        <v>2784</v>
      </c>
      <c r="AH1317" s="1">
        <v>10.0</v>
      </c>
      <c r="AI1317" s="1">
        <v>2014.0</v>
      </c>
      <c r="AJ1317" s="1">
        <v>2015.0</v>
      </c>
      <c r="AK1317" s="1" t="s">
        <v>1873</v>
      </c>
    </row>
    <row r="1318">
      <c r="A1318" s="1" t="s">
        <v>2634</v>
      </c>
      <c r="B1318" s="1" t="s">
        <v>2634</v>
      </c>
      <c r="C1318" s="1" t="s">
        <v>63</v>
      </c>
      <c r="E1318" s="1">
        <v>2.0302352E7</v>
      </c>
      <c r="F1318" s="2">
        <v>41548.0</v>
      </c>
      <c r="G1318" s="1" t="s">
        <v>2635</v>
      </c>
      <c r="I1318" s="1" t="s">
        <v>2635</v>
      </c>
      <c r="L1318" s="1" t="s">
        <v>40</v>
      </c>
      <c r="M1318" s="1">
        <v>7500.0</v>
      </c>
      <c r="N1318" s="1" t="s">
        <v>40</v>
      </c>
      <c r="O1318" s="1">
        <v>7840122.0</v>
      </c>
      <c r="P1318" s="1" t="s">
        <v>1246</v>
      </c>
      <c r="Q1318" s="1" t="s">
        <v>2785</v>
      </c>
      <c r="R1318" s="1" t="s">
        <v>1247</v>
      </c>
      <c r="S1318" s="1" t="s">
        <v>44</v>
      </c>
      <c r="T1318" s="1" t="s">
        <v>45</v>
      </c>
      <c r="U1318" s="1">
        <v>4.8216194E8</v>
      </c>
      <c r="W1318" s="1" t="s">
        <v>46</v>
      </c>
      <c r="X1318" s="1" t="s">
        <v>45</v>
      </c>
      <c r="Y1318" s="1">
        <v>4.8216194E8</v>
      </c>
      <c r="Z1318" s="1">
        <v>1.41637368E8</v>
      </c>
      <c r="AA1318" s="1" t="s">
        <v>2786</v>
      </c>
      <c r="AB1318" s="1">
        <v>15000.0</v>
      </c>
      <c r="AC1318" s="2">
        <v>41548.0</v>
      </c>
      <c r="AD1318" s="1">
        <v>7500.0</v>
      </c>
      <c r="AE1318" s="1" t="s">
        <v>40</v>
      </c>
      <c r="AF1318" s="1">
        <v>2.0140326E7</v>
      </c>
      <c r="AG1318" s="1" t="s">
        <v>2638</v>
      </c>
      <c r="AH1318" s="1">
        <v>10.0</v>
      </c>
      <c r="AI1318" s="1">
        <v>2010.0</v>
      </c>
      <c r="AJ1318" s="1">
        <v>2014.0</v>
      </c>
      <c r="AK1318" s="1" t="s">
        <v>2639</v>
      </c>
    </row>
    <row r="1319">
      <c r="A1319" s="1" t="s">
        <v>2634</v>
      </c>
      <c r="B1319" s="1" t="s">
        <v>2634</v>
      </c>
      <c r="C1319" s="1" t="s">
        <v>63</v>
      </c>
      <c r="E1319" s="1">
        <v>2.0302352E7</v>
      </c>
      <c r="F1319" s="2">
        <v>41183.0</v>
      </c>
      <c r="G1319" s="1" t="s">
        <v>2635</v>
      </c>
      <c r="I1319" s="1" t="s">
        <v>2635</v>
      </c>
      <c r="L1319" s="1" t="s">
        <v>40</v>
      </c>
      <c r="M1319" s="1">
        <v>7500.0</v>
      </c>
      <c r="N1319" s="1" t="s">
        <v>40</v>
      </c>
      <c r="O1319" s="1">
        <v>7840122.0</v>
      </c>
      <c r="P1319" s="1" t="s">
        <v>1246</v>
      </c>
      <c r="Q1319" s="1" t="s">
        <v>2787</v>
      </c>
      <c r="R1319" s="1" t="s">
        <v>1247</v>
      </c>
      <c r="S1319" s="1" t="s">
        <v>44</v>
      </c>
      <c r="T1319" s="1" t="s">
        <v>45</v>
      </c>
      <c r="U1319" s="1">
        <v>4.8216194E8</v>
      </c>
      <c r="W1319" s="1" t="s">
        <v>46</v>
      </c>
      <c r="X1319" s="1" t="s">
        <v>45</v>
      </c>
      <c r="Y1319" s="1">
        <v>4.8216194E8</v>
      </c>
      <c r="Z1319" s="1">
        <v>6.05058478E8</v>
      </c>
      <c r="AA1319" s="1" t="s">
        <v>2788</v>
      </c>
      <c r="AB1319" s="1">
        <v>10000.0</v>
      </c>
      <c r="AC1319" s="2">
        <v>41183.0</v>
      </c>
      <c r="AD1319" s="1">
        <v>7500.0</v>
      </c>
      <c r="AE1319" s="1" t="s">
        <v>40</v>
      </c>
      <c r="AF1319" s="1">
        <v>2.0133073E7</v>
      </c>
      <c r="AG1319" s="1" t="s">
        <v>2638</v>
      </c>
      <c r="AH1319" s="1">
        <v>10.0</v>
      </c>
      <c r="AI1319" s="1">
        <v>2010.0</v>
      </c>
      <c r="AJ1319" s="1">
        <v>2013.0</v>
      </c>
      <c r="AK1319" s="1" t="s">
        <v>2639</v>
      </c>
    </row>
    <row r="1320">
      <c r="A1320" s="1" t="s">
        <v>2789</v>
      </c>
      <c r="B1320" s="1" t="s">
        <v>2789</v>
      </c>
      <c r="C1320" s="1" t="s">
        <v>207</v>
      </c>
      <c r="E1320" s="1">
        <v>2.11124045E9</v>
      </c>
      <c r="F1320" s="2">
        <v>41183.0</v>
      </c>
      <c r="G1320" s="1" t="s">
        <v>2790</v>
      </c>
      <c r="I1320" s="1" t="s">
        <v>2790</v>
      </c>
      <c r="L1320" s="1" t="s">
        <v>40</v>
      </c>
      <c r="M1320" s="1">
        <v>7500.0</v>
      </c>
      <c r="N1320" s="1" t="s">
        <v>40</v>
      </c>
      <c r="O1320" s="1">
        <v>3.8775243E7</v>
      </c>
      <c r="P1320" s="1" t="s">
        <v>209</v>
      </c>
      <c r="Q1320" s="1" t="s">
        <v>210</v>
      </c>
      <c r="R1320" s="1" t="s">
        <v>211</v>
      </c>
      <c r="S1320" s="1" t="s">
        <v>44</v>
      </c>
      <c r="T1320" s="1" t="s">
        <v>45</v>
      </c>
      <c r="U1320" s="1">
        <v>4.82023068E8</v>
      </c>
      <c r="W1320" s="1" t="s">
        <v>46</v>
      </c>
      <c r="X1320" s="1" t="s">
        <v>45</v>
      </c>
      <c r="Y1320" s="1">
        <v>4.82023068E8</v>
      </c>
      <c r="Z1320" s="1">
        <v>3.8775243E7</v>
      </c>
      <c r="AA1320" s="1" t="s">
        <v>209</v>
      </c>
      <c r="AB1320" s="1">
        <v>22521.0</v>
      </c>
      <c r="AC1320" s="2">
        <v>41183.0</v>
      </c>
      <c r="AD1320" s="1">
        <v>7500.0</v>
      </c>
      <c r="AE1320" s="1" t="s">
        <v>40</v>
      </c>
      <c r="AF1320" s="1">
        <v>2.0131085E7</v>
      </c>
      <c r="AG1320" s="1" t="s">
        <v>212</v>
      </c>
      <c r="AH1320" s="1">
        <v>10.0</v>
      </c>
      <c r="AI1320" s="1">
        <v>2012.0</v>
      </c>
      <c r="AJ1320" s="1">
        <v>2013.0</v>
      </c>
      <c r="AK1320" s="1" t="s">
        <v>213</v>
      </c>
    </row>
    <row r="1321">
      <c r="A1321" s="1" t="s">
        <v>2789</v>
      </c>
      <c r="B1321" s="1" t="s">
        <v>2789</v>
      </c>
      <c r="C1321" s="1" t="s">
        <v>207</v>
      </c>
      <c r="E1321" s="1">
        <v>2.11124045E9</v>
      </c>
      <c r="F1321" s="2">
        <v>41183.0</v>
      </c>
      <c r="G1321" s="1" t="s">
        <v>2790</v>
      </c>
      <c r="I1321" s="1" t="s">
        <v>2790</v>
      </c>
      <c r="L1321" s="1" t="s">
        <v>40</v>
      </c>
      <c r="M1321" s="1">
        <v>7500.0</v>
      </c>
      <c r="N1321" s="1" t="s">
        <v>40</v>
      </c>
      <c r="O1321" s="1">
        <v>3.8775243E7</v>
      </c>
      <c r="P1321" s="1" t="s">
        <v>209</v>
      </c>
      <c r="Q1321" s="1" t="s">
        <v>210</v>
      </c>
      <c r="R1321" s="1" t="s">
        <v>211</v>
      </c>
      <c r="S1321" s="1" t="s">
        <v>44</v>
      </c>
      <c r="T1321" s="1" t="s">
        <v>45</v>
      </c>
      <c r="U1321" s="1">
        <v>4.82023068E8</v>
      </c>
      <c r="W1321" s="1" t="s">
        <v>46</v>
      </c>
      <c r="X1321" s="1" t="s">
        <v>45</v>
      </c>
      <c r="Y1321" s="1">
        <v>4.82023068E8</v>
      </c>
      <c r="Z1321" s="1">
        <v>3.8775243E7</v>
      </c>
      <c r="AA1321" s="1" t="s">
        <v>209</v>
      </c>
      <c r="AB1321" s="1">
        <v>12603.25</v>
      </c>
      <c r="AC1321" s="2">
        <v>41183.0</v>
      </c>
      <c r="AD1321" s="1">
        <v>7500.0</v>
      </c>
      <c r="AE1321" s="1" t="s">
        <v>40</v>
      </c>
      <c r="AF1321" s="1">
        <v>2.0131081E7</v>
      </c>
      <c r="AG1321" s="1" t="s">
        <v>212</v>
      </c>
      <c r="AH1321" s="1">
        <v>10.0</v>
      </c>
      <c r="AI1321" s="1">
        <v>2012.0</v>
      </c>
      <c r="AJ1321" s="1">
        <v>2013.0</v>
      </c>
      <c r="AK1321" s="1" t="s">
        <v>213</v>
      </c>
    </row>
    <row r="1322">
      <c r="A1322" s="1" t="s">
        <v>2789</v>
      </c>
      <c r="B1322" s="1" t="s">
        <v>2789</v>
      </c>
      <c r="C1322" s="1" t="s">
        <v>207</v>
      </c>
      <c r="E1322" s="1">
        <v>2.11124045E9</v>
      </c>
      <c r="F1322" s="2">
        <v>41183.0</v>
      </c>
      <c r="G1322" s="1" t="s">
        <v>2790</v>
      </c>
      <c r="I1322" s="1" t="s">
        <v>2790</v>
      </c>
      <c r="L1322" s="1" t="s">
        <v>40</v>
      </c>
      <c r="M1322" s="1">
        <v>7500.0</v>
      </c>
      <c r="N1322" s="1" t="s">
        <v>40</v>
      </c>
      <c r="O1322" s="1">
        <v>3.8775243E7</v>
      </c>
      <c r="P1322" s="1" t="s">
        <v>209</v>
      </c>
      <c r="Q1322" s="1" t="s">
        <v>210</v>
      </c>
      <c r="R1322" s="1" t="s">
        <v>211</v>
      </c>
      <c r="S1322" s="1" t="s">
        <v>44</v>
      </c>
      <c r="T1322" s="1" t="s">
        <v>45</v>
      </c>
      <c r="U1322" s="1">
        <v>4.82023068E8</v>
      </c>
      <c r="W1322" s="1" t="s">
        <v>46</v>
      </c>
      <c r="X1322" s="1" t="s">
        <v>45</v>
      </c>
      <c r="Y1322" s="1">
        <v>4.82023068E8</v>
      </c>
      <c r="Z1322" s="1">
        <v>3.8775243E7</v>
      </c>
      <c r="AA1322" s="1" t="s">
        <v>209</v>
      </c>
      <c r="AB1322" s="1">
        <v>11056.5</v>
      </c>
      <c r="AC1322" s="2">
        <v>41183.0</v>
      </c>
      <c r="AD1322" s="1">
        <v>7500.0</v>
      </c>
      <c r="AE1322" s="1" t="s">
        <v>40</v>
      </c>
      <c r="AF1322" s="1">
        <v>2.0131257E7</v>
      </c>
      <c r="AG1322" s="1" t="s">
        <v>212</v>
      </c>
      <c r="AH1322" s="1">
        <v>10.0</v>
      </c>
      <c r="AI1322" s="1">
        <v>2012.0</v>
      </c>
      <c r="AJ1322" s="1">
        <v>2013.0</v>
      </c>
      <c r="AK1322" s="1" t="s">
        <v>213</v>
      </c>
    </row>
    <row r="1323">
      <c r="A1323" s="1" t="s">
        <v>2791</v>
      </c>
      <c r="B1323" s="1" t="s">
        <v>2791</v>
      </c>
      <c r="C1323" s="1" t="s">
        <v>1281</v>
      </c>
      <c r="E1323" s="1">
        <v>637568.0</v>
      </c>
      <c r="F1323" s="2">
        <v>41852.0</v>
      </c>
      <c r="G1323" s="1" t="s">
        <v>2792</v>
      </c>
      <c r="I1323" s="1" t="s">
        <v>2792</v>
      </c>
      <c r="L1323" s="1" t="s">
        <v>1281</v>
      </c>
      <c r="M1323" s="1">
        <v>9577.0</v>
      </c>
      <c r="N1323" s="1" t="s">
        <v>1281</v>
      </c>
      <c r="O1323" s="1">
        <v>1.5900083E8</v>
      </c>
      <c r="P1323" s="1" t="s">
        <v>1292</v>
      </c>
      <c r="R1323" s="1" t="s">
        <v>1293</v>
      </c>
      <c r="S1323" s="1" t="s">
        <v>44</v>
      </c>
      <c r="T1323" s="1" t="s">
        <v>45</v>
      </c>
      <c r="U1323" s="1">
        <v>4.82022715E8</v>
      </c>
      <c r="W1323" s="1" t="s">
        <v>44</v>
      </c>
      <c r="X1323" s="1" t="s">
        <v>45</v>
      </c>
      <c r="Y1323" s="1">
        <v>4.82022715E8</v>
      </c>
      <c r="AB1323" s="1">
        <v>315566.0</v>
      </c>
      <c r="AC1323" s="2">
        <v>41852.0</v>
      </c>
      <c r="AD1323" s="1">
        <v>9577.0</v>
      </c>
      <c r="AE1323" s="1" t="s">
        <v>1281</v>
      </c>
      <c r="AF1323" s="1" t="s">
        <v>2793</v>
      </c>
      <c r="AG1323" s="1" t="s">
        <v>2794</v>
      </c>
      <c r="AH1323" s="1">
        <v>10.0</v>
      </c>
      <c r="AI1323" s="1">
        <v>2014.0</v>
      </c>
      <c r="AJ1323" s="1">
        <v>2014.0</v>
      </c>
      <c r="AK1323" s="1" t="s">
        <v>1301</v>
      </c>
    </row>
    <row r="1324">
      <c r="A1324" s="1" t="s">
        <v>206</v>
      </c>
      <c r="B1324" s="1" t="s">
        <v>206</v>
      </c>
      <c r="C1324" s="1" t="s">
        <v>207</v>
      </c>
      <c r="E1324" s="1">
        <v>2.02101094E9</v>
      </c>
      <c r="F1324" s="2">
        <v>41183.0</v>
      </c>
      <c r="G1324" s="1" t="s">
        <v>208</v>
      </c>
      <c r="I1324" s="1" t="s">
        <v>208</v>
      </c>
      <c r="L1324" s="1" t="s">
        <v>40</v>
      </c>
      <c r="M1324" s="1">
        <v>7500.0</v>
      </c>
      <c r="N1324" s="1" t="s">
        <v>40</v>
      </c>
      <c r="O1324" s="1">
        <v>7.92267549E8</v>
      </c>
      <c r="P1324" s="1" t="s">
        <v>41</v>
      </c>
      <c r="Q1324" s="1" t="s">
        <v>2769</v>
      </c>
      <c r="R1324" s="1" t="s">
        <v>2770</v>
      </c>
      <c r="S1324" s="1" t="s">
        <v>44</v>
      </c>
      <c r="T1324" s="1" t="s">
        <v>45</v>
      </c>
      <c r="U1324" s="1">
        <v>4.82353296E8</v>
      </c>
      <c r="W1324" s="1" t="s">
        <v>46</v>
      </c>
      <c r="X1324" s="1" t="s">
        <v>45</v>
      </c>
      <c r="Y1324" s="1">
        <v>4.82353456E8</v>
      </c>
      <c r="Z1324" s="1">
        <v>7.3134603E7</v>
      </c>
      <c r="AA1324" s="1" t="s">
        <v>41</v>
      </c>
      <c r="AB1324" s="1">
        <v>1493775.0</v>
      </c>
      <c r="AC1324" s="2">
        <v>41183.0</v>
      </c>
      <c r="AD1324" s="1">
        <v>7500.0</v>
      </c>
      <c r="AE1324" s="1" t="s">
        <v>40</v>
      </c>
      <c r="AF1324" s="1">
        <v>2.0130336E7</v>
      </c>
      <c r="AG1324" s="1" t="s">
        <v>2771</v>
      </c>
      <c r="AH1324" s="1">
        <v>10.0</v>
      </c>
      <c r="AI1324" s="1">
        <v>2012.0</v>
      </c>
      <c r="AJ1324" s="1">
        <v>2013.0</v>
      </c>
      <c r="AK1324" s="1" t="s">
        <v>213</v>
      </c>
    </row>
    <row r="1325">
      <c r="A1325" s="1" t="s">
        <v>206</v>
      </c>
      <c r="B1325" s="1" t="s">
        <v>206</v>
      </c>
      <c r="C1325" s="1" t="s">
        <v>207</v>
      </c>
      <c r="E1325" s="1">
        <v>2.02101094E9</v>
      </c>
      <c r="F1325" s="2">
        <v>41183.0</v>
      </c>
      <c r="G1325" s="1" t="s">
        <v>208</v>
      </c>
      <c r="I1325" s="1" t="s">
        <v>208</v>
      </c>
      <c r="L1325" s="1" t="s">
        <v>40</v>
      </c>
      <c r="M1325" s="1">
        <v>7500.0</v>
      </c>
      <c r="N1325" s="1" t="s">
        <v>40</v>
      </c>
      <c r="O1325" s="1">
        <v>3.8775243E7</v>
      </c>
      <c r="P1325" s="1" t="s">
        <v>209</v>
      </c>
      <c r="Q1325" s="1" t="s">
        <v>210</v>
      </c>
      <c r="R1325" s="1" t="s">
        <v>211</v>
      </c>
      <c r="S1325" s="1" t="s">
        <v>44</v>
      </c>
      <c r="T1325" s="1" t="s">
        <v>45</v>
      </c>
      <c r="U1325" s="1">
        <v>4.82023068E8</v>
      </c>
      <c r="W1325" s="1" t="s">
        <v>46</v>
      </c>
      <c r="X1325" s="1" t="s">
        <v>45</v>
      </c>
      <c r="Y1325" s="1">
        <v>4.82023068E8</v>
      </c>
      <c r="Z1325" s="1">
        <v>3.8775243E7</v>
      </c>
      <c r="AA1325" s="1" t="s">
        <v>209</v>
      </c>
      <c r="AB1325" s="1">
        <v>3749.99</v>
      </c>
      <c r="AC1325" s="2">
        <v>41183.0</v>
      </c>
      <c r="AD1325" s="1">
        <v>7500.0</v>
      </c>
      <c r="AE1325" s="1" t="s">
        <v>40</v>
      </c>
      <c r="AF1325" s="1">
        <v>2.0133941E7</v>
      </c>
      <c r="AG1325" s="1" t="s">
        <v>212</v>
      </c>
      <c r="AH1325" s="1">
        <v>10.0</v>
      </c>
      <c r="AI1325" s="1">
        <v>2012.0</v>
      </c>
      <c r="AJ1325" s="1">
        <v>2013.0</v>
      </c>
      <c r="AK1325" s="1" t="s">
        <v>213</v>
      </c>
    </row>
    <row r="1326">
      <c r="A1326" s="1" t="s">
        <v>206</v>
      </c>
      <c r="B1326" s="1" t="s">
        <v>206</v>
      </c>
      <c r="C1326" s="1" t="s">
        <v>207</v>
      </c>
      <c r="E1326" s="1">
        <v>2.02101094E9</v>
      </c>
      <c r="F1326" s="2">
        <v>41183.0</v>
      </c>
      <c r="G1326" s="1" t="s">
        <v>208</v>
      </c>
      <c r="I1326" s="1" t="s">
        <v>208</v>
      </c>
      <c r="L1326" s="1" t="s">
        <v>40</v>
      </c>
      <c r="M1326" s="1">
        <v>7500.0</v>
      </c>
      <c r="N1326" s="1" t="s">
        <v>40</v>
      </c>
      <c r="O1326" s="1">
        <v>3.8775243E7</v>
      </c>
      <c r="P1326" s="1" t="s">
        <v>209</v>
      </c>
      <c r="Q1326" s="1" t="s">
        <v>210</v>
      </c>
      <c r="R1326" s="1" t="s">
        <v>211</v>
      </c>
      <c r="S1326" s="1" t="s">
        <v>44</v>
      </c>
      <c r="T1326" s="1" t="s">
        <v>45</v>
      </c>
      <c r="U1326" s="1">
        <v>4.82023068E8</v>
      </c>
      <c r="W1326" s="1" t="s">
        <v>46</v>
      </c>
      <c r="X1326" s="1" t="s">
        <v>45</v>
      </c>
      <c r="Y1326" s="1">
        <v>4.82023068E8</v>
      </c>
      <c r="Z1326" s="1">
        <v>3.8775243E7</v>
      </c>
      <c r="AA1326" s="1" t="s">
        <v>209</v>
      </c>
      <c r="AB1326" s="1">
        <v>26013.75</v>
      </c>
      <c r="AC1326" s="2">
        <v>41183.0</v>
      </c>
      <c r="AD1326" s="1">
        <v>7500.0</v>
      </c>
      <c r="AE1326" s="1" t="s">
        <v>40</v>
      </c>
      <c r="AF1326" s="1">
        <v>2.0131095E7</v>
      </c>
      <c r="AG1326" s="1" t="s">
        <v>212</v>
      </c>
      <c r="AH1326" s="1">
        <v>10.0</v>
      </c>
      <c r="AI1326" s="1">
        <v>2012.0</v>
      </c>
      <c r="AJ1326" s="1">
        <v>2013.0</v>
      </c>
      <c r="AK1326" s="1" t="s">
        <v>213</v>
      </c>
    </row>
    <row r="1327">
      <c r="A1327" s="1" t="s">
        <v>206</v>
      </c>
      <c r="B1327" s="1" t="s">
        <v>206</v>
      </c>
      <c r="C1327" s="1" t="s">
        <v>207</v>
      </c>
      <c r="E1327" s="1">
        <v>2.02101094E9</v>
      </c>
      <c r="F1327" s="2">
        <v>41183.0</v>
      </c>
      <c r="G1327" s="1" t="s">
        <v>208</v>
      </c>
      <c r="I1327" s="1" t="s">
        <v>208</v>
      </c>
      <c r="L1327" s="1" t="s">
        <v>40</v>
      </c>
      <c r="M1327" s="1">
        <v>7500.0</v>
      </c>
      <c r="N1327" s="1" t="s">
        <v>40</v>
      </c>
      <c r="O1327" s="1">
        <v>8.09204196E8</v>
      </c>
      <c r="P1327" s="1" t="s">
        <v>175</v>
      </c>
      <c r="Q1327" s="1" t="s">
        <v>2775</v>
      </c>
      <c r="R1327" s="1" t="s">
        <v>2078</v>
      </c>
      <c r="S1327" s="1" t="s">
        <v>44</v>
      </c>
      <c r="T1327" s="1" t="s">
        <v>45</v>
      </c>
      <c r="U1327" s="1">
        <v>4.82023026E8</v>
      </c>
      <c r="W1327" s="1" t="s">
        <v>46</v>
      </c>
      <c r="X1327" s="1" t="s">
        <v>45</v>
      </c>
      <c r="Y1327" s="1">
        <v>4.82023025E8</v>
      </c>
      <c r="Z1327" s="1">
        <v>8.09204196E8</v>
      </c>
      <c r="AA1327" s="1" t="s">
        <v>175</v>
      </c>
      <c r="AB1327" s="1">
        <v>157655.5</v>
      </c>
      <c r="AC1327" s="2">
        <v>41183.0</v>
      </c>
      <c r="AD1327" s="1">
        <v>7500.0</v>
      </c>
      <c r="AE1327" s="1" t="s">
        <v>40</v>
      </c>
      <c r="AF1327" s="1">
        <v>2.0131444E7</v>
      </c>
      <c r="AG1327" s="1" t="s">
        <v>212</v>
      </c>
      <c r="AH1327" s="1">
        <v>10.0</v>
      </c>
      <c r="AI1327" s="1">
        <v>2012.0</v>
      </c>
      <c r="AJ1327" s="1">
        <v>2013.0</v>
      </c>
      <c r="AK1327" s="1" t="s">
        <v>213</v>
      </c>
    </row>
    <row r="1328">
      <c r="A1328" s="1" t="s">
        <v>1141</v>
      </c>
      <c r="B1328" s="1" t="s">
        <v>1141</v>
      </c>
      <c r="C1328" s="1" t="s">
        <v>38</v>
      </c>
      <c r="E1328" s="1">
        <v>842877.0</v>
      </c>
      <c r="F1328" s="2">
        <v>41905.0</v>
      </c>
      <c r="G1328" s="1" t="s">
        <v>2795</v>
      </c>
      <c r="I1328" s="1" t="s">
        <v>2795</v>
      </c>
      <c r="L1328" s="1" t="s">
        <v>40</v>
      </c>
      <c r="M1328" s="1">
        <v>7500.0</v>
      </c>
      <c r="N1328" s="1" t="s">
        <v>40</v>
      </c>
      <c r="O1328" s="1">
        <v>1962224.0</v>
      </c>
      <c r="P1328" s="1" t="s">
        <v>52</v>
      </c>
      <c r="R1328" s="1" t="s">
        <v>1885</v>
      </c>
      <c r="S1328" s="1" t="s">
        <v>44</v>
      </c>
      <c r="T1328" s="1" t="s">
        <v>45</v>
      </c>
      <c r="U1328" s="1">
        <v>4.82021347E8</v>
      </c>
      <c r="W1328" s="1" t="s">
        <v>46</v>
      </c>
      <c r="X1328" s="1" t="s">
        <v>45</v>
      </c>
      <c r="Y1328" s="1">
        <v>4.82011405E8</v>
      </c>
      <c r="Z1328" s="1">
        <v>1962224.0</v>
      </c>
      <c r="AA1328" s="1" t="s">
        <v>52</v>
      </c>
      <c r="AB1328" s="1">
        <v>33086.0</v>
      </c>
      <c r="AC1328" s="2">
        <v>41905.0</v>
      </c>
      <c r="AD1328" s="1">
        <v>7500.0</v>
      </c>
      <c r="AE1328" s="1" t="s">
        <v>40</v>
      </c>
      <c r="AF1328" s="1" t="s">
        <v>1143</v>
      </c>
      <c r="AG1328" s="1" t="s">
        <v>1144</v>
      </c>
      <c r="AH1328" s="1">
        <v>10.0</v>
      </c>
      <c r="AI1328" s="1">
        <v>2014.0</v>
      </c>
      <c r="AJ1328" s="1">
        <v>2014.0</v>
      </c>
      <c r="AK1328" s="1" t="s">
        <v>1145</v>
      </c>
    </row>
    <row r="1329">
      <c r="A1329" s="1" t="s">
        <v>2640</v>
      </c>
      <c r="B1329" s="1" t="s">
        <v>2640</v>
      </c>
      <c r="C1329" s="1" t="s">
        <v>129</v>
      </c>
      <c r="E1329" s="1">
        <v>1.98133664E8</v>
      </c>
      <c r="F1329" s="2">
        <v>41913.0</v>
      </c>
      <c r="G1329" s="1" t="s">
        <v>2641</v>
      </c>
      <c r="I1329" s="1" t="s">
        <v>2641</v>
      </c>
      <c r="L1329" s="1" t="s">
        <v>40</v>
      </c>
      <c r="M1329" s="1">
        <v>7500.0</v>
      </c>
      <c r="N1329" s="1" t="s">
        <v>40</v>
      </c>
      <c r="O1329" s="1">
        <v>1.93540515E8</v>
      </c>
      <c r="P1329" s="1" t="s">
        <v>1022</v>
      </c>
      <c r="Q1329" s="1" t="s">
        <v>1330</v>
      </c>
      <c r="R1329" s="1" t="s">
        <v>1023</v>
      </c>
      <c r="S1329" s="1" t="s">
        <v>44</v>
      </c>
      <c r="T1329" s="1" t="s">
        <v>45</v>
      </c>
      <c r="U1329" s="1">
        <v>4.82193653E8</v>
      </c>
      <c r="W1329" s="1" t="s">
        <v>44</v>
      </c>
      <c r="X1329" s="1" t="s">
        <v>45</v>
      </c>
      <c r="Y1329" s="1">
        <v>4.82193653E8</v>
      </c>
      <c r="Z1329" s="1">
        <v>1.93540515E8</v>
      </c>
      <c r="AA1329" s="1" t="s">
        <v>1022</v>
      </c>
      <c r="AB1329" s="1">
        <v>41627.0</v>
      </c>
      <c r="AC1329" s="2">
        <v>41913.0</v>
      </c>
      <c r="AD1329" s="1">
        <v>7500.0</v>
      </c>
      <c r="AE1329" s="1" t="s">
        <v>40</v>
      </c>
      <c r="AF1329" s="1" t="s">
        <v>2796</v>
      </c>
      <c r="AG1329" s="1" t="s">
        <v>2797</v>
      </c>
      <c r="AH1329" s="1">
        <v>10.0</v>
      </c>
      <c r="AI1329" s="1">
        <v>2014.0</v>
      </c>
      <c r="AJ1329" s="1">
        <v>2015.0</v>
      </c>
      <c r="AK1329" s="1" t="s">
        <v>385</v>
      </c>
    </row>
    <row r="1330">
      <c r="A1330" s="1" t="s">
        <v>2640</v>
      </c>
      <c r="B1330" s="1" t="s">
        <v>2640</v>
      </c>
      <c r="C1330" s="1" t="s">
        <v>129</v>
      </c>
      <c r="E1330" s="1">
        <v>1.98133664E8</v>
      </c>
      <c r="F1330" s="2">
        <v>41913.0</v>
      </c>
      <c r="G1330" s="1" t="s">
        <v>2641</v>
      </c>
      <c r="I1330" s="1" t="s">
        <v>2641</v>
      </c>
      <c r="L1330" s="1" t="s">
        <v>40</v>
      </c>
      <c r="M1330" s="1">
        <v>7500.0</v>
      </c>
      <c r="N1330" s="1" t="s">
        <v>40</v>
      </c>
      <c r="O1330" s="1">
        <v>6.9840817E7</v>
      </c>
      <c r="P1330" s="1" t="s">
        <v>131</v>
      </c>
      <c r="R1330" s="1" t="s">
        <v>132</v>
      </c>
      <c r="S1330" s="1" t="s">
        <v>44</v>
      </c>
      <c r="T1330" s="1" t="s">
        <v>45</v>
      </c>
      <c r="U1330" s="1">
        <v>4.8214261E8</v>
      </c>
      <c r="W1330" s="1" t="s">
        <v>44</v>
      </c>
      <c r="X1330" s="1" t="s">
        <v>45</v>
      </c>
      <c r="Y1330" s="1">
        <v>4.8214261E8</v>
      </c>
      <c r="Z1330" s="1">
        <v>6.9840817E7</v>
      </c>
      <c r="AA1330" s="1" t="s">
        <v>131</v>
      </c>
      <c r="AB1330" s="1">
        <v>295701.0</v>
      </c>
      <c r="AC1330" s="2">
        <v>41913.0</v>
      </c>
      <c r="AD1330" s="1">
        <v>7500.0</v>
      </c>
      <c r="AE1330" s="1" t="s">
        <v>40</v>
      </c>
      <c r="AF1330" s="1" t="s">
        <v>2798</v>
      </c>
      <c r="AG1330" s="1" t="s">
        <v>2799</v>
      </c>
      <c r="AH1330" s="1">
        <v>10.0</v>
      </c>
      <c r="AI1330" s="1">
        <v>2014.0</v>
      </c>
      <c r="AJ1330" s="1">
        <v>2015.0</v>
      </c>
      <c r="AK1330" s="1" t="s">
        <v>385</v>
      </c>
    </row>
    <row r="1331">
      <c r="A1331" s="1" t="s">
        <v>2640</v>
      </c>
      <c r="B1331" s="1" t="s">
        <v>2640</v>
      </c>
      <c r="C1331" s="1" t="s">
        <v>129</v>
      </c>
      <c r="E1331" s="1">
        <v>1.98133664E8</v>
      </c>
      <c r="F1331" s="2">
        <v>41913.0</v>
      </c>
      <c r="G1331" s="1" t="s">
        <v>2641</v>
      </c>
      <c r="I1331" s="1" t="s">
        <v>2641</v>
      </c>
      <c r="L1331" s="1" t="s">
        <v>40</v>
      </c>
      <c r="M1331" s="1">
        <v>7500.0</v>
      </c>
      <c r="N1331" s="1" t="s">
        <v>40</v>
      </c>
      <c r="O1331" s="1">
        <v>6.9840817E7</v>
      </c>
      <c r="P1331" s="1" t="s">
        <v>131</v>
      </c>
      <c r="R1331" s="1" t="s">
        <v>132</v>
      </c>
      <c r="S1331" s="1" t="s">
        <v>44</v>
      </c>
      <c r="T1331" s="1" t="s">
        <v>45</v>
      </c>
      <c r="U1331" s="1">
        <v>4.8214261E8</v>
      </c>
      <c r="W1331" s="1" t="s">
        <v>44</v>
      </c>
      <c r="X1331" s="1" t="s">
        <v>45</v>
      </c>
      <c r="Y1331" s="1">
        <v>4.8214261E8</v>
      </c>
      <c r="Z1331" s="1">
        <v>6.9840817E7</v>
      </c>
      <c r="AA1331" s="1" t="s">
        <v>131</v>
      </c>
      <c r="AB1331" s="1">
        <v>456590.0</v>
      </c>
      <c r="AC1331" s="2">
        <v>41913.0</v>
      </c>
      <c r="AD1331" s="1">
        <v>7500.0</v>
      </c>
      <c r="AE1331" s="1" t="s">
        <v>40</v>
      </c>
      <c r="AF1331" s="1" t="s">
        <v>2800</v>
      </c>
      <c r="AG1331" s="1" t="s">
        <v>2801</v>
      </c>
      <c r="AH1331" s="1">
        <v>10.0</v>
      </c>
      <c r="AI1331" s="1">
        <v>2014.0</v>
      </c>
      <c r="AJ1331" s="1">
        <v>2015.0</v>
      </c>
      <c r="AK1331" s="1" t="s">
        <v>385</v>
      </c>
    </row>
    <row r="1332">
      <c r="A1332" s="1" t="s">
        <v>2767</v>
      </c>
      <c r="B1332" s="1" t="s">
        <v>2767</v>
      </c>
      <c r="C1332" s="1" t="s">
        <v>207</v>
      </c>
      <c r="E1332" s="1">
        <v>2.23540403E9</v>
      </c>
      <c r="F1332" s="2">
        <v>41183.0</v>
      </c>
      <c r="G1332" s="1" t="s">
        <v>2768</v>
      </c>
      <c r="I1332" s="1" t="s">
        <v>2768</v>
      </c>
      <c r="L1332" s="1" t="s">
        <v>40</v>
      </c>
      <c r="M1332" s="1">
        <v>7500.0</v>
      </c>
      <c r="N1332" s="1" t="s">
        <v>40</v>
      </c>
      <c r="O1332" s="1">
        <v>3.8775243E7</v>
      </c>
      <c r="P1332" s="1" t="s">
        <v>209</v>
      </c>
      <c r="Q1332" s="1" t="s">
        <v>210</v>
      </c>
      <c r="R1332" s="1" t="s">
        <v>211</v>
      </c>
      <c r="S1332" s="1" t="s">
        <v>44</v>
      </c>
      <c r="T1332" s="1" t="s">
        <v>45</v>
      </c>
      <c r="U1332" s="1">
        <v>4.82023068E8</v>
      </c>
      <c r="W1332" s="1" t="s">
        <v>46</v>
      </c>
      <c r="X1332" s="1" t="s">
        <v>45</v>
      </c>
      <c r="Y1332" s="1">
        <v>4.82023068E8</v>
      </c>
      <c r="Z1332" s="1">
        <v>3.8775243E7</v>
      </c>
      <c r="AA1332" s="1" t="s">
        <v>209</v>
      </c>
      <c r="AB1332" s="1">
        <v>5994.38</v>
      </c>
      <c r="AC1332" s="2">
        <v>41183.0</v>
      </c>
      <c r="AD1332" s="1">
        <v>7500.0</v>
      </c>
      <c r="AE1332" s="1" t="s">
        <v>40</v>
      </c>
      <c r="AF1332" s="1">
        <v>2.0131083E7</v>
      </c>
      <c r="AG1332" s="1" t="s">
        <v>212</v>
      </c>
      <c r="AH1332" s="1">
        <v>10.0</v>
      </c>
      <c r="AI1332" s="1">
        <v>2012.0</v>
      </c>
      <c r="AJ1332" s="1">
        <v>2013.0</v>
      </c>
      <c r="AK1332" s="1" t="s">
        <v>213</v>
      </c>
    </row>
    <row r="1333">
      <c r="A1333" s="1" t="s">
        <v>2767</v>
      </c>
      <c r="B1333" s="1" t="s">
        <v>2767</v>
      </c>
      <c r="C1333" s="1" t="s">
        <v>207</v>
      </c>
      <c r="E1333" s="1">
        <v>2.23540403E9</v>
      </c>
      <c r="F1333" s="2">
        <v>41183.0</v>
      </c>
      <c r="G1333" s="1" t="s">
        <v>2768</v>
      </c>
      <c r="I1333" s="1" t="s">
        <v>2768</v>
      </c>
      <c r="L1333" s="1" t="s">
        <v>40</v>
      </c>
      <c r="M1333" s="1">
        <v>7500.0</v>
      </c>
      <c r="N1333" s="1" t="s">
        <v>40</v>
      </c>
      <c r="O1333" s="1">
        <v>8.09204196E8</v>
      </c>
      <c r="P1333" s="1" t="s">
        <v>175</v>
      </c>
      <c r="R1333" s="1" t="s">
        <v>2078</v>
      </c>
      <c r="S1333" s="1" t="s">
        <v>44</v>
      </c>
      <c r="T1333" s="1" t="s">
        <v>45</v>
      </c>
      <c r="U1333" s="1">
        <v>4.82023026E8</v>
      </c>
      <c r="W1333" s="1" t="s">
        <v>46</v>
      </c>
      <c r="X1333" s="1" t="s">
        <v>45</v>
      </c>
      <c r="Y1333" s="1">
        <v>4.82023025E8</v>
      </c>
      <c r="Z1333" s="1">
        <v>8.09204196E8</v>
      </c>
      <c r="AA1333" s="1" t="s">
        <v>175</v>
      </c>
      <c r="AB1333" s="1">
        <v>157655.5</v>
      </c>
      <c r="AC1333" s="2">
        <v>41183.0</v>
      </c>
      <c r="AD1333" s="1">
        <v>7500.0</v>
      </c>
      <c r="AE1333" s="1" t="s">
        <v>40</v>
      </c>
      <c r="AF1333" s="1">
        <v>2.0131444E7</v>
      </c>
      <c r="AG1333" s="1" t="s">
        <v>212</v>
      </c>
      <c r="AH1333" s="1">
        <v>10.0</v>
      </c>
      <c r="AI1333" s="1">
        <v>2012.0</v>
      </c>
      <c r="AJ1333" s="1">
        <v>2013.0</v>
      </c>
      <c r="AK1333" s="1" t="s">
        <v>213</v>
      </c>
    </row>
    <row r="1334">
      <c r="A1334" s="1" t="s">
        <v>2772</v>
      </c>
      <c r="B1334" s="1" t="s">
        <v>2772</v>
      </c>
      <c r="C1334" s="1" t="s">
        <v>207</v>
      </c>
      <c r="E1334" s="1">
        <v>2.67163955E9</v>
      </c>
      <c r="F1334" s="2">
        <v>41183.0</v>
      </c>
      <c r="G1334" s="1" t="s">
        <v>2773</v>
      </c>
      <c r="I1334" s="1" t="s">
        <v>2773</v>
      </c>
      <c r="L1334" s="1" t="s">
        <v>40</v>
      </c>
      <c r="M1334" s="1">
        <v>7500.0</v>
      </c>
      <c r="N1334" s="1" t="s">
        <v>40</v>
      </c>
      <c r="O1334" s="1">
        <v>3.8775243E7</v>
      </c>
      <c r="P1334" s="1" t="s">
        <v>209</v>
      </c>
      <c r="Q1334" s="1" t="s">
        <v>210</v>
      </c>
      <c r="R1334" s="1" t="s">
        <v>211</v>
      </c>
      <c r="S1334" s="1" t="s">
        <v>44</v>
      </c>
      <c r="T1334" s="1" t="s">
        <v>45</v>
      </c>
      <c r="U1334" s="1">
        <v>4.82023068E8</v>
      </c>
      <c r="W1334" s="1" t="s">
        <v>46</v>
      </c>
      <c r="X1334" s="1" t="s">
        <v>45</v>
      </c>
      <c r="Y1334" s="1">
        <v>4.82023068E8</v>
      </c>
      <c r="Z1334" s="1">
        <v>3.8775243E7</v>
      </c>
      <c r="AA1334" s="1" t="s">
        <v>209</v>
      </c>
      <c r="AB1334" s="1">
        <v>5994.38</v>
      </c>
      <c r="AC1334" s="2">
        <v>41183.0</v>
      </c>
      <c r="AD1334" s="1">
        <v>7500.0</v>
      </c>
      <c r="AE1334" s="1" t="s">
        <v>40</v>
      </c>
      <c r="AF1334" s="1">
        <v>2.0131083E7</v>
      </c>
      <c r="AG1334" s="1" t="s">
        <v>212</v>
      </c>
      <c r="AH1334" s="1">
        <v>10.0</v>
      </c>
      <c r="AI1334" s="1">
        <v>2012.0</v>
      </c>
      <c r="AJ1334" s="1">
        <v>2013.0</v>
      </c>
      <c r="AK1334" s="1" t="s">
        <v>213</v>
      </c>
    </row>
    <row r="1335">
      <c r="A1335" s="1" t="s">
        <v>2772</v>
      </c>
      <c r="B1335" s="1" t="s">
        <v>2772</v>
      </c>
      <c r="C1335" s="1" t="s">
        <v>207</v>
      </c>
      <c r="E1335" s="1">
        <v>2.67163955E9</v>
      </c>
      <c r="F1335" s="2">
        <v>41183.0</v>
      </c>
      <c r="G1335" s="1" t="s">
        <v>2773</v>
      </c>
      <c r="I1335" s="1" t="s">
        <v>2773</v>
      </c>
      <c r="L1335" s="1" t="s">
        <v>40</v>
      </c>
      <c r="M1335" s="1">
        <v>7500.0</v>
      </c>
      <c r="N1335" s="1" t="s">
        <v>40</v>
      </c>
      <c r="O1335" s="1">
        <v>3.8775243E7</v>
      </c>
      <c r="P1335" s="1" t="s">
        <v>209</v>
      </c>
      <c r="Q1335" s="1" t="s">
        <v>210</v>
      </c>
      <c r="R1335" s="1" t="s">
        <v>211</v>
      </c>
      <c r="S1335" s="1" t="s">
        <v>44</v>
      </c>
      <c r="T1335" s="1" t="s">
        <v>45</v>
      </c>
      <c r="U1335" s="1">
        <v>4.82023068E8</v>
      </c>
      <c r="W1335" s="1" t="s">
        <v>46</v>
      </c>
      <c r="X1335" s="1" t="s">
        <v>45</v>
      </c>
      <c r="Y1335" s="1">
        <v>4.82023068E8</v>
      </c>
      <c r="Z1335" s="1">
        <v>3.8775243E7</v>
      </c>
      <c r="AA1335" s="1" t="s">
        <v>209</v>
      </c>
      <c r="AB1335" s="1">
        <v>22521.0</v>
      </c>
      <c r="AC1335" s="2">
        <v>41183.0</v>
      </c>
      <c r="AD1335" s="1">
        <v>7500.0</v>
      </c>
      <c r="AE1335" s="1" t="s">
        <v>40</v>
      </c>
      <c r="AF1335" s="1">
        <v>2.0131085E7</v>
      </c>
      <c r="AG1335" s="1" t="s">
        <v>212</v>
      </c>
      <c r="AH1335" s="1">
        <v>10.0</v>
      </c>
      <c r="AI1335" s="1">
        <v>2012.0</v>
      </c>
      <c r="AJ1335" s="1">
        <v>2013.0</v>
      </c>
      <c r="AK1335" s="1" t="s">
        <v>213</v>
      </c>
    </row>
    <row r="1336">
      <c r="A1336" s="1" t="s">
        <v>2646</v>
      </c>
      <c r="B1336" s="1" t="s">
        <v>2646</v>
      </c>
      <c r="C1336" s="1" t="s">
        <v>129</v>
      </c>
      <c r="E1336" s="1">
        <v>575000.0</v>
      </c>
      <c r="F1336" s="2">
        <v>41913.0</v>
      </c>
      <c r="G1336" s="1" t="s">
        <v>2647</v>
      </c>
      <c r="I1336" s="1" t="s">
        <v>2647</v>
      </c>
      <c r="L1336" s="1" t="s">
        <v>40</v>
      </c>
      <c r="M1336" s="1">
        <v>7500.0</v>
      </c>
      <c r="N1336" s="1" t="s">
        <v>40</v>
      </c>
      <c r="O1336" s="1">
        <v>6.9840817E7</v>
      </c>
      <c r="P1336" s="1" t="s">
        <v>131</v>
      </c>
      <c r="R1336" s="1" t="s">
        <v>132</v>
      </c>
      <c r="S1336" s="1" t="s">
        <v>44</v>
      </c>
      <c r="T1336" s="1" t="s">
        <v>45</v>
      </c>
      <c r="U1336" s="1">
        <v>4.8214261E8</v>
      </c>
      <c r="W1336" s="1" t="s">
        <v>44</v>
      </c>
      <c r="X1336" s="1" t="s">
        <v>45</v>
      </c>
      <c r="Y1336" s="1">
        <v>4.8214261E8</v>
      </c>
      <c r="Z1336" s="1">
        <v>6.9840817E7</v>
      </c>
      <c r="AA1336" s="1" t="s">
        <v>131</v>
      </c>
      <c r="AB1336" s="1">
        <v>120000.0</v>
      </c>
      <c r="AC1336" s="2">
        <v>41913.0</v>
      </c>
      <c r="AD1336" s="1">
        <v>7500.0</v>
      </c>
      <c r="AE1336" s="1" t="s">
        <v>40</v>
      </c>
      <c r="AF1336" s="1" t="s">
        <v>2802</v>
      </c>
      <c r="AG1336" s="1" t="s">
        <v>2649</v>
      </c>
      <c r="AH1336" s="1">
        <v>10.0</v>
      </c>
      <c r="AI1336" s="1">
        <v>2014.0</v>
      </c>
      <c r="AJ1336" s="1">
        <v>2015.0</v>
      </c>
      <c r="AK1336" s="1" t="s">
        <v>398</v>
      </c>
    </row>
    <row r="1337">
      <c r="A1337" s="1" t="s">
        <v>2803</v>
      </c>
      <c r="B1337" s="1" t="s">
        <v>2803</v>
      </c>
      <c r="C1337" s="1" t="s">
        <v>129</v>
      </c>
      <c r="E1337" s="1">
        <v>4000000.0</v>
      </c>
      <c r="F1337" s="2">
        <v>41913.0</v>
      </c>
      <c r="G1337" s="1" t="s">
        <v>2804</v>
      </c>
      <c r="I1337" s="1" t="s">
        <v>2804</v>
      </c>
      <c r="L1337" s="1" t="s">
        <v>40</v>
      </c>
      <c r="M1337" s="1">
        <v>7500.0</v>
      </c>
      <c r="N1337" s="1" t="s">
        <v>40</v>
      </c>
      <c r="O1337" s="1">
        <v>6.9840817E7</v>
      </c>
      <c r="P1337" s="1" t="s">
        <v>131</v>
      </c>
      <c r="R1337" s="1" t="s">
        <v>132</v>
      </c>
      <c r="S1337" s="1" t="s">
        <v>44</v>
      </c>
      <c r="T1337" s="1" t="s">
        <v>45</v>
      </c>
      <c r="U1337" s="1">
        <v>4.8214261E8</v>
      </c>
      <c r="W1337" s="1" t="s">
        <v>44</v>
      </c>
      <c r="X1337" s="1" t="s">
        <v>45</v>
      </c>
      <c r="Y1337" s="1">
        <v>4.8214261E8</v>
      </c>
      <c r="Z1337" s="1">
        <v>6.9840817E7</v>
      </c>
      <c r="AA1337" s="1" t="s">
        <v>131</v>
      </c>
      <c r="AB1337" s="1">
        <v>4666666.67</v>
      </c>
      <c r="AC1337" s="2">
        <v>41913.0</v>
      </c>
      <c r="AD1337" s="1">
        <v>7500.0</v>
      </c>
      <c r="AE1337" s="1" t="s">
        <v>40</v>
      </c>
      <c r="AF1337" s="1" t="s">
        <v>2497</v>
      </c>
      <c r="AG1337" s="1" t="s">
        <v>2649</v>
      </c>
      <c r="AH1337" s="1">
        <v>10.0</v>
      </c>
      <c r="AI1337" s="1">
        <v>2014.0</v>
      </c>
      <c r="AJ1337" s="1">
        <v>2015.0</v>
      </c>
      <c r="AK1337" s="1" t="s">
        <v>398</v>
      </c>
    </row>
    <row r="1338">
      <c r="A1338" s="1" t="s">
        <v>2646</v>
      </c>
      <c r="B1338" s="1" t="s">
        <v>2646</v>
      </c>
      <c r="C1338" s="1" t="s">
        <v>129</v>
      </c>
      <c r="E1338" s="1">
        <v>575000.0</v>
      </c>
      <c r="F1338" s="2">
        <v>41913.0</v>
      </c>
      <c r="G1338" s="1" t="s">
        <v>2647</v>
      </c>
      <c r="I1338" s="1" t="s">
        <v>2647</v>
      </c>
      <c r="L1338" s="1" t="s">
        <v>40</v>
      </c>
      <c r="M1338" s="1">
        <v>7500.0</v>
      </c>
      <c r="N1338" s="1" t="s">
        <v>40</v>
      </c>
      <c r="O1338" s="1">
        <v>6.9840817E7</v>
      </c>
      <c r="P1338" s="1" t="s">
        <v>131</v>
      </c>
      <c r="R1338" s="1" t="s">
        <v>132</v>
      </c>
      <c r="S1338" s="1" t="s">
        <v>44</v>
      </c>
      <c r="T1338" s="1" t="s">
        <v>45</v>
      </c>
      <c r="U1338" s="1">
        <v>4.8214261E8</v>
      </c>
      <c r="W1338" s="1" t="s">
        <v>44</v>
      </c>
      <c r="X1338" s="1" t="s">
        <v>45</v>
      </c>
      <c r="Y1338" s="1">
        <v>4.8214261E8</v>
      </c>
      <c r="Z1338" s="1">
        <v>6.9840817E7</v>
      </c>
      <c r="AA1338" s="1" t="s">
        <v>131</v>
      </c>
      <c r="AB1338" s="1">
        <v>730141.0</v>
      </c>
      <c r="AC1338" s="2">
        <v>41913.0</v>
      </c>
      <c r="AD1338" s="1">
        <v>7500.0</v>
      </c>
      <c r="AE1338" s="1" t="s">
        <v>40</v>
      </c>
      <c r="AF1338" s="1" t="s">
        <v>2805</v>
      </c>
      <c r="AG1338" s="1" t="s">
        <v>2649</v>
      </c>
      <c r="AH1338" s="1">
        <v>10.0</v>
      </c>
      <c r="AI1338" s="1">
        <v>2014.0</v>
      </c>
      <c r="AJ1338" s="1">
        <v>2015.0</v>
      </c>
      <c r="AK1338" s="1" t="s">
        <v>398</v>
      </c>
    </row>
    <row r="1339">
      <c r="A1339" s="1">
        <v>9.7531612E7</v>
      </c>
      <c r="B1339" s="1">
        <v>9.7531612E7</v>
      </c>
      <c r="C1339" s="1" t="s">
        <v>1825</v>
      </c>
      <c r="E1339" s="1">
        <v>871762.0</v>
      </c>
      <c r="F1339" s="2">
        <v>41548.0</v>
      </c>
      <c r="G1339" s="1" t="s">
        <v>2806</v>
      </c>
      <c r="I1339" s="1" t="s">
        <v>2806</v>
      </c>
      <c r="L1339" s="1" t="s">
        <v>1825</v>
      </c>
      <c r="M1339" s="1">
        <v>6800.0</v>
      </c>
      <c r="N1339" s="1" t="s">
        <v>1825</v>
      </c>
      <c r="O1339" s="1">
        <v>3.8775243E7</v>
      </c>
      <c r="P1339" s="1" t="s">
        <v>209</v>
      </c>
      <c r="Q1339" s="1" t="s">
        <v>210</v>
      </c>
      <c r="R1339" s="1" t="s">
        <v>211</v>
      </c>
      <c r="S1339" s="1" t="s">
        <v>44</v>
      </c>
      <c r="T1339" s="1" t="s">
        <v>45</v>
      </c>
      <c r="U1339" s="1">
        <v>4.82023068E8</v>
      </c>
      <c r="W1339" s="1" t="s">
        <v>46</v>
      </c>
      <c r="X1339" s="1" t="s">
        <v>45</v>
      </c>
      <c r="Y1339" s="1">
        <v>4.82023068E8</v>
      </c>
      <c r="Z1339" s="1">
        <v>3.8775243E7</v>
      </c>
      <c r="AA1339" s="1" t="s">
        <v>209</v>
      </c>
      <c r="AB1339" s="1">
        <v>56304.31</v>
      </c>
      <c r="AC1339" s="2">
        <v>41548.0</v>
      </c>
      <c r="AD1339" s="1">
        <v>6800.0</v>
      </c>
      <c r="AE1339" s="1" t="s">
        <v>1825</v>
      </c>
      <c r="AF1339" s="1">
        <v>2.0140697E7</v>
      </c>
      <c r="AG1339" s="1" t="s">
        <v>2807</v>
      </c>
      <c r="AH1339" s="1">
        <v>10.0</v>
      </c>
      <c r="AI1339" s="1">
        <v>2012.0</v>
      </c>
      <c r="AJ1339" s="1">
        <v>2014.0</v>
      </c>
      <c r="AK1339" s="1" t="s">
        <v>2808</v>
      </c>
    </row>
    <row r="1340">
      <c r="A1340" s="1" t="s">
        <v>2651</v>
      </c>
      <c r="B1340" s="1" t="s">
        <v>2651</v>
      </c>
      <c r="C1340" s="1" t="s">
        <v>159</v>
      </c>
      <c r="E1340" s="1">
        <v>5297759.0</v>
      </c>
      <c r="F1340" s="2">
        <v>41548.0</v>
      </c>
      <c r="G1340" s="1" t="s">
        <v>2652</v>
      </c>
      <c r="I1340" s="1" t="s">
        <v>2652</v>
      </c>
      <c r="L1340" s="1" t="s">
        <v>40</v>
      </c>
      <c r="M1340" s="1">
        <v>7500.0</v>
      </c>
      <c r="N1340" s="1" t="s">
        <v>40</v>
      </c>
      <c r="O1340" s="1">
        <v>3.8775243E7</v>
      </c>
      <c r="P1340" s="1" t="s">
        <v>209</v>
      </c>
      <c r="Q1340" s="1" t="s">
        <v>210</v>
      </c>
      <c r="R1340" s="1" t="s">
        <v>211</v>
      </c>
      <c r="S1340" s="1" t="s">
        <v>44</v>
      </c>
      <c r="T1340" s="1" t="s">
        <v>45</v>
      </c>
      <c r="U1340" s="1">
        <v>4.82023068E8</v>
      </c>
      <c r="W1340" s="1" t="s">
        <v>46</v>
      </c>
      <c r="X1340" s="1" t="s">
        <v>45</v>
      </c>
      <c r="Y1340" s="1">
        <v>4.82023068E8</v>
      </c>
      <c r="Z1340" s="1">
        <v>3.8775243E7</v>
      </c>
      <c r="AA1340" s="1" t="s">
        <v>209</v>
      </c>
      <c r="AB1340" s="1">
        <v>30864.21</v>
      </c>
      <c r="AC1340" s="2">
        <v>41548.0</v>
      </c>
      <c r="AD1340" s="1">
        <v>7500.0</v>
      </c>
      <c r="AE1340" s="1" t="s">
        <v>40</v>
      </c>
      <c r="AF1340" s="1">
        <v>2.0140168E7</v>
      </c>
      <c r="AG1340" s="1" t="s">
        <v>2653</v>
      </c>
      <c r="AH1340" s="1">
        <v>10.0</v>
      </c>
      <c r="AI1340" s="1">
        <v>2011.0</v>
      </c>
      <c r="AJ1340" s="1">
        <v>2014.0</v>
      </c>
      <c r="AK1340" s="1" t="s">
        <v>2654</v>
      </c>
    </row>
    <row r="1341">
      <c r="A1341" s="1" t="s">
        <v>2651</v>
      </c>
      <c r="B1341" s="1" t="s">
        <v>2651</v>
      </c>
      <c r="C1341" s="1" t="s">
        <v>159</v>
      </c>
      <c r="E1341" s="1">
        <v>5297759.0</v>
      </c>
      <c r="F1341" s="2">
        <v>41548.0</v>
      </c>
      <c r="G1341" s="1" t="s">
        <v>2652</v>
      </c>
      <c r="I1341" s="1" t="s">
        <v>2652</v>
      </c>
      <c r="L1341" s="1" t="s">
        <v>40</v>
      </c>
      <c r="M1341" s="1">
        <v>7500.0</v>
      </c>
      <c r="N1341" s="1" t="s">
        <v>40</v>
      </c>
      <c r="O1341" s="1">
        <v>3.8775243E7</v>
      </c>
      <c r="P1341" s="1" t="s">
        <v>209</v>
      </c>
      <c r="Q1341" s="1" t="s">
        <v>210</v>
      </c>
      <c r="R1341" s="1" t="s">
        <v>211</v>
      </c>
      <c r="S1341" s="1" t="s">
        <v>44</v>
      </c>
      <c r="T1341" s="1" t="s">
        <v>45</v>
      </c>
      <c r="U1341" s="1">
        <v>4.82023068E8</v>
      </c>
      <c r="W1341" s="1" t="s">
        <v>46</v>
      </c>
      <c r="X1341" s="1" t="s">
        <v>45</v>
      </c>
      <c r="Y1341" s="1">
        <v>4.82023068E8</v>
      </c>
      <c r="Z1341" s="1">
        <v>3.8775243E7</v>
      </c>
      <c r="AA1341" s="1" t="s">
        <v>209</v>
      </c>
      <c r="AB1341" s="1">
        <v>0.0</v>
      </c>
      <c r="AC1341" s="2">
        <v>41548.0</v>
      </c>
      <c r="AD1341" s="1">
        <v>7500.0</v>
      </c>
      <c r="AE1341" s="1" t="s">
        <v>40</v>
      </c>
      <c r="AF1341" s="1">
        <v>2.0140164E7</v>
      </c>
      <c r="AG1341" s="1" t="s">
        <v>2653</v>
      </c>
      <c r="AH1341" s="1">
        <v>10.0</v>
      </c>
      <c r="AI1341" s="1">
        <v>2011.0</v>
      </c>
      <c r="AJ1341" s="1">
        <v>2014.0</v>
      </c>
      <c r="AK1341" s="1" t="s">
        <v>2654</v>
      </c>
    </row>
    <row r="1342">
      <c r="A1342" s="1" t="s">
        <v>2651</v>
      </c>
      <c r="B1342" s="1" t="s">
        <v>2651</v>
      </c>
      <c r="C1342" s="1" t="s">
        <v>159</v>
      </c>
      <c r="E1342" s="1">
        <v>5297759.0</v>
      </c>
      <c r="F1342" s="2">
        <v>41183.0</v>
      </c>
      <c r="G1342" s="1" t="s">
        <v>2652</v>
      </c>
      <c r="I1342" s="1" t="s">
        <v>2652</v>
      </c>
      <c r="L1342" s="1" t="s">
        <v>40</v>
      </c>
      <c r="M1342" s="1">
        <v>7500.0</v>
      </c>
      <c r="N1342" s="1" t="s">
        <v>40</v>
      </c>
      <c r="O1342" s="1">
        <v>3.8775243E7</v>
      </c>
      <c r="P1342" s="1" t="s">
        <v>209</v>
      </c>
      <c r="Q1342" s="1" t="s">
        <v>210</v>
      </c>
      <c r="R1342" s="1" t="s">
        <v>211</v>
      </c>
      <c r="S1342" s="1" t="s">
        <v>44</v>
      </c>
      <c r="T1342" s="1" t="s">
        <v>45</v>
      </c>
      <c r="U1342" s="1">
        <v>4.82023068E8</v>
      </c>
      <c r="W1342" s="1" t="s">
        <v>46</v>
      </c>
      <c r="X1342" s="1" t="s">
        <v>45</v>
      </c>
      <c r="Y1342" s="1">
        <v>4.82023068E8</v>
      </c>
      <c r="Z1342" s="1">
        <v>3.8775243E7</v>
      </c>
      <c r="AA1342" s="1" t="s">
        <v>209</v>
      </c>
      <c r="AB1342" s="1">
        <v>0.0</v>
      </c>
      <c r="AC1342" s="2">
        <v>41183.0</v>
      </c>
      <c r="AD1342" s="1">
        <v>7500.0</v>
      </c>
      <c r="AE1342" s="1" t="s">
        <v>40</v>
      </c>
      <c r="AF1342" s="1">
        <v>2.0131249E7</v>
      </c>
      <c r="AG1342" s="1" t="s">
        <v>2653</v>
      </c>
      <c r="AH1342" s="1">
        <v>10.0</v>
      </c>
      <c r="AI1342" s="1">
        <v>2011.0</v>
      </c>
      <c r="AJ1342" s="1">
        <v>2013.0</v>
      </c>
      <c r="AK1342" s="1" t="s">
        <v>2654</v>
      </c>
    </row>
    <row r="1343">
      <c r="A1343" s="1" t="s">
        <v>2651</v>
      </c>
      <c r="B1343" s="1" t="s">
        <v>2651</v>
      </c>
      <c r="C1343" s="1" t="s">
        <v>159</v>
      </c>
      <c r="E1343" s="1">
        <v>5297759.0</v>
      </c>
      <c r="F1343" s="2">
        <v>41183.0</v>
      </c>
      <c r="G1343" s="1" t="s">
        <v>2652</v>
      </c>
      <c r="I1343" s="1" t="s">
        <v>2652</v>
      </c>
      <c r="L1343" s="1" t="s">
        <v>40</v>
      </c>
      <c r="M1343" s="1">
        <v>7500.0</v>
      </c>
      <c r="N1343" s="1" t="s">
        <v>40</v>
      </c>
      <c r="O1343" s="1">
        <v>3.8775243E7</v>
      </c>
      <c r="P1343" s="1" t="s">
        <v>209</v>
      </c>
      <c r="Q1343" s="1" t="s">
        <v>210</v>
      </c>
      <c r="R1343" s="1" t="s">
        <v>211</v>
      </c>
      <c r="S1343" s="1" t="s">
        <v>44</v>
      </c>
      <c r="T1343" s="1" t="s">
        <v>45</v>
      </c>
      <c r="U1343" s="1">
        <v>4.82023068E8</v>
      </c>
      <c r="W1343" s="1" t="s">
        <v>46</v>
      </c>
      <c r="X1343" s="1" t="s">
        <v>45</v>
      </c>
      <c r="Y1343" s="1">
        <v>4.82023068E8</v>
      </c>
      <c r="Z1343" s="1">
        <v>3.8775243E7</v>
      </c>
      <c r="AA1343" s="1" t="s">
        <v>209</v>
      </c>
      <c r="AB1343" s="1">
        <v>30000.0</v>
      </c>
      <c r="AC1343" s="2">
        <v>41183.0</v>
      </c>
      <c r="AD1343" s="1">
        <v>7500.0</v>
      </c>
      <c r="AE1343" s="1" t="s">
        <v>40</v>
      </c>
      <c r="AF1343" s="1">
        <v>2.0131195E7</v>
      </c>
      <c r="AG1343" s="1" t="s">
        <v>2653</v>
      </c>
      <c r="AH1343" s="1">
        <v>10.0</v>
      </c>
      <c r="AI1343" s="1">
        <v>2011.0</v>
      </c>
      <c r="AJ1343" s="1">
        <v>2013.0</v>
      </c>
      <c r="AK1343" s="1" t="s">
        <v>2654</v>
      </c>
    </row>
    <row r="1344">
      <c r="A1344" s="1" t="s">
        <v>158</v>
      </c>
      <c r="B1344" s="1" t="s">
        <v>158</v>
      </c>
      <c r="C1344" s="1" t="s">
        <v>159</v>
      </c>
      <c r="E1344" s="1">
        <v>899985.0</v>
      </c>
      <c r="F1344" s="2">
        <v>41548.0</v>
      </c>
      <c r="G1344" s="1" t="s">
        <v>2655</v>
      </c>
      <c r="I1344" s="1" t="s">
        <v>2655</v>
      </c>
      <c r="L1344" s="1" t="s">
        <v>40</v>
      </c>
      <c r="M1344" s="1">
        <v>7500.0</v>
      </c>
      <c r="N1344" s="1" t="s">
        <v>40</v>
      </c>
      <c r="O1344" s="1">
        <v>3.8775243E7</v>
      </c>
      <c r="P1344" s="1" t="s">
        <v>209</v>
      </c>
      <c r="Q1344" s="1" t="s">
        <v>210</v>
      </c>
      <c r="R1344" s="1" t="s">
        <v>211</v>
      </c>
      <c r="S1344" s="1" t="s">
        <v>44</v>
      </c>
      <c r="T1344" s="1" t="s">
        <v>45</v>
      </c>
      <c r="U1344" s="1">
        <v>4.82023068E8</v>
      </c>
      <c r="W1344" s="1" t="s">
        <v>46</v>
      </c>
      <c r="X1344" s="1" t="s">
        <v>45</v>
      </c>
      <c r="Y1344" s="1">
        <v>4.82023068E8</v>
      </c>
      <c r="Z1344" s="1">
        <v>3.8775243E7</v>
      </c>
      <c r="AA1344" s="1" t="s">
        <v>209</v>
      </c>
      <c r="AB1344" s="1">
        <v>12778.0</v>
      </c>
      <c r="AC1344" s="2">
        <v>41548.0</v>
      </c>
      <c r="AD1344" s="1">
        <v>7500.0</v>
      </c>
      <c r="AE1344" s="1" t="s">
        <v>40</v>
      </c>
      <c r="AF1344" s="1">
        <v>2.01407E7</v>
      </c>
      <c r="AG1344" s="1" t="s">
        <v>2655</v>
      </c>
      <c r="AH1344" s="1">
        <v>10.0</v>
      </c>
      <c r="AI1344" s="1">
        <v>2011.0</v>
      </c>
      <c r="AJ1344" s="1">
        <v>2014.0</v>
      </c>
      <c r="AK1344" s="1" t="s">
        <v>162</v>
      </c>
    </row>
    <row r="1345">
      <c r="A1345" s="1" t="s">
        <v>158</v>
      </c>
      <c r="B1345" s="1" t="s">
        <v>158</v>
      </c>
      <c r="C1345" s="1" t="s">
        <v>159</v>
      </c>
      <c r="E1345" s="1">
        <v>899985.0</v>
      </c>
      <c r="F1345" s="2">
        <v>41183.0</v>
      </c>
      <c r="G1345" s="1" t="s">
        <v>2655</v>
      </c>
      <c r="I1345" s="1" t="s">
        <v>2655</v>
      </c>
      <c r="L1345" s="1" t="s">
        <v>40</v>
      </c>
      <c r="M1345" s="1">
        <v>7500.0</v>
      </c>
      <c r="N1345" s="1" t="s">
        <v>40</v>
      </c>
      <c r="O1345" s="1">
        <v>6.9840288E7</v>
      </c>
      <c r="P1345" s="1" t="s">
        <v>2809</v>
      </c>
      <c r="Q1345" s="1" t="s">
        <v>2810</v>
      </c>
      <c r="R1345" s="1" t="s">
        <v>2811</v>
      </c>
      <c r="S1345" s="1" t="s">
        <v>44</v>
      </c>
      <c r="T1345" s="1" t="s">
        <v>45</v>
      </c>
      <c r="U1345" s="1">
        <v>4.82352624E8</v>
      </c>
      <c r="W1345" s="1" t="s">
        <v>46</v>
      </c>
      <c r="X1345" s="1" t="s">
        <v>45</v>
      </c>
      <c r="Y1345" s="1">
        <v>4.82352624E8</v>
      </c>
      <c r="Z1345" s="1">
        <v>5.3866661E7</v>
      </c>
      <c r="AB1345" s="1">
        <v>2000.0</v>
      </c>
      <c r="AC1345" s="2">
        <v>41183.0</v>
      </c>
      <c r="AD1345" s="1">
        <v>7500.0</v>
      </c>
      <c r="AE1345" s="1" t="s">
        <v>40</v>
      </c>
      <c r="AF1345" s="1">
        <v>2.0133212E7</v>
      </c>
      <c r="AG1345" s="1" t="s">
        <v>2655</v>
      </c>
      <c r="AH1345" s="1">
        <v>10.0</v>
      </c>
      <c r="AI1345" s="1">
        <v>2011.0</v>
      </c>
      <c r="AJ1345" s="1">
        <v>2013.0</v>
      </c>
      <c r="AK1345" s="1" t="s">
        <v>162</v>
      </c>
    </row>
    <row r="1346">
      <c r="A1346" s="1" t="s">
        <v>158</v>
      </c>
      <c r="B1346" s="1" t="s">
        <v>158</v>
      </c>
      <c r="C1346" s="1" t="s">
        <v>159</v>
      </c>
      <c r="E1346" s="1">
        <v>899985.0</v>
      </c>
      <c r="F1346" s="2">
        <v>41548.0</v>
      </c>
      <c r="G1346" s="1" t="s">
        <v>2655</v>
      </c>
      <c r="I1346" s="1" t="s">
        <v>2655</v>
      </c>
      <c r="L1346" s="1" t="s">
        <v>40</v>
      </c>
      <c r="M1346" s="1">
        <v>7500.0</v>
      </c>
      <c r="N1346" s="1" t="s">
        <v>40</v>
      </c>
      <c r="O1346" s="1">
        <v>7.6377316E7</v>
      </c>
      <c r="P1346" s="1" t="s">
        <v>2302</v>
      </c>
      <c r="R1346" s="1" t="s">
        <v>2303</v>
      </c>
      <c r="S1346" s="1" t="s">
        <v>44</v>
      </c>
      <c r="T1346" s="1" t="s">
        <v>45</v>
      </c>
      <c r="U1346" s="1">
        <v>4.82012119E8</v>
      </c>
      <c r="W1346" s="1" t="s">
        <v>46</v>
      </c>
      <c r="X1346" s="1" t="s">
        <v>45</v>
      </c>
      <c r="Y1346" s="1">
        <v>4.82012119E8</v>
      </c>
      <c r="Z1346" s="1">
        <v>5.3866661E7</v>
      </c>
      <c r="AB1346" s="1">
        <v>1250.0</v>
      </c>
      <c r="AC1346" s="2">
        <v>41548.0</v>
      </c>
      <c r="AD1346" s="1">
        <v>7500.0</v>
      </c>
      <c r="AE1346" s="1" t="s">
        <v>40</v>
      </c>
      <c r="AF1346" s="1">
        <v>2.0142084E7</v>
      </c>
      <c r="AG1346" s="1" t="s">
        <v>2655</v>
      </c>
      <c r="AH1346" s="1">
        <v>10.0</v>
      </c>
      <c r="AI1346" s="1">
        <v>2011.0</v>
      </c>
      <c r="AJ1346" s="1">
        <v>2014.0</v>
      </c>
      <c r="AK1346" s="1" t="s">
        <v>162</v>
      </c>
    </row>
    <row r="1347">
      <c r="A1347" s="1" t="s">
        <v>2651</v>
      </c>
      <c r="B1347" s="1" t="s">
        <v>2651</v>
      </c>
      <c r="C1347" s="1" t="s">
        <v>159</v>
      </c>
      <c r="E1347" s="1">
        <v>5297759.0</v>
      </c>
      <c r="F1347" s="2">
        <v>41548.0</v>
      </c>
      <c r="G1347" s="1" t="s">
        <v>2652</v>
      </c>
      <c r="I1347" s="1" t="s">
        <v>2652</v>
      </c>
      <c r="L1347" s="1" t="s">
        <v>40</v>
      </c>
      <c r="M1347" s="1">
        <v>7500.0</v>
      </c>
      <c r="N1347" s="1" t="s">
        <v>40</v>
      </c>
      <c r="O1347" s="1">
        <v>3.8775243E7</v>
      </c>
      <c r="P1347" s="1" t="s">
        <v>209</v>
      </c>
      <c r="Q1347" s="1" t="s">
        <v>210</v>
      </c>
      <c r="R1347" s="1" t="s">
        <v>211</v>
      </c>
      <c r="S1347" s="1" t="s">
        <v>44</v>
      </c>
      <c r="T1347" s="1" t="s">
        <v>45</v>
      </c>
      <c r="U1347" s="1">
        <v>4.82023068E8</v>
      </c>
      <c r="W1347" s="1" t="s">
        <v>46</v>
      </c>
      <c r="X1347" s="1" t="s">
        <v>45</v>
      </c>
      <c r="Y1347" s="1">
        <v>4.82023068E8</v>
      </c>
      <c r="Z1347" s="1">
        <v>3.8775243E7</v>
      </c>
      <c r="AA1347" s="1" t="s">
        <v>209</v>
      </c>
      <c r="AB1347" s="1">
        <v>0.0</v>
      </c>
      <c r="AC1347" s="2">
        <v>41548.0</v>
      </c>
      <c r="AD1347" s="1">
        <v>7500.0</v>
      </c>
      <c r="AE1347" s="1" t="s">
        <v>40</v>
      </c>
      <c r="AF1347" s="1">
        <v>2.0140715E7</v>
      </c>
      <c r="AG1347" s="1" t="s">
        <v>2653</v>
      </c>
      <c r="AH1347" s="1">
        <v>10.0</v>
      </c>
      <c r="AI1347" s="1">
        <v>2011.0</v>
      </c>
      <c r="AJ1347" s="1">
        <v>2014.0</v>
      </c>
      <c r="AK1347" s="1" t="s">
        <v>2654</v>
      </c>
    </row>
    <row r="1348">
      <c r="A1348" s="1" t="s">
        <v>2651</v>
      </c>
      <c r="B1348" s="1" t="s">
        <v>2651</v>
      </c>
      <c r="C1348" s="1" t="s">
        <v>159</v>
      </c>
      <c r="E1348" s="1">
        <v>5297759.0</v>
      </c>
      <c r="F1348" s="2">
        <v>41183.0</v>
      </c>
      <c r="G1348" s="1" t="s">
        <v>2652</v>
      </c>
      <c r="I1348" s="1" t="s">
        <v>2652</v>
      </c>
      <c r="L1348" s="1" t="s">
        <v>40</v>
      </c>
      <c r="M1348" s="1">
        <v>7500.0</v>
      </c>
      <c r="N1348" s="1" t="s">
        <v>40</v>
      </c>
      <c r="O1348" s="1">
        <v>3.8775243E7</v>
      </c>
      <c r="P1348" s="1" t="s">
        <v>209</v>
      </c>
      <c r="Q1348" s="1" t="s">
        <v>210</v>
      </c>
      <c r="R1348" s="1" t="s">
        <v>211</v>
      </c>
      <c r="S1348" s="1" t="s">
        <v>44</v>
      </c>
      <c r="T1348" s="1" t="s">
        <v>45</v>
      </c>
      <c r="U1348" s="1">
        <v>4.82023068E8</v>
      </c>
      <c r="W1348" s="1" t="s">
        <v>46</v>
      </c>
      <c r="X1348" s="1" t="s">
        <v>45</v>
      </c>
      <c r="Y1348" s="1">
        <v>4.82023068E8</v>
      </c>
      <c r="Z1348" s="1">
        <v>3.8775243E7</v>
      </c>
      <c r="AA1348" s="1" t="s">
        <v>209</v>
      </c>
      <c r="AB1348" s="1">
        <v>0.0</v>
      </c>
      <c r="AC1348" s="2">
        <v>41183.0</v>
      </c>
      <c r="AD1348" s="1">
        <v>7500.0</v>
      </c>
      <c r="AE1348" s="1" t="s">
        <v>40</v>
      </c>
      <c r="AF1348" s="1">
        <v>2.0131195E7</v>
      </c>
      <c r="AG1348" s="1" t="s">
        <v>2653</v>
      </c>
      <c r="AH1348" s="1">
        <v>10.0</v>
      </c>
      <c r="AI1348" s="1">
        <v>2011.0</v>
      </c>
      <c r="AJ1348" s="1">
        <v>2013.0</v>
      </c>
      <c r="AK1348" s="1" t="s">
        <v>2654</v>
      </c>
    </row>
    <row r="1349">
      <c r="A1349" s="1" t="s">
        <v>2651</v>
      </c>
      <c r="B1349" s="1" t="s">
        <v>2651</v>
      </c>
      <c r="C1349" s="1" t="s">
        <v>159</v>
      </c>
      <c r="E1349" s="1">
        <v>5297759.0</v>
      </c>
      <c r="F1349" s="2">
        <v>41183.0</v>
      </c>
      <c r="G1349" s="1" t="s">
        <v>2652</v>
      </c>
      <c r="I1349" s="1" t="s">
        <v>2652</v>
      </c>
      <c r="L1349" s="1" t="s">
        <v>40</v>
      </c>
      <c r="M1349" s="1">
        <v>7500.0</v>
      </c>
      <c r="N1349" s="1" t="s">
        <v>40</v>
      </c>
      <c r="O1349" s="1">
        <v>3.8775243E7</v>
      </c>
      <c r="P1349" s="1" t="s">
        <v>209</v>
      </c>
      <c r="Q1349" s="1" t="s">
        <v>210</v>
      </c>
      <c r="R1349" s="1" t="s">
        <v>211</v>
      </c>
      <c r="S1349" s="1" t="s">
        <v>44</v>
      </c>
      <c r="T1349" s="1" t="s">
        <v>45</v>
      </c>
      <c r="U1349" s="1">
        <v>4.82023068E8</v>
      </c>
      <c r="W1349" s="1" t="s">
        <v>46</v>
      </c>
      <c r="X1349" s="1" t="s">
        <v>45</v>
      </c>
      <c r="Y1349" s="1">
        <v>4.82023068E8</v>
      </c>
      <c r="Z1349" s="1">
        <v>3.8775243E7</v>
      </c>
      <c r="AA1349" s="1" t="s">
        <v>209</v>
      </c>
      <c r="AB1349" s="1">
        <v>0.0</v>
      </c>
      <c r="AC1349" s="2">
        <v>41183.0</v>
      </c>
      <c r="AD1349" s="1">
        <v>7500.0</v>
      </c>
      <c r="AE1349" s="1" t="s">
        <v>40</v>
      </c>
      <c r="AF1349" s="1">
        <v>2.0131762E7</v>
      </c>
      <c r="AG1349" s="1" t="s">
        <v>2653</v>
      </c>
      <c r="AH1349" s="1">
        <v>10.0</v>
      </c>
      <c r="AI1349" s="1">
        <v>2011.0</v>
      </c>
      <c r="AJ1349" s="1">
        <v>2013.0</v>
      </c>
      <c r="AK1349" s="1" t="s">
        <v>2654</v>
      </c>
    </row>
    <row r="1350">
      <c r="A1350" s="1" t="s">
        <v>2651</v>
      </c>
      <c r="B1350" s="1" t="s">
        <v>2651</v>
      </c>
      <c r="C1350" s="1" t="s">
        <v>159</v>
      </c>
      <c r="E1350" s="1">
        <v>5297759.0</v>
      </c>
      <c r="F1350" s="2">
        <v>41183.0</v>
      </c>
      <c r="G1350" s="1" t="s">
        <v>2652</v>
      </c>
      <c r="I1350" s="1" t="s">
        <v>2652</v>
      </c>
      <c r="L1350" s="1" t="s">
        <v>40</v>
      </c>
      <c r="M1350" s="1">
        <v>7500.0</v>
      </c>
      <c r="N1350" s="1" t="s">
        <v>40</v>
      </c>
      <c r="O1350" s="1">
        <v>7.8583404E7</v>
      </c>
      <c r="P1350" s="1" t="s">
        <v>65</v>
      </c>
      <c r="Q1350" s="1" t="s">
        <v>2563</v>
      </c>
      <c r="R1350" s="1" t="s">
        <v>1573</v>
      </c>
      <c r="S1350" s="1" t="s">
        <v>44</v>
      </c>
      <c r="T1350" s="1" t="s">
        <v>45</v>
      </c>
      <c r="U1350" s="1">
        <v>4.8207311E8</v>
      </c>
      <c r="W1350" s="1" t="s">
        <v>46</v>
      </c>
      <c r="X1350" s="1" t="s">
        <v>45</v>
      </c>
      <c r="Y1350" s="1">
        <v>4.82021732E8</v>
      </c>
      <c r="Z1350" s="1">
        <v>7.8403185E7</v>
      </c>
      <c r="AA1350" s="1" t="s">
        <v>2812</v>
      </c>
      <c r="AB1350" s="1">
        <v>0.0</v>
      </c>
      <c r="AC1350" s="2">
        <v>41183.0</v>
      </c>
      <c r="AD1350" s="1">
        <v>7500.0</v>
      </c>
      <c r="AE1350" s="1" t="s">
        <v>40</v>
      </c>
      <c r="AF1350" s="1">
        <v>2.01304E7</v>
      </c>
      <c r="AG1350" s="1" t="s">
        <v>2653</v>
      </c>
      <c r="AH1350" s="1">
        <v>10.0</v>
      </c>
      <c r="AI1350" s="1">
        <v>2011.0</v>
      </c>
      <c r="AJ1350" s="1">
        <v>2013.0</v>
      </c>
      <c r="AK1350" s="1" t="s">
        <v>2654</v>
      </c>
    </row>
    <row r="1351">
      <c r="A1351" s="1" t="s">
        <v>2651</v>
      </c>
      <c r="B1351" s="1" t="s">
        <v>2651</v>
      </c>
      <c r="C1351" s="1" t="s">
        <v>159</v>
      </c>
      <c r="E1351" s="1">
        <v>5297759.0</v>
      </c>
      <c r="F1351" s="2">
        <v>41183.0</v>
      </c>
      <c r="G1351" s="1" t="s">
        <v>2652</v>
      </c>
      <c r="I1351" s="1" t="s">
        <v>2652</v>
      </c>
      <c r="L1351" s="1" t="s">
        <v>40</v>
      </c>
      <c r="M1351" s="1">
        <v>7500.0</v>
      </c>
      <c r="N1351" s="1" t="s">
        <v>40</v>
      </c>
      <c r="O1351" s="1">
        <v>7.8583404E7</v>
      </c>
      <c r="P1351" s="1" t="s">
        <v>65</v>
      </c>
      <c r="Q1351" s="1" t="s">
        <v>2563</v>
      </c>
      <c r="R1351" s="1" t="s">
        <v>1573</v>
      </c>
      <c r="S1351" s="1" t="s">
        <v>44</v>
      </c>
      <c r="T1351" s="1" t="s">
        <v>45</v>
      </c>
      <c r="U1351" s="1">
        <v>4.8207311E8</v>
      </c>
      <c r="W1351" s="1" t="s">
        <v>46</v>
      </c>
      <c r="X1351" s="1" t="s">
        <v>45</v>
      </c>
      <c r="Y1351" s="1">
        <v>4.82021732E8</v>
      </c>
      <c r="Z1351" s="1">
        <v>4.0574592E7</v>
      </c>
      <c r="AA1351" s="1" t="s">
        <v>2564</v>
      </c>
      <c r="AB1351" s="1">
        <v>0.0</v>
      </c>
      <c r="AC1351" s="2">
        <v>41183.0</v>
      </c>
      <c r="AD1351" s="1">
        <v>7500.0</v>
      </c>
      <c r="AE1351" s="1" t="s">
        <v>40</v>
      </c>
      <c r="AF1351" s="1">
        <v>2.01304E7</v>
      </c>
      <c r="AG1351" s="1" t="s">
        <v>2653</v>
      </c>
      <c r="AH1351" s="1">
        <v>10.0</v>
      </c>
      <c r="AI1351" s="1">
        <v>2011.0</v>
      </c>
      <c r="AJ1351" s="1">
        <v>2013.0</v>
      </c>
      <c r="AK1351" s="1" t="s">
        <v>2654</v>
      </c>
    </row>
    <row r="1352">
      <c r="A1352" s="1" t="s">
        <v>2651</v>
      </c>
      <c r="B1352" s="1" t="s">
        <v>2651</v>
      </c>
      <c r="C1352" s="1" t="s">
        <v>159</v>
      </c>
      <c r="E1352" s="1">
        <v>5297759.0</v>
      </c>
      <c r="F1352" s="2">
        <v>41183.0</v>
      </c>
      <c r="G1352" s="1" t="s">
        <v>2652</v>
      </c>
      <c r="I1352" s="1" t="s">
        <v>2652</v>
      </c>
      <c r="L1352" s="1" t="s">
        <v>40</v>
      </c>
      <c r="M1352" s="1">
        <v>7500.0</v>
      </c>
      <c r="N1352" s="1" t="s">
        <v>40</v>
      </c>
      <c r="O1352" s="1">
        <v>8.09204196E8</v>
      </c>
      <c r="P1352" s="1" t="s">
        <v>175</v>
      </c>
      <c r="Q1352" s="1" t="s">
        <v>2636</v>
      </c>
      <c r="R1352" s="1" t="s">
        <v>2078</v>
      </c>
      <c r="S1352" s="1" t="s">
        <v>44</v>
      </c>
      <c r="T1352" s="1" t="s">
        <v>45</v>
      </c>
      <c r="U1352" s="1">
        <v>4.82023026E8</v>
      </c>
      <c r="W1352" s="1" t="s">
        <v>46</v>
      </c>
      <c r="X1352" s="1" t="s">
        <v>45</v>
      </c>
      <c r="Y1352" s="1">
        <v>4.82023025E8</v>
      </c>
      <c r="Z1352" s="1">
        <v>8.09204196E8</v>
      </c>
      <c r="AA1352" s="1" t="s">
        <v>175</v>
      </c>
      <c r="AB1352" s="1">
        <v>0.0</v>
      </c>
      <c r="AC1352" s="2">
        <v>41183.0</v>
      </c>
      <c r="AD1352" s="1">
        <v>7500.0</v>
      </c>
      <c r="AE1352" s="1" t="s">
        <v>40</v>
      </c>
      <c r="AF1352" s="1">
        <v>2.0130326E7</v>
      </c>
      <c r="AG1352" s="1" t="s">
        <v>2653</v>
      </c>
      <c r="AH1352" s="1">
        <v>10.0</v>
      </c>
      <c r="AI1352" s="1">
        <v>2011.0</v>
      </c>
      <c r="AJ1352" s="1">
        <v>2013.0</v>
      </c>
      <c r="AK1352" s="1" t="s">
        <v>2654</v>
      </c>
    </row>
    <row r="1353">
      <c r="A1353" s="1" t="s">
        <v>2651</v>
      </c>
      <c r="B1353" s="1" t="s">
        <v>2651</v>
      </c>
      <c r="C1353" s="1" t="s">
        <v>159</v>
      </c>
      <c r="E1353" s="1">
        <v>5297759.0</v>
      </c>
      <c r="F1353" s="2">
        <v>41183.0</v>
      </c>
      <c r="G1353" s="1" t="s">
        <v>2652</v>
      </c>
      <c r="I1353" s="1" t="s">
        <v>2652</v>
      </c>
      <c r="L1353" s="1" t="s">
        <v>40</v>
      </c>
      <c r="M1353" s="1">
        <v>7500.0</v>
      </c>
      <c r="N1353" s="1" t="s">
        <v>40</v>
      </c>
      <c r="O1353" s="1">
        <v>3.8775243E7</v>
      </c>
      <c r="P1353" s="1" t="s">
        <v>209</v>
      </c>
      <c r="Q1353" s="1" t="s">
        <v>210</v>
      </c>
      <c r="R1353" s="1" t="s">
        <v>211</v>
      </c>
      <c r="S1353" s="1" t="s">
        <v>44</v>
      </c>
      <c r="T1353" s="1" t="s">
        <v>45</v>
      </c>
      <c r="U1353" s="1">
        <v>4.82023068E8</v>
      </c>
      <c r="W1353" s="1" t="s">
        <v>46</v>
      </c>
      <c r="X1353" s="1" t="s">
        <v>45</v>
      </c>
      <c r="Y1353" s="1">
        <v>4.82023068E8</v>
      </c>
      <c r="Z1353" s="1">
        <v>3.8775243E7</v>
      </c>
      <c r="AA1353" s="1" t="s">
        <v>209</v>
      </c>
      <c r="AB1353" s="1">
        <v>0.0</v>
      </c>
      <c r="AC1353" s="2">
        <v>41183.0</v>
      </c>
      <c r="AD1353" s="1">
        <v>7500.0</v>
      </c>
      <c r="AE1353" s="1" t="s">
        <v>40</v>
      </c>
      <c r="AF1353" s="1">
        <v>2.0131762E7</v>
      </c>
      <c r="AG1353" s="1" t="s">
        <v>2653</v>
      </c>
      <c r="AH1353" s="1">
        <v>10.0</v>
      </c>
      <c r="AI1353" s="1">
        <v>2011.0</v>
      </c>
      <c r="AJ1353" s="1">
        <v>2013.0</v>
      </c>
      <c r="AK1353" s="1" t="s">
        <v>2654</v>
      </c>
    </row>
    <row r="1354">
      <c r="A1354" s="1" t="s">
        <v>158</v>
      </c>
      <c r="B1354" s="1" t="s">
        <v>158</v>
      </c>
      <c r="C1354" s="1" t="s">
        <v>159</v>
      </c>
      <c r="E1354" s="1">
        <v>899985.0</v>
      </c>
      <c r="F1354" s="2">
        <v>41548.0</v>
      </c>
      <c r="G1354" s="1" t="s">
        <v>2655</v>
      </c>
      <c r="I1354" s="1" t="s">
        <v>2655</v>
      </c>
      <c r="L1354" s="1" t="s">
        <v>40</v>
      </c>
      <c r="M1354" s="1">
        <v>7500.0</v>
      </c>
      <c r="N1354" s="1" t="s">
        <v>40</v>
      </c>
      <c r="O1354" s="1">
        <v>7.6377316E7</v>
      </c>
      <c r="P1354" s="1" t="s">
        <v>2302</v>
      </c>
      <c r="Q1354" s="1" t="s">
        <v>210</v>
      </c>
      <c r="R1354" s="1" t="s">
        <v>2303</v>
      </c>
      <c r="S1354" s="1" t="s">
        <v>44</v>
      </c>
      <c r="T1354" s="1" t="s">
        <v>45</v>
      </c>
      <c r="U1354" s="1">
        <v>4.82012119E8</v>
      </c>
      <c r="W1354" s="1" t="s">
        <v>46</v>
      </c>
      <c r="X1354" s="1" t="s">
        <v>45</v>
      </c>
      <c r="Y1354" s="1">
        <v>4.82012119E8</v>
      </c>
      <c r="Z1354" s="1">
        <v>5.3866661E7</v>
      </c>
      <c r="AB1354" s="1">
        <v>0.0</v>
      </c>
      <c r="AC1354" s="2">
        <v>41548.0</v>
      </c>
      <c r="AD1354" s="1">
        <v>7500.0</v>
      </c>
      <c r="AE1354" s="1" t="s">
        <v>40</v>
      </c>
      <c r="AF1354" s="1">
        <v>2.0142084E7</v>
      </c>
      <c r="AG1354" s="1" t="s">
        <v>2655</v>
      </c>
      <c r="AH1354" s="1">
        <v>10.0</v>
      </c>
      <c r="AI1354" s="1">
        <v>2011.0</v>
      </c>
      <c r="AJ1354" s="1">
        <v>2014.0</v>
      </c>
      <c r="AK1354" s="1" t="s">
        <v>162</v>
      </c>
    </row>
    <row r="1355">
      <c r="A1355" s="1" t="s">
        <v>158</v>
      </c>
      <c r="B1355" s="1" t="s">
        <v>158</v>
      </c>
      <c r="C1355" s="1" t="s">
        <v>159</v>
      </c>
      <c r="E1355" s="1">
        <v>899985.0</v>
      </c>
      <c r="F1355" s="2">
        <v>41548.0</v>
      </c>
      <c r="G1355" s="1" t="s">
        <v>2655</v>
      </c>
      <c r="I1355" s="1" t="s">
        <v>2655</v>
      </c>
      <c r="L1355" s="1" t="s">
        <v>40</v>
      </c>
      <c r="M1355" s="1">
        <v>7500.0</v>
      </c>
      <c r="N1355" s="1" t="s">
        <v>40</v>
      </c>
      <c r="O1355" s="1">
        <v>3.8775243E7</v>
      </c>
      <c r="P1355" s="1" t="s">
        <v>209</v>
      </c>
      <c r="Q1355" s="1" t="s">
        <v>210</v>
      </c>
      <c r="R1355" s="1" t="s">
        <v>211</v>
      </c>
      <c r="S1355" s="1" t="s">
        <v>44</v>
      </c>
      <c r="T1355" s="1" t="s">
        <v>45</v>
      </c>
      <c r="U1355" s="1">
        <v>4.82023068E8</v>
      </c>
      <c r="W1355" s="1" t="s">
        <v>46</v>
      </c>
      <c r="X1355" s="1" t="s">
        <v>45</v>
      </c>
      <c r="Y1355" s="1">
        <v>4.82023068E8</v>
      </c>
      <c r="Z1355" s="1">
        <v>3.8775243E7</v>
      </c>
      <c r="AA1355" s="1" t="s">
        <v>209</v>
      </c>
      <c r="AB1355" s="1">
        <v>6142.0</v>
      </c>
      <c r="AC1355" s="2">
        <v>41548.0</v>
      </c>
      <c r="AD1355" s="1">
        <v>7500.0</v>
      </c>
      <c r="AE1355" s="1" t="s">
        <v>40</v>
      </c>
      <c r="AF1355" s="1">
        <v>2.0140708E7</v>
      </c>
      <c r="AG1355" s="1" t="s">
        <v>2655</v>
      </c>
      <c r="AH1355" s="1">
        <v>10.0</v>
      </c>
      <c r="AI1355" s="1">
        <v>2011.0</v>
      </c>
      <c r="AJ1355" s="1">
        <v>2014.0</v>
      </c>
      <c r="AK1355" s="1" t="s">
        <v>162</v>
      </c>
    </row>
    <row r="1356">
      <c r="A1356" s="1" t="s">
        <v>158</v>
      </c>
      <c r="B1356" s="1" t="s">
        <v>158</v>
      </c>
      <c r="C1356" s="1" t="s">
        <v>159</v>
      </c>
      <c r="E1356" s="1">
        <v>899985.0</v>
      </c>
      <c r="F1356" s="2">
        <v>41183.0</v>
      </c>
      <c r="G1356" s="1" t="s">
        <v>2655</v>
      </c>
      <c r="I1356" s="1" t="s">
        <v>2655</v>
      </c>
      <c r="L1356" s="1" t="s">
        <v>40</v>
      </c>
      <c r="M1356" s="1">
        <v>7500.0</v>
      </c>
      <c r="N1356" s="1" t="s">
        <v>40</v>
      </c>
      <c r="O1356" s="1">
        <v>3.8775243E7</v>
      </c>
      <c r="P1356" s="1" t="s">
        <v>209</v>
      </c>
      <c r="Q1356" s="1" t="s">
        <v>210</v>
      </c>
      <c r="R1356" s="1" t="s">
        <v>211</v>
      </c>
      <c r="S1356" s="1" t="s">
        <v>44</v>
      </c>
      <c r="T1356" s="1" t="s">
        <v>45</v>
      </c>
      <c r="U1356" s="1">
        <v>4.82023068E8</v>
      </c>
      <c r="W1356" s="1" t="s">
        <v>46</v>
      </c>
      <c r="X1356" s="1" t="s">
        <v>45</v>
      </c>
      <c r="Y1356" s="1">
        <v>4.82023068E8</v>
      </c>
      <c r="Z1356" s="1">
        <v>3.8775243E7</v>
      </c>
      <c r="AA1356" s="1" t="s">
        <v>209</v>
      </c>
      <c r="AB1356" s="1">
        <v>0.0</v>
      </c>
      <c r="AC1356" s="2">
        <v>41183.0</v>
      </c>
      <c r="AD1356" s="1">
        <v>7500.0</v>
      </c>
      <c r="AE1356" s="1" t="s">
        <v>40</v>
      </c>
      <c r="AF1356" s="1">
        <v>2.0131247E7</v>
      </c>
      <c r="AG1356" s="1" t="s">
        <v>2655</v>
      </c>
      <c r="AH1356" s="1">
        <v>10.0</v>
      </c>
      <c r="AI1356" s="1">
        <v>2011.0</v>
      </c>
      <c r="AJ1356" s="1">
        <v>2013.0</v>
      </c>
      <c r="AK1356" s="1" t="s">
        <v>162</v>
      </c>
    </row>
    <row r="1357">
      <c r="A1357" s="1" t="s">
        <v>2789</v>
      </c>
      <c r="B1357" s="1" t="s">
        <v>2789</v>
      </c>
      <c r="C1357" s="1" t="s">
        <v>207</v>
      </c>
      <c r="E1357" s="1">
        <v>2.11124045E9</v>
      </c>
      <c r="F1357" s="2">
        <v>41183.0</v>
      </c>
      <c r="G1357" s="1" t="s">
        <v>2790</v>
      </c>
      <c r="I1357" s="1" t="s">
        <v>2790</v>
      </c>
      <c r="L1357" s="1" t="s">
        <v>40</v>
      </c>
      <c r="M1357" s="1">
        <v>7500.0</v>
      </c>
      <c r="N1357" s="1" t="s">
        <v>40</v>
      </c>
      <c r="O1357" s="1">
        <v>4.6842605E7</v>
      </c>
      <c r="P1357" s="1" t="s">
        <v>165</v>
      </c>
      <c r="Q1357" s="1" t="s">
        <v>166</v>
      </c>
      <c r="R1357" s="1" t="s">
        <v>167</v>
      </c>
      <c r="S1357" s="1" t="s">
        <v>44</v>
      </c>
      <c r="T1357" s="1" t="s">
        <v>45</v>
      </c>
      <c r="U1357" s="1">
        <v>4.82074544E8</v>
      </c>
      <c r="W1357" s="1" t="s">
        <v>46</v>
      </c>
      <c r="X1357" s="1" t="s">
        <v>45</v>
      </c>
      <c r="Y1357" s="1">
        <v>4.82074544E8</v>
      </c>
      <c r="Z1357" s="1">
        <v>7.3134603E7</v>
      </c>
      <c r="AA1357" s="1" t="s">
        <v>41</v>
      </c>
      <c r="AB1357" s="1">
        <v>3575679.92</v>
      </c>
      <c r="AC1357" s="2">
        <v>41183.0</v>
      </c>
      <c r="AD1357" s="1">
        <v>7500.0</v>
      </c>
      <c r="AE1357" s="1" t="s">
        <v>40</v>
      </c>
      <c r="AF1357" s="1">
        <v>2.0130477E7</v>
      </c>
      <c r="AG1357" s="1" t="s">
        <v>2771</v>
      </c>
      <c r="AH1357" s="1">
        <v>10.0</v>
      </c>
      <c r="AI1357" s="1">
        <v>2012.0</v>
      </c>
      <c r="AJ1357" s="1">
        <v>2013.0</v>
      </c>
      <c r="AK1357" s="1" t="s">
        <v>213</v>
      </c>
    </row>
    <row r="1358">
      <c r="A1358" s="1" t="s">
        <v>2789</v>
      </c>
      <c r="B1358" s="1" t="s">
        <v>2789</v>
      </c>
      <c r="C1358" s="1" t="s">
        <v>207</v>
      </c>
      <c r="E1358" s="1">
        <v>2.11124045E9</v>
      </c>
      <c r="F1358" s="2">
        <v>41183.0</v>
      </c>
      <c r="G1358" s="1" t="s">
        <v>2790</v>
      </c>
      <c r="I1358" s="1" t="s">
        <v>2790</v>
      </c>
      <c r="L1358" s="1" t="s">
        <v>40</v>
      </c>
      <c r="M1358" s="1">
        <v>7500.0</v>
      </c>
      <c r="N1358" s="1" t="s">
        <v>40</v>
      </c>
      <c r="O1358" s="1">
        <v>7.92267549E8</v>
      </c>
      <c r="P1358" s="1" t="s">
        <v>41</v>
      </c>
      <c r="Q1358" s="1" t="s">
        <v>2769</v>
      </c>
      <c r="R1358" s="1" t="s">
        <v>2770</v>
      </c>
      <c r="S1358" s="1" t="s">
        <v>44</v>
      </c>
      <c r="T1358" s="1" t="s">
        <v>45</v>
      </c>
      <c r="U1358" s="1">
        <v>4.82353296E8</v>
      </c>
      <c r="W1358" s="1" t="s">
        <v>46</v>
      </c>
      <c r="X1358" s="1" t="s">
        <v>45</v>
      </c>
      <c r="Y1358" s="1">
        <v>4.82353456E8</v>
      </c>
      <c r="Z1358" s="1">
        <v>7.3134603E7</v>
      </c>
      <c r="AA1358" s="1" t="s">
        <v>41</v>
      </c>
      <c r="AB1358" s="1">
        <v>1493775.0</v>
      </c>
      <c r="AC1358" s="2">
        <v>41183.0</v>
      </c>
      <c r="AD1358" s="1">
        <v>7500.0</v>
      </c>
      <c r="AE1358" s="1" t="s">
        <v>40</v>
      </c>
      <c r="AF1358" s="1">
        <v>2.0130336E7</v>
      </c>
      <c r="AG1358" s="1" t="s">
        <v>2771</v>
      </c>
      <c r="AH1358" s="1">
        <v>10.0</v>
      </c>
      <c r="AI1358" s="1">
        <v>2012.0</v>
      </c>
      <c r="AJ1358" s="1">
        <v>2013.0</v>
      </c>
      <c r="AK1358" s="1" t="s">
        <v>213</v>
      </c>
    </row>
    <row r="1359">
      <c r="A1359" s="1" t="s">
        <v>2789</v>
      </c>
      <c r="B1359" s="1" t="s">
        <v>2789</v>
      </c>
      <c r="C1359" s="1" t="s">
        <v>207</v>
      </c>
      <c r="E1359" s="1">
        <v>2.11124045E9</v>
      </c>
      <c r="F1359" s="2">
        <v>41183.0</v>
      </c>
      <c r="G1359" s="1" t="s">
        <v>2790</v>
      </c>
      <c r="I1359" s="1" t="s">
        <v>2790</v>
      </c>
      <c r="L1359" s="1" t="s">
        <v>40</v>
      </c>
      <c r="M1359" s="1">
        <v>7500.0</v>
      </c>
      <c r="N1359" s="1" t="s">
        <v>40</v>
      </c>
      <c r="O1359" s="1">
        <v>3.8775243E7</v>
      </c>
      <c r="P1359" s="1" t="s">
        <v>209</v>
      </c>
      <c r="Q1359" s="1" t="s">
        <v>210</v>
      </c>
      <c r="R1359" s="1" t="s">
        <v>211</v>
      </c>
      <c r="S1359" s="1" t="s">
        <v>44</v>
      </c>
      <c r="T1359" s="1" t="s">
        <v>45</v>
      </c>
      <c r="U1359" s="1">
        <v>4.82023068E8</v>
      </c>
      <c r="W1359" s="1" t="s">
        <v>46</v>
      </c>
      <c r="X1359" s="1" t="s">
        <v>45</v>
      </c>
      <c r="Y1359" s="1">
        <v>4.82023068E8</v>
      </c>
      <c r="Z1359" s="1">
        <v>3.8775243E7</v>
      </c>
      <c r="AA1359" s="1" t="s">
        <v>209</v>
      </c>
      <c r="AB1359" s="1">
        <v>3749.99</v>
      </c>
      <c r="AC1359" s="2">
        <v>41183.0</v>
      </c>
      <c r="AD1359" s="1">
        <v>7500.0</v>
      </c>
      <c r="AE1359" s="1" t="s">
        <v>40</v>
      </c>
      <c r="AF1359" s="1">
        <v>2.0133941E7</v>
      </c>
      <c r="AG1359" s="1" t="s">
        <v>212</v>
      </c>
      <c r="AH1359" s="1">
        <v>10.0</v>
      </c>
      <c r="AI1359" s="1">
        <v>2012.0</v>
      </c>
      <c r="AJ1359" s="1">
        <v>2013.0</v>
      </c>
      <c r="AK1359" s="1" t="s">
        <v>213</v>
      </c>
    </row>
    <row r="1360">
      <c r="A1360" s="1" t="s">
        <v>2813</v>
      </c>
      <c r="B1360" s="1" t="s">
        <v>2813</v>
      </c>
      <c r="C1360" s="1" t="s">
        <v>38</v>
      </c>
      <c r="E1360" s="1">
        <v>1.3548137E7</v>
      </c>
      <c r="F1360" s="2">
        <v>41914.0</v>
      </c>
      <c r="G1360" s="1" t="s">
        <v>2814</v>
      </c>
      <c r="I1360" s="1" t="s">
        <v>2814</v>
      </c>
      <c r="L1360" s="1" t="s">
        <v>40</v>
      </c>
      <c r="M1360" s="1">
        <v>7500.0</v>
      </c>
      <c r="N1360" s="1" t="s">
        <v>40</v>
      </c>
      <c r="O1360" s="1">
        <v>7.3134603E7</v>
      </c>
      <c r="P1360" s="1" t="s">
        <v>41</v>
      </c>
      <c r="Q1360" s="1" t="s">
        <v>252</v>
      </c>
      <c r="R1360" s="1" t="s">
        <v>253</v>
      </c>
      <c r="S1360" s="1" t="s">
        <v>44</v>
      </c>
      <c r="T1360" s="1" t="s">
        <v>45</v>
      </c>
      <c r="U1360" s="1">
        <v>4.8202345E8</v>
      </c>
      <c r="W1360" s="1" t="s">
        <v>46</v>
      </c>
      <c r="X1360" s="1" t="s">
        <v>45</v>
      </c>
      <c r="Y1360" s="1">
        <v>4.82022689E8</v>
      </c>
      <c r="Z1360" s="1">
        <v>7.3134603E7</v>
      </c>
      <c r="AA1360" s="1" t="s">
        <v>41</v>
      </c>
      <c r="AB1360" s="1">
        <v>87063.0</v>
      </c>
      <c r="AC1360" s="2">
        <v>41914.0</v>
      </c>
      <c r="AD1360" s="1">
        <v>7500.0</v>
      </c>
      <c r="AE1360" s="1" t="s">
        <v>40</v>
      </c>
      <c r="AF1360" s="1" t="s">
        <v>2815</v>
      </c>
      <c r="AG1360" s="1" t="s">
        <v>2816</v>
      </c>
      <c r="AH1360" s="1">
        <v>10.0</v>
      </c>
      <c r="AI1360" s="1">
        <v>2014.0</v>
      </c>
      <c r="AJ1360" s="1">
        <v>2015.0</v>
      </c>
      <c r="AK1360" s="1" t="s">
        <v>415</v>
      </c>
    </row>
    <row r="1361">
      <c r="A1361" s="1" t="s">
        <v>206</v>
      </c>
      <c r="B1361" s="1" t="s">
        <v>206</v>
      </c>
      <c r="C1361" s="1" t="s">
        <v>207</v>
      </c>
      <c r="E1361" s="1">
        <v>2.02101094E9</v>
      </c>
      <c r="F1361" s="2">
        <v>41183.0</v>
      </c>
      <c r="G1361" s="1" t="s">
        <v>208</v>
      </c>
      <c r="I1361" s="1" t="s">
        <v>208</v>
      </c>
      <c r="L1361" s="1" t="s">
        <v>40</v>
      </c>
      <c r="M1361" s="1">
        <v>7500.0</v>
      </c>
      <c r="N1361" s="1" t="s">
        <v>40</v>
      </c>
      <c r="O1361" s="1">
        <v>3.8775243E7</v>
      </c>
      <c r="P1361" s="1" t="s">
        <v>209</v>
      </c>
      <c r="Q1361" s="1" t="s">
        <v>210</v>
      </c>
      <c r="R1361" s="1" t="s">
        <v>211</v>
      </c>
      <c r="S1361" s="1" t="s">
        <v>44</v>
      </c>
      <c r="T1361" s="1" t="s">
        <v>45</v>
      </c>
      <c r="U1361" s="1">
        <v>4.82023068E8</v>
      </c>
      <c r="W1361" s="1" t="s">
        <v>46</v>
      </c>
      <c r="X1361" s="1" t="s">
        <v>45</v>
      </c>
      <c r="Y1361" s="1">
        <v>4.82023068E8</v>
      </c>
      <c r="Z1361" s="1">
        <v>3.8775243E7</v>
      </c>
      <c r="AA1361" s="1" t="s">
        <v>209</v>
      </c>
      <c r="AB1361" s="1">
        <v>12603.25</v>
      </c>
      <c r="AC1361" s="2">
        <v>41183.0</v>
      </c>
      <c r="AD1361" s="1">
        <v>7500.0</v>
      </c>
      <c r="AE1361" s="1" t="s">
        <v>40</v>
      </c>
      <c r="AF1361" s="1">
        <v>2.0131081E7</v>
      </c>
      <c r="AG1361" s="1" t="s">
        <v>212</v>
      </c>
      <c r="AH1361" s="1">
        <v>10.0</v>
      </c>
      <c r="AI1361" s="1">
        <v>2012.0</v>
      </c>
      <c r="AJ1361" s="1">
        <v>2013.0</v>
      </c>
      <c r="AK1361" s="1" t="s">
        <v>213</v>
      </c>
    </row>
    <row r="1362">
      <c r="A1362" s="1" t="s">
        <v>206</v>
      </c>
      <c r="B1362" s="1" t="s">
        <v>206</v>
      </c>
      <c r="C1362" s="1" t="s">
        <v>207</v>
      </c>
      <c r="E1362" s="1">
        <v>2.02101094E9</v>
      </c>
      <c r="F1362" s="2">
        <v>41183.0</v>
      </c>
      <c r="G1362" s="1" t="s">
        <v>208</v>
      </c>
      <c r="I1362" s="1" t="s">
        <v>208</v>
      </c>
      <c r="L1362" s="1" t="s">
        <v>40</v>
      </c>
      <c r="M1362" s="1">
        <v>7500.0</v>
      </c>
      <c r="N1362" s="1" t="s">
        <v>40</v>
      </c>
      <c r="O1362" s="1">
        <v>3.8775243E7</v>
      </c>
      <c r="P1362" s="1" t="s">
        <v>209</v>
      </c>
      <c r="Q1362" s="1" t="s">
        <v>210</v>
      </c>
      <c r="R1362" s="1" t="s">
        <v>211</v>
      </c>
      <c r="S1362" s="1" t="s">
        <v>44</v>
      </c>
      <c r="T1362" s="1" t="s">
        <v>45</v>
      </c>
      <c r="U1362" s="1">
        <v>4.82023068E8</v>
      </c>
      <c r="W1362" s="1" t="s">
        <v>46</v>
      </c>
      <c r="X1362" s="1" t="s">
        <v>45</v>
      </c>
      <c r="Y1362" s="1">
        <v>4.82023068E8</v>
      </c>
      <c r="Z1362" s="1">
        <v>3.8775243E7</v>
      </c>
      <c r="AA1362" s="1" t="s">
        <v>209</v>
      </c>
      <c r="AB1362" s="1">
        <v>2145.97</v>
      </c>
      <c r="AC1362" s="2">
        <v>41183.0</v>
      </c>
      <c r="AD1362" s="1">
        <v>7500.0</v>
      </c>
      <c r="AE1362" s="1" t="s">
        <v>40</v>
      </c>
      <c r="AF1362" s="1">
        <v>2.0131083E7</v>
      </c>
      <c r="AG1362" s="1" t="s">
        <v>212</v>
      </c>
      <c r="AH1362" s="1">
        <v>10.0</v>
      </c>
      <c r="AI1362" s="1">
        <v>2012.0</v>
      </c>
      <c r="AJ1362" s="1">
        <v>2013.0</v>
      </c>
      <c r="AK1362" s="1" t="s">
        <v>213</v>
      </c>
    </row>
    <row r="1363">
      <c r="A1363" s="1" t="s">
        <v>206</v>
      </c>
      <c r="B1363" s="1" t="s">
        <v>206</v>
      </c>
      <c r="C1363" s="1" t="s">
        <v>207</v>
      </c>
      <c r="E1363" s="1">
        <v>2.02101094E9</v>
      </c>
      <c r="F1363" s="2">
        <v>41183.0</v>
      </c>
      <c r="G1363" s="1" t="s">
        <v>208</v>
      </c>
      <c r="I1363" s="1" t="s">
        <v>208</v>
      </c>
      <c r="L1363" s="1" t="s">
        <v>40</v>
      </c>
      <c r="M1363" s="1">
        <v>7500.0</v>
      </c>
      <c r="N1363" s="1" t="s">
        <v>40</v>
      </c>
      <c r="O1363" s="1">
        <v>3.8775243E7</v>
      </c>
      <c r="P1363" s="1" t="s">
        <v>209</v>
      </c>
      <c r="Q1363" s="1" t="s">
        <v>210</v>
      </c>
      <c r="R1363" s="1" t="s">
        <v>211</v>
      </c>
      <c r="S1363" s="1" t="s">
        <v>44</v>
      </c>
      <c r="T1363" s="1" t="s">
        <v>45</v>
      </c>
      <c r="U1363" s="1">
        <v>4.82023068E8</v>
      </c>
      <c r="W1363" s="1" t="s">
        <v>46</v>
      </c>
      <c r="X1363" s="1" t="s">
        <v>45</v>
      </c>
      <c r="Y1363" s="1">
        <v>4.82023068E8</v>
      </c>
      <c r="Z1363" s="1">
        <v>3.8775243E7</v>
      </c>
      <c r="AA1363" s="1" t="s">
        <v>209</v>
      </c>
      <c r="AB1363" s="1">
        <v>731.25</v>
      </c>
      <c r="AC1363" s="2">
        <v>41183.0</v>
      </c>
      <c r="AD1363" s="1">
        <v>7500.0</v>
      </c>
      <c r="AE1363" s="1" t="s">
        <v>40</v>
      </c>
      <c r="AF1363" s="1">
        <v>2.0131087E7</v>
      </c>
      <c r="AG1363" s="1" t="s">
        <v>212</v>
      </c>
      <c r="AH1363" s="1">
        <v>10.0</v>
      </c>
      <c r="AI1363" s="1">
        <v>2012.0</v>
      </c>
      <c r="AJ1363" s="1">
        <v>2013.0</v>
      </c>
      <c r="AK1363" s="1" t="s">
        <v>213</v>
      </c>
    </row>
    <row r="1364">
      <c r="A1364" s="1" t="s">
        <v>206</v>
      </c>
      <c r="B1364" s="1" t="s">
        <v>206</v>
      </c>
      <c r="C1364" s="1" t="s">
        <v>207</v>
      </c>
      <c r="E1364" s="1">
        <v>2.02101094E9</v>
      </c>
      <c r="F1364" s="2">
        <v>41183.0</v>
      </c>
      <c r="G1364" s="1" t="s">
        <v>208</v>
      </c>
      <c r="I1364" s="1" t="s">
        <v>208</v>
      </c>
      <c r="L1364" s="1" t="s">
        <v>40</v>
      </c>
      <c r="M1364" s="1">
        <v>7500.0</v>
      </c>
      <c r="N1364" s="1" t="s">
        <v>40</v>
      </c>
      <c r="O1364" s="1">
        <v>3.8775243E7</v>
      </c>
      <c r="P1364" s="1" t="s">
        <v>209</v>
      </c>
      <c r="Q1364" s="1" t="s">
        <v>210</v>
      </c>
      <c r="R1364" s="1" t="s">
        <v>211</v>
      </c>
      <c r="S1364" s="1" t="s">
        <v>44</v>
      </c>
      <c r="T1364" s="1" t="s">
        <v>45</v>
      </c>
      <c r="U1364" s="1">
        <v>4.82023068E8</v>
      </c>
      <c r="W1364" s="1" t="s">
        <v>46</v>
      </c>
      <c r="X1364" s="1" t="s">
        <v>45</v>
      </c>
      <c r="Y1364" s="1">
        <v>4.82023068E8</v>
      </c>
      <c r="Z1364" s="1">
        <v>3.8775243E7</v>
      </c>
      <c r="AA1364" s="1" t="s">
        <v>209</v>
      </c>
      <c r="AB1364" s="1">
        <v>22521.0</v>
      </c>
      <c r="AC1364" s="2">
        <v>41183.0</v>
      </c>
      <c r="AD1364" s="1">
        <v>7500.0</v>
      </c>
      <c r="AE1364" s="1" t="s">
        <v>40</v>
      </c>
      <c r="AF1364" s="1">
        <v>2.0131085E7</v>
      </c>
      <c r="AG1364" s="1" t="s">
        <v>212</v>
      </c>
      <c r="AH1364" s="1">
        <v>10.0</v>
      </c>
      <c r="AI1364" s="1">
        <v>2012.0</v>
      </c>
      <c r="AJ1364" s="1">
        <v>2013.0</v>
      </c>
      <c r="AK1364" s="1" t="s">
        <v>213</v>
      </c>
    </row>
    <row r="1365">
      <c r="A1365" s="1" t="s">
        <v>2767</v>
      </c>
      <c r="B1365" s="1" t="s">
        <v>2767</v>
      </c>
      <c r="C1365" s="1" t="s">
        <v>207</v>
      </c>
      <c r="E1365" s="1">
        <v>2.23540403E9</v>
      </c>
      <c r="F1365" s="2">
        <v>41183.0</v>
      </c>
      <c r="G1365" s="1" t="s">
        <v>2768</v>
      </c>
      <c r="I1365" s="1" t="s">
        <v>2768</v>
      </c>
      <c r="L1365" s="1" t="s">
        <v>40</v>
      </c>
      <c r="M1365" s="1">
        <v>7500.0</v>
      </c>
      <c r="N1365" s="1" t="s">
        <v>40</v>
      </c>
      <c r="O1365" s="1">
        <v>3.8775243E7</v>
      </c>
      <c r="P1365" s="1" t="s">
        <v>209</v>
      </c>
      <c r="Q1365" s="1" t="s">
        <v>210</v>
      </c>
      <c r="R1365" s="1" t="s">
        <v>211</v>
      </c>
      <c r="S1365" s="1" t="s">
        <v>44</v>
      </c>
      <c r="T1365" s="1" t="s">
        <v>45</v>
      </c>
      <c r="U1365" s="1">
        <v>4.82023068E8</v>
      </c>
      <c r="W1365" s="1" t="s">
        <v>46</v>
      </c>
      <c r="X1365" s="1" t="s">
        <v>45</v>
      </c>
      <c r="Y1365" s="1">
        <v>4.82023068E8</v>
      </c>
      <c r="Z1365" s="1">
        <v>3.8775243E7</v>
      </c>
      <c r="AA1365" s="1" t="s">
        <v>209</v>
      </c>
      <c r="AB1365" s="1">
        <v>11056.5</v>
      </c>
      <c r="AC1365" s="2">
        <v>41183.0</v>
      </c>
      <c r="AD1365" s="1">
        <v>7500.0</v>
      </c>
      <c r="AE1365" s="1" t="s">
        <v>40</v>
      </c>
      <c r="AF1365" s="1">
        <v>2.0131257E7</v>
      </c>
      <c r="AG1365" s="1" t="s">
        <v>212</v>
      </c>
      <c r="AH1365" s="1">
        <v>10.0</v>
      </c>
      <c r="AI1365" s="1">
        <v>2012.0</v>
      </c>
      <c r="AJ1365" s="1">
        <v>2013.0</v>
      </c>
      <c r="AK1365" s="1" t="s">
        <v>213</v>
      </c>
    </row>
    <row r="1366">
      <c r="A1366" s="1" t="s">
        <v>2767</v>
      </c>
      <c r="B1366" s="1" t="s">
        <v>2767</v>
      </c>
      <c r="C1366" s="1" t="s">
        <v>207</v>
      </c>
      <c r="E1366" s="1">
        <v>2.23540403E9</v>
      </c>
      <c r="F1366" s="2">
        <v>41183.0</v>
      </c>
      <c r="G1366" s="1" t="s">
        <v>2768</v>
      </c>
      <c r="I1366" s="1" t="s">
        <v>2768</v>
      </c>
      <c r="L1366" s="1" t="s">
        <v>40</v>
      </c>
      <c r="M1366" s="1">
        <v>7500.0</v>
      </c>
      <c r="N1366" s="1" t="s">
        <v>40</v>
      </c>
      <c r="O1366" s="1">
        <v>3.8775243E7</v>
      </c>
      <c r="P1366" s="1" t="s">
        <v>209</v>
      </c>
      <c r="Q1366" s="1" t="s">
        <v>210</v>
      </c>
      <c r="R1366" s="1" t="s">
        <v>211</v>
      </c>
      <c r="S1366" s="1" t="s">
        <v>44</v>
      </c>
      <c r="T1366" s="1" t="s">
        <v>45</v>
      </c>
      <c r="U1366" s="1">
        <v>4.82023068E8</v>
      </c>
      <c r="W1366" s="1" t="s">
        <v>46</v>
      </c>
      <c r="X1366" s="1" t="s">
        <v>45</v>
      </c>
      <c r="Y1366" s="1">
        <v>4.82023068E8</v>
      </c>
      <c r="Z1366" s="1">
        <v>3.8775243E7</v>
      </c>
      <c r="AA1366" s="1" t="s">
        <v>209</v>
      </c>
      <c r="AB1366" s="1">
        <v>26013.75</v>
      </c>
      <c r="AC1366" s="2">
        <v>41183.0</v>
      </c>
      <c r="AD1366" s="1">
        <v>7500.0</v>
      </c>
      <c r="AE1366" s="1" t="s">
        <v>40</v>
      </c>
      <c r="AF1366" s="1">
        <v>2.0131095E7</v>
      </c>
      <c r="AG1366" s="1" t="s">
        <v>212</v>
      </c>
      <c r="AH1366" s="1">
        <v>10.0</v>
      </c>
      <c r="AI1366" s="1">
        <v>2012.0</v>
      </c>
      <c r="AJ1366" s="1">
        <v>2013.0</v>
      </c>
      <c r="AK1366" s="1" t="s">
        <v>213</v>
      </c>
    </row>
    <row r="1367">
      <c r="A1367" s="1" t="s">
        <v>2767</v>
      </c>
      <c r="B1367" s="1" t="s">
        <v>2767</v>
      </c>
      <c r="C1367" s="1" t="s">
        <v>207</v>
      </c>
      <c r="E1367" s="1">
        <v>2.23540403E9</v>
      </c>
      <c r="F1367" s="2">
        <v>41183.0</v>
      </c>
      <c r="G1367" s="1" t="s">
        <v>2768</v>
      </c>
      <c r="I1367" s="1" t="s">
        <v>2768</v>
      </c>
      <c r="L1367" s="1" t="s">
        <v>40</v>
      </c>
      <c r="M1367" s="1">
        <v>7500.0</v>
      </c>
      <c r="N1367" s="1" t="s">
        <v>40</v>
      </c>
      <c r="O1367" s="1">
        <v>3.8775243E7</v>
      </c>
      <c r="P1367" s="1" t="s">
        <v>209</v>
      </c>
      <c r="Q1367" s="1" t="s">
        <v>210</v>
      </c>
      <c r="R1367" s="1" t="s">
        <v>211</v>
      </c>
      <c r="S1367" s="1" t="s">
        <v>44</v>
      </c>
      <c r="T1367" s="1" t="s">
        <v>45</v>
      </c>
      <c r="U1367" s="1">
        <v>4.82023068E8</v>
      </c>
      <c r="W1367" s="1" t="s">
        <v>46</v>
      </c>
      <c r="X1367" s="1" t="s">
        <v>45</v>
      </c>
      <c r="Y1367" s="1">
        <v>4.82023068E8</v>
      </c>
      <c r="Z1367" s="1">
        <v>3.8775243E7</v>
      </c>
      <c r="AA1367" s="1" t="s">
        <v>209</v>
      </c>
      <c r="AB1367" s="1">
        <v>13067.38</v>
      </c>
      <c r="AC1367" s="2">
        <v>41183.0</v>
      </c>
      <c r="AD1367" s="1">
        <v>7500.0</v>
      </c>
      <c r="AE1367" s="1" t="s">
        <v>40</v>
      </c>
      <c r="AF1367" s="1">
        <v>2.013108E7</v>
      </c>
      <c r="AG1367" s="1" t="s">
        <v>212</v>
      </c>
      <c r="AH1367" s="1">
        <v>10.0</v>
      </c>
      <c r="AI1367" s="1">
        <v>2012.0</v>
      </c>
      <c r="AJ1367" s="1">
        <v>2013.0</v>
      </c>
      <c r="AK1367" s="1" t="s">
        <v>213</v>
      </c>
    </row>
    <row r="1368">
      <c r="A1368" s="1" t="s">
        <v>2767</v>
      </c>
      <c r="B1368" s="1" t="s">
        <v>2767</v>
      </c>
      <c r="C1368" s="1" t="s">
        <v>207</v>
      </c>
      <c r="E1368" s="1">
        <v>2.23540403E9</v>
      </c>
      <c r="F1368" s="2">
        <v>41183.0</v>
      </c>
      <c r="G1368" s="1" t="s">
        <v>2768</v>
      </c>
      <c r="I1368" s="1" t="s">
        <v>2768</v>
      </c>
      <c r="L1368" s="1" t="s">
        <v>40</v>
      </c>
      <c r="M1368" s="1">
        <v>7500.0</v>
      </c>
      <c r="N1368" s="1" t="s">
        <v>40</v>
      </c>
      <c r="O1368" s="1">
        <v>7.3134884E7</v>
      </c>
      <c r="P1368" s="1" t="s">
        <v>259</v>
      </c>
      <c r="R1368" s="1" t="s">
        <v>286</v>
      </c>
      <c r="S1368" s="1" t="s">
        <v>44</v>
      </c>
      <c r="T1368" s="1" t="s">
        <v>45</v>
      </c>
      <c r="U1368" s="1">
        <v>4.82262841E8</v>
      </c>
      <c r="W1368" s="1" t="s">
        <v>46</v>
      </c>
      <c r="X1368" s="1" t="s">
        <v>45</v>
      </c>
      <c r="Y1368" s="1">
        <v>4.8226348E8</v>
      </c>
      <c r="Z1368" s="1">
        <v>7.3134884E7</v>
      </c>
      <c r="AA1368" s="1" t="s">
        <v>1796</v>
      </c>
      <c r="AB1368" s="1">
        <v>410870.1</v>
      </c>
      <c r="AC1368" s="2">
        <v>41183.0</v>
      </c>
      <c r="AD1368" s="1">
        <v>7500.0</v>
      </c>
      <c r="AE1368" s="1" t="s">
        <v>40</v>
      </c>
      <c r="AF1368" s="1">
        <v>2.0131302E7</v>
      </c>
      <c r="AG1368" s="1" t="s">
        <v>212</v>
      </c>
      <c r="AH1368" s="1">
        <v>10.0</v>
      </c>
      <c r="AI1368" s="1">
        <v>2012.0</v>
      </c>
      <c r="AJ1368" s="1">
        <v>2013.0</v>
      </c>
      <c r="AK1368" s="1" t="s">
        <v>213</v>
      </c>
    </row>
    <row r="1369">
      <c r="A1369" s="1" t="s">
        <v>2767</v>
      </c>
      <c r="B1369" s="1" t="s">
        <v>2767</v>
      </c>
      <c r="C1369" s="1" t="s">
        <v>207</v>
      </c>
      <c r="E1369" s="1">
        <v>2.23540403E9</v>
      </c>
      <c r="F1369" s="2">
        <v>41183.0</v>
      </c>
      <c r="G1369" s="1" t="s">
        <v>2768</v>
      </c>
      <c r="I1369" s="1" t="s">
        <v>2768</v>
      </c>
      <c r="L1369" s="1" t="s">
        <v>40</v>
      </c>
      <c r="M1369" s="1">
        <v>7500.0</v>
      </c>
      <c r="N1369" s="1" t="s">
        <v>40</v>
      </c>
      <c r="O1369" s="1">
        <v>7.8583404E7</v>
      </c>
      <c r="P1369" s="1" t="s">
        <v>65</v>
      </c>
      <c r="R1369" s="1" t="s">
        <v>1573</v>
      </c>
      <c r="S1369" s="1" t="s">
        <v>44</v>
      </c>
      <c r="T1369" s="1" t="s">
        <v>45</v>
      </c>
      <c r="U1369" s="1">
        <v>4.8207311E8</v>
      </c>
      <c r="W1369" s="1" t="s">
        <v>46</v>
      </c>
      <c r="X1369" s="1" t="s">
        <v>45</v>
      </c>
      <c r="Y1369" s="1">
        <v>4.82021732E8</v>
      </c>
      <c r="AB1369" s="1">
        <v>100785.0</v>
      </c>
      <c r="AC1369" s="2">
        <v>41183.0</v>
      </c>
      <c r="AD1369" s="1">
        <v>7500.0</v>
      </c>
      <c r="AE1369" s="1" t="s">
        <v>40</v>
      </c>
      <c r="AF1369" s="1">
        <v>2.01304E7</v>
      </c>
      <c r="AG1369" s="1" t="s">
        <v>212</v>
      </c>
      <c r="AH1369" s="1">
        <v>10.0</v>
      </c>
      <c r="AI1369" s="1">
        <v>2012.0</v>
      </c>
      <c r="AJ1369" s="1">
        <v>2013.0</v>
      </c>
      <c r="AK1369" s="1" t="s">
        <v>213</v>
      </c>
    </row>
    <row r="1370">
      <c r="A1370" s="1" t="s">
        <v>2772</v>
      </c>
      <c r="B1370" s="1" t="s">
        <v>2772</v>
      </c>
      <c r="C1370" s="1" t="s">
        <v>207</v>
      </c>
      <c r="E1370" s="1">
        <v>2.67163955E9</v>
      </c>
      <c r="F1370" s="2">
        <v>41183.0</v>
      </c>
      <c r="G1370" s="1" t="s">
        <v>2773</v>
      </c>
      <c r="I1370" s="1" t="s">
        <v>2773</v>
      </c>
      <c r="L1370" s="1" t="s">
        <v>40</v>
      </c>
      <c r="M1370" s="1">
        <v>7500.0</v>
      </c>
      <c r="N1370" s="1" t="s">
        <v>40</v>
      </c>
      <c r="O1370" s="1">
        <v>3.8775243E7</v>
      </c>
      <c r="P1370" s="1" t="s">
        <v>209</v>
      </c>
      <c r="Q1370" s="1" t="s">
        <v>210</v>
      </c>
      <c r="R1370" s="1" t="s">
        <v>211</v>
      </c>
      <c r="S1370" s="1" t="s">
        <v>44</v>
      </c>
      <c r="T1370" s="1" t="s">
        <v>45</v>
      </c>
      <c r="U1370" s="1">
        <v>4.82023068E8</v>
      </c>
      <c r="W1370" s="1" t="s">
        <v>46</v>
      </c>
      <c r="X1370" s="1" t="s">
        <v>45</v>
      </c>
      <c r="Y1370" s="1">
        <v>4.82023068E8</v>
      </c>
      <c r="Z1370" s="1">
        <v>3.8775243E7</v>
      </c>
      <c r="AA1370" s="1" t="s">
        <v>209</v>
      </c>
      <c r="AB1370" s="1">
        <v>13067.38</v>
      </c>
      <c r="AC1370" s="2">
        <v>41183.0</v>
      </c>
      <c r="AD1370" s="1">
        <v>7500.0</v>
      </c>
      <c r="AE1370" s="1" t="s">
        <v>40</v>
      </c>
      <c r="AF1370" s="1">
        <v>2.013108E7</v>
      </c>
      <c r="AG1370" s="1" t="s">
        <v>212</v>
      </c>
      <c r="AH1370" s="1">
        <v>10.0</v>
      </c>
      <c r="AI1370" s="1">
        <v>2012.0</v>
      </c>
      <c r="AJ1370" s="1">
        <v>2013.0</v>
      </c>
      <c r="AK1370" s="1" t="s">
        <v>213</v>
      </c>
    </row>
    <row r="1371">
      <c r="A1371" s="1" t="s">
        <v>2772</v>
      </c>
      <c r="B1371" s="1" t="s">
        <v>2772</v>
      </c>
      <c r="C1371" s="1" t="s">
        <v>207</v>
      </c>
      <c r="E1371" s="1">
        <v>2.67163955E9</v>
      </c>
      <c r="F1371" s="2">
        <v>41183.0</v>
      </c>
      <c r="G1371" s="1" t="s">
        <v>2773</v>
      </c>
      <c r="I1371" s="1" t="s">
        <v>2773</v>
      </c>
      <c r="L1371" s="1" t="s">
        <v>40</v>
      </c>
      <c r="M1371" s="1">
        <v>7500.0</v>
      </c>
      <c r="N1371" s="1" t="s">
        <v>40</v>
      </c>
      <c r="O1371" s="1">
        <v>3.8775243E7</v>
      </c>
      <c r="P1371" s="1" t="s">
        <v>209</v>
      </c>
      <c r="Q1371" s="1" t="s">
        <v>210</v>
      </c>
      <c r="R1371" s="1" t="s">
        <v>211</v>
      </c>
      <c r="S1371" s="1" t="s">
        <v>44</v>
      </c>
      <c r="T1371" s="1" t="s">
        <v>45</v>
      </c>
      <c r="U1371" s="1">
        <v>4.82023068E8</v>
      </c>
      <c r="W1371" s="1" t="s">
        <v>46</v>
      </c>
      <c r="X1371" s="1" t="s">
        <v>45</v>
      </c>
      <c r="Y1371" s="1">
        <v>4.82023068E8</v>
      </c>
      <c r="Z1371" s="1">
        <v>3.8775243E7</v>
      </c>
      <c r="AA1371" s="1" t="s">
        <v>209</v>
      </c>
      <c r="AB1371" s="1">
        <v>2145.97</v>
      </c>
      <c r="AC1371" s="2">
        <v>41183.0</v>
      </c>
      <c r="AD1371" s="1">
        <v>7500.0</v>
      </c>
      <c r="AE1371" s="1" t="s">
        <v>40</v>
      </c>
      <c r="AF1371" s="1">
        <v>2.0131083E7</v>
      </c>
      <c r="AG1371" s="1" t="s">
        <v>212</v>
      </c>
      <c r="AH1371" s="1">
        <v>10.0</v>
      </c>
      <c r="AI1371" s="1">
        <v>2012.0</v>
      </c>
      <c r="AJ1371" s="1">
        <v>2013.0</v>
      </c>
      <c r="AK1371" s="1" t="s">
        <v>213</v>
      </c>
    </row>
    <row r="1372">
      <c r="A1372" s="1" t="s">
        <v>2640</v>
      </c>
      <c r="B1372" s="1" t="s">
        <v>2640</v>
      </c>
      <c r="C1372" s="1" t="s">
        <v>129</v>
      </c>
      <c r="E1372" s="1">
        <v>1.98133664E8</v>
      </c>
      <c r="F1372" s="2">
        <v>41913.0</v>
      </c>
      <c r="G1372" s="1" t="s">
        <v>2641</v>
      </c>
      <c r="I1372" s="1" t="s">
        <v>2641</v>
      </c>
      <c r="L1372" s="1" t="s">
        <v>40</v>
      </c>
      <c r="M1372" s="1">
        <v>7500.0</v>
      </c>
      <c r="N1372" s="1" t="s">
        <v>40</v>
      </c>
      <c r="O1372" s="1">
        <v>7.8074923E8</v>
      </c>
      <c r="P1372" s="1" t="s">
        <v>419</v>
      </c>
      <c r="R1372" s="1" t="s">
        <v>420</v>
      </c>
      <c r="S1372" s="1" t="s">
        <v>44</v>
      </c>
      <c r="T1372" s="1" t="s">
        <v>45</v>
      </c>
      <c r="U1372" s="1">
        <v>4.82082365E8</v>
      </c>
      <c r="W1372" s="1" t="s">
        <v>44</v>
      </c>
      <c r="X1372" s="1" t="s">
        <v>45</v>
      </c>
      <c r="Y1372" s="1">
        <v>4.82082365E8</v>
      </c>
      <c r="AB1372" s="1">
        <v>141856.0</v>
      </c>
      <c r="AC1372" s="2">
        <v>41913.0</v>
      </c>
      <c r="AD1372" s="1">
        <v>7500.0</v>
      </c>
      <c r="AE1372" s="1" t="s">
        <v>40</v>
      </c>
      <c r="AF1372" s="1" t="s">
        <v>2817</v>
      </c>
      <c r="AG1372" s="1" t="s">
        <v>2818</v>
      </c>
      <c r="AH1372" s="1">
        <v>10.0</v>
      </c>
      <c r="AI1372" s="1">
        <v>2014.0</v>
      </c>
      <c r="AJ1372" s="1">
        <v>2015.0</v>
      </c>
      <c r="AK1372" s="1" t="s">
        <v>385</v>
      </c>
    </row>
    <row r="1373">
      <c r="A1373" s="1" t="s">
        <v>2640</v>
      </c>
      <c r="B1373" s="1" t="s">
        <v>2640</v>
      </c>
      <c r="C1373" s="1" t="s">
        <v>129</v>
      </c>
      <c r="E1373" s="1">
        <v>1.98133664E8</v>
      </c>
      <c r="F1373" s="2">
        <v>41913.0</v>
      </c>
      <c r="G1373" s="1" t="s">
        <v>2641</v>
      </c>
      <c r="I1373" s="1" t="s">
        <v>2641</v>
      </c>
      <c r="L1373" s="1" t="s">
        <v>40</v>
      </c>
      <c r="M1373" s="1">
        <v>7500.0</v>
      </c>
      <c r="N1373" s="1" t="s">
        <v>40</v>
      </c>
      <c r="O1373" s="1">
        <v>1.21516199E8</v>
      </c>
      <c r="P1373" s="1" t="s">
        <v>380</v>
      </c>
      <c r="Q1373" s="1" t="s">
        <v>381</v>
      </c>
      <c r="R1373" s="1" t="s">
        <v>382</v>
      </c>
      <c r="S1373" s="1" t="s">
        <v>44</v>
      </c>
      <c r="T1373" s="1" t="s">
        <v>45</v>
      </c>
      <c r="U1373" s="1">
        <v>4.82073156E8</v>
      </c>
      <c r="W1373" s="1" t="s">
        <v>44</v>
      </c>
      <c r="X1373" s="1" t="s">
        <v>45</v>
      </c>
      <c r="Y1373" s="1">
        <v>4.82073156E8</v>
      </c>
      <c r="Z1373" s="1">
        <v>1.21516199E8</v>
      </c>
      <c r="AA1373" s="1" t="s">
        <v>380</v>
      </c>
      <c r="AB1373" s="1">
        <v>311334.98</v>
      </c>
      <c r="AC1373" s="2">
        <v>41913.0</v>
      </c>
      <c r="AD1373" s="1">
        <v>7500.0</v>
      </c>
      <c r="AE1373" s="1" t="s">
        <v>40</v>
      </c>
      <c r="AF1373" s="1" t="s">
        <v>2819</v>
      </c>
      <c r="AG1373" s="1" t="s">
        <v>2820</v>
      </c>
      <c r="AH1373" s="1">
        <v>10.0</v>
      </c>
      <c r="AI1373" s="1">
        <v>2014.0</v>
      </c>
      <c r="AJ1373" s="1">
        <v>2015.0</v>
      </c>
      <c r="AK1373" s="1" t="s">
        <v>385</v>
      </c>
    </row>
    <row r="1374">
      <c r="A1374" s="1" t="s">
        <v>2640</v>
      </c>
      <c r="B1374" s="1" t="s">
        <v>2640</v>
      </c>
      <c r="C1374" s="1" t="s">
        <v>129</v>
      </c>
      <c r="E1374" s="1">
        <v>1.98133664E8</v>
      </c>
      <c r="F1374" s="2">
        <v>41913.0</v>
      </c>
      <c r="G1374" s="1" t="s">
        <v>2641</v>
      </c>
      <c r="I1374" s="1" t="s">
        <v>2641</v>
      </c>
      <c r="L1374" s="1" t="s">
        <v>40</v>
      </c>
      <c r="M1374" s="1">
        <v>7500.0</v>
      </c>
      <c r="N1374" s="1" t="s">
        <v>40</v>
      </c>
      <c r="O1374" s="1">
        <v>1.95614664E8</v>
      </c>
      <c r="P1374" s="1" t="s">
        <v>1333</v>
      </c>
      <c r="R1374" s="1" t="s">
        <v>1334</v>
      </c>
      <c r="S1374" s="1" t="s">
        <v>44</v>
      </c>
      <c r="T1374" s="1" t="s">
        <v>45</v>
      </c>
      <c r="U1374" s="1">
        <v>4.82023133E8</v>
      </c>
      <c r="W1374" s="1" t="s">
        <v>44</v>
      </c>
      <c r="X1374" s="1" t="s">
        <v>45</v>
      </c>
      <c r="Y1374" s="1">
        <v>4.82023133E8</v>
      </c>
      <c r="Z1374" s="1">
        <v>1.95614664E8</v>
      </c>
      <c r="AA1374" s="1" t="s">
        <v>1333</v>
      </c>
      <c r="AB1374" s="1">
        <v>807364.0</v>
      </c>
      <c r="AC1374" s="2">
        <v>41913.0</v>
      </c>
      <c r="AD1374" s="1">
        <v>7500.0</v>
      </c>
      <c r="AE1374" s="1" t="s">
        <v>40</v>
      </c>
      <c r="AF1374" s="1" t="s">
        <v>2821</v>
      </c>
      <c r="AG1374" s="1" t="s">
        <v>2799</v>
      </c>
      <c r="AH1374" s="1">
        <v>10.0</v>
      </c>
      <c r="AI1374" s="1">
        <v>2014.0</v>
      </c>
      <c r="AJ1374" s="1">
        <v>2015.0</v>
      </c>
      <c r="AK1374" s="1" t="s">
        <v>385</v>
      </c>
    </row>
    <row r="1375">
      <c r="A1375" s="1" t="s">
        <v>2803</v>
      </c>
      <c r="B1375" s="1" t="s">
        <v>2803</v>
      </c>
      <c r="C1375" s="1" t="s">
        <v>129</v>
      </c>
      <c r="E1375" s="1">
        <v>4000000.0</v>
      </c>
      <c r="F1375" s="2">
        <v>41913.0</v>
      </c>
      <c r="G1375" s="1" t="s">
        <v>2804</v>
      </c>
      <c r="I1375" s="1" t="s">
        <v>2804</v>
      </c>
      <c r="L1375" s="1" t="s">
        <v>40</v>
      </c>
      <c r="M1375" s="1">
        <v>7500.0</v>
      </c>
      <c r="N1375" s="1" t="s">
        <v>40</v>
      </c>
      <c r="O1375" s="1">
        <v>6.9840817E7</v>
      </c>
      <c r="P1375" s="1" t="s">
        <v>131</v>
      </c>
      <c r="R1375" s="1" t="s">
        <v>132</v>
      </c>
      <c r="S1375" s="1" t="s">
        <v>44</v>
      </c>
      <c r="T1375" s="1" t="s">
        <v>45</v>
      </c>
      <c r="U1375" s="1">
        <v>4.8214261E8</v>
      </c>
      <c r="W1375" s="1" t="s">
        <v>44</v>
      </c>
      <c r="X1375" s="1" t="s">
        <v>45</v>
      </c>
      <c r="Y1375" s="1">
        <v>4.8214261E8</v>
      </c>
      <c r="Z1375" s="1">
        <v>6.9840817E7</v>
      </c>
      <c r="AA1375" s="1" t="s">
        <v>131</v>
      </c>
      <c r="AB1375" s="1">
        <v>401703.0</v>
      </c>
      <c r="AC1375" s="2">
        <v>41913.0</v>
      </c>
      <c r="AD1375" s="1">
        <v>7500.0</v>
      </c>
      <c r="AE1375" s="1" t="s">
        <v>40</v>
      </c>
      <c r="AF1375" s="1" t="s">
        <v>2822</v>
      </c>
      <c r="AG1375" s="1" t="s">
        <v>2649</v>
      </c>
      <c r="AH1375" s="1">
        <v>10.0</v>
      </c>
      <c r="AI1375" s="1">
        <v>2014.0</v>
      </c>
      <c r="AJ1375" s="1">
        <v>2015.0</v>
      </c>
      <c r="AK1375" s="1" t="s">
        <v>398</v>
      </c>
    </row>
    <row r="1376">
      <c r="A1376" s="1" t="s">
        <v>1337</v>
      </c>
      <c r="B1376" s="1" t="s">
        <v>1337</v>
      </c>
      <c r="C1376" s="1" t="s">
        <v>1281</v>
      </c>
      <c r="E1376" s="1">
        <v>262500.0</v>
      </c>
      <c r="F1376" s="2">
        <v>41609.0</v>
      </c>
      <c r="G1376" s="1" t="s">
        <v>1338</v>
      </c>
      <c r="I1376" s="1" t="s">
        <v>1338</v>
      </c>
      <c r="L1376" s="1" t="s">
        <v>1281</v>
      </c>
      <c r="M1376" s="1">
        <v>9577.0</v>
      </c>
      <c r="N1376" s="1" t="s">
        <v>1281</v>
      </c>
      <c r="O1376" s="1">
        <v>8.59555054E8</v>
      </c>
      <c r="P1376" s="1" t="s">
        <v>1339</v>
      </c>
      <c r="Q1376" s="1" t="s">
        <v>1340</v>
      </c>
      <c r="R1376" s="1" t="s">
        <v>1341</v>
      </c>
      <c r="S1376" s="1" t="s">
        <v>44</v>
      </c>
      <c r="T1376" s="1" t="s">
        <v>45</v>
      </c>
      <c r="U1376" s="1">
        <v>4.82261656E8</v>
      </c>
      <c r="W1376" s="1" t="s">
        <v>44</v>
      </c>
      <c r="X1376" s="1" t="s">
        <v>45</v>
      </c>
      <c r="Y1376" s="1">
        <v>4.82241506E8</v>
      </c>
      <c r="AB1376" s="1">
        <v>55000.0</v>
      </c>
      <c r="AC1376" s="2">
        <v>41609.0</v>
      </c>
      <c r="AD1376" s="1">
        <v>9577.0</v>
      </c>
      <c r="AE1376" s="1" t="s">
        <v>1281</v>
      </c>
      <c r="AF1376" s="1" t="s">
        <v>1342</v>
      </c>
      <c r="AG1376" s="1" t="s">
        <v>1343</v>
      </c>
      <c r="AH1376" s="1">
        <v>10.0</v>
      </c>
      <c r="AI1376" s="1">
        <v>2014.0</v>
      </c>
      <c r="AJ1376" s="1">
        <v>2014.0</v>
      </c>
      <c r="AK1376" s="1" t="s">
        <v>1344</v>
      </c>
    </row>
    <row r="1377">
      <c r="A1377" s="1" t="s">
        <v>1297</v>
      </c>
      <c r="B1377" s="1" t="s">
        <v>1297</v>
      </c>
      <c r="C1377" s="1" t="s">
        <v>1281</v>
      </c>
      <c r="E1377" s="1">
        <v>4867566.0</v>
      </c>
      <c r="F1377" s="2">
        <v>41883.0</v>
      </c>
      <c r="G1377" s="1" t="s">
        <v>2610</v>
      </c>
      <c r="I1377" s="1" t="s">
        <v>2610</v>
      </c>
      <c r="L1377" s="1" t="s">
        <v>1281</v>
      </c>
      <c r="M1377" s="1">
        <v>9577.0</v>
      </c>
      <c r="N1377" s="1" t="s">
        <v>1281</v>
      </c>
      <c r="O1377" s="1">
        <v>1.81595232E8</v>
      </c>
      <c r="P1377" s="1" t="s">
        <v>1471</v>
      </c>
      <c r="R1377" s="1" t="s">
        <v>1472</v>
      </c>
      <c r="S1377" s="1" t="s">
        <v>44</v>
      </c>
      <c r="T1377" s="1" t="s">
        <v>45</v>
      </c>
      <c r="U1377" s="1">
        <v>4.82103249E8</v>
      </c>
      <c r="W1377" s="1" t="s">
        <v>46</v>
      </c>
      <c r="X1377" s="1" t="s">
        <v>45</v>
      </c>
      <c r="Y1377" s="1">
        <v>4.82103249E8</v>
      </c>
      <c r="Z1377" s="1">
        <v>1.81595232E8</v>
      </c>
      <c r="AA1377" s="1" t="s">
        <v>1471</v>
      </c>
      <c r="AB1377" s="1">
        <v>224210.0</v>
      </c>
      <c r="AC1377" s="2">
        <v>41883.0</v>
      </c>
      <c r="AD1377" s="1">
        <v>9577.0</v>
      </c>
      <c r="AE1377" s="1" t="s">
        <v>1281</v>
      </c>
      <c r="AF1377" s="1" t="s">
        <v>2823</v>
      </c>
      <c r="AG1377" s="1" t="s">
        <v>2824</v>
      </c>
      <c r="AH1377" s="1">
        <v>10.0</v>
      </c>
      <c r="AI1377" s="1">
        <v>2014.0</v>
      </c>
      <c r="AJ1377" s="1">
        <v>2014.0</v>
      </c>
      <c r="AK1377" s="1" t="s">
        <v>1301</v>
      </c>
    </row>
    <row r="1378">
      <c r="A1378" s="1" t="s">
        <v>1297</v>
      </c>
      <c r="B1378" s="1" t="s">
        <v>1297</v>
      </c>
      <c r="C1378" s="1" t="s">
        <v>1281</v>
      </c>
      <c r="E1378" s="1">
        <v>4867566.0</v>
      </c>
      <c r="F1378" s="2">
        <v>41883.0</v>
      </c>
      <c r="G1378" s="1" t="s">
        <v>2610</v>
      </c>
      <c r="I1378" s="1" t="s">
        <v>2610</v>
      </c>
      <c r="L1378" s="1" t="s">
        <v>1281</v>
      </c>
      <c r="M1378" s="1">
        <v>9577.0</v>
      </c>
      <c r="N1378" s="1" t="s">
        <v>1281</v>
      </c>
      <c r="O1378" s="1">
        <v>1.5900083E8</v>
      </c>
      <c r="P1378" s="1" t="s">
        <v>1292</v>
      </c>
      <c r="R1378" s="1" t="s">
        <v>1293</v>
      </c>
      <c r="S1378" s="1" t="s">
        <v>44</v>
      </c>
      <c r="T1378" s="1" t="s">
        <v>45</v>
      </c>
      <c r="U1378" s="1">
        <v>4.82022715E8</v>
      </c>
      <c r="W1378" s="1" t="s">
        <v>46</v>
      </c>
      <c r="X1378" s="1" t="s">
        <v>45</v>
      </c>
      <c r="Y1378" s="1">
        <v>4.82022715E8</v>
      </c>
      <c r="AB1378" s="1">
        <v>318874.0</v>
      </c>
      <c r="AC1378" s="2">
        <v>41883.0</v>
      </c>
      <c r="AD1378" s="1">
        <v>9577.0</v>
      </c>
      <c r="AE1378" s="1" t="s">
        <v>1281</v>
      </c>
      <c r="AF1378" s="1" t="s">
        <v>2793</v>
      </c>
      <c r="AG1378" s="1" t="s">
        <v>1300</v>
      </c>
      <c r="AH1378" s="1">
        <v>10.0</v>
      </c>
      <c r="AI1378" s="1">
        <v>2014.0</v>
      </c>
      <c r="AJ1378" s="1">
        <v>2014.0</v>
      </c>
      <c r="AK1378" s="1" t="s">
        <v>1301</v>
      </c>
    </row>
    <row r="1379">
      <c r="A1379" s="1">
        <v>9.7531612E7</v>
      </c>
      <c r="B1379" s="1">
        <v>9.7531612E7</v>
      </c>
      <c r="C1379" s="1" t="s">
        <v>1825</v>
      </c>
      <c r="E1379" s="1">
        <v>871762.0</v>
      </c>
      <c r="F1379" s="2">
        <v>41183.0</v>
      </c>
      <c r="G1379" s="1" t="s">
        <v>2806</v>
      </c>
      <c r="I1379" s="1" t="s">
        <v>2806</v>
      </c>
      <c r="L1379" s="1" t="s">
        <v>1825</v>
      </c>
      <c r="M1379" s="1">
        <v>6800.0</v>
      </c>
      <c r="N1379" s="1" t="s">
        <v>1825</v>
      </c>
      <c r="O1379" s="1">
        <v>3.8775243E7</v>
      </c>
      <c r="P1379" s="1" t="s">
        <v>209</v>
      </c>
      <c r="Q1379" s="1" t="s">
        <v>210</v>
      </c>
      <c r="R1379" s="1" t="s">
        <v>211</v>
      </c>
      <c r="S1379" s="1" t="s">
        <v>44</v>
      </c>
      <c r="T1379" s="1" t="s">
        <v>45</v>
      </c>
      <c r="U1379" s="1">
        <v>4.82023068E8</v>
      </c>
      <c r="W1379" s="1" t="s">
        <v>46</v>
      </c>
      <c r="X1379" s="1" t="s">
        <v>45</v>
      </c>
      <c r="Y1379" s="1">
        <v>4.82023068E8</v>
      </c>
      <c r="Z1379" s="1">
        <v>3.8775243E7</v>
      </c>
      <c r="AA1379" s="1" t="s">
        <v>209</v>
      </c>
      <c r="AB1379" s="1">
        <v>84502.0</v>
      </c>
      <c r="AC1379" s="2">
        <v>41183.0</v>
      </c>
      <c r="AD1379" s="1">
        <v>6800.0</v>
      </c>
      <c r="AE1379" s="1" t="s">
        <v>1825</v>
      </c>
      <c r="AF1379" s="1">
        <v>2.0131255E7</v>
      </c>
      <c r="AG1379" s="1" t="s">
        <v>2807</v>
      </c>
      <c r="AH1379" s="1">
        <v>10.0</v>
      </c>
      <c r="AI1379" s="1">
        <v>2012.0</v>
      </c>
      <c r="AJ1379" s="1">
        <v>2013.0</v>
      </c>
      <c r="AK1379" s="1" t="s">
        <v>2808</v>
      </c>
    </row>
    <row r="1380">
      <c r="A1380" s="1" t="s">
        <v>1874</v>
      </c>
      <c r="B1380" s="1" t="s">
        <v>1874</v>
      </c>
      <c r="C1380" s="1" t="s">
        <v>389</v>
      </c>
      <c r="E1380" s="1">
        <v>2.0636E7</v>
      </c>
      <c r="F1380" s="2">
        <v>41556.0</v>
      </c>
      <c r="G1380" s="1" t="s">
        <v>1875</v>
      </c>
      <c r="I1380" s="1" t="s">
        <v>1875</v>
      </c>
      <c r="L1380" s="1" t="s">
        <v>391</v>
      </c>
      <c r="M1380" s="1">
        <v>1600.0</v>
      </c>
      <c r="N1380" s="1" t="s">
        <v>391</v>
      </c>
      <c r="O1380" s="1">
        <v>9.68755756E8</v>
      </c>
      <c r="P1380" s="1" t="s">
        <v>1806</v>
      </c>
      <c r="R1380" s="1" t="s">
        <v>1807</v>
      </c>
      <c r="S1380" s="1" t="s">
        <v>44</v>
      </c>
      <c r="T1380" s="1" t="s">
        <v>45</v>
      </c>
      <c r="U1380" s="1">
        <v>4.82262917E8</v>
      </c>
      <c r="W1380" s="1" t="s">
        <v>46</v>
      </c>
      <c r="X1380" s="1" t="s">
        <v>45</v>
      </c>
      <c r="Y1380" s="1">
        <v>4.82022943E8</v>
      </c>
      <c r="AB1380" s="1">
        <v>2028600.0</v>
      </c>
      <c r="AC1380" s="2">
        <v>41556.0</v>
      </c>
      <c r="AD1380" s="1">
        <v>1600.0</v>
      </c>
      <c r="AE1380" s="1" t="s">
        <v>391</v>
      </c>
      <c r="AF1380" s="1" t="s">
        <v>1881</v>
      </c>
      <c r="AG1380" s="1" t="s">
        <v>1882</v>
      </c>
      <c r="AH1380" s="1">
        <v>11.0</v>
      </c>
      <c r="AI1380" s="1">
        <v>2014.0</v>
      </c>
      <c r="AJ1380" s="1">
        <v>2014.0</v>
      </c>
      <c r="AK1380" s="1" t="s">
        <v>1878</v>
      </c>
    </row>
    <row r="1381">
      <c r="A1381" s="1" t="s">
        <v>2651</v>
      </c>
      <c r="B1381" s="1" t="s">
        <v>2651</v>
      </c>
      <c r="C1381" s="1" t="s">
        <v>159</v>
      </c>
      <c r="E1381" s="1">
        <v>5297759.0</v>
      </c>
      <c r="F1381" s="2">
        <v>41548.0</v>
      </c>
      <c r="G1381" s="1" t="s">
        <v>2652</v>
      </c>
      <c r="I1381" s="1" t="s">
        <v>2652</v>
      </c>
      <c r="L1381" s="1" t="s">
        <v>40</v>
      </c>
      <c r="M1381" s="1">
        <v>7500.0</v>
      </c>
      <c r="N1381" s="1" t="s">
        <v>40</v>
      </c>
      <c r="O1381" s="1">
        <v>3.8775243E7</v>
      </c>
      <c r="P1381" s="1" t="s">
        <v>209</v>
      </c>
      <c r="Q1381" s="1" t="s">
        <v>210</v>
      </c>
      <c r="R1381" s="1" t="s">
        <v>211</v>
      </c>
      <c r="S1381" s="1" t="s">
        <v>44</v>
      </c>
      <c r="T1381" s="1" t="s">
        <v>45</v>
      </c>
      <c r="U1381" s="1">
        <v>4.82023068E8</v>
      </c>
      <c r="W1381" s="1" t="s">
        <v>46</v>
      </c>
      <c r="X1381" s="1" t="s">
        <v>45</v>
      </c>
      <c r="Y1381" s="1">
        <v>4.82023068E8</v>
      </c>
      <c r="Z1381" s="1">
        <v>3.8775243E7</v>
      </c>
      <c r="AA1381" s="1" t="s">
        <v>209</v>
      </c>
      <c r="AB1381" s="1">
        <v>0.0</v>
      </c>
      <c r="AC1381" s="2">
        <v>41548.0</v>
      </c>
      <c r="AD1381" s="1">
        <v>7500.0</v>
      </c>
      <c r="AE1381" s="1" t="s">
        <v>40</v>
      </c>
      <c r="AF1381" s="1">
        <v>2.0140127E7</v>
      </c>
      <c r="AG1381" s="1" t="s">
        <v>2653</v>
      </c>
      <c r="AH1381" s="1">
        <v>10.0</v>
      </c>
      <c r="AI1381" s="1">
        <v>2011.0</v>
      </c>
      <c r="AJ1381" s="1">
        <v>2014.0</v>
      </c>
      <c r="AK1381" s="1" t="s">
        <v>2654</v>
      </c>
    </row>
    <row r="1382">
      <c r="A1382" s="1" t="s">
        <v>2651</v>
      </c>
      <c r="B1382" s="1" t="s">
        <v>2651</v>
      </c>
      <c r="C1382" s="1" t="s">
        <v>159</v>
      </c>
      <c r="E1382" s="1">
        <v>5297759.0</v>
      </c>
      <c r="F1382" s="2">
        <v>41183.0</v>
      </c>
      <c r="G1382" s="1" t="s">
        <v>2652</v>
      </c>
      <c r="I1382" s="1" t="s">
        <v>2652</v>
      </c>
      <c r="L1382" s="1" t="s">
        <v>40</v>
      </c>
      <c r="M1382" s="1">
        <v>7500.0</v>
      </c>
      <c r="N1382" s="1" t="s">
        <v>40</v>
      </c>
      <c r="O1382" s="1">
        <v>8.09204196E8</v>
      </c>
      <c r="P1382" s="1" t="s">
        <v>175</v>
      </c>
      <c r="R1382" s="1" t="s">
        <v>2078</v>
      </c>
      <c r="S1382" s="1" t="s">
        <v>44</v>
      </c>
      <c r="T1382" s="1" t="s">
        <v>45</v>
      </c>
      <c r="U1382" s="1">
        <v>4.82023026E8</v>
      </c>
      <c r="W1382" s="1" t="s">
        <v>46</v>
      </c>
      <c r="X1382" s="1" t="s">
        <v>45</v>
      </c>
      <c r="Y1382" s="1">
        <v>4.82023025E8</v>
      </c>
      <c r="Z1382" s="1">
        <v>8.09204196E8</v>
      </c>
      <c r="AA1382" s="1" t="s">
        <v>175</v>
      </c>
      <c r="AB1382" s="1">
        <v>0.0</v>
      </c>
      <c r="AC1382" s="2">
        <v>41183.0</v>
      </c>
      <c r="AD1382" s="1">
        <v>7500.0</v>
      </c>
      <c r="AE1382" s="1" t="s">
        <v>40</v>
      </c>
      <c r="AF1382" s="1">
        <v>2.0132271E7</v>
      </c>
      <c r="AG1382" s="1" t="s">
        <v>2653</v>
      </c>
      <c r="AH1382" s="1">
        <v>10.0</v>
      </c>
      <c r="AI1382" s="1">
        <v>2011.0</v>
      </c>
      <c r="AJ1382" s="1">
        <v>2013.0</v>
      </c>
      <c r="AK1382" s="1" t="s">
        <v>2654</v>
      </c>
    </row>
    <row r="1383">
      <c r="A1383" s="1" t="s">
        <v>2651</v>
      </c>
      <c r="B1383" s="1" t="s">
        <v>2651</v>
      </c>
      <c r="C1383" s="1" t="s">
        <v>159</v>
      </c>
      <c r="E1383" s="1">
        <v>5297759.0</v>
      </c>
      <c r="F1383" s="2">
        <v>41183.0</v>
      </c>
      <c r="G1383" s="1" t="s">
        <v>2652</v>
      </c>
      <c r="I1383" s="1" t="s">
        <v>2652</v>
      </c>
      <c r="L1383" s="1" t="s">
        <v>40</v>
      </c>
      <c r="M1383" s="1">
        <v>7500.0</v>
      </c>
      <c r="N1383" s="1" t="s">
        <v>40</v>
      </c>
      <c r="O1383" s="1">
        <v>7.8583404E7</v>
      </c>
      <c r="P1383" s="1" t="s">
        <v>65</v>
      </c>
      <c r="Q1383" s="1" t="s">
        <v>2563</v>
      </c>
      <c r="R1383" s="1" t="s">
        <v>1573</v>
      </c>
      <c r="S1383" s="1" t="s">
        <v>44</v>
      </c>
      <c r="T1383" s="1" t="s">
        <v>45</v>
      </c>
      <c r="U1383" s="1">
        <v>4.8207311E8</v>
      </c>
      <c r="W1383" s="1" t="s">
        <v>46</v>
      </c>
      <c r="X1383" s="1" t="s">
        <v>45</v>
      </c>
      <c r="Y1383" s="1">
        <v>4.82021732E8</v>
      </c>
      <c r="Z1383" s="1">
        <v>4.0574592E7</v>
      </c>
      <c r="AA1383" s="1" t="s">
        <v>2564</v>
      </c>
      <c r="AB1383" s="1">
        <v>40000.0</v>
      </c>
      <c r="AC1383" s="2">
        <v>41183.0</v>
      </c>
      <c r="AD1383" s="1">
        <v>7500.0</v>
      </c>
      <c r="AE1383" s="1" t="s">
        <v>40</v>
      </c>
      <c r="AF1383" s="1">
        <v>2.01304E7</v>
      </c>
      <c r="AG1383" s="1" t="s">
        <v>2653</v>
      </c>
      <c r="AH1383" s="1">
        <v>10.0</v>
      </c>
      <c r="AI1383" s="1">
        <v>2011.0</v>
      </c>
      <c r="AJ1383" s="1">
        <v>2013.0</v>
      </c>
      <c r="AK1383" s="1" t="s">
        <v>2654</v>
      </c>
    </row>
    <row r="1384">
      <c r="A1384" s="1" t="s">
        <v>2651</v>
      </c>
      <c r="B1384" s="1" t="s">
        <v>2651</v>
      </c>
      <c r="C1384" s="1" t="s">
        <v>159</v>
      </c>
      <c r="E1384" s="1">
        <v>5297759.0</v>
      </c>
      <c r="F1384" s="2">
        <v>41183.0</v>
      </c>
      <c r="G1384" s="1" t="s">
        <v>2652</v>
      </c>
      <c r="I1384" s="1" t="s">
        <v>2652</v>
      </c>
      <c r="L1384" s="1" t="s">
        <v>40</v>
      </c>
      <c r="M1384" s="1">
        <v>7500.0</v>
      </c>
      <c r="N1384" s="1" t="s">
        <v>40</v>
      </c>
      <c r="O1384" s="1">
        <v>8.09204196E8</v>
      </c>
      <c r="P1384" s="1" t="s">
        <v>175</v>
      </c>
      <c r="R1384" s="1" t="s">
        <v>2078</v>
      </c>
      <c r="S1384" s="1" t="s">
        <v>44</v>
      </c>
      <c r="T1384" s="1" t="s">
        <v>45</v>
      </c>
      <c r="U1384" s="1">
        <v>4.82023026E8</v>
      </c>
      <c r="W1384" s="1" t="s">
        <v>46</v>
      </c>
      <c r="X1384" s="1" t="s">
        <v>45</v>
      </c>
      <c r="Y1384" s="1">
        <v>4.82023025E8</v>
      </c>
      <c r="Z1384" s="1">
        <v>8.09204196E8</v>
      </c>
      <c r="AA1384" s="1" t="s">
        <v>175</v>
      </c>
      <c r="AB1384" s="1">
        <v>198158.0</v>
      </c>
      <c r="AC1384" s="2">
        <v>41183.0</v>
      </c>
      <c r="AD1384" s="1">
        <v>7500.0</v>
      </c>
      <c r="AE1384" s="1" t="s">
        <v>40</v>
      </c>
      <c r="AF1384" s="1">
        <v>2.0130326E7</v>
      </c>
      <c r="AG1384" s="1" t="s">
        <v>2653</v>
      </c>
      <c r="AH1384" s="1">
        <v>10.0</v>
      </c>
      <c r="AI1384" s="1">
        <v>2011.0</v>
      </c>
      <c r="AJ1384" s="1">
        <v>2013.0</v>
      </c>
      <c r="AK1384" s="1" t="s">
        <v>2654</v>
      </c>
    </row>
    <row r="1385">
      <c r="A1385" s="1" t="s">
        <v>158</v>
      </c>
      <c r="B1385" s="1" t="s">
        <v>158</v>
      </c>
      <c r="C1385" s="1" t="s">
        <v>159</v>
      </c>
      <c r="E1385" s="1">
        <v>899985.0</v>
      </c>
      <c r="F1385" s="2">
        <v>41183.0</v>
      </c>
      <c r="G1385" s="1" t="s">
        <v>2655</v>
      </c>
      <c r="I1385" s="1" t="s">
        <v>2655</v>
      </c>
      <c r="L1385" s="1" t="s">
        <v>40</v>
      </c>
      <c r="M1385" s="1">
        <v>7500.0</v>
      </c>
      <c r="N1385" s="1" t="s">
        <v>40</v>
      </c>
      <c r="O1385" s="1">
        <v>3.8775243E7</v>
      </c>
      <c r="P1385" s="1" t="s">
        <v>209</v>
      </c>
      <c r="Q1385" s="1" t="s">
        <v>210</v>
      </c>
      <c r="R1385" s="1" t="s">
        <v>211</v>
      </c>
      <c r="S1385" s="1" t="s">
        <v>44</v>
      </c>
      <c r="T1385" s="1" t="s">
        <v>45</v>
      </c>
      <c r="U1385" s="1">
        <v>4.82023068E8</v>
      </c>
      <c r="W1385" s="1" t="s">
        <v>46</v>
      </c>
      <c r="X1385" s="1" t="s">
        <v>45</v>
      </c>
      <c r="Y1385" s="1">
        <v>4.82023068E8</v>
      </c>
      <c r="Z1385" s="1">
        <v>3.8775243E7</v>
      </c>
      <c r="AA1385" s="1" t="s">
        <v>209</v>
      </c>
      <c r="AB1385" s="1">
        <v>0.0</v>
      </c>
      <c r="AC1385" s="2">
        <v>41183.0</v>
      </c>
      <c r="AD1385" s="1">
        <v>7500.0</v>
      </c>
      <c r="AE1385" s="1" t="s">
        <v>40</v>
      </c>
      <c r="AF1385" s="1">
        <v>2.0131224E7</v>
      </c>
      <c r="AG1385" s="1" t="s">
        <v>2655</v>
      </c>
      <c r="AH1385" s="1">
        <v>10.0</v>
      </c>
      <c r="AI1385" s="1">
        <v>2011.0</v>
      </c>
      <c r="AJ1385" s="1">
        <v>2013.0</v>
      </c>
      <c r="AK1385" s="1" t="s">
        <v>162</v>
      </c>
    </row>
    <row r="1386">
      <c r="A1386" s="1" t="s">
        <v>2825</v>
      </c>
      <c r="B1386" s="1" t="s">
        <v>2825</v>
      </c>
      <c r="C1386" s="1" t="s">
        <v>645</v>
      </c>
      <c r="E1386" s="1">
        <v>5.014612E7</v>
      </c>
      <c r="F1386" s="2">
        <v>41183.0</v>
      </c>
      <c r="G1386" s="1" t="s">
        <v>1577</v>
      </c>
      <c r="I1386" s="1" t="s">
        <v>1577</v>
      </c>
      <c r="L1386" s="1" t="s">
        <v>647</v>
      </c>
      <c r="M1386" s="1">
        <v>1200.0</v>
      </c>
      <c r="N1386" s="1" t="s">
        <v>647</v>
      </c>
      <c r="O1386" s="1">
        <v>3.8775243E7</v>
      </c>
      <c r="P1386" s="1" t="s">
        <v>209</v>
      </c>
      <c r="Q1386" s="1" t="s">
        <v>210</v>
      </c>
      <c r="R1386" s="1" t="s">
        <v>211</v>
      </c>
      <c r="S1386" s="1" t="s">
        <v>44</v>
      </c>
      <c r="T1386" s="1" t="s">
        <v>45</v>
      </c>
      <c r="U1386" s="1">
        <v>4.82023068E8</v>
      </c>
      <c r="W1386" s="1" t="s">
        <v>46</v>
      </c>
      <c r="X1386" s="1" t="s">
        <v>45</v>
      </c>
      <c r="Y1386" s="1">
        <v>4.82023068E8</v>
      </c>
      <c r="Z1386" s="1">
        <v>3.8775243E7</v>
      </c>
      <c r="AA1386" s="1" t="s">
        <v>209</v>
      </c>
      <c r="AB1386" s="1">
        <v>0.0</v>
      </c>
      <c r="AC1386" s="2">
        <v>41183.0</v>
      </c>
      <c r="AD1386" s="1">
        <v>1200.0</v>
      </c>
      <c r="AE1386" s="1" t="s">
        <v>647</v>
      </c>
      <c r="AF1386" s="1">
        <v>2.013107E7</v>
      </c>
      <c r="AG1386" s="1" t="s">
        <v>2826</v>
      </c>
      <c r="AH1386" s="1">
        <v>10.0</v>
      </c>
      <c r="AI1386" s="1">
        <v>2012.0</v>
      </c>
      <c r="AJ1386" s="1">
        <v>2013.0</v>
      </c>
      <c r="AK1386" s="1" t="s">
        <v>1580</v>
      </c>
    </row>
    <row r="1387">
      <c r="A1387" s="1" t="s">
        <v>2825</v>
      </c>
      <c r="B1387" s="1" t="s">
        <v>2825</v>
      </c>
      <c r="C1387" s="1" t="s">
        <v>645</v>
      </c>
      <c r="E1387" s="1">
        <v>5.014612E7</v>
      </c>
      <c r="F1387" s="2">
        <v>41183.0</v>
      </c>
      <c r="G1387" s="1" t="s">
        <v>1577</v>
      </c>
      <c r="I1387" s="1" t="s">
        <v>1577</v>
      </c>
      <c r="L1387" s="1" t="s">
        <v>647</v>
      </c>
      <c r="M1387" s="1">
        <v>1200.0</v>
      </c>
      <c r="N1387" s="1" t="s">
        <v>647</v>
      </c>
      <c r="O1387" s="1">
        <v>3.8775243E7</v>
      </c>
      <c r="P1387" s="1" t="s">
        <v>209</v>
      </c>
      <c r="Q1387" s="1" t="s">
        <v>210</v>
      </c>
      <c r="R1387" s="1" t="s">
        <v>211</v>
      </c>
      <c r="S1387" s="1" t="s">
        <v>44</v>
      </c>
      <c r="T1387" s="1" t="s">
        <v>45</v>
      </c>
      <c r="U1387" s="1">
        <v>4.82023068E8</v>
      </c>
      <c r="W1387" s="1" t="s">
        <v>46</v>
      </c>
      <c r="X1387" s="1" t="s">
        <v>45</v>
      </c>
      <c r="Y1387" s="1">
        <v>4.82023068E8</v>
      </c>
      <c r="Z1387" s="1">
        <v>3.8775243E7</v>
      </c>
      <c r="AA1387" s="1" t="s">
        <v>209</v>
      </c>
      <c r="AB1387" s="1">
        <v>0.0</v>
      </c>
      <c r="AC1387" s="2">
        <v>41183.0</v>
      </c>
      <c r="AD1387" s="1">
        <v>1200.0</v>
      </c>
      <c r="AE1387" s="1" t="s">
        <v>647</v>
      </c>
      <c r="AF1387" s="1">
        <v>2.013107E7</v>
      </c>
      <c r="AG1387" s="1" t="s">
        <v>2826</v>
      </c>
      <c r="AH1387" s="1">
        <v>10.0</v>
      </c>
      <c r="AI1387" s="1">
        <v>2012.0</v>
      </c>
      <c r="AJ1387" s="1">
        <v>2013.0</v>
      </c>
      <c r="AK1387" s="1" t="s">
        <v>1580</v>
      </c>
    </row>
    <row r="1388">
      <c r="A1388" s="1" t="s">
        <v>2825</v>
      </c>
      <c r="B1388" s="1" t="s">
        <v>2825</v>
      </c>
      <c r="C1388" s="1" t="s">
        <v>645</v>
      </c>
      <c r="E1388" s="1">
        <v>5.014612E7</v>
      </c>
      <c r="F1388" s="2">
        <v>41183.0</v>
      </c>
      <c r="G1388" s="1" t="s">
        <v>1577</v>
      </c>
      <c r="I1388" s="1" t="s">
        <v>1577</v>
      </c>
      <c r="L1388" s="1" t="s">
        <v>647</v>
      </c>
      <c r="M1388" s="1">
        <v>1200.0</v>
      </c>
      <c r="N1388" s="1" t="s">
        <v>647</v>
      </c>
      <c r="O1388" s="1">
        <v>7.8583404E7</v>
      </c>
      <c r="P1388" s="1" t="s">
        <v>65</v>
      </c>
      <c r="R1388" s="1" t="s">
        <v>1573</v>
      </c>
      <c r="S1388" s="1" t="s">
        <v>44</v>
      </c>
      <c r="T1388" s="1" t="s">
        <v>45</v>
      </c>
      <c r="U1388" s="1">
        <v>4.8207311E8</v>
      </c>
      <c r="W1388" s="1" t="s">
        <v>46</v>
      </c>
      <c r="X1388" s="1" t="s">
        <v>45</v>
      </c>
      <c r="Y1388" s="1">
        <v>4.82021732E8</v>
      </c>
      <c r="AB1388" s="1">
        <v>5050059.0</v>
      </c>
      <c r="AC1388" s="2">
        <v>41183.0</v>
      </c>
      <c r="AD1388" s="1">
        <v>1200.0</v>
      </c>
      <c r="AE1388" s="1" t="s">
        <v>647</v>
      </c>
      <c r="AF1388" s="1">
        <v>2.01304E7</v>
      </c>
      <c r="AG1388" s="1" t="s">
        <v>2826</v>
      </c>
      <c r="AH1388" s="1">
        <v>10.0</v>
      </c>
      <c r="AI1388" s="1">
        <v>2012.0</v>
      </c>
      <c r="AJ1388" s="1">
        <v>2013.0</v>
      </c>
      <c r="AK1388" s="1" t="s">
        <v>1580</v>
      </c>
    </row>
    <row r="1389">
      <c r="A1389" s="1" t="s">
        <v>2825</v>
      </c>
      <c r="B1389" s="1" t="s">
        <v>2825</v>
      </c>
      <c r="C1389" s="1" t="s">
        <v>645</v>
      </c>
      <c r="E1389" s="1">
        <v>5.014612E7</v>
      </c>
      <c r="F1389" s="2">
        <v>41183.0</v>
      </c>
      <c r="G1389" s="1" t="s">
        <v>1577</v>
      </c>
      <c r="I1389" s="1" t="s">
        <v>1577</v>
      </c>
      <c r="L1389" s="1" t="s">
        <v>647</v>
      </c>
      <c r="M1389" s="1">
        <v>1200.0</v>
      </c>
      <c r="N1389" s="1" t="s">
        <v>647</v>
      </c>
      <c r="O1389" s="1">
        <v>7.6377316E7</v>
      </c>
      <c r="P1389" s="1" t="s">
        <v>2302</v>
      </c>
      <c r="R1389" s="1" t="s">
        <v>2303</v>
      </c>
      <c r="S1389" s="1" t="s">
        <v>44</v>
      </c>
      <c r="T1389" s="1" t="s">
        <v>45</v>
      </c>
      <c r="U1389" s="1">
        <v>4.82012119E8</v>
      </c>
      <c r="W1389" s="1" t="s">
        <v>46</v>
      </c>
      <c r="X1389" s="1" t="s">
        <v>45</v>
      </c>
      <c r="Y1389" s="1">
        <v>4.82012119E8</v>
      </c>
      <c r="Z1389" s="1">
        <v>5.3866661E7</v>
      </c>
      <c r="AB1389" s="1">
        <v>0.0</v>
      </c>
      <c r="AC1389" s="2">
        <v>41183.0</v>
      </c>
      <c r="AD1389" s="1">
        <v>1200.0</v>
      </c>
      <c r="AE1389" s="1" t="s">
        <v>647</v>
      </c>
      <c r="AF1389" s="1">
        <v>2.0131023E7</v>
      </c>
      <c r="AG1389" s="1" t="s">
        <v>2826</v>
      </c>
      <c r="AH1389" s="1">
        <v>10.0</v>
      </c>
      <c r="AI1389" s="1">
        <v>2012.0</v>
      </c>
      <c r="AJ1389" s="1">
        <v>2013.0</v>
      </c>
      <c r="AK1389" s="1" t="s">
        <v>1580</v>
      </c>
    </row>
    <row r="1390">
      <c r="A1390" s="1" t="s">
        <v>2825</v>
      </c>
      <c r="B1390" s="1" t="s">
        <v>2825</v>
      </c>
      <c r="C1390" s="1" t="s">
        <v>645</v>
      </c>
      <c r="E1390" s="1">
        <v>5.014612E7</v>
      </c>
      <c r="F1390" s="2">
        <v>41183.0</v>
      </c>
      <c r="G1390" s="1" t="s">
        <v>1577</v>
      </c>
      <c r="I1390" s="1" t="s">
        <v>1577</v>
      </c>
      <c r="L1390" s="1" t="s">
        <v>647</v>
      </c>
      <c r="M1390" s="1">
        <v>1200.0</v>
      </c>
      <c r="N1390" s="1" t="s">
        <v>647</v>
      </c>
      <c r="O1390" s="1">
        <v>3.8775243E7</v>
      </c>
      <c r="P1390" s="1" t="s">
        <v>209</v>
      </c>
      <c r="Q1390" s="1" t="s">
        <v>210</v>
      </c>
      <c r="R1390" s="1" t="s">
        <v>211</v>
      </c>
      <c r="S1390" s="1" t="s">
        <v>44</v>
      </c>
      <c r="T1390" s="1" t="s">
        <v>45</v>
      </c>
      <c r="U1390" s="1">
        <v>4.82023068E8</v>
      </c>
      <c r="W1390" s="1" t="s">
        <v>46</v>
      </c>
      <c r="X1390" s="1" t="s">
        <v>45</v>
      </c>
      <c r="Y1390" s="1">
        <v>4.82023068E8</v>
      </c>
      <c r="Z1390" s="1">
        <v>3.8775243E7</v>
      </c>
      <c r="AA1390" s="1" t="s">
        <v>209</v>
      </c>
      <c r="AB1390" s="1">
        <v>0.0</v>
      </c>
      <c r="AC1390" s="2">
        <v>41183.0</v>
      </c>
      <c r="AD1390" s="1">
        <v>1200.0</v>
      </c>
      <c r="AE1390" s="1" t="s">
        <v>647</v>
      </c>
      <c r="AF1390" s="1">
        <v>2.013107E7</v>
      </c>
      <c r="AG1390" s="1" t="s">
        <v>2826</v>
      </c>
      <c r="AH1390" s="1">
        <v>10.0</v>
      </c>
      <c r="AI1390" s="1">
        <v>2012.0</v>
      </c>
      <c r="AJ1390" s="1">
        <v>2013.0</v>
      </c>
      <c r="AK1390" s="1" t="s">
        <v>1580</v>
      </c>
    </row>
    <row r="1391">
      <c r="A1391" s="1" t="s">
        <v>2827</v>
      </c>
      <c r="B1391" s="1" t="s">
        <v>2827</v>
      </c>
      <c r="C1391" s="1" t="s">
        <v>1446</v>
      </c>
      <c r="E1391" s="1">
        <v>9116670.0</v>
      </c>
      <c r="F1391" s="2">
        <v>41835.0</v>
      </c>
      <c r="G1391" s="1" t="s">
        <v>2828</v>
      </c>
      <c r="I1391" s="1" t="s">
        <v>2828</v>
      </c>
      <c r="L1391" s="1" t="s">
        <v>1079</v>
      </c>
      <c r="M1391" s="1">
        <v>7000.0</v>
      </c>
      <c r="N1391" s="1" t="s">
        <v>1079</v>
      </c>
      <c r="O1391" s="1">
        <v>7.3134884E7</v>
      </c>
      <c r="P1391" s="1" t="s">
        <v>1796</v>
      </c>
      <c r="R1391" s="1" t="s">
        <v>1855</v>
      </c>
      <c r="S1391" s="1" t="s">
        <v>44</v>
      </c>
      <c r="T1391" s="1" t="s">
        <v>45</v>
      </c>
      <c r="U1391" s="1">
        <v>48226.0</v>
      </c>
      <c r="W1391" s="1" t="s">
        <v>46</v>
      </c>
      <c r="X1391" s="1" t="s">
        <v>45</v>
      </c>
      <c r="Y1391" s="1">
        <v>48226.0</v>
      </c>
      <c r="Z1391" s="1">
        <v>7.3134884E7</v>
      </c>
      <c r="AA1391" s="1" t="s">
        <v>1796</v>
      </c>
      <c r="AB1391" s="1">
        <v>82239.0</v>
      </c>
      <c r="AC1391" s="2">
        <v>41835.0</v>
      </c>
      <c r="AD1391" s="1">
        <v>7000.0</v>
      </c>
      <c r="AE1391" s="1" t="s">
        <v>1079</v>
      </c>
      <c r="AF1391" s="1" t="s">
        <v>2829</v>
      </c>
      <c r="AG1391" s="1" t="s">
        <v>2830</v>
      </c>
      <c r="AH1391" s="1">
        <v>9.0</v>
      </c>
      <c r="AI1391" s="1">
        <v>2014.0</v>
      </c>
      <c r="AJ1391" s="1">
        <v>2014.0</v>
      </c>
      <c r="AK1391" s="1" t="s">
        <v>1458</v>
      </c>
    </row>
    <row r="1392">
      <c r="A1392" s="1" t="s">
        <v>2825</v>
      </c>
      <c r="B1392" s="1" t="s">
        <v>2825</v>
      </c>
      <c r="C1392" s="1" t="s">
        <v>645</v>
      </c>
      <c r="E1392" s="1">
        <v>5.014612E7</v>
      </c>
      <c r="F1392" s="2">
        <v>41183.0</v>
      </c>
      <c r="G1392" s="1" t="s">
        <v>1577</v>
      </c>
      <c r="I1392" s="1" t="s">
        <v>1577</v>
      </c>
      <c r="L1392" s="1" t="s">
        <v>647</v>
      </c>
      <c r="M1392" s="1">
        <v>1200.0</v>
      </c>
      <c r="N1392" s="1" t="s">
        <v>647</v>
      </c>
      <c r="O1392" s="1">
        <v>1.51978897E8</v>
      </c>
      <c r="P1392" s="1" t="s">
        <v>2831</v>
      </c>
      <c r="R1392" s="1" t="s">
        <v>2832</v>
      </c>
      <c r="S1392" s="1" t="s">
        <v>44</v>
      </c>
      <c r="T1392" s="1" t="s">
        <v>45</v>
      </c>
      <c r="U1392" s="1">
        <v>4.82012418E8</v>
      </c>
      <c r="W1392" s="1" t="s">
        <v>46</v>
      </c>
      <c r="X1392" s="1" t="s">
        <v>45</v>
      </c>
      <c r="Y1392" s="1">
        <v>4.82012418E8</v>
      </c>
      <c r="Z1392" s="1">
        <v>1.51978897E8</v>
      </c>
      <c r="AB1392" s="1">
        <v>2018268.0</v>
      </c>
      <c r="AC1392" s="2">
        <v>41183.0</v>
      </c>
      <c r="AD1392" s="1">
        <v>1200.0</v>
      </c>
      <c r="AE1392" s="1" t="s">
        <v>647</v>
      </c>
      <c r="AF1392" s="1">
        <v>2.0130128E7</v>
      </c>
      <c r="AG1392" s="1" t="s">
        <v>2826</v>
      </c>
      <c r="AH1392" s="1">
        <v>10.0</v>
      </c>
      <c r="AI1392" s="1">
        <v>2012.0</v>
      </c>
      <c r="AJ1392" s="1">
        <v>2013.0</v>
      </c>
      <c r="AK1392" s="1" t="s">
        <v>1580</v>
      </c>
    </row>
    <row r="1393">
      <c r="A1393" s="1" t="s">
        <v>2825</v>
      </c>
      <c r="B1393" s="1" t="s">
        <v>2825</v>
      </c>
      <c r="C1393" s="1" t="s">
        <v>645</v>
      </c>
      <c r="E1393" s="1">
        <v>5.014612E7</v>
      </c>
      <c r="F1393" s="2">
        <v>41183.0</v>
      </c>
      <c r="G1393" s="1" t="s">
        <v>1577</v>
      </c>
      <c r="I1393" s="1" t="s">
        <v>1577</v>
      </c>
      <c r="L1393" s="1" t="s">
        <v>647</v>
      </c>
      <c r="M1393" s="1">
        <v>1200.0</v>
      </c>
      <c r="N1393" s="1" t="s">
        <v>647</v>
      </c>
      <c r="O1393" s="1">
        <v>7.8583404E7</v>
      </c>
      <c r="P1393" s="1" t="s">
        <v>65</v>
      </c>
      <c r="R1393" s="1" t="s">
        <v>1573</v>
      </c>
      <c r="S1393" s="1" t="s">
        <v>44</v>
      </c>
      <c r="T1393" s="1" t="s">
        <v>45</v>
      </c>
      <c r="U1393" s="1">
        <v>4.8207311E8</v>
      </c>
      <c r="W1393" s="1" t="s">
        <v>46</v>
      </c>
      <c r="X1393" s="1" t="s">
        <v>45</v>
      </c>
      <c r="Y1393" s="1">
        <v>4.82021732E8</v>
      </c>
      <c r="AB1393" s="1">
        <v>33070.0</v>
      </c>
      <c r="AC1393" s="2">
        <v>41183.0</v>
      </c>
      <c r="AD1393" s="1">
        <v>1200.0</v>
      </c>
      <c r="AE1393" s="1" t="s">
        <v>647</v>
      </c>
      <c r="AF1393" s="1">
        <v>2.01304E7</v>
      </c>
      <c r="AG1393" s="1" t="s">
        <v>2826</v>
      </c>
      <c r="AH1393" s="1">
        <v>10.0</v>
      </c>
      <c r="AI1393" s="1">
        <v>2012.0</v>
      </c>
      <c r="AJ1393" s="1">
        <v>2013.0</v>
      </c>
      <c r="AK1393" s="1" t="s">
        <v>1580</v>
      </c>
    </row>
    <row r="1394">
      <c r="A1394" s="1" t="s">
        <v>2827</v>
      </c>
      <c r="B1394" s="1" t="s">
        <v>2827</v>
      </c>
      <c r="C1394" s="1" t="s">
        <v>1446</v>
      </c>
      <c r="E1394" s="1">
        <v>9116670.0</v>
      </c>
      <c r="F1394" s="2">
        <v>41835.0</v>
      </c>
      <c r="G1394" s="1" t="s">
        <v>2828</v>
      </c>
      <c r="I1394" s="1" t="s">
        <v>2828</v>
      </c>
      <c r="L1394" s="1" t="s">
        <v>1079</v>
      </c>
      <c r="M1394" s="1">
        <v>7000.0</v>
      </c>
      <c r="N1394" s="1" t="s">
        <v>1079</v>
      </c>
      <c r="O1394" s="1">
        <v>6530661.0</v>
      </c>
      <c r="P1394" s="1" t="s">
        <v>73</v>
      </c>
      <c r="Q1394" s="1" t="s">
        <v>323</v>
      </c>
      <c r="R1394" s="1" t="s">
        <v>1961</v>
      </c>
      <c r="S1394" s="1" t="s">
        <v>44</v>
      </c>
      <c r="T1394" s="1" t="s">
        <v>45</v>
      </c>
      <c r="U1394" s="1">
        <v>4.82263443E8</v>
      </c>
      <c r="W1394" s="1" t="s">
        <v>44</v>
      </c>
      <c r="X1394" s="1" t="s">
        <v>45</v>
      </c>
      <c r="Y1394" s="1">
        <v>4.82263443E8</v>
      </c>
      <c r="Z1394" s="1">
        <v>6530661.0</v>
      </c>
      <c r="AA1394" s="1" t="s">
        <v>76</v>
      </c>
      <c r="AB1394" s="1">
        <v>38558.0</v>
      </c>
      <c r="AC1394" s="2">
        <v>41835.0</v>
      </c>
      <c r="AD1394" s="1">
        <v>7000.0</v>
      </c>
      <c r="AE1394" s="1" t="s">
        <v>1079</v>
      </c>
      <c r="AF1394" s="1" t="s">
        <v>2829</v>
      </c>
      <c r="AG1394" s="1" t="s">
        <v>2830</v>
      </c>
      <c r="AH1394" s="1">
        <v>9.0</v>
      </c>
      <c r="AI1394" s="1">
        <v>2014.0</v>
      </c>
      <c r="AJ1394" s="1">
        <v>2014.0</v>
      </c>
      <c r="AK1394" s="1" t="s">
        <v>1458</v>
      </c>
    </row>
    <row r="1395">
      <c r="A1395" s="1" t="s">
        <v>2833</v>
      </c>
      <c r="B1395" s="1" t="s">
        <v>2833</v>
      </c>
      <c r="C1395" s="1" t="s">
        <v>194</v>
      </c>
      <c r="E1395" s="1">
        <v>3.5015472E7</v>
      </c>
      <c r="F1395" s="2">
        <v>41605.0</v>
      </c>
      <c r="G1395" s="1" t="s">
        <v>1380</v>
      </c>
      <c r="I1395" s="1" t="s">
        <v>1380</v>
      </c>
      <c r="L1395" s="1" t="s">
        <v>194</v>
      </c>
      <c r="M1395" s="1">
        <v>9100.0</v>
      </c>
      <c r="N1395" s="1" t="s">
        <v>194</v>
      </c>
      <c r="O1395" s="1">
        <v>7.6386556E7</v>
      </c>
      <c r="P1395" s="1" t="s">
        <v>1242</v>
      </c>
      <c r="R1395" s="1" t="s">
        <v>1243</v>
      </c>
      <c r="S1395" s="1" t="s">
        <v>44</v>
      </c>
      <c r="T1395" s="1" t="s">
        <v>45</v>
      </c>
      <c r="U1395" s="1">
        <v>4.8226301E8</v>
      </c>
      <c r="W1395" s="1" t="s">
        <v>44</v>
      </c>
      <c r="X1395" s="1" t="s">
        <v>45</v>
      </c>
      <c r="Y1395" s="1">
        <v>4.8226301E8</v>
      </c>
      <c r="Z1395" s="1">
        <v>7.6386556E7</v>
      </c>
      <c r="AA1395" s="1" t="s">
        <v>1242</v>
      </c>
      <c r="AB1395" s="1">
        <v>1080518.0</v>
      </c>
      <c r="AC1395" s="2">
        <v>41605.0</v>
      </c>
      <c r="AD1395" s="1">
        <v>9100.0</v>
      </c>
      <c r="AE1395" s="1" t="s">
        <v>194</v>
      </c>
      <c r="AF1395" s="1" t="s">
        <v>2834</v>
      </c>
      <c r="AG1395" s="1" t="s">
        <v>1382</v>
      </c>
      <c r="AH1395" s="1">
        <v>9.0</v>
      </c>
      <c r="AI1395" s="1">
        <v>2014.0</v>
      </c>
      <c r="AJ1395" s="1">
        <v>2014.0</v>
      </c>
      <c r="AK1395" s="1" t="s">
        <v>1383</v>
      </c>
    </row>
    <row r="1396">
      <c r="A1396" s="1" t="s">
        <v>2833</v>
      </c>
      <c r="B1396" s="1" t="s">
        <v>2833</v>
      </c>
      <c r="C1396" s="1" t="s">
        <v>194</v>
      </c>
      <c r="E1396" s="1">
        <v>3.5015472E7</v>
      </c>
      <c r="F1396" s="2">
        <v>41878.0</v>
      </c>
      <c r="G1396" s="1" t="s">
        <v>1380</v>
      </c>
      <c r="I1396" s="1" t="s">
        <v>1380</v>
      </c>
      <c r="L1396" s="1" t="s">
        <v>194</v>
      </c>
      <c r="M1396" s="1">
        <v>9100.0</v>
      </c>
      <c r="N1396" s="1" t="s">
        <v>194</v>
      </c>
      <c r="O1396" s="1">
        <v>7.6340843E7</v>
      </c>
      <c r="P1396" s="1" t="s">
        <v>461</v>
      </c>
      <c r="R1396" s="1" t="s">
        <v>1599</v>
      </c>
      <c r="S1396" s="1" t="s">
        <v>44</v>
      </c>
      <c r="T1396" s="1" t="s">
        <v>45</v>
      </c>
      <c r="U1396" s="1">
        <v>4.8202301E8</v>
      </c>
      <c r="W1396" s="1" t="s">
        <v>44</v>
      </c>
      <c r="X1396" s="1" t="s">
        <v>45</v>
      </c>
      <c r="Y1396" s="1">
        <v>4.82023096E8</v>
      </c>
      <c r="Z1396" s="1">
        <v>7.6340843E7</v>
      </c>
      <c r="AA1396" s="1" t="s">
        <v>461</v>
      </c>
      <c r="AB1396" s="1">
        <v>2748666.0</v>
      </c>
      <c r="AC1396" s="2">
        <v>41878.0</v>
      </c>
      <c r="AD1396" s="1">
        <v>9100.0</v>
      </c>
      <c r="AE1396" s="1" t="s">
        <v>194</v>
      </c>
      <c r="AF1396" s="1" t="s">
        <v>2835</v>
      </c>
      <c r="AG1396" s="1" t="s">
        <v>1382</v>
      </c>
      <c r="AH1396" s="1">
        <v>9.0</v>
      </c>
      <c r="AI1396" s="1">
        <v>2014.0</v>
      </c>
      <c r="AJ1396" s="1">
        <v>2014.0</v>
      </c>
      <c r="AK1396" s="1" t="s">
        <v>1383</v>
      </c>
    </row>
    <row r="1397">
      <c r="A1397" s="1" t="s">
        <v>2836</v>
      </c>
      <c r="B1397" s="1" t="s">
        <v>2836</v>
      </c>
      <c r="C1397" s="1" t="s">
        <v>194</v>
      </c>
      <c r="E1397" s="1">
        <v>3.7308104E7</v>
      </c>
      <c r="F1397" s="2">
        <v>41649.0</v>
      </c>
      <c r="G1397" s="1" t="s">
        <v>279</v>
      </c>
      <c r="I1397" s="1" t="s">
        <v>279</v>
      </c>
      <c r="L1397" s="1" t="s">
        <v>194</v>
      </c>
      <c r="M1397" s="1">
        <v>9100.0</v>
      </c>
      <c r="N1397" s="1" t="s">
        <v>194</v>
      </c>
      <c r="O1397" s="1">
        <v>7.6340843E7</v>
      </c>
      <c r="P1397" s="1" t="s">
        <v>461</v>
      </c>
      <c r="R1397" s="1" t="s">
        <v>1599</v>
      </c>
      <c r="S1397" s="1" t="s">
        <v>44</v>
      </c>
      <c r="T1397" s="1" t="s">
        <v>45</v>
      </c>
      <c r="U1397" s="1">
        <v>4.8202301E8</v>
      </c>
      <c r="W1397" s="1" t="s">
        <v>44</v>
      </c>
      <c r="X1397" s="1" t="s">
        <v>45</v>
      </c>
      <c r="Y1397" s="1">
        <v>4.82023096E8</v>
      </c>
      <c r="Z1397" s="1">
        <v>7.6340843E7</v>
      </c>
      <c r="AA1397" s="1" t="s">
        <v>461</v>
      </c>
      <c r="AB1397" s="1">
        <v>4725000.0</v>
      </c>
      <c r="AC1397" s="2">
        <v>41649.0</v>
      </c>
      <c r="AD1397" s="1">
        <v>9100.0</v>
      </c>
      <c r="AE1397" s="1" t="s">
        <v>194</v>
      </c>
      <c r="AF1397" s="1" t="s">
        <v>2837</v>
      </c>
      <c r="AG1397" s="1" t="s">
        <v>284</v>
      </c>
      <c r="AH1397" s="1">
        <v>9.0</v>
      </c>
      <c r="AI1397" s="1">
        <v>2014.0</v>
      </c>
      <c r="AJ1397" s="1">
        <v>2014.0</v>
      </c>
      <c r="AK1397" s="1" t="s">
        <v>285</v>
      </c>
    </row>
    <row r="1398">
      <c r="A1398" s="1" t="s">
        <v>2833</v>
      </c>
      <c r="B1398" s="1" t="s">
        <v>2833</v>
      </c>
      <c r="C1398" s="1" t="s">
        <v>194</v>
      </c>
      <c r="E1398" s="1">
        <v>3.5015472E7</v>
      </c>
      <c r="F1398" s="2">
        <v>41477.0</v>
      </c>
      <c r="G1398" s="1" t="s">
        <v>1380</v>
      </c>
      <c r="I1398" s="1" t="s">
        <v>1380</v>
      </c>
      <c r="L1398" s="1" t="s">
        <v>194</v>
      </c>
      <c r="M1398" s="1">
        <v>9100.0</v>
      </c>
      <c r="N1398" s="1" t="s">
        <v>194</v>
      </c>
      <c r="O1398" s="1">
        <v>1962224.0</v>
      </c>
      <c r="P1398" s="1" t="s">
        <v>52</v>
      </c>
      <c r="Q1398" s="1" t="s">
        <v>1566</v>
      </c>
      <c r="R1398" s="1" t="s">
        <v>53</v>
      </c>
      <c r="S1398" s="1" t="s">
        <v>44</v>
      </c>
      <c r="T1398" s="1" t="s">
        <v>45</v>
      </c>
      <c r="U1398" s="1">
        <v>4.82023692E8</v>
      </c>
      <c r="W1398" s="1" t="s">
        <v>44</v>
      </c>
      <c r="X1398" s="1" t="s">
        <v>45</v>
      </c>
      <c r="Y1398" s="1">
        <v>4.82023424E8</v>
      </c>
      <c r="Z1398" s="1">
        <v>1962224.0</v>
      </c>
      <c r="AA1398" s="1" t="s">
        <v>52</v>
      </c>
      <c r="AB1398" s="1">
        <v>25000.0</v>
      </c>
      <c r="AC1398" s="2">
        <v>41477.0</v>
      </c>
      <c r="AD1398" s="1">
        <v>9100.0</v>
      </c>
      <c r="AE1398" s="1" t="s">
        <v>194</v>
      </c>
      <c r="AF1398" s="1" t="s">
        <v>2838</v>
      </c>
      <c r="AG1398" s="1" t="s">
        <v>1382</v>
      </c>
      <c r="AH1398" s="1">
        <v>9.0</v>
      </c>
      <c r="AI1398" s="1">
        <v>2014.0</v>
      </c>
      <c r="AJ1398" s="1">
        <v>2013.0</v>
      </c>
      <c r="AK1398" s="1" t="s">
        <v>1383</v>
      </c>
    </row>
    <row r="1399">
      <c r="A1399" s="1" t="s">
        <v>2836</v>
      </c>
      <c r="B1399" s="1" t="s">
        <v>2836</v>
      </c>
      <c r="C1399" s="1" t="s">
        <v>194</v>
      </c>
      <c r="E1399" s="1">
        <v>3.7308104E7</v>
      </c>
      <c r="F1399" s="2">
        <v>41605.0</v>
      </c>
      <c r="G1399" s="1" t="s">
        <v>279</v>
      </c>
      <c r="I1399" s="1" t="s">
        <v>279</v>
      </c>
      <c r="L1399" s="1" t="s">
        <v>194</v>
      </c>
      <c r="M1399" s="1">
        <v>9100.0</v>
      </c>
      <c r="N1399" s="1" t="s">
        <v>194</v>
      </c>
      <c r="O1399" s="1">
        <v>1.86295734E8</v>
      </c>
      <c r="P1399" s="1" t="s">
        <v>2839</v>
      </c>
      <c r="R1399" s="1" t="s">
        <v>2840</v>
      </c>
      <c r="S1399" s="1" t="s">
        <v>44</v>
      </c>
      <c r="T1399" s="1" t="s">
        <v>45</v>
      </c>
      <c r="U1399" s="1">
        <v>4.8221244E8</v>
      </c>
      <c r="W1399" s="1" t="s">
        <v>44</v>
      </c>
      <c r="X1399" s="1" t="s">
        <v>45</v>
      </c>
      <c r="Y1399" s="1">
        <v>4.82142437E8</v>
      </c>
      <c r="AB1399" s="1">
        <v>135000.0</v>
      </c>
      <c r="AC1399" s="2">
        <v>41605.0</v>
      </c>
      <c r="AD1399" s="1">
        <v>9100.0</v>
      </c>
      <c r="AE1399" s="1" t="s">
        <v>194</v>
      </c>
      <c r="AF1399" s="1" t="s">
        <v>2841</v>
      </c>
      <c r="AG1399" s="1" t="s">
        <v>284</v>
      </c>
      <c r="AH1399" s="1">
        <v>9.0</v>
      </c>
      <c r="AI1399" s="1">
        <v>2014.0</v>
      </c>
      <c r="AJ1399" s="1">
        <v>2014.0</v>
      </c>
      <c r="AK1399" s="1" t="s">
        <v>285</v>
      </c>
    </row>
    <row r="1400">
      <c r="A1400" s="1" t="s">
        <v>2833</v>
      </c>
      <c r="B1400" s="1" t="s">
        <v>2833</v>
      </c>
      <c r="C1400" s="1" t="s">
        <v>194</v>
      </c>
      <c r="E1400" s="1">
        <v>3.5015472E7</v>
      </c>
      <c r="F1400" s="2">
        <v>41773.0</v>
      </c>
      <c r="G1400" s="1" t="s">
        <v>1380</v>
      </c>
      <c r="I1400" s="1" t="s">
        <v>1380</v>
      </c>
      <c r="L1400" s="1" t="s">
        <v>194</v>
      </c>
      <c r="M1400" s="1">
        <v>9100.0</v>
      </c>
      <c r="N1400" s="1" t="s">
        <v>194</v>
      </c>
      <c r="O1400" s="1">
        <v>7.8346351E7</v>
      </c>
      <c r="P1400" s="1" t="s">
        <v>615</v>
      </c>
      <c r="R1400" s="1" t="s">
        <v>1708</v>
      </c>
      <c r="S1400" s="1" t="s">
        <v>44</v>
      </c>
      <c r="T1400" s="1" t="s">
        <v>45</v>
      </c>
      <c r="U1400" s="1">
        <v>4.82074457E8</v>
      </c>
      <c r="W1400" s="1" t="s">
        <v>44</v>
      </c>
      <c r="X1400" s="1" t="s">
        <v>45</v>
      </c>
      <c r="Y1400" s="1">
        <v>4.82074298E8</v>
      </c>
      <c r="AB1400" s="1">
        <v>173765.0</v>
      </c>
      <c r="AC1400" s="2">
        <v>41773.0</v>
      </c>
      <c r="AD1400" s="1">
        <v>9100.0</v>
      </c>
      <c r="AE1400" s="1" t="s">
        <v>194</v>
      </c>
      <c r="AF1400" s="1" t="s">
        <v>2842</v>
      </c>
      <c r="AG1400" s="1" t="s">
        <v>1382</v>
      </c>
      <c r="AH1400" s="1">
        <v>9.0</v>
      </c>
      <c r="AI1400" s="1">
        <v>2014.0</v>
      </c>
      <c r="AJ1400" s="1">
        <v>2014.0</v>
      </c>
      <c r="AK1400" s="1" t="s">
        <v>1383</v>
      </c>
    </row>
    <row r="1401">
      <c r="A1401" s="1" t="s">
        <v>2833</v>
      </c>
      <c r="B1401" s="1" t="s">
        <v>2833</v>
      </c>
      <c r="C1401" s="1" t="s">
        <v>194</v>
      </c>
      <c r="E1401" s="1">
        <v>3.5015472E7</v>
      </c>
      <c r="F1401" s="2">
        <v>41730.0</v>
      </c>
      <c r="G1401" s="1" t="s">
        <v>1380</v>
      </c>
      <c r="I1401" s="1" t="s">
        <v>1380</v>
      </c>
      <c r="L1401" s="1" t="s">
        <v>194</v>
      </c>
      <c r="M1401" s="1">
        <v>9100.0</v>
      </c>
      <c r="N1401" s="1" t="s">
        <v>194</v>
      </c>
      <c r="O1401" s="1">
        <v>7.6386556E7</v>
      </c>
      <c r="P1401" s="1" t="s">
        <v>1242</v>
      </c>
      <c r="R1401" s="1" t="s">
        <v>1243</v>
      </c>
      <c r="S1401" s="1" t="s">
        <v>44</v>
      </c>
      <c r="T1401" s="1" t="s">
        <v>45</v>
      </c>
      <c r="U1401" s="1">
        <v>4.8226301E8</v>
      </c>
      <c r="W1401" s="1" t="s">
        <v>44</v>
      </c>
      <c r="X1401" s="1" t="s">
        <v>45</v>
      </c>
      <c r="Y1401" s="1">
        <v>4.8226301E8</v>
      </c>
      <c r="Z1401" s="1">
        <v>7.6386556E7</v>
      </c>
      <c r="AA1401" s="1" t="s">
        <v>1242</v>
      </c>
      <c r="AB1401" s="1">
        <v>1180722.0</v>
      </c>
      <c r="AC1401" s="2">
        <v>41730.0</v>
      </c>
      <c r="AD1401" s="1">
        <v>9100.0</v>
      </c>
      <c r="AE1401" s="1" t="s">
        <v>194</v>
      </c>
      <c r="AF1401" s="1" t="s">
        <v>2834</v>
      </c>
      <c r="AG1401" s="1" t="s">
        <v>1382</v>
      </c>
      <c r="AH1401" s="1">
        <v>9.0</v>
      </c>
      <c r="AI1401" s="1">
        <v>2014.0</v>
      </c>
      <c r="AJ1401" s="1">
        <v>2014.0</v>
      </c>
      <c r="AK1401" s="1" t="s">
        <v>1383</v>
      </c>
    </row>
    <row r="1402">
      <c r="A1402" s="1" t="s">
        <v>2836</v>
      </c>
      <c r="B1402" s="1" t="s">
        <v>2836</v>
      </c>
      <c r="C1402" s="1" t="s">
        <v>194</v>
      </c>
      <c r="E1402" s="1">
        <v>3.7308104E7</v>
      </c>
      <c r="F1402" s="2">
        <v>41549.0</v>
      </c>
      <c r="G1402" s="1" t="s">
        <v>279</v>
      </c>
      <c r="I1402" s="1" t="s">
        <v>279</v>
      </c>
      <c r="L1402" s="1" t="s">
        <v>194</v>
      </c>
      <c r="M1402" s="1">
        <v>9100.0</v>
      </c>
      <c r="N1402" s="1" t="s">
        <v>194</v>
      </c>
      <c r="O1402" s="1">
        <v>7.8398153E7</v>
      </c>
      <c r="P1402" s="1" t="s">
        <v>2843</v>
      </c>
      <c r="R1402" s="1" t="s">
        <v>2844</v>
      </c>
      <c r="S1402" s="1" t="s">
        <v>44</v>
      </c>
      <c r="T1402" s="1" t="s">
        <v>45</v>
      </c>
      <c r="U1402" s="1">
        <v>4.8206156E8</v>
      </c>
      <c r="W1402" s="1" t="s">
        <v>44</v>
      </c>
      <c r="X1402" s="1" t="s">
        <v>45</v>
      </c>
      <c r="Y1402" s="1">
        <v>4.82043908E8</v>
      </c>
      <c r="Z1402" s="1">
        <v>7.8398153E7</v>
      </c>
      <c r="AA1402" s="1" t="s">
        <v>2843</v>
      </c>
      <c r="AB1402" s="1">
        <v>405000.0</v>
      </c>
      <c r="AC1402" s="2">
        <v>41549.0</v>
      </c>
      <c r="AD1402" s="1">
        <v>9100.0</v>
      </c>
      <c r="AE1402" s="1" t="s">
        <v>194</v>
      </c>
      <c r="AF1402" s="1" t="s">
        <v>2845</v>
      </c>
      <c r="AG1402" s="1" t="s">
        <v>284</v>
      </c>
      <c r="AH1402" s="1">
        <v>9.0</v>
      </c>
      <c r="AI1402" s="1">
        <v>2014.0</v>
      </c>
      <c r="AJ1402" s="1">
        <v>2014.0</v>
      </c>
      <c r="AK1402" s="1" t="s">
        <v>285</v>
      </c>
    </row>
    <row r="1403">
      <c r="A1403" s="1" t="s">
        <v>2836</v>
      </c>
      <c r="B1403" s="1" t="s">
        <v>2836</v>
      </c>
      <c r="C1403" s="1" t="s">
        <v>194</v>
      </c>
      <c r="E1403" s="1">
        <v>3.7308104E7</v>
      </c>
      <c r="F1403" s="2">
        <v>41605.0</v>
      </c>
      <c r="G1403" s="1" t="s">
        <v>279</v>
      </c>
      <c r="I1403" s="1" t="s">
        <v>279</v>
      </c>
      <c r="L1403" s="1" t="s">
        <v>194</v>
      </c>
      <c r="M1403" s="1">
        <v>9100.0</v>
      </c>
      <c r="N1403" s="1" t="s">
        <v>194</v>
      </c>
      <c r="O1403" s="1">
        <v>1.86295734E8</v>
      </c>
      <c r="P1403" s="1" t="s">
        <v>2839</v>
      </c>
      <c r="R1403" s="1" t="s">
        <v>2840</v>
      </c>
      <c r="S1403" s="1" t="s">
        <v>44</v>
      </c>
      <c r="T1403" s="1" t="s">
        <v>45</v>
      </c>
      <c r="U1403" s="1">
        <v>4.8221244E8</v>
      </c>
      <c r="W1403" s="1" t="s">
        <v>44</v>
      </c>
      <c r="X1403" s="1" t="s">
        <v>45</v>
      </c>
      <c r="Y1403" s="1">
        <v>4.82142437E8</v>
      </c>
      <c r="AB1403" s="1">
        <v>135000.0</v>
      </c>
      <c r="AC1403" s="2">
        <v>41605.0</v>
      </c>
      <c r="AD1403" s="1">
        <v>9100.0</v>
      </c>
      <c r="AE1403" s="1" t="s">
        <v>194</v>
      </c>
      <c r="AF1403" s="1" t="s">
        <v>2841</v>
      </c>
      <c r="AG1403" s="1" t="s">
        <v>284</v>
      </c>
      <c r="AH1403" s="1">
        <v>9.0</v>
      </c>
      <c r="AI1403" s="1">
        <v>2014.0</v>
      </c>
      <c r="AJ1403" s="1">
        <v>2014.0</v>
      </c>
      <c r="AK1403" s="1" t="s">
        <v>285</v>
      </c>
    </row>
    <row r="1404">
      <c r="A1404" s="1" t="s">
        <v>2836</v>
      </c>
      <c r="B1404" s="1" t="s">
        <v>2836</v>
      </c>
      <c r="C1404" s="1" t="s">
        <v>194</v>
      </c>
      <c r="E1404" s="1">
        <v>3.7308104E7</v>
      </c>
      <c r="F1404" s="2">
        <v>41513.0</v>
      </c>
      <c r="G1404" s="1" t="s">
        <v>279</v>
      </c>
      <c r="I1404" s="1" t="s">
        <v>279</v>
      </c>
      <c r="L1404" s="1" t="s">
        <v>194</v>
      </c>
      <c r="M1404" s="1">
        <v>9100.0</v>
      </c>
      <c r="N1404" s="1" t="s">
        <v>194</v>
      </c>
      <c r="O1404" s="1">
        <v>7.97531295E8</v>
      </c>
      <c r="P1404" s="1" t="s">
        <v>582</v>
      </c>
      <c r="R1404" s="1" t="s">
        <v>583</v>
      </c>
      <c r="S1404" s="1" t="s">
        <v>44</v>
      </c>
      <c r="T1404" s="1" t="s">
        <v>45</v>
      </c>
      <c r="U1404" s="1">
        <v>4.82123452E8</v>
      </c>
      <c r="W1404" s="1" t="s">
        <v>498</v>
      </c>
      <c r="X1404" s="1" t="s">
        <v>45</v>
      </c>
      <c r="Y1404" s="1">
        <v>4.82123452E8</v>
      </c>
      <c r="AB1404" s="1">
        <v>130194.0</v>
      </c>
      <c r="AC1404" s="2">
        <v>41513.0</v>
      </c>
      <c r="AD1404" s="1">
        <v>9100.0</v>
      </c>
      <c r="AE1404" s="1" t="s">
        <v>194</v>
      </c>
      <c r="AF1404" s="1" t="s">
        <v>2846</v>
      </c>
      <c r="AG1404" s="1" t="s">
        <v>284</v>
      </c>
      <c r="AH1404" s="1">
        <v>9.0</v>
      </c>
      <c r="AI1404" s="1">
        <v>2014.0</v>
      </c>
      <c r="AJ1404" s="1">
        <v>2013.0</v>
      </c>
      <c r="AK1404" s="1" t="s">
        <v>285</v>
      </c>
    </row>
    <row r="1405">
      <c r="A1405" s="1" t="s">
        <v>2836</v>
      </c>
      <c r="B1405" s="1" t="s">
        <v>2836</v>
      </c>
      <c r="C1405" s="1" t="s">
        <v>194</v>
      </c>
      <c r="E1405" s="1">
        <v>3.7308104E7</v>
      </c>
      <c r="F1405" s="2">
        <v>41481.0</v>
      </c>
      <c r="G1405" s="1" t="s">
        <v>279</v>
      </c>
      <c r="I1405" s="1" t="s">
        <v>279</v>
      </c>
      <c r="L1405" s="1" t="s">
        <v>194</v>
      </c>
      <c r="M1405" s="1">
        <v>9100.0</v>
      </c>
      <c r="N1405" s="1" t="s">
        <v>194</v>
      </c>
      <c r="O1405" s="1">
        <v>7.8359005E7</v>
      </c>
      <c r="P1405" s="1" t="s">
        <v>486</v>
      </c>
      <c r="R1405" s="1" t="s">
        <v>487</v>
      </c>
      <c r="S1405" s="1" t="s">
        <v>44</v>
      </c>
      <c r="T1405" s="1" t="s">
        <v>45</v>
      </c>
      <c r="U1405" s="1">
        <v>4.82011006E8</v>
      </c>
      <c r="W1405" s="1" t="s">
        <v>46</v>
      </c>
      <c r="X1405" s="1" t="s">
        <v>45</v>
      </c>
      <c r="Y1405" s="1">
        <v>4.82011006E8</v>
      </c>
      <c r="AB1405" s="1">
        <v>270000.0</v>
      </c>
      <c r="AC1405" s="2">
        <v>41481.0</v>
      </c>
      <c r="AD1405" s="1">
        <v>9100.0</v>
      </c>
      <c r="AE1405" s="1" t="s">
        <v>194</v>
      </c>
      <c r="AF1405" s="1" t="s">
        <v>2847</v>
      </c>
      <c r="AG1405" s="1" t="s">
        <v>284</v>
      </c>
      <c r="AH1405" s="1">
        <v>9.0</v>
      </c>
      <c r="AI1405" s="1">
        <v>2014.0</v>
      </c>
      <c r="AJ1405" s="1">
        <v>2013.0</v>
      </c>
      <c r="AK1405" s="1" t="s">
        <v>285</v>
      </c>
    </row>
    <row r="1406">
      <c r="A1406" s="1" t="s">
        <v>2836</v>
      </c>
      <c r="B1406" s="1" t="s">
        <v>2836</v>
      </c>
      <c r="C1406" s="1" t="s">
        <v>194</v>
      </c>
      <c r="E1406" s="1">
        <v>3.7308104E7</v>
      </c>
      <c r="F1406" s="2">
        <v>41481.0</v>
      </c>
      <c r="G1406" s="1" t="s">
        <v>279</v>
      </c>
      <c r="I1406" s="1" t="s">
        <v>279</v>
      </c>
      <c r="L1406" s="1" t="s">
        <v>194</v>
      </c>
      <c r="M1406" s="1">
        <v>9100.0</v>
      </c>
      <c r="N1406" s="1" t="s">
        <v>194</v>
      </c>
      <c r="O1406" s="1">
        <v>1962224.0</v>
      </c>
      <c r="P1406" s="1" t="s">
        <v>52</v>
      </c>
      <c r="Q1406" s="1" t="s">
        <v>1566</v>
      </c>
      <c r="R1406" s="1" t="s">
        <v>53</v>
      </c>
      <c r="S1406" s="1" t="s">
        <v>44</v>
      </c>
      <c r="T1406" s="1" t="s">
        <v>45</v>
      </c>
      <c r="U1406" s="1">
        <v>4.82023692E8</v>
      </c>
      <c r="W1406" s="1" t="s">
        <v>44</v>
      </c>
      <c r="X1406" s="1" t="s">
        <v>45</v>
      </c>
      <c r="Y1406" s="1">
        <v>4.82023424E8</v>
      </c>
      <c r="Z1406" s="1">
        <v>1962224.0</v>
      </c>
      <c r="AA1406" s="1" t="s">
        <v>52</v>
      </c>
      <c r="AB1406" s="1">
        <v>675000.0</v>
      </c>
      <c r="AC1406" s="2">
        <v>41481.0</v>
      </c>
      <c r="AD1406" s="1">
        <v>9100.0</v>
      </c>
      <c r="AE1406" s="1" t="s">
        <v>194</v>
      </c>
      <c r="AF1406" s="1" t="s">
        <v>2848</v>
      </c>
      <c r="AG1406" s="1" t="s">
        <v>284</v>
      </c>
      <c r="AH1406" s="1">
        <v>9.0</v>
      </c>
      <c r="AI1406" s="1">
        <v>2014.0</v>
      </c>
      <c r="AJ1406" s="1">
        <v>2013.0</v>
      </c>
      <c r="AK1406" s="1" t="s">
        <v>285</v>
      </c>
    </row>
    <row r="1407">
      <c r="A1407" s="1" t="s">
        <v>2836</v>
      </c>
      <c r="B1407" s="1" t="s">
        <v>2836</v>
      </c>
      <c r="C1407" s="1" t="s">
        <v>194</v>
      </c>
      <c r="E1407" s="1">
        <v>3.7308104E7</v>
      </c>
      <c r="F1407" s="2">
        <v>41481.0</v>
      </c>
      <c r="G1407" s="1" t="s">
        <v>279</v>
      </c>
      <c r="I1407" s="1" t="s">
        <v>279</v>
      </c>
      <c r="L1407" s="1" t="s">
        <v>194</v>
      </c>
      <c r="M1407" s="1">
        <v>9100.0</v>
      </c>
      <c r="N1407" s="1" t="s">
        <v>194</v>
      </c>
      <c r="O1407" s="1">
        <v>8.01081899E8</v>
      </c>
      <c r="P1407" s="1" t="s">
        <v>280</v>
      </c>
      <c r="R1407" s="1" t="s">
        <v>281</v>
      </c>
      <c r="S1407" s="1" t="s">
        <v>44</v>
      </c>
      <c r="T1407" s="1" t="s">
        <v>45</v>
      </c>
      <c r="U1407" s="1">
        <v>4.82033277E8</v>
      </c>
      <c r="W1407" s="1" t="s">
        <v>282</v>
      </c>
      <c r="X1407" s="1" t="s">
        <v>45</v>
      </c>
      <c r="Y1407" s="1">
        <v>4.82202899E8</v>
      </c>
      <c r="AB1407" s="1">
        <v>1350000.0</v>
      </c>
      <c r="AC1407" s="2">
        <v>41481.0</v>
      </c>
      <c r="AD1407" s="1">
        <v>9100.0</v>
      </c>
      <c r="AE1407" s="1" t="s">
        <v>194</v>
      </c>
      <c r="AF1407" s="1" t="s">
        <v>2849</v>
      </c>
      <c r="AG1407" s="1" t="s">
        <v>284</v>
      </c>
      <c r="AH1407" s="1">
        <v>9.0</v>
      </c>
      <c r="AI1407" s="1">
        <v>2014.0</v>
      </c>
      <c r="AJ1407" s="1">
        <v>2013.0</v>
      </c>
      <c r="AK1407" s="1" t="s">
        <v>285</v>
      </c>
    </row>
    <row r="1408">
      <c r="A1408" s="1" t="s">
        <v>2850</v>
      </c>
      <c r="B1408" s="1" t="s">
        <v>2850</v>
      </c>
      <c r="C1408" s="1" t="s">
        <v>85</v>
      </c>
      <c r="E1408" s="1">
        <v>5.5656128E7</v>
      </c>
      <c r="F1408" s="2">
        <v>41548.0</v>
      </c>
      <c r="G1408" s="1" t="s">
        <v>2851</v>
      </c>
      <c r="I1408" s="1" t="s">
        <v>2851</v>
      </c>
      <c r="L1408" s="1" t="s">
        <v>40</v>
      </c>
      <c r="M1408" s="1">
        <v>7500.0</v>
      </c>
      <c r="N1408" s="1" t="s">
        <v>40</v>
      </c>
      <c r="O1408" s="1">
        <v>7596352.0</v>
      </c>
      <c r="P1408" s="1" t="s">
        <v>73</v>
      </c>
      <c r="R1408" s="1" t="s">
        <v>1578</v>
      </c>
      <c r="S1408" s="1" t="s">
        <v>44</v>
      </c>
      <c r="T1408" s="1" t="s">
        <v>45</v>
      </c>
      <c r="U1408" s="1">
        <v>4.82263269E8</v>
      </c>
      <c r="W1408" s="1" t="s">
        <v>46</v>
      </c>
      <c r="X1408" s="1" t="s">
        <v>45</v>
      </c>
      <c r="Y1408" s="1">
        <v>4.82263269E8</v>
      </c>
      <c r="Z1408" s="1">
        <v>6530661.0</v>
      </c>
      <c r="AA1408" s="1" t="s">
        <v>76</v>
      </c>
      <c r="AB1408" s="1">
        <v>1.0082067E7</v>
      </c>
      <c r="AC1408" s="2">
        <v>41548.0</v>
      </c>
      <c r="AD1408" s="1">
        <v>7500.0</v>
      </c>
      <c r="AE1408" s="1" t="s">
        <v>40</v>
      </c>
      <c r="AF1408" s="1">
        <v>2.014095E7</v>
      </c>
      <c r="AG1408" s="1" t="s">
        <v>1359</v>
      </c>
      <c r="AH1408" s="1">
        <v>10.0</v>
      </c>
      <c r="AI1408" s="1">
        <v>2013.0</v>
      </c>
      <c r="AJ1408" s="1">
        <v>2014.0</v>
      </c>
      <c r="AK1408" s="1" t="s">
        <v>1360</v>
      </c>
    </row>
    <row r="1409">
      <c r="A1409" s="1" t="s">
        <v>2852</v>
      </c>
      <c r="B1409" s="1" t="s">
        <v>2852</v>
      </c>
      <c r="C1409" s="1" t="s">
        <v>38</v>
      </c>
      <c r="E1409" s="1">
        <v>1179318.0</v>
      </c>
      <c r="F1409" s="2">
        <v>41899.0</v>
      </c>
      <c r="G1409" s="1" t="s">
        <v>2853</v>
      </c>
      <c r="I1409" s="1" t="s">
        <v>2853</v>
      </c>
      <c r="L1409" s="1" t="s">
        <v>40</v>
      </c>
      <c r="M1409" s="1">
        <v>7500.0</v>
      </c>
      <c r="N1409" s="1" t="s">
        <v>40</v>
      </c>
      <c r="O1409" s="1">
        <v>1962224.0</v>
      </c>
      <c r="P1409" s="1" t="s">
        <v>52</v>
      </c>
      <c r="R1409" s="1" t="s">
        <v>53</v>
      </c>
      <c r="S1409" s="1" t="s">
        <v>44</v>
      </c>
      <c r="T1409" s="1" t="s">
        <v>45</v>
      </c>
      <c r="U1409" s="1">
        <v>4.82023692E8</v>
      </c>
      <c r="W1409" s="1" t="s">
        <v>46</v>
      </c>
      <c r="X1409" s="1" t="s">
        <v>45</v>
      </c>
      <c r="Y1409" s="1">
        <v>4.8202405E8</v>
      </c>
      <c r="Z1409" s="1">
        <v>1962224.0</v>
      </c>
      <c r="AA1409" s="1" t="s">
        <v>52</v>
      </c>
      <c r="AB1409" s="1">
        <v>187032.0</v>
      </c>
      <c r="AC1409" s="2">
        <v>41899.0</v>
      </c>
      <c r="AD1409" s="1">
        <v>7500.0</v>
      </c>
      <c r="AE1409" s="1" t="s">
        <v>40</v>
      </c>
      <c r="AF1409" s="1" t="s">
        <v>2854</v>
      </c>
      <c r="AG1409" s="1" t="s">
        <v>2855</v>
      </c>
      <c r="AH1409" s="1">
        <v>10.0</v>
      </c>
      <c r="AI1409" s="1">
        <v>2012.0</v>
      </c>
      <c r="AJ1409" s="1">
        <v>2014.0</v>
      </c>
      <c r="AK1409" s="1" t="s">
        <v>2053</v>
      </c>
    </row>
    <row r="1410">
      <c r="A1410" s="1" t="s">
        <v>1833</v>
      </c>
      <c r="B1410" s="1" t="s">
        <v>1833</v>
      </c>
      <c r="C1410" s="1" t="s">
        <v>38</v>
      </c>
      <c r="E1410" s="1">
        <v>3243882.0</v>
      </c>
      <c r="F1410" s="2">
        <v>41858.0</v>
      </c>
      <c r="G1410" s="1" t="s">
        <v>2856</v>
      </c>
      <c r="I1410" s="1" t="s">
        <v>2856</v>
      </c>
      <c r="L1410" s="1" t="s">
        <v>40</v>
      </c>
      <c r="M1410" s="1">
        <v>7500.0</v>
      </c>
      <c r="N1410" s="1" t="s">
        <v>40</v>
      </c>
      <c r="O1410" s="1">
        <v>1962224.0</v>
      </c>
      <c r="P1410" s="1" t="s">
        <v>52</v>
      </c>
      <c r="Q1410" s="1" t="s">
        <v>1566</v>
      </c>
      <c r="R1410" s="1" t="s">
        <v>1885</v>
      </c>
      <c r="S1410" s="1" t="s">
        <v>44</v>
      </c>
      <c r="T1410" s="1" t="s">
        <v>45</v>
      </c>
      <c r="U1410" s="1">
        <v>4.82021347E8</v>
      </c>
      <c r="W1410" s="1" t="s">
        <v>46</v>
      </c>
      <c r="X1410" s="1" t="s">
        <v>45</v>
      </c>
      <c r="Y1410" s="1">
        <v>4.8201405E8</v>
      </c>
      <c r="Z1410" s="1">
        <v>1962224.0</v>
      </c>
      <c r="AA1410" s="1" t="s">
        <v>52</v>
      </c>
      <c r="AB1410" s="1">
        <v>31502.0</v>
      </c>
      <c r="AC1410" s="2">
        <v>41858.0</v>
      </c>
      <c r="AD1410" s="1">
        <v>7500.0</v>
      </c>
      <c r="AE1410" s="1" t="s">
        <v>40</v>
      </c>
      <c r="AF1410" s="1" t="s">
        <v>2857</v>
      </c>
      <c r="AG1410" s="1" t="s">
        <v>2858</v>
      </c>
      <c r="AH1410" s="1">
        <v>9.0</v>
      </c>
      <c r="AI1410" s="1">
        <v>2014.0</v>
      </c>
      <c r="AJ1410" s="1">
        <v>2014.0</v>
      </c>
      <c r="AK1410" s="1" t="s">
        <v>1837</v>
      </c>
    </row>
    <row r="1411">
      <c r="A1411" s="1" t="s">
        <v>2859</v>
      </c>
      <c r="B1411" s="1" t="s">
        <v>2859</v>
      </c>
      <c r="C1411" s="1" t="s">
        <v>85</v>
      </c>
      <c r="E1411" s="1">
        <v>1.4264923E7</v>
      </c>
      <c r="F1411" s="2">
        <v>41855.0</v>
      </c>
      <c r="G1411" s="1" t="s">
        <v>2860</v>
      </c>
      <c r="I1411" s="1" t="s">
        <v>2860</v>
      </c>
      <c r="L1411" s="1" t="s">
        <v>40</v>
      </c>
      <c r="M1411" s="1">
        <v>7500.0</v>
      </c>
      <c r="N1411" s="1" t="s">
        <v>40</v>
      </c>
      <c r="O1411" s="1">
        <v>3.6094215E8</v>
      </c>
      <c r="P1411" s="1" t="s">
        <v>2861</v>
      </c>
      <c r="R1411" s="1" t="s">
        <v>2862</v>
      </c>
      <c r="S1411" s="1" t="s">
        <v>44</v>
      </c>
      <c r="T1411" s="1" t="s">
        <v>45</v>
      </c>
      <c r="U1411" s="1">
        <v>4.821622E8</v>
      </c>
      <c r="W1411" s="1" t="s">
        <v>2863</v>
      </c>
      <c r="X1411" s="1" t="s">
        <v>2864</v>
      </c>
      <c r="Y1411" s="1">
        <v>3.03081907E8</v>
      </c>
      <c r="Z1411" s="1">
        <v>3.6094215E8</v>
      </c>
      <c r="AA1411" s="1" t="s">
        <v>2861</v>
      </c>
      <c r="AB1411" s="1">
        <v>64525.0</v>
      </c>
      <c r="AC1411" s="2">
        <v>41855.0</v>
      </c>
      <c r="AD1411" s="1">
        <v>7500.0</v>
      </c>
      <c r="AE1411" s="1" t="s">
        <v>40</v>
      </c>
      <c r="AF1411" s="3">
        <v>4.41932E11</v>
      </c>
      <c r="AG1411" s="1" t="s">
        <v>2865</v>
      </c>
      <c r="AH1411" s="1">
        <v>9.0</v>
      </c>
      <c r="AI1411" s="1">
        <v>2014.0</v>
      </c>
      <c r="AJ1411" s="1">
        <v>2014.0</v>
      </c>
      <c r="AK1411" s="1" t="s">
        <v>1099</v>
      </c>
    </row>
    <row r="1412">
      <c r="A1412" s="1" t="s">
        <v>2866</v>
      </c>
      <c r="B1412" s="1" t="s">
        <v>2866</v>
      </c>
      <c r="C1412" s="1" t="s">
        <v>645</v>
      </c>
      <c r="E1412" s="1">
        <v>638408.0</v>
      </c>
      <c r="F1412" s="2">
        <v>41908.0</v>
      </c>
      <c r="G1412" s="1" t="s">
        <v>2867</v>
      </c>
      <c r="I1412" s="1" t="s">
        <v>2867</v>
      </c>
      <c r="L1412" s="1" t="s">
        <v>647</v>
      </c>
      <c r="M1412" s="1">
        <v>1200.0</v>
      </c>
      <c r="N1412" s="1" t="s">
        <v>647</v>
      </c>
      <c r="O1412" s="1">
        <v>3.9866801E7</v>
      </c>
      <c r="P1412" s="1" t="s">
        <v>612</v>
      </c>
      <c r="R1412" s="1" t="s">
        <v>613</v>
      </c>
      <c r="S1412" s="1" t="s">
        <v>44</v>
      </c>
      <c r="T1412" s="1" t="s">
        <v>45</v>
      </c>
      <c r="U1412" s="1">
        <v>4.8212E8</v>
      </c>
      <c r="W1412" s="1" t="s">
        <v>607</v>
      </c>
      <c r="X1412" s="1" t="s">
        <v>45</v>
      </c>
      <c r="Y1412" s="1">
        <v>4.82120012E8</v>
      </c>
      <c r="Z1412" s="1">
        <v>3.9866801E7</v>
      </c>
      <c r="AA1412" s="1" t="s">
        <v>612</v>
      </c>
      <c r="AB1412" s="1">
        <v>27402.0</v>
      </c>
      <c r="AC1412" s="2">
        <v>41908.0</v>
      </c>
      <c r="AD1412" s="1">
        <v>1200.0</v>
      </c>
      <c r="AE1412" s="1" t="s">
        <v>647</v>
      </c>
      <c r="AF1412" s="1" t="s">
        <v>2868</v>
      </c>
      <c r="AG1412" s="1" t="s">
        <v>712</v>
      </c>
      <c r="AH1412" s="1">
        <v>10.0</v>
      </c>
      <c r="AI1412" s="1">
        <v>2014.0</v>
      </c>
      <c r="AJ1412" s="1">
        <v>2014.0</v>
      </c>
      <c r="AK1412" s="1" t="s">
        <v>2869</v>
      </c>
    </row>
    <row r="1413">
      <c r="A1413" s="1" t="s">
        <v>335</v>
      </c>
      <c r="B1413" s="1" t="s">
        <v>335</v>
      </c>
      <c r="C1413" s="1" t="s">
        <v>38</v>
      </c>
      <c r="E1413" s="1">
        <v>5500162.0</v>
      </c>
      <c r="F1413" s="2">
        <v>41416.0</v>
      </c>
      <c r="G1413" s="1" t="s">
        <v>2870</v>
      </c>
      <c r="I1413" s="1" t="s">
        <v>2870</v>
      </c>
      <c r="L1413" s="1" t="s">
        <v>40</v>
      </c>
      <c r="M1413" s="1">
        <v>7500.0</v>
      </c>
      <c r="N1413" s="1" t="s">
        <v>40</v>
      </c>
      <c r="O1413" s="1">
        <v>7.3134603E7</v>
      </c>
      <c r="P1413" s="1" t="s">
        <v>41</v>
      </c>
      <c r="Q1413" s="1" t="s">
        <v>252</v>
      </c>
      <c r="R1413" s="1" t="s">
        <v>253</v>
      </c>
      <c r="S1413" s="1" t="s">
        <v>44</v>
      </c>
      <c r="T1413" s="1" t="s">
        <v>45</v>
      </c>
      <c r="U1413" s="1">
        <v>4.8202345E8</v>
      </c>
      <c r="W1413" s="1" t="s">
        <v>46</v>
      </c>
      <c r="X1413" s="1" t="s">
        <v>45</v>
      </c>
      <c r="Y1413" s="1">
        <v>4.82022689E8</v>
      </c>
      <c r="Z1413" s="1">
        <v>7.3134603E7</v>
      </c>
      <c r="AA1413" s="1" t="s">
        <v>41</v>
      </c>
      <c r="AB1413" s="1">
        <v>14284.0</v>
      </c>
      <c r="AC1413" s="2">
        <v>41416.0</v>
      </c>
      <c r="AD1413" s="1">
        <v>7500.0</v>
      </c>
      <c r="AE1413" s="1" t="s">
        <v>40</v>
      </c>
      <c r="AF1413" s="1">
        <v>1025970.0</v>
      </c>
      <c r="AG1413" s="1" t="s">
        <v>337</v>
      </c>
      <c r="AH1413" s="1">
        <v>10.0</v>
      </c>
      <c r="AI1413" s="1">
        <v>2014.0</v>
      </c>
      <c r="AJ1413" s="1">
        <v>2013.0</v>
      </c>
      <c r="AK1413" s="1" t="s">
        <v>338</v>
      </c>
    </row>
    <row r="1414">
      <c r="A1414" s="1" t="s">
        <v>2871</v>
      </c>
      <c r="B1414" s="1" t="s">
        <v>2871</v>
      </c>
      <c r="C1414" s="1" t="s">
        <v>645</v>
      </c>
      <c r="E1414" s="1">
        <v>5309682.0</v>
      </c>
      <c r="F1414" s="2">
        <v>41821.0</v>
      </c>
      <c r="G1414" s="1" t="s">
        <v>958</v>
      </c>
      <c r="I1414" s="1" t="s">
        <v>958</v>
      </c>
      <c r="L1414" s="1" t="s">
        <v>647</v>
      </c>
      <c r="M1414" s="1">
        <v>1200.0</v>
      </c>
      <c r="N1414" s="1" t="s">
        <v>647</v>
      </c>
      <c r="O1414" s="1">
        <v>7.83491541E8</v>
      </c>
      <c r="P1414" s="1" t="s">
        <v>1996</v>
      </c>
      <c r="R1414" s="1" t="s">
        <v>1997</v>
      </c>
      <c r="S1414" s="1" t="s">
        <v>44</v>
      </c>
      <c r="T1414" s="1" t="s">
        <v>45</v>
      </c>
      <c r="U1414" s="1">
        <v>4.82102038E8</v>
      </c>
      <c r="W1414" s="1" t="s">
        <v>879</v>
      </c>
      <c r="X1414" s="1" t="s">
        <v>880</v>
      </c>
      <c r="Y1414" s="1">
        <v>6.06233738E8</v>
      </c>
      <c r="Z1414" s="1">
        <v>1.8010168E8</v>
      </c>
      <c r="AB1414" s="1">
        <v>51926.0</v>
      </c>
      <c r="AC1414" s="2">
        <v>41821.0</v>
      </c>
      <c r="AD1414" s="1">
        <v>1200.0</v>
      </c>
      <c r="AE1414" s="1" t="s">
        <v>647</v>
      </c>
      <c r="AF1414" s="1" t="s">
        <v>2872</v>
      </c>
      <c r="AG1414" s="1" t="s">
        <v>2873</v>
      </c>
      <c r="AH1414" s="1">
        <v>7.0</v>
      </c>
      <c r="AI1414" s="1">
        <v>2014.0</v>
      </c>
      <c r="AJ1414" s="1">
        <v>2014.0</v>
      </c>
      <c r="AK1414" s="1" t="s">
        <v>961</v>
      </c>
    </row>
    <row r="1415">
      <c r="A1415" s="1" t="s">
        <v>2866</v>
      </c>
      <c r="B1415" s="1" t="s">
        <v>2866</v>
      </c>
      <c r="C1415" s="1" t="s">
        <v>645</v>
      </c>
      <c r="E1415" s="1">
        <v>638408.0</v>
      </c>
      <c r="F1415" s="2">
        <v>41908.0</v>
      </c>
      <c r="G1415" s="1" t="s">
        <v>2867</v>
      </c>
      <c r="I1415" s="1" t="s">
        <v>2867</v>
      </c>
      <c r="L1415" s="1" t="s">
        <v>647</v>
      </c>
      <c r="M1415" s="1">
        <v>1200.0</v>
      </c>
      <c r="N1415" s="1" t="s">
        <v>647</v>
      </c>
      <c r="O1415" s="1">
        <v>7.6340843E7</v>
      </c>
      <c r="P1415" s="1" t="s">
        <v>461</v>
      </c>
      <c r="R1415" s="1" t="s">
        <v>1599</v>
      </c>
      <c r="S1415" s="1" t="s">
        <v>44</v>
      </c>
      <c r="T1415" s="1" t="s">
        <v>45</v>
      </c>
      <c r="U1415" s="1">
        <v>4.8202301E8</v>
      </c>
      <c r="W1415" s="1" t="s">
        <v>44</v>
      </c>
      <c r="X1415" s="1" t="s">
        <v>45</v>
      </c>
      <c r="Y1415" s="1">
        <v>4.82023096E8</v>
      </c>
      <c r="Z1415" s="1">
        <v>7.6340843E7</v>
      </c>
      <c r="AA1415" s="1" t="s">
        <v>461</v>
      </c>
      <c r="AB1415" s="1">
        <v>68348.0</v>
      </c>
      <c r="AC1415" s="2">
        <v>41908.0</v>
      </c>
      <c r="AD1415" s="1">
        <v>1200.0</v>
      </c>
      <c r="AE1415" s="1" t="s">
        <v>647</v>
      </c>
      <c r="AF1415" s="1" t="s">
        <v>2874</v>
      </c>
      <c r="AG1415" s="1" t="s">
        <v>712</v>
      </c>
      <c r="AH1415" s="1">
        <v>10.0</v>
      </c>
      <c r="AI1415" s="1">
        <v>2014.0</v>
      </c>
      <c r="AJ1415" s="1">
        <v>2014.0</v>
      </c>
      <c r="AK1415" s="1" t="s">
        <v>2869</v>
      </c>
    </row>
    <row r="1416">
      <c r="A1416" s="1" t="s">
        <v>2875</v>
      </c>
      <c r="B1416" s="1" t="s">
        <v>2875</v>
      </c>
      <c r="C1416" s="1" t="s">
        <v>38</v>
      </c>
      <c r="E1416" s="1">
        <v>924289.0</v>
      </c>
      <c r="F1416" s="2">
        <v>41942.0</v>
      </c>
      <c r="G1416" s="1" t="s">
        <v>2876</v>
      </c>
      <c r="I1416" s="1" t="s">
        <v>2876</v>
      </c>
      <c r="L1416" s="1" t="s">
        <v>40</v>
      </c>
      <c r="M1416" s="1">
        <v>7500.0</v>
      </c>
      <c r="N1416" s="1" t="s">
        <v>40</v>
      </c>
      <c r="O1416" s="1">
        <v>7.6377316E7</v>
      </c>
      <c r="P1416" s="1" t="s">
        <v>2302</v>
      </c>
      <c r="R1416" s="1" t="s">
        <v>2303</v>
      </c>
      <c r="S1416" s="1" t="s">
        <v>44</v>
      </c>
      <c r="T1416" s="1" t="s">
        <v>45</v>
      </c>
      <c r="U1416" s="1">
        <v>4.82012119E8</v>
      </c>
      <c r="W1416" s="1" t="s">
        <v>46</v>
      </c>
      <c r="X1416" s="1" t="s">
        <v>45</v>
      </c>
      <c r="Y1416" s="1">
        <v>4.82012119E8</v>
      </c>
      <c r="Z1416" s="1">
        <v>5.3866661E7</v>
      </c>
      <c r="AB1416" s="1">
        <v>45651.0</v>
      </c>
      <c r="AC1416" s="2">
        <v>41942.0</v>
      </c>
      <c r="AD1416" s="1">
        <v>7500.0</v>
      </c>
      <c r="AE1416" s="1" t="s">
        <v>40</v>
      </c>
      <c r="AF1416" s="1" t="s">
        <v>2877</v>
      </c>
      <c r="AG1416" s="1" t="s">
        <v>2878</v>
      </c>
      <c r="AH1416" s="1">
        <v>11.0</v>
      </c>
      <c r="AI1416" s="1">
        <v>2014.0</v>
      </c>
      <c r="AJ1416" s="1">
        <v>2015.0</v>
      </c>
      <c r="AK1416" s="1" t="s">
        <v>1443</v>
      </c>
    </row>
    <row r="1417">
      <c r="A1417" s="1" t="s">
        <v>2879</v>
      </c>
      <c r="B1417" s="1" t="s">
        <v>2879</v>
      </c>
      <c r="C1417" s="1" t="s">
        <v>194</v>
      </c>
      <c r="E1417" s="1">
        <v>400000.0</v>
      </c>
      <c r="F1417" s="2">
        <v>41941.0</v>
      </c>
      <c r="G1417" s="1" t="s">
        <v>195</v>
      </c>
      <c r="I1417" s="1" t="s">
        <v>195</v>
      </c>
      <c r="L1417" s="1" t="s">
        <v>194</v>
      </c>
      <c r="M1417" s="1">
        <v>9100.0</v>
      </c>
      <c r="N1417" s="1" t="s">
        <v>194</v>
      </c>
      <c r="O1417" s="1">
        <v>2.5475267E7</v>
      </c>
      <c r="P1417" s="1" t="s">
        <v>2880</v>
      </c>
      <c r="R1417" s="1" t="s">
        <v>2881</v>
      </c>
      <c r="S1417" s="1" t="s">
        <v>44</v>
      </c>
      <c r="T1417" s="1" t="s">
        <v>45</v>
      </c>
      <c r="U1417" s="1">
        <v>4.8213E8</v>
      </c>
      <c r="W1417" s="1" t="s">
        <v>46</v>
      </c>
      <c r="X1417" s="1" t="s">
        <v>45</v>
      </c>
      <c r="Y1417" s="1">
        <v>48213.0</v>
      </c>
      <c r="AB1417" s="1">
        <v>634790.0</v>
      </c>
      <c r="AC1417" s="2">
        <v>41941.0</v>
      </c>
      <c r="AD1417" s="1">
        <v>9100.0</v>
      </c>
      <c r="AE1417" s="1" t="s">
        <v>194</v>
      </c>
      <c r="AF1417" s="1" t="s">
        <v>2882</v>
      </c>
      <c r="AG1417" s="1" t="s">
        <v>2883</v>
      </c>
      <c r="AH1417" s="1">
        <v>11.0</v>
      </c>
      <c r="AI1417" s="1">
        <v>2014.0</v>
      </c>
      <c r="AJ1417" s="1">
        <v>2015.0</v>
      </c>
      <c r="AK1417" s="1" t="s">
        <v>197</v>
      </c>
    </row>
    <row r="1418">
      <c r="A1418" s="1" t="s">
        <v>2884</v>
      </c>
      <c r="B1418" s="1" t="s">
        <v>2884</v>
      </c>
      <c r="C1418" s="1" t="s">
        <v>129</v>
      </c>
      <c r="E1418" s="1">
        <v>786466.0</v>
      </c>
      <c r="F1418" s="2">
        <v>41913.0</v>
      </c>
      <c r="G1418" s="1" t="s">
        <v>2885</v>
      </c>
      <c r="I1418" s="1" t="s">
        <v>2885</v>
      </c>
      <c r="L1418" s="1" t="s">
        <v>40</v>
      </c>
      <c r="M1418" s="1">
        <v>7500.0</v>
      </c>
      <c r="N1418" s="1" t="s">
        <v>40</v>
      </c>
      <c r="O1418" s="1">
        <v>6.9840817E7</v>
      </c>
      <c r="P1418" s="1" t="s">
        <v>131</v>
      </c>
      <c r="R1418" s="1" t="s">
        <v>132</v>
      </c>
      <c r="S1418" s="1" t="s">
        <v>44</v>
      </c>
      <c r="T1418" s="1" t="s">
        <v>45</v>
      </c>
      <c r="U1418" s="1">
        <v>4.8214261E8</v>
      </c>
      <c r="W1418" s="1" t="s">
        <v>44</v>
      </c>
      <c r="X1418" s="1" t="s">
        <v>45</v>
      </c>
      <c r="Y1418" s="1">
        <v>4.8214261E8</v>
      </c>
      <c r="Z1418" s="1">
        <v>6.9840817E7</v>
      </c>
      <c r="AA1418" s="1" t="s">
        <v>131</v>
      </c>
      <c r="AB1418" s="1">
        <v>2300000.0</v>
      </c>
      <c r="AC1418" s="2">
        <v>41913.0</v>
      </c>
      <c r="AD1418" s="1">
        <v>7500.0</v>
      </c>
      <c r="AE1418" s="1" t="s">
        <v>40</v>
      </c>
      <c r="AF1418" s="1" t="s">
        <v>2886</v>
      </c>
      <c r="AG1418" s="1" t="s">
        <v>2887</v>
      </c>
      <c r="AH1418" s="1">
        <v>10.0</v>
      </c>
      <c r="AI1418" s="1">
        <v>2014.0</v>
      </c>
      <c r="AJ1418" s="1">
        <v>2015.0</v>
      </c>
      <c r="AK1418" s="1" t="s">
        <v>2888</v>
      </c>
    </row>
    <row r="1419">
      <c r="A1419" s="1" t="s">
        <v>1308</v>
      </c>
      <c r="B1419" s="1" t="s">
        <v>1308</v>
      </c>
      <c r="C1419" s="1" t="s">
        <v>129</v>
      </c>
      <c r="E1419" s="1">
        <v>2265546.0</v>
      </c>
      <c r="F1419" s="2">
        <v>41913.0</v>
      </c>
      <c r="G1419" s="1" t="s">
        <v>876</v>
      </c>
      <c r="I1419" s="1" t="s">
        <v>876</v>
      </c>
      <c r="L1419" s="1" t="s">
        <v>40</v>
      </c>
      <c r="M1419" s="1">
        <v>7500.0</v>
      </c>
      <c r="N1419" s="1" t="s">
        <v>40</v>
      </c>
      <c r="O1419" s="1">
        <v>1.21516199E8</v>
      </c>
      <c r="P1419" s="1" t="s">
        <v>380</v>
      </c>
      <c r="Q1419" s="1" t="s">
        <v>381</v>
      </c>
      <c r="R1419" s="1" t="s">
        <v>382</v>
      </c>
      <c r="S1419" s="1" t="s">
        <v>44</v>
      </c>
      <c r="T1419" s="1" t="s">
        <v>45</v>
      </c>
      <c r="U1419" s="1">
        <v>4.82073156E8</v>
      </c>
      <c r="W1419" s="1" t="s">
        <v>44</v>
      </c>
      <c r="X1419" s="1" t="s">
        <v>45</v>
      </c>
      <c r="Y1419" s="1">
        <v>4.82073127E8</v>
      </c>
      <c r="Z1419" s="1">
        <v>1.21516199E8</v>
      </c>
      <c r="AA1419" s="1" t="s">
        <v>380</v>
      </c>
      <c r="AB1419" s="1">
        <v>164858.02</v>
      </c>
      <c r="AC1419" s="2">
        <v>41913.0</v>
      </c>
      <c r="AD1419" s="1">
        <v>7500.0</v>
      </c>
      <c r="AE1419" s="1" t="s">
        <v>40</v>
      </c>
      <c r="AF1419" s="1" t="s">
        <v>2889</v>
      </c>
      <c r="AG1419" s="1" t="s">
        <v>1310</v>
      </c>
      <c r="AH1419" s="1">
        <v>10.0</v>
      </c>
      <c r="AI1419" s="1">
        <v>2014.0</v>
      </c>
      <c r="AJ1419" s="1">
        <v>2015.0</v>
      </c>
      <c r="AK1419" s="1" t="s">
        <v>2890</v>
      </c>
    </row>
    <row r="1420">
      <c r="A1420" s="1" t="s">
        <v>1314</v>
      </c>
      <c r="B1420" s="1" t="s">
        <v>1314</v>
      </c>
      <c r="C1420" s="1" t="s">
        <v>70</v>
      </c>
      <c r="E1420" s="1">
        <v>3726339.0</v>
      </c>
      <c r="F1420" s="2">
        <v>41913.0</v>
      </c>
      <c r="G1420" s="1" t="s">
        <v>1315</v>
      </c>
      <c r="I1420" s="1" t="s">
        <v>1315</v>
      </c>
      <c r="L1420" s="1" t="s">
        <v>72</v>
      </c>
      <c r="M1420" s="1">
        <v>1500.0</v>
      </c>
      <c r="N1420" s="1" t="s">
        <v>72</v>
      </c>
      <c r="O1420" s="1">
        <v>1.58142448E8</v>
      </c>
      <c r="P1420" s="1" t="s">
        <v>1316</v>
      </c>
      <c r="Q1420" s="1" t="s">
        <v>1317</v>
      </c>
      <c r="R1420" s="1" t="s">
        <v>1318</v>
      </c>
      <c r="S1420" s="1" t="s">
        <v>44</v>
      </c>
      <c r="T1420" s="1" t="s">
        <v>45</v>
      </c>
      <c r="U1420" s="1">
        <v>4.82093154E8</v>
      </c>
      <c r="W1420" s="1" t="s">
        <v>46</v>
      </c>
      <c r="X1420" s="1" t="s">
        <v>45</v>
      </c>
      <c r="Y1420" s="1">
        <v>4.82093154E8</v>
      </c>
      <c r="Z1420" s="1">
        <v>1.58142448E8</v>
      </c>
      <c r="AA1420" s="1" t="s">
        <v>1316</v>
      </c>
      <c r="AB1420" s="1">
        <v>119951.0</v>
      </c>
      <c r="AC1420" s="2">
        <v>41913.0</v>
      </c>
      <c r="AD1420" s="1">
        <v>1500.0</v>
      </c>
      <c r="AE1420" s="1" t="s">
        <v>72</v>
      </c>
      <c r="AF1420" s="1" t="s">
        <v>2891</v>
      </c>
      <c r="AG1420" s="1" t="s">
        <v>1320</v>
      </c>
      <c r="AH1420" s="1">
        <v>10.0</v>
      </c>
      <c r="AI1420" s="1">
        <v>2014.0</v>
      </c>
      <c r="AJ1420" s="1">
        <v>2015.0</v>
      </c>
      <c r="AK1420" s="1" t="s">
        <v>1321</v>
      </c>
    </row>
    <row r="1421">
      <c r="A1421" s="1" t="s">
        <v>1314</v>
      </c>
      <c r="B1421" s="1" t="s">
        <v>1314</v>
      </c>
      <c r="C1421" s="1" t="s">
        <v>70</v>
      </c>
      <c r="E1421" s="1">
        <v>3726339.0</v>
      </c>
      <c r="F1421" s="2">
        <v>41913.0</v>
      </c>
      <c r="G1421" s="1" t="s">
        <v>1315</v>
      </c>
      <c r="I1421" s="1" t="s">
        <v>1315</v>
      </c>
      <c r="L1421" s="1" t="s">
        <v>72</v>
      </c>
      <c r="M1421" s="1">
        <v>1500.0</v>
      </c>
      <c r="N1421" s="1" t="s">
        <v>72</v>
      </c>
      <c r="O1421" s="1">
        <v>1.21516199E8</v>
      </c>
      <c r="P1421" s="1" t="s">
        <v>380</v>
      </c>
      <c r="Q1421" s="1" t="s">
        <v>381</v>
      </c>
      <c r="R1421" s="1" t="s">
        <v>382</v>
      </c>
      <c r="S1421" s="1" t="s">
        <v>44</v>
      </c>
      <c r="T1421" s="1" t="s">
        <v>45</v>
      </c>
      <c r="U1421" s="1">
        <v>4.82073156E8</v>
      </c>
      <c r="W1421" s="1" t="s">
        <v>44</v>
      </c>
      <c r="X1421" s="1" t="s">
        <v>45</v>
      </c>
      <c r="Y1421" s="1">
        <v>4.82073156E8</v>
      </c>
      <c r="Z1421" s="1">
        <v>1.21516199E8</v>
      </c>
      <c r="AA1421" s="1" t="s">
        <v>380</v>
      </c>
      <c r="AB1421" s="1">
        <v>105765.0</v>
      </c>
      <c r="AC1421" s="2">
        <v>41913.0</v>
      </c>
      <c r="AD1421" s="1">
        <v>1500.0</v>
      </c>
      <c r="AE1421" s="1" t="s">
        <v>72</v>
      </c>
      <c r="AF1421" s="1" t="s">
        <v>2892</v>
      </c>
      <c r="AG1421" s="1" t="s">
        <v>1323</v>
      </c>
      <c r="AH1421" s="1">
        <v>10.0</v>
      </c>
      <c r="AI1421" s="1">
        <v>2014.0</v>
      </c>
      <c r="AJ1421" s="1">
        <v>2015.0</v>
      </c>
      <c r="AK1421" s="1" t="s">
        <v>1321</v>
      </c>
    </row>
    <row r="1422">
      <c r="A1422" s="1" t="s">
        <v>2893</v>
      </c>
      <c r="B1422" s="1" t="s">
        <v>2893</v>
      </c>
      <c r="C1422" s="1" t="s">
        <v>100</v>
      </c>
      <c r="E1422" s="1">
        <v>4354622.0</v>
      </c>
      <c r="F1422" s="2">
        <v>41906.0</v>
      </c>
      <c r="G1422" s="1" t="s">
        <v>1433</v>
      </c>
      <c r="I1422" s="1" t="s">
        <v>1433</v>
      </c>
      <c r="L1422" s="1" t="s">
        <v>102</v>
      </c>
      <c r="M1422" s="1">
        <v>8600.0</v>
      </c>
      <c r="N1422" s="1" t="s">
        <v>102</v>
      </c>
      <c r="O1422" s="1">
        <v>1.54693043E8</v>
      </c>
      <c r="P1422" s="1" t="s">
        <v>362</v>
      </c>
      <c r="Q1422" s="1" t="s">
        <v>363</v>
      </c>
      <c r="R1422" s="1" t="s">
        <v>2894</v>
      </c>
      <c r="S1422" s="1" t="s">
        <v>44</v>
      </c>
      <c r="T1422" s="1" t="s">
        <v>45</v>
      </c>
      <c r="U1422" s="1">
        <v>4.82011559E8</v>
      </c>
      <c r="W1422" s="1" t="s">
        <v>46</v>
      </c>
      <c r="X1422" s="1" t="s">
        <v>45</v>
      </c>
      <c r="Y1422" s="1">
        <v>4.82011559E8</v>
      </c>
      <c r="AB1422" s="1">
        <v>301979.0</v>
      </c>
      <c r="AC1422" s="2">
        <v>41906.0</v>
      </c>
      <c r="AD1422" s="1">
        <v>8600.0</v>
      </c>
      <c r="AE1422" s="1" t="s">
        <v>102</v>
      </c>
      <c r="AF1422" s="1" t="s">
        <v>2895</v>
      </c>
      <c r="AG1422" s="1" t="s">
        <v>2896</v>
      </c>
      <c r="AH1422" s="1">
        <v>11.0</v>
      </c>
      <c r="AI1422" s="1">
        <v>2014.0</v>
      </c>
      <c r="AJ1422" s="1">
        <v>2014.0</v>
      </c>
      <c r="AK1422" s="1" t="s">
        <v>367</v>
      </c>
    </row>
    <row r="1423">
      <c r="A1423" s="1" t="s">
        <v>2789</v>
      </c>
      <c r="B1423" s="1" t="s">
        <v>2789</v>
      </c>
      <c r="C1423" s="1" t="s">
        <v>207</v>
      </c>
      <c r="E1423" s="1">
        <v>2.11124045E9</v>
      </c>
      <c r="F1423" s="2">
        <v>41183.0</v>
      </c>
      <c r="G1423" s="1" t="s">
        <v>2790</v>
      </c>
      <c r="I1423" s="1" t="s">
        <v>2790</v>
      </c>
      <c r="L1423" s="1" t="s">
        <v>40</v>
      </c>
      <c r="M1423" s="1">
        <v>7500.0</v>
      </c>
      <c r="N1423" s="1" t="s">
        <v>40</v>
      </c>
      <c r="O1423" s="1">
        <v>3.8775243E7</v>
      </c>
      <c r="P1423" s="1" t="s">
        <v>209</v>
      </c>
      <c r="Q1423" s="1" t="s">
        <v>210</v>
      </c>
      <c r="R1423" s="1" t="s">
        <v>211</v>
      </c>
      <c r="S1423" s="1" t="s">
        <v>44</v>
      </c>
      <c r="T1423" s="1" t="s">
        <v>45</v>
      </c>
      <c r="U1423" s="1">
        <v>4.82023068E8</v>
      </c>
      <c r="W1423" s="1" t="s">
        <v>46</v>
      </c>
      <c r="X1423" s="1" t="s">
        <v>45</v>
      </c>
      <c r="Y1423" s="1">
        <v>4.82023068E8</v>
      </c>
      <c r="Z1423" s="1">
        <v>3.8775243E7</v>
      </c>
      <c r="AA1423" s="1" t="s">
        <v>209</v>
      </c>
      <c r="AB1423" s="1">
        <v>2145.97</v>
      </c>
      <c r="AC1423" s="2">
        <v>41183.0</v>
      </c>
      <c r="AD1423" s="1">
        <v>7500.0</v>
      </c>
      <c r="AE1423" s="1" t="s">
        <v>40</v>
      </c>
      <c r="AF1423" s="1">
        <v>2.0131083E7</v>
      </c>
      <c r="AG1423" s="1" t="s">
        <v>212</v>
      </c>
      <c r="AH1423" s="1">
        <v>10.0</v>
      </c>
      <c r="AI1423" s="1">
        <v>2012.0</v>
      </c>
      <c r="AJ1423" s="1">
        <v>2013.0</v>
      </c>
      <c r="AK1423" s="1" t="s">
        <v>213</v>
      </c>
    </row>
    <row r="1424">
      <c r="A1424" s="1" t="s">
        <v>2789</v>
      </c>
      <c r="B1424" s="1" t="s">
        <v>2789</v>
      </c>
      <c r="C1424" s="1" t="s">
        <v>207</v>
      </c>
      <c r="E1424" s="1">
        <v>2.11124045E9</v>
      </c>
      <c r="F1424" s="2">
        <v>41183.0</v>
      </c>
      <c r="G1424" s="1" t="s">
        <v>2790</v>
      </c>
      <c r="I1424" s="1" t="s">
        <v>2790</v>
      </c>
      <c r="L1424" s="1" t="s">
        <v>40</v>
      </c>
      <c r="M1424" s="1">
        <v>7500.0</v>
      </c>
      <c r="N1424" s="1" t="s">
        <v>40</v>
      </c>
      <c r="O1424" s="1">
        <v>3.8775243E7</v>
      </c>
      <c r="P1424" s="1" t="s">
        <v>209</v>
      </c>
      <c r="Q1424" s="1" t="s">
        <v>210</v>
      </c>
      <c r="R1424" s="1" t="s">
        <v>211</v>
      </c>
      <c r="S1424" s="1" t="s">
        <v>44</v>
      </c>
      <c r="T1424" s="1" t="s">
        <v>45</v>
      </c>
      <c r="U1424" s="1">
        <v>4.82023068E8</v>
      </c>
      <c r="W1424" s="1" t="s">
        <v>46</v>
      </c>
      <c r="X1424" s="1" t="s">
        <v>45</v>
      </c>
      <c r="Y1424" s="1">
        <v>4.82023068E8</v>
      </c>
      <c r="Z1424" s="1">
        <v>3.8775243E7</v>
      </c>
      <c r="AA1424" s="1" t="s">
        <v>209</v>
      </c>
      <c r="AB1424" s="1">
        <v>5994.38</v>
      </c>
      <c r="AC1424" s="2">
        <v>41183.0</v>
      </c>
      <c r="AD1424" s="1">
        <v>7500.0</v>
      </c>
      <c r="AE1424" s="1" t="s">
        <v>40</v>
      </c>
      <c r="AF1424" s="1">
        <v>2.0131083E7</v>
      </c>
      <c r="AG1424" s="1" t="s">
        <v>212</v>
      </c>
      <c r="AH1424" s="1">
        <v>10.0</v>
      </c>
      <c r="AI1424" s="1">
        <v>2012.0</v>
      </c>
      <c r="AJ1424" s="1">
        <v>2013.0</v>
      </c>
      <c r="AK1424" s="1" t="s">
        <v>213</v>
      </c>
    </row>
    <row r="1425">
      <c r="A1425" s="1" t="s">
        <v>2789</v>
      </c>
      <c r="B1425" s="1" t="s">
        <v>2789</v>
      </c>
      <c r="C1425" s="1" t="s">
        <v>207</v>
      </c>
      <c r="E1425" s="1">
        <v>2.11124045E9</v>
      </c>
      <c r="F1425" s="2">
        <v>41183.0</v>
      </c>
      <c r="G1425" s="1" t="s">
        <v>2790</v>
      </c>
      <c r="I1425" s="1" t="s">
        <v>2790</v>
      </c>
      <c r="L1425" s="1" t="s">
        <v>40</v>
      </c>
      <c r="M1425" s="1">
        <v>7500.0</v>
      </c>
      <c r="N1425" s="1" t="s">
        <v>40</v>
      </c>
      <c r="O1425" s="1">
        <v>3.8775243E7</v>
      </c>
      <c r="P1425" s="1" t="s">
        <v>209</v>
      </c>
      <c r="Q1425" s="1" t="s">
        <v>210</v>
      </c>
      <c r="R1425" s="1" t="s">
        <v>211</v>
      </c>
      <c r="S1425" s="1" t="s">
        <v>44</v>
      </c>
      <c r="T1425" s="1" t="s">
        <v>45</v>
      </c>
      <c r="U1425" s="1">
        <v>4.82023068E8</v>
      </c>
      <c r="W1425" s="1" t="s">
        <v>46</v>
      </c>
      <c r="X1425" s="1" t="s">
        <v>45</v>
      </c>
      <c r="Y1425" s="1">
        <v>4.82023068E8</v>
      </c>
      <c r="Z1425" s="1">
        <v>3.8775243E7</v>
      </c>
      <c r="AA1425" s="1" t="s">
        <v>209</v>
      </c>
      <c r="AB1425" s="1">
        <v>13067.38</v>
      </c>
      <c r="AC1425" s="2">
        <v>41183.0</v>
      </c>
      <c r="AD1425" s="1">
        <v>7500.0</v>
      </c>
      <c r="AE1425" s="1" t="s">
        <v>40</v>
      </c>
      <c r="AF1425" s="1">
        <v>2.013108E7</v>
      </c>
      <c r="AG1425" s="1" t="s">
        <v>212</v>
      </c>
      <c r="AH1425" s="1">
        <v>10.0</v>
      </c>
      <c r="AI1425" s="1">
        <v>2012.0</v>
      </c>
      <c r="AJ1425" s="1">
        <v>2013.0</v>
      </c>
      <c r="AK1425" s="1" t="s">
        <v>213</v>
      </c>
    </row>
    <row r="1426">
      <c r="A1426" s="1" t="s">
        <v>2789</v>
      </c>
      <c r="B1426" s="1" t="s">
        <v>2789</v>
      </c>
      <c r="C1426" s="1" t="s">
        <v>207</v>
      </c>
      <c r="E1426" s="1">
        <v>2.11124045E9</v>
      </c>
      <c r="F1426" s="2">
        <v>41183.0</v>
      </c>
      <c r="G1426" s="1" t="s">
        <v>2790</v>
      </c>
      <c r="I1426" s="1" t="s">
        <v>2790</v>
      </c>
      <c r="L1426" s="1" t="s">
        <v>40</v>
      </c>
      <c r="M1426" s="1">
        <v>7500.0</v>
      </c>
      <c r="N1426" s="1" t="s">
        <v>40</v>
      </c>
      <c r="O1426" s="1">
        <v>3.8775243E7</v>
      </c>
      <c r="P1426" s="1" t="s">
        <v>209</v>
      </c>
      <c r="Q1426" s="1" t="s">
        <v>210</v>
      </c>
      <c r="R1426" s="1" t="s">
        <v>211</v>
      </c>
      <c r="S1426" s="1" t="s">
        <v>44</v>
      </c>
      <c r="T1426" s="1" t="s">
        <v>45</v>
      </c>
      <c r="U1426" s="1">
        <v>4.82023068E8</v>
      </c>
      <c r="W1426" s="1" t="s">
        <v>46</v>
      </c>
      <c r="X1426" s="1" t="s">
        <v>45</v>
      </c>
      <c r="Y1426" s="1">
        <v>4.82023068E8</v>
      </c>
      <c r="Z1426" s="1">
        <v>3.8775243E7</v>
      </c>
      <c r="AA1426" s="1" t="s">
        <v>209</v>
      </c>
      <c r="AB1426" s="1">
        <v>731.25</v>
      </c>
      <c r="AC1426" s="2">
        <v>41183.0</v>
      </c>
      <c r="AD1426" s="1">
        <v>7500.0</v>
      </c>
      <c r="AE1426" s="1" t="s">
        <v>40</v>
      </c>
      <c r="AF1426" s="1">
        <v>2.0131087E7</v>
      </c>
      <c r="AG1426" s="1" t="s">
        <v>212</v>
      </c>
      <c r="AH1426" s="1">
        <v>10.0</v>
      </c>
      <c r="AI1426" s="1">
        <v>2012.0</v>
      </c>
      <c r="AJ1426" s="1">
        <v>2013.0</v>
      </c>
      <c r="AK1426" s="1" t="s">
        <v>213</v>
      </c>
    </row>
    <row r="1427">
      <c r="A1427" s="1" t="s">
        <v>2789</v>
      </c>
      <c r="B1427" s="1" t="s">
        <v>2789</v>
      </c>
      <c r="C1427" s="1" t="s">
        <v>207</v>
      </c>
      <c r="E1427" s="1">
        <v>2.11124045E9</v>
      </c>
      <c r="F1427" s="2">
        <v>41183.0</v>
      </c>
      <c r="G1427" s="1" t="s">
        <v>2790</v>
      </c>
      <c r="I1427" s="1" t="s">
        <v>2790</v>
      </c>
      <c r="L1427" s="1" t="s">
        <v>40</v>
      </c>
      <c r="M1427" s="1">
        <v>7500.0</v>
      </c>
      <c r="N1427" s="1" t="s">
        <v>40</v>
      </c>
      <c r="O1427" s="1">
        <v>3.8775243E7</v>
      </c>
      <c r="P1427" s="1" t="s">
        <v>209</v>
      </c>
      <c r="Q1427" s="1" t="s">
        <v>210</v>
      </c>
      <c r="R1427" s="1" t="s">
        <v>211</v>
      </c>
      <c r="S1427" s="1" t="s">
        <v>44</v>
      </c>
      <c r="T1427" s="1" t="s">
        <v>45</v>
      </c>
      <c r="U1427" s="1">
        <v>4.82023068E8</v>
      </c>
      <c r="W1427" s="1" t="s">
        <v>46</v>
      </c>
      <c r="X1427" s="1" t="s">
        <v>45</v>
      </c>
      <c r="Y1427" s="1">
        <v>4.82023068E8</v>
      </c>
      <c r="Z1427" s="1">
        <v>3.8775243E7</v>
      </c>
      <c r="AA1427" s="1" t="s">
        <v>209</v>
      </c>
      <c r="AB1427" s="1">
        <v>26013.75</v>
      </c>
      <c r="AC1427" s="2">
        <v>41183.0</v>
      </c>
      <c r="AD1427" s="1">
        <v>7500.0</v>
      </c>
      <c r="AE1427" s="1" t="s">
        <v>40</v>
      </c>
      <c r="AF1427" s="1">
        <v>2.0131095E7</v>
      </c>
      <c r="AG1427" s="1" t="s">
        <v>212</v>
      </c>
      <c r="AH1427" s="1">
        <v>10.0</v>
      </c>
      <c r="AI1427" s="1">
        <v>2012.0</v>
      </c>
      <c r="AJ1427" s="1">
        <v>2013.0</v>
      </c>
      <c r="AK1427" s="1" t="s">
        <v>213</v>
      </c>
    </row>
    <row r="1428">
      <c r="A1428" s="1" t="s">
        <v>2789</v>
      </c>
      <c r="B1428" s="1" t="s">
        <v>2789</v>
      </c>
      <c r="C1428" s="1" t="s">
        <v>207</v>
      </c>
      <c r="E1428" s="1">
        <v>2.11124045E9</v>
      </c>
      <c r="F1428" s="2">
        <v>41183.0</v>
      </c>
      <c r="G1428" s="1" t="s">
        <v>2790</v>
      </c>
      <c r="I1428" s="1" t="s">
        <v>2790</v>
      </c>
      <c r="L1428" s="1" t="s">
        <v>40</v>
      </c>
      <c r="M1428" s="1">
        <v>7500.0</v>
      </c>
      <c r="N1428" s="1" t="s">
        <v>40</v>
      </c>
      <c r="O1428" s="1">
        <v>3.8775243E7</v>
      </c>
      <c r="P1428" s="1" t="s">
        <v>209</v>
      </c>
      <c r="Q1428" s="1" t="s">
        <v>210</v>
      </c>
      <c r="R1428" s="1" t="s">
        <v>211</v>
      </c>
      <c r="S1428" s="1" t="s">
        <v>44</v>
      </c>
      <c r="T1428" s="1" t="s">
        <v>45</v>
      </c>
      <c r="U1428" s="1">
        <v>4.82023068E8</v>
      </c>
      <c r="W1428" s="1" t="s">
        <v>46</v>
      </c>
      <c r="X1428" s="1" t="s">
        <v>45</v>
      </c>
      <c r="Y1428" s="1">
        <v>4.82023068E8</v>
      </c>
      <c r="Z1428" s="1">
        <v>3.8775243E7</v>
      </c>
      <c r="AA1428" s="1" t="s">
        <v>209</v>
      </c>
      <c r="AB1428" s="1">
        <v>9966.75</v>
      </c>
      <c r="AC1428" s="2">
        <v>41183.0</v>
      </c>
      <c r="AD1428" s="1">
        <v>7500.0</v>
      </c>
      <c r="AE1428" s="1" t="s">
        <v>40</v>
      </c>
      <c r="AF1428" s="1">
        <v>2.0131079E7</v>
      </c>
      <c r="AG1428" s="1" t="s">
        <v>212</v>
      </c>
      <c r="AH1428" s="1">
        <v>10.0</v>
      </c>
      <c r="AI1428" s="1">
        <v>2012.0</v>
      </c>
      <c r="AJ1428" s="1">
        <v>2013.0</v>
      </c>
      <c r="AK1428" s="1" t="s">
        <v>213</v>
      </c>
    </row>
    <row r="1429">
      <c r="A1429" s="1" t="s">
        <v>1314</v>
      </c>
      <c r="B1429" s="1" t="s">
        <v>1314</v>
      </c>
      <c r="C1429" s="1" t="s">
        <v>70</v>
      </c>
      <c r="E1429" s="1">
        <v>3726339.0</v>
      </c>
      <c r="F1429" s="2">
        <v>41913.0</v>
      </c>
      <c r="G1429" s="1" t="s">
        <v>1315</v>
      </c>
      <c r="I1429" s="1" t="s">
        <v>1315</v>
      </c>
      <c r="L1429" s="1" t="s">
        <v>72</v>
      </c>
      <c r="M1429" s="1">
        <v>1500.0</v>
      </c>
      <c r="N1429" s="1" t="s">
        <v>72</v>
      </c>
      <c r="O1429" s="1">
        <v>7.89629859E8</v>
      </c>
      <c r="P1429" s="1" t="s">
        <v>416</v>
      </c>
      <c r="R1429" s="1" t="s">
        <v>417</v>
      </c>
      <c r="S1429" s="1" t="s">
        <v>44</v>
      </c>
      <c r="T1429" s="1" t="s">
        <v>45</v>
      </c>
      <c r="U1429" s="1">
        <v>4.82343241E8</v>
      </c>
      <c r="W1429" s="1" t="s">
        <v>44</v>
      </c>
      <c r="X1429" s="1" t="s">
        <v>45</v>
      </c>
      <c r="Y1429" s="1">
        <v>4.80673241E8</v>
      </c>
      <c r="AB1429" s="1">
        <v>100000.0</v>
      </c>
      <c r="AC1429" s="2">
        <v>41913.0</v>
      </c>
      <c r="AD1429" s="1">
        <v>1500.0</v>
      </c>
      <c r="AE1429" s="1" t="s">
        <v>72</v>
      </c>
      <c r="AF1429" s="1" t="s">
        <v>2897</v>
      </c>
      <c r="AG1429" s="1" t="s">
        <v>1323</v>
      </c>
      <c r="AH1429" s="1">
        <v>10.0</v>
      </c>
      <c r="AI1429" s="1">
        <v>2014.0</v>
      </c>
      <c r="AJ1429" s="1">
        <v>2015.0</v>
      </c>
      <c r="AK1429" s="1" t="s">
        <v>1321</v>
      </c>
    </row>
    <row r="1430">
      <c r="A1430" s="1" t="s">
        <v>2789</v>
      </c>
      <c r="B1430" s="1" t="s">
        <v>2789</v>
      </c>
      <c r="C1430" s="1" t="s">
        <v>207</v>
      </c>
      <c r="E1430" s="1">
        <v>2.11124045E9</v>
      </c>
      <c r="F1430" s="2">
        <v>41183.0</v>
      </c>
      <c r="G1430" s="1" t="s">
        <v>2790</v>
      </c>
      <c r="I1430" s="1" t="s">
        <v>2790</v>
      </c>
      <c r="L1430" s="1" t="s">
        <v>40</v>
      </c>
      <c r="M1430" s="1">
        <v>7500.0</v>
      </c>
      <c r="N1430" s="1" t="s">
        <v>40</v>
      </c>
      <c r="O1430" s="1">
        <v>8.09204196E8</v>
      </c>
      <c r="P1430" s="1" t="s">
        <v>175</v>
      </c>
      <c r="Q1430" s="1" t="s">
        <v>2775</v>
      </c>
      <c r="R1430" s="1" t="s">
        <v>2078</v>
      </c>
      <c r="S1430" s="1" t="s">
        <v>44</v>
      </c>
      <c r="T1430" s="1" t="s">
        <v>45</v>
      </c>
      <c r="U1430" s="1">
        <v>4.82023026E8</v>
      </c>
      <c r="W1430" s="1" t="s">
        <v>46</v>
      </c>
      <c r="X1430" s="1" t="s">
        <v>45</v>
      </c>
      <c r="Y1430" s="1">
        <v>4.82023025E8</v>
      </c>
      <c r="Z1430" s="1">
        <v>8.09204196E8</v>
      </c>
      <c r="AA1430" s="1" t="s">
        <v>175</v>
      </c>
      <c r="AB1430" s="1">
        <v>157655.5</v>
      </c>
      <c r="AC1430" s="2">
        <v>41183.0</v>
      </c>
      <c r="AD1430" s="1">
        <v>7500.0</v>
      </c>
      <c r="AE1430" s="1" t="s">
        <v>40</v>
      </c>
      <c r="AF1430" s="1">
        <v>2.0131444E7</v>
      </c>
      <c r="AG1430" s="1" t="s">
        <v>212</v>
      </c>
      <c r="AH1430" s="1">
        <v>10.0</v>
      </c>
      <c r="AI1430" s="1">
        <v>2012.0</v>
      </c>
      <c r="AJ1430" s="1">
        <v>2013.0</v>
      </c>
      <c r="AK1430" s="1" t="s">
        <v>213</v>
      </c>
    </row>
    <row r="1431">
      <c r="A1431" s="1" t="s">
        <v>2789</v>
      </c>
      <c r="B1431" s="1" t="s">
        <v>2789</v>
      </c>
      <c r="C1431" s="1" t="s">
        <v>207</v>
      </c>
      <c r="E1431" s="1">
        <v>2.11124045E9</v>
      </c>
      <c r="F1431" s="2">
        <v>41183.0</v>
      </c>
      <c r="G1431" s="1" t="s">
        <v>2790</v>
      </c>
      <c r="I1431" s="1" t="s">
        <v>2790</v>
      </c>
      <c r="L1431" s="1" t="s">
        <v>40</v>
      </c>
      <c r="M1431" s="1">
        <v>7500.0</v>
      </c>
      <c r="N1431" s="1" t="s">
        <v>40</v>
      </c>
      <c r="O1431" s="1">
        <v>7.8583404E7</v>
      </c>
      <c r="P1431" s="1" t="s">
        <v>65</v>
      </c>
      <c r="Q1431" s="1" t="s">
        <v>1420</v>
      </c>
      <c r="R1431" s="1" t="s">
        <v>1573</v>
      </c>
      <c r="S1431" s="1" t="s">
        <v>44</v>
      </c>
      <c r="T1431" s="1" t="s">
        <v>45</v>
      </c>
      <c r="U1431" s="1">
        <v>4.8207311E8</v>
      </c>
      <c r="W1431" s="1" t="s">
        <v>46</v>
      </c>
      <c r="X1431" s="1" t="s">
        <v>45</v>
      </c>
      <c r="Y1431" s="1">
        <v>4.82021732E8</v>
      </c>
      <c r="Z1431" s="1">
        <v>5.3343976E7</v>
      </c>
      <c r="AA1431" s="1" t="s">
        <v>1421</v>
      </c>
      <c r="AB1431" s="1">
        <v>100785.0</v>
      </c>
      <c r="AC1431" s="2">
        <v>41183.0</v>
      </c>
      <c r="AD1431" s="1">
        <v>7500.0</v>
      </c>
      <c r="AE1431" s="1" t="s">
        <v>40</v>
      </c>
      <c r="AF1431" s="1">
        <v>2.01304E7</v>
      </c>
      <c r="AG1431" s="1" t="s">
        <v>212</v>
      </c>
      <c r="AH1431" s="1">
        <v>10.0</v>
      </c>
      <c r="AI1431" s="1">
        <v>2012.0</v>
      </c>
      <c r="AJ1431" s="1">
        <v>2013.0</v>
      </c>
      <c r="AK1431" s="1" t="s">
        <v>213</v>
      </c>
    </row>
    <row r="1432">
      <c r="A1432" s="1" t="s">
        <v>2789</v>
      </c>
      <c r="B1432" s="1" t="s">
        <v>2789</v>
      </c>
      <c r="C1432" s="1" t="s">
        <v>207</v>
      </c>
      <c r="E1432" s="1">
        <v>2.11124045E9</v>
      </c>
      <c r="F1432" s="2">
        <v>41183.0</v>
      </c>
      <c r="G1432" s="1" t="s">
        <v>2790</v>
      </c>
      <c r="I1432" s="1" t="s">
        <v>2790</v>
      </c>
      <c r="L1432" s="1" t="s">
        <v>40</v>
      </c>
      <c r="M1432" s="1">
        <v>7500.0</v>
      </c>
      <c r="N1432" s="1" t="s">
        <v>40</v>
      </c>
      <c r="O1432" s="1">
        <v>7.3134884E7</v>
      </c>
      <c r="P1432" s="1" t="s">
        <v>259</v>
      </c>
      <c r="R1432" s="1" t="s">
        <v>286</v>
      </c>
      <c r="S1432" s="1" t="s">
        <v>44</v>
      </c>
      <c r="T1432" s="1" t="s">
        <v>45</v>
      </c>
      <c r="U1432" s="1">
        <v>4.82262841E8</v>
      </c>
      <c r="W1432" s="1" t="s">
        <v>46</v>
      </c>
      <c r="X1432" s="1" t="s">
        <v>45</v>
      </c>
      <c r="Y1432" s="1">
        <v>4.8226348E8</v>
      </c>
      <c r="Z1432" s="1">
        <v>7.3134884E7</v>
      </c>
      <c r="AA1432" s="1" t="s">
        <v>1796</v>
      </c>
      <c r="AB1432" s="1">
        <v>410870.1</v>
      </c>
      <c r="AC1432" s="2">
        <v>41183.0</v>
      </c>
      <c r="AD1432" s="1">
        <v>7500.0</v>
      </c>
      <c r="AE1432" s="1" t="s">
        <v>40</v>
      </c>
      <c r="AF1432" s="1">
        <v>2.0131302E7</v>
      </c>
      <c r="AG1432" s="1" t="s">
        <v>212</v>
      </c>
      <c r="AH1432" s="1">
        <v>10.0</v>
      </c>
      <c r="AI1432" s="1">
        <v>2012.0</v>
      </c>
      <c r="AJ1432" s="1">
        <v>2013.0</v>
      </c>
      <c r="AK1432" s="1" t="s">
        <v>213</v>
      </c>
    </row>
    <row r="1433">
      <c r="A1433" s="1" t="s">
        <v>206</v>
      </c>
      <c r="B1433" s="1" t="s">
        <v>206</v>
      </c>
      <c r="C1433" s="1" t="s">
        <v>207</v>
      </c>
      <c r="E1433" s="1">
        <v>2.02101094E9</v>
      </c>
      <c r="F1433" s="2">
        <v>41183.0</v>
      </c>
      <c r="G1433" s="1" t="s">
        <v>208</v>
      </c>
      <c r="I1433" s="1" t="s">
        <v>208</v>
      </c>
      <c r="L1433" s="1" t="s">
        <v>40</v>
      </c>
      <c r="M1433" s="1">
        <v>7500.0</v>
      </c>
      <c r="N1433" s="1" t="s">
        <v>40</v>
      </c>
      <c r="O1433" s="1">
        <v>3.8775243E7</v>
      </c>
      <c r="P1433" s="1" t="s">
        <v>209</v>
      </c>
      <c r="Q1433" s="1" t="s">
        <v>210</v>
      </c>
      <c r="R1433" s="1" t="s">
        <v>211</v>
      </c>
      <c r="S1433" s="1" t="s">
        <v>44</v>
      </c>
      <c r="T1433" s="1" t="s">
        <v>45</v>
      </c>
      <c r="U1433" s="1">
        <v>4.82023068E8</v>
      </c>
      <c r="W1433" s="1" t="s">
        <v>46</v>
      </c>
      <c r="X1433" s="1" t="s">
        <v>45</v>
      </c>
      <c r="Y1433" s="1">
        <v>4.82023068E8</v>
      </c>
      <c r="Z1433" s="1">
        <v>3.8775243E7</v>
      </c>
      <c r="AA1433" s="1" t="s">
        <v>209</v>
      </c>
      <c r="AB1433" s="1">
        <v>11056.5</v>
      </c>
      <c r="AC1433" s="2">
        <v>41183.0</v>
      </c>
      <c r="AD1433" s="1">
        <v>7500.0</v>
      </c>
      <c r="AE1433" s="1" t="s">
        <v>40</v>
      </c>
      <c r="AF1433" s="1">
        <v>2.0131257E7</v>
      </c>
      <c r="AG1433" s="1" t="s">
        <v>212</v>
      </c>
      <c r="AH1433" s="1">
        <v>10.0</v>
      </c>
      <c r="AI1433" s="1">
        <v>2012.0</v>
      </c>
      <c r="AJ1433" s="1">
        <v>2013.0</v>
      </c>
      <c r="AK1433" s="1" t="s">
        <v>213</v>
      </c>
    </row>
    <row r="1434">
      <c r="A1434" s="1" t="s">
        <v>206</v>
      </c>
      <c r="B1434" s="1" t="s">
        <v>206</v>
      </c>
      <c r="C1434" s="1" t="s">
        <v>207</v>
      </c>
      <c r="E1434" s="1">
        <v>2.02101094E9</v>
      </c>
      <c r="F1434" s="2">
        <v>41183.0</v>
      </c>
      <c r="G1434" s="1" t="s">
        <v>208</v>
      </c>
      <c r="I1434" s="1" t="s">
        <v>208</v>
      </c>
      <c r="L1434" s="1" t="s">
        <v>40</v>
      </c>
      <c r="M1434" s="1">
        <v>7500.0</v>
      </c>
      <c r="N1434" s="1" t="s">
        <v>40</v>
      </c>
      <c r="O1434" s="1">
        <v>4.6842605E7</v>
      </c>
      <c r="P1434" s="1" t="s">
        <v>165</v>
      </c>
      <c r="Q1434" s="1" t="s">
        <v>166</v>
      </c>
      <c r="R1434" s="1" t="s">
        <v>167</v>
      </c>
      <c r="S1434" s="1" t="s">
        <v>44</v>
      </c>
      <c r="T1434" s="1" t="s">
        <v>45</v>
      </c>
      <c r="U1434" s="1">
        <v>4.82074544E8</v>
      </c>
      <c r="W1434" s="1" t="s">
        <v>46</v>
      </c>
      <c r="X1434" s="1" t="s">
        <v>45</v>
      </c>
      <c r="Y1434" s="1">
        <v>4.82074544E8</v>
      </c>
      <c r="Z1434" s="1">
        <v>7.3134603E7</v>
      </c>
      <c r="AA1434" s="1" t="s">
        <v>41</v>
      </c>
      <c r="AB1434" s="1">
        <v>3575679.92</v>
      </c>
      <c r="AC1434" s="2">
        <v>41183.0</v>
      </c>
      <c r="AD1434" s="1">
        <v>7500.0</v>
      </c>
      <c r="AE1434" s="1" t="s">
        <v>40</v>
      </c>
      <c r="AF1434" s="1">
        <v>2.0130477E7</v>
      </c>
      <c r="AG1434" s="1" t="s">
        <v>2771</v>
      </c>
      <c r="AH1434" s="1">
        <v>10.0</v>
      </c>
      <c r="AI1434" s="1">
        <v>2012.0</v>
      </c>
      <c r="AJ1434" s="1">
        <v>2013.0</v>
      </c>
      <c r="AK1434" s="1" t="s">
        <v>213</v>
      </c>
    </row>
    <row r="1435">
      <c r="A1435" s="1" t="s">
        <v>206</v>
      </c>
      <c r="B1435" s="1" t="s">
        <v>206</v>
      </c>
      <c r="C1435" s="1" t="s">
        <v>207</v>
      </c>
      <c r="E1435" s="1">
        <v>2.02101094E9</v>
      </c>
      <c r="F1435" s="2">
        <v>41183.0</v>
      </c>
      <c r="G1435" s="1" t="s">
        <v>208</v>
      </c>
      <c r="I1435" s="1" t="s">
        <v>208</v>
      </c>
      <c r="L1435" s="1" t="s">
        <v>40</v>
      </c>
      <c r="M1435" s="1">
        <v>7500.0</v>
      </c>
      <c r="N1435" s="1" t="s">
        <v>40</v>
      </c>
      <c r="O1435" s="1">
        <v>3.8775243E7</v>
      </c>
      <c r="P1435" s="1" t="s">
        <v>209</v>
      </c>
      <c r="Q1435" s="1" t="s">
        <v>210</v>
      </c>
      <c r="R1435" s="1" t="s">
        <v>211</v>
      </c>
      <c r="S1435" s="1" t="s">
        <v>44</v>
      </c>
      <c r="T1435" s="1" t="s">
        <v>45</v>
      </c>
      <c r="U1435" s="1">
        <v>4.82023068E8</v>
      </c>
      <c r="W1435" s="1" t="s">
        <v>46</v>
      </c>
      <c r="X1435" s="1" t="s">
        <v>45</v>
      </c>
      <c r="Y1435" s="1">
        <v>4.82023068E8</v>
      </c>
      <c r="Z1435" s="1">
        <v>3.8775243E7</v>
      </c>
      <c r="AA1435" s="1" t="s">
        <v>209</v>
      </c>
      <c r="AB1435" s="1">
        <v>5994.38</v>
      </c>
      <c r="AC1435" s="2">
        <v>41183.0</v>
      </c>
      <c r="AD1435" s="1">
        <v>7500.0</v>
      </c>
      <c r="AE1435" s="1" t="s">
        <v>40</v>
      </c>
      <c r="AF1435" s="1">
        <v>2.0131083E7</v>
      </c>
      <c r="AG1435" s="1" t="s">
        <v>212</v>
      </c>
      <c r="AH1435" s="1">
        <v>10.0</v>
      </c>
      <c r="AI1435" s="1">
        <v>2012.0</v>
      </c>
      <c r="AJ1435" s="1">
        <v>2013.0</v>
      </c>
      <c r="AK1435" s="1" t="s">
        <v>213</v>
      </c>
    </row>
    <row r="1436">
      <c r="A1436" s="1" t="s">
        <v>206</v>
      </c>
      <c r="B1436" s="1" t="s">
        <v>206</v>
      </c>
      <c r="C1436" s="1" t="s">
        <v>207</v>
      </c>
      <c r="E1436" s="1">
        <v>2.02101094E9</v>
      </c>
      <c r="F1436" s="2">
        <v>41183.0</v>
      </c>
      <c r="G1436" s="1" t="s">
        <v>208</v>
      </c>
      <c r="I1436" s="1" t="s">
        <v>208</v>
      </c>
      <c r="L1436" s="1" t="s">
        <v>40</v>
      </c>
      <c r="M1436" s="1">
        <v>7500.0</v>
      </c>
      <c r="N1436" s="1" t="s">
        <v>40</v>
      </c>
      <c r="O1436" s="1">
        <v>3.8775243E7</v>
      </c>
      <c r="P1436" s="1" t="s">
        <v>209</v>
      </c>
      <c r="Q1436" s="1" t="s">
        <v>210</v>
      </c>
      <c r="R1436" s="1" t="s">
        <v>211</v>
      </c>
      <c r="S1436" s="1" t="s">
        <v>44</v>
      </c>
      <c r="T1436" s="1" t="s">
        <v>45</v>
      </c>
      <c r="U1436" s="1">
        <v>4.82023068E8</v>
      </c>
      <c r="W1436" s="1" t="s">
        <v>46</v>
      </c>
      <c r="X1436" s="1" t="s">
        <v>45</v>
      </c>
      <c r="Y1436" s="1">
        <v>4.82023068E8</v>
      </c>
      <c r="Z1436" s="1">
        <v>3.8775243E7</v>
      </c>
      <c r="AA1436" s="1" t="s">
        <v>209</v>
      </c>
      <c r="AB1436" s="1">
        <v>9966.75</v>
      </c>
      <c r="AC1436" s="2">
        <v>41183.0</v>
      </c>
      <c r="AD1436" s="1">
        <v>7500.0</v>
      </c>
      <c r="AE1436" s="1" t="s">
        <v>40</v>
      </c>
      <c r="AF1436" s="1">
        <v>2.0131079E7</v>
      </c>
      <c r="AG1436" s="1" t="s">
        <v>212</v>
      </c>
      <c r="AH1436" s="1">
        <v>10.0</v>
      </c>
      <c r="AI1436" s="1">
        <v>2012.0</v>
      </c>
      <c r="AJ1436" s="1">
        <v>2013.0</v>
      </c>
      <c r="AK1436" s="1" t="s">
        <v>213</v>
      </c>
    </row>
    <row r="1437">
      <c r="A1437" s="1" t="s">
        <v>206</v>
      </c>
      <c r="B1437" s="1" t="s">
        <v>206</v>
      </c>
      <c r="C1437" s="1" t="s">
        <v>207</v>
      </c>
      <c r="E1437" s="1">
        <v>2.02101094E9</v>
      </c>
      <c r="F1437" s="2">
        <v>41183.0</v>
      </c>
      <c r="G1437" s="1" t="s">
        <v>208</v>
      </c>
      <c r="I1437" s="1" t="s">
        <v>208</v>
      </c>
      <c r="L1437" s="1" t="s">
        <v>40</v>
      </c>
      <c r="M1437" s="1">
        <v>7500.0</v>
      </c>
      <c r="N1437" s="1" t="s">
        <v>40</v>
      </c>
      <c r="O1437" s="1">
        <v>3.8775243E7</v>
      </c>
      <c r="P1437" s="1" t="s">
        <v>209</v>
      </c>
      <c r="Q1437" s="1" t="s">
        <v>210</v>
      </c>
      <c r="R1437" s="1" t="s">
        <v>211</v>
      </c>
      <c r="S1437" s="1" t="s">
        <v>44</v>
      </c>
      <c r="T1437" s="1" t="s">
        <v>45</v>
      </c>
      <c r="U1437" s="1">
        <v>4.82023068E8</v>
      </c>
      <c r="W1437" s="1" t="s">
        <v>46</v>
      </c>
      <c r="X1437" s="1" t="s">
        <v>45</v>
      </c>
      <c r="Y1437" s="1">
        <v>4.82023068E8</v>
      </c>
      <c r="Z1437" s="1">
        <v>3.8775243E7</v>
      </c>
      <c r="AA1437" s="1" t="s">
        <v>209</v>
      </c>
      <c r="AB1437" s="1">
        <v>13067.38</v>
      </c>
      <c r="AC1437" s="2">
        <v>41183.0</v>
      </c>
      <c r="AD1437" s="1">
        <v>7500.0</v>
      </c>
      <c r="AE1437" s="1" t="s">
        <v>40</v>
      </c>
      <c r="AF1437" s="1">
        <v>2.013108E7</v>
      </c>
      <c r="AG1437" s="1" t="s">
        <v>212</v>
      </c>
      <c r="AH1437" s="1">
        <v>10.0</v>
      </c>
      <c r="AI1437" s="1">
        <v>2012.0</v>
      </c>
      <c r="AJ1437" s="1">
        <v>2013.0</v>
      </c>
      <c r="AK1437" s="1" t="s">
        <v>213</v>
      </c>
    </row>
    <row r="1438">
      <c r="A1438" s="1" t="s">
        <v>206</v>
      </c>
      <c r="B1438" s="1" t="s">
        <v>206</v>
      </c>
      <c r="C1438" s="1" t="s">
        <v>207</v>
      </c>
      <c r="E1438" s="1">
        <v>2.02101094E9</v>
      </c>
      <c r="F1438" s="2">
        <v>41183.0</v>
      </c>
      <c r="G1438" s="1" t="s">
        <v>208</v>
      </c>
      <c r="I1438" s="1" t="s">
        <v>208</v>
      </c>
      <c r="L1438" s="1" t="s">
        <v>40</v>
      </c>
      <c r="M1438" s="1">
        <v>7500.0</v>
      </c>
      <c r="N1438" s="1" t="s">
        <v>40</v>
      </c>
      <c r="O1438" s="1">
        <v>7.3134884E7</v>
      </c>
      <c r="P1438" s="1" t="s">
        <v>259</v>
      </c>
      <c r="R1438" s="1" t="s">
        <v>286</v>
      </c>
      <c r="S1438" s="1" t="s">
        <v>44</v>
      </c>
      <c r="T1438" s="1" t="s">
        <v>45</v>
      </c>
      <c r="U1438" s="1">
        <v>4.82262841E8</v>
      </c>
      <c r="W1438" s="1" t="s">
        <v>46</v>
      </c>
      <c r="X1438" s="1" t="s">
        <v>45</v>
      </c>
      <c r="Y1438" s="1">
        <v>4.8226348E8</v>
      </c>
      <c r="Z1438" s="1">
        <v>7.3134884E7</v>
      </c>
      <c r="AA1438" s="1" t="s">
        <v>1796</v>
      </c>
      <c r="AB1438" s="1">
        <v>410870.1</v>
      </c>
      <c r="AC1438" s="2">
        <v>41183.0</v>
      </c>
      <c r="AD1438" s="1">
        <v>7500.0</v>
      </c>
      <c r="AE1438" s="1" t="s">
        <v>40</v>
      </c>
      <c r="AF1438" s="1">
        <v>2.0131302E7</v>
      </c>
      <c r="AG1438" s="1" t="s">
        <v>212</v>
      </c>
      <c r="AH1438" s="1">
        <v>10.0</v>
      </c>
      <c r="AI1438" s="1">
        <v>2012.0</v>
      </c>
      <c r="AJ1438" s="1">
        <v>2013.0</v>
      </c>
      <c r="AK1438" s="1" t="s">
        <v>213</v>
      </c>
    </row>
    <row r="1439">
      <c r="A1439" s="1" t="s">
        <v>206</v>
      </c>
      <c r="B1439" s="1" t="s">
        <v>206</v>
      </c>
      <c r="C1439" s="1" t="s">
        <v>207</v>
      </c>
      <c r="E1439" s="1">
        <v>2.02101094E9</v>
      </c>
      <c r="F1439" s="2">
        <v>41183.0</v>
      </c>
      <c r="G1439" s="1" t="s">
        <v>208</v>
      </c>
      <c r="I1439" s="1" t="s">
        <v>208</v>
      </c>
      <c r="L1439" s="1" t="s">
        <v>40</v>
      </c>
      <c r="M1439" s="1">
        <v>7500.0</v>
      </c>
      <c r="N1439" s="1" t="s">
        <v>40</v>
      </c>
      <c r="O1439" s="1">
        <v>7.8583404E7</v>
      </c>
      <c r="P1439" s="1" t="s">
        <v>65</v>
      </c>
      <c r="Q1439" s="1" t="s">
        <v>2014</v>
      </c>
      <c r="R1439" s="1" t="s">
        <v>1573</v>
      </c>
      <c r="S1439" s="1" t="s">
        <v>44</v>
      </c>
      <c r="T1439" s="1" t="s">
        <v>45</v>
      </c>
      <c r="U1439" s="1">
        <v>4.8207311E8</v>
      </c>
      <c r="W1439" s="1" t="s">
        <v>46</v>
      </c>
      <c r="X1439" s="1" t="s">
        <v>45</v>
      </c>
      <c r="Y1439" s="1">
        <v>4.82021732E8</v>
      </c>
      <c r="Z1439" s="1">
        <v>8.6183175E7</v>
      </c>
      <c r="AA1439" s="1" t="s">
        <v>2776</v>
      </c>
      <c r="AB1439" s="1">
        <v>100785.0</v>
      </c>
      <c r="AC1439" s="2">
        <v>41183.0</v>
      </c>
      <c r="AD1439" s="1">
        <v>7500.0</v>
      </c>
      <c r="AE1439" s="1" t="s">
        <v>40</v>
      </c>
      <c r="AF1439" s="1">
        <v>2.01304E7</v>
      </c>
      <c r="AG1439" s="1" t="s">
        <v>212</v>
      </c>
      <c r="AH1439" s="1">
        <v>10.0</v>
      </c>
      <c r="AI1439" s="1">
        <v>2012.0</v>
      </c>
      <c r="AJ1439" s="1">
        <v>2013.0</v>
      </c>
      <c r="AK1439" s="1" t="s">
        <v>213</v>
      </c>
    </row>
    <row r="1440">
      <c r="A1440" s="1" t="s">
        <v>2898</v>
      </c>
      <c r="B1440" s="1" t="s">
        <v>2898</v>
      </c>
      <c r="C1440" s="1" t="s">
        <v>224</v>
      </c>
      <c r="E1440" s="1">
        <v>31622.0</v>
      </c>
      <c r="F1440" s="2">
        <v>41898.0</v>
      </c>
      <c r="G1440" s="1" t="s">
        <v>2899</v>
      </c>
      <c r="I1440" s="1" t="s">
        <v>2899</v>
      </c>
      <c r="L1440" s="1" t="s">
        <v>151</v>
      </c>
      <c r="M1440" s="1">
        <v>6900.0</v>
      </c>
      <c r="N1440" s="1" t="s">
        <v>151</v>
      </c>
      <c r="O1440" s="1">
        <v>9.63886101E8</v>
      </c>
      <c r="P1440" s="1" t="s">
        <v>259</v>
      </c>
      <c r="Q1440" s="1" t="s">
        <v>1795</v>
      </c>
      <c r="R1440" s="1" t="s">
        <v>260</v>
      </c>
      <c r="S1440" s="1" t="s">
        <v>44</v>
      </c>
      <c r="T1440" s="1" t="s">
        <v>45</v>
      </c>
      <c r="U1440" s="1">
        <v>4.8226348E8</v>
      </c>
      <c r="W1440" s="1" t="s">
        <v>46</v>
      </c>
      <c r="X1440" s="1" t="s">
        <v>45</v>
      </c>
      <c r="Y1440" s="1">
        <v>4.8226348E8</v>
      </c>
      <c r="Z1440" s="1">
        <v>7.3134884E7</v>
      </c>
      <c r="AA1440" s="1" t="s">
        <v>1796</v>
      </c>
      <c r="AB1440" s="1">
        <v>31622.94</v>
      </c>
      <c r="AC1440" s="2">
        <v>41898.0</v>
      </c>
      <c r="AD1440" s="1">
        <v>6900.0</v>
      </c>
      <c r="AE1440" s="1" t="s">
        <v>151</v>
      </c>
      <c r="AF1440" s="1">
        <v>145552.0</v>
      </c>
      <c r="AG1440" s="1" t="s">
        <v>2900</v>
      </c>
      <c r="AH1440" s="1">
        <v>9.0</v>
      </c>
      <c r="AI1440" s="1">
        <v>2014.0</v>
      </c>
      <c r="AJ1440" s="1">
        <v>2014.0</v>
      </c>
      <c r="AK1440" s="1" t="s">
        <v>229</v>
      </c>
    </row>
    <row r="1441">
      <c r="A1441" s="1" t="s">
        <v>2901</v>
      </c>
      <c r="B1441" s="1" t="s">
        <v>2901</v>
      </c>
      <c r="C1441" s="1" t="s">
        <v>224</v>
      </c>
      <c r="E1441" s="1">
        <v>200315.0</v>
      </c>
      <c r="F1441" s="2">
        <v>41898.0</v>
      </c>
      <c r="G1441" s="1" t="s">
        <v>2899</v>
      </c>
      <c r="I1441" s="1" t="s">
        <v>2899</v>
      </c>
      <c r="L1441" s="1" t="s">
        <v>151</v>
      </c>
      <c r="M1441" s="1">
        <v>6900.0</v>
      </c>
      <c r="N1441" s="1" t="s">
        <v>151</v>
      </c>
      <c r="O1441" s="1">
        <v>9.63886101E8</v>
      </c>
      <c r="P1441" s="1" t="s">
        <v>259</v>
      </c>
      <c r="Q1441" s="1" t="s">
        <v>1795</v>
      </c>
      <c r="R1441" s="1" t="s">
        <v>260</v>
      </c>
      <c r="S1441" s="1" t="s">
        <v>44</v>
      </c>
      <c r="T1441" s="1" t="s">
        <v>45</v>
      </c>
      <c r="U1441" s="1">
        <v>4.8226348E8</v>
      </c>
      <c r="W1441" s="1" t="s">
        <v>46</v>
      </c>
      <c r="X1441" s="1" t="s">
        <v>45</v>
      </c>
      <c r="Y1441" s="1">
        <v>4.8226348E8</v>
      </c>
      <c r="Z1441" s="1">
        <v>7.3134884E7</v>
      </c>
      <c r="AA1441" s="1" t="s">
        <v>1796</v>
      </c>
      <c r="AB1441" s="1">
        <v>200315.6</v>
      </c>
      <c r="AC1441" s="2">
        <v>41898.0</v>
      </c>
      <c r="AD1441" s="1">
        <v>6900.0</v>
      </c>
      <c r="AE1441" s="1" t="s">
        <v>151</v>
      </c>
      <c r="AF1441" s="1">
        <v>145552.0</v>
      </c>
      <c r="AG1441" s="1" t="s">
        <v>2900</v>
      </c>
      <c r="AH1441" s="1">
        <v>9.0</v>
      </c>
      <c r="AI1441" s="1">
        <v>2014.0</v>
      </c>
      <c r="AJ1441" s="1">
        <v>2014.0</v>
      </c>
      <c r="AK1441" s="1" t="s">
        <v>229</v>
      </c>
    </row>
    <row r="1442">
      <c r="A1442" s="1" t="s">
        <v>2721</v>
      </c>
      <c r="B1442" s="1" t="s">
        <v>2721</v>
      </c>
      <c r="C1442" s="1" t="s">
        <v>194</v>
      </c>
      <c r="E1442" s="1">
        <v>1.3188316E7</v>
      </c>
      <c r="F1442" s="2">
        <v>41592.0</v>
      </c>
      <c r="G1442" s="1" t="s">
        <v>1228</v>
      </c>
      <c r="I1442" s="1" t="s">
        <v>1228</v>
      </c>
      <c r="L1442" s="1" t="s">
        <v>194</v>
      </c>
      <c r="M1442" s="1">
        <v>9100.0</v>
      </c>
      <c r="N1442" s="1" t="s">
        <v>194</v>
      </c>
      <c r="O1442" s="1">
        <v>7.6386556E7</v>
      </c>
      <c r="P1442" s="1" t="s">
        <v>1242</v>
      </c>
      <c r="R1442" s="1" t="s">
        <v>1243</v>
      </c>
      <c r="S1442" s="1" t="s">
        <v>44</v>
      </c>
      <c r="T1442" s="1" t="s">
        <v>45</v>
      </c>
      <c r="U1442" s="1">
        <v>4.8226301E8</v>
      </c>
      <c r="W1442" s="1" t="s">
        <v>44</v>
      </c>
      <c r="X1442" s="1" t="s">
        <v>45</v>
      </c>
      <c r="Y1442" s="1">
        <v>4.8226301E8</v>
      </c>
      <c r="Z1442" s="1">
        <v>7.6386556E7</v>
      </c>
      <c r="AA1442" s="1" t="s">
        <v>1242</v>
      </c>
      <c r="AB1442" s="1">
        <v>250000.0</v>
      </c>
      <c r="AC1442" s="2">
        <v>41592.0</v>
      </c>
      <c r="AD1442" s="1">
        <v>9100.0</v>
      </c>
      <c r="AE1442" s="1" t="s">
        <v>194</v>
      </c>
      <c r="AF1442" s="1" t="s">
        <v>2902</v>
      </c>
      <c r="AG1442" s="1" t="s">
        <v>1232</v>
      </c>
      <c r="AH1442" s="1">
        <v>10.0</v>
      </c>
      <c r="AI1442" s="1">
        <v>2014.0</v>
      </c>
      <c r="AJ1442" s="1">
        <v>2014.0</v>
      </c>
      <c r="AK1442" s="1" t="s">
        <v>1233</v>
      </c>
    </row>
    <row r="1443">
      <c r="A1443" s="1" t="s">
        <v>2721</v>
      </c>
      <c r="B1443" s="1" t="s">
        <v>2721</v>
      </c>
      <c r="C1443" s="1" t="s">
        <v>194</v>
      </c>
      <c r="E1443" s="1">
        <v>1.3188316E7</v>
      </c>
      <c r="F1443" s="2">
        <v>41512.0</v>
      </c>
      <c r="G1443" s="1" t="s">
        <v>1228</v>
      </c>
      <c r="I1443" s="1" t="s">
        <v>1228</v>
      </c>
      <c r="L1443" s="1" t="s">
        <v>194</v>
      </c>
      <c r="M1443" s="1">
        <v>9100.0</v>
      </c>
      <c r="N1443" s="1" t="s">
        <v>194</v>
      </c>
      <c r="O1443" s="1">
        <v>6.13353846E8</v>
      </c>
      <c r="P1443" s="1" t="s">
        <v>1229</v>
      </c>
      <c r="R1443" s="1" t="s">
        <v>1230</v>
      </c>
      <c r="S1443" s="1" t="s">
        <v>44</v>
      </c>
      <c r="T1443" s="1" t="s">
        <v>45</v>
      </c>
      <c r="U1443" s="1">
        <v>4.82013473E8</v>
      </c>
      <c r="W1443" s="1" t="s">
        <v>44</v>
      </c>
      <c r="X1443" s="1" t="s">
        <v>45</v>
      </c>
      <c r="Y1443" s="1">
        <v>4.82013421E8</v>
      </c>
      <c r="AB1443" s="1">
        <v>100000.0</v>
      </c>
      <c r="AC1443" s="2">
        <v>41512.0</v>
      </c>
      <c r="AD1443" s="1">
        <v>9100.0</v>
      </c>
      <c r="AE1443" s="1" t="s">
        <v>194</v>
      </c>
      <c r="AF1443" s="1" t="s">
        <v>2903</v>
      </c>
      <c r="AG1443" s="1" t="s">
        <v>1232</v>
      </c>
      <c r="AH1443" s="1">
        <v>10.0</v>
      </c>
      <c r="AI1443" s="1">
        <v>2014.0</v>
      </c>
      <c r="AJ1443" s="1">
        <v>2013.0</v>
      </c>
      <c r="AK1443" s="1" t="s">
        <v>1233</v>
      </c>
    </row>
    <row r="1444">
      <c r="A1444" s="1" t="s">
        <v>2721</v>
      </c>
      <c r="B1444" s="1" t="s">
        <v>2721</v>
      </c>
      <c r="C1444" s="1" t="s">
        <v>194</v>
      </c>
      <c r="E1444" s="1">
        <v>1.3188316E7</v>
      </c>
      <c r="F1444" s="2">
        <v>41813.0</v>
      </c>
      <c r="G1444" s="1" t="s">
        <v>1228</v>
      </c>
      <c r="I1444" s="1" t="s">
        <v>1228</v>
      </c>
      <c r="L1444" s="1" t="s">
        <v>194</v>
      </c>
      <c r="M1444" s="1">
        <v>9100.0</v>
      </c>
      <c r="N1444" s="1" t="s">
        <v>194</v>
      </c>
      <c r="O1444" s="1">
        <v>7.6386556E7</v>
      </c>
      <c r="P1444" s="1" t="s">
        <v>1242</v>
      </c>
      <c r="R1444" s="1" t="s">
        <v>1243</v>
      </c>
      <c r="S1444" s="1" t="s">
        <v>44</v>
      </c>
      <c r="T1444" s="1" t="s">
        <v>45</v>
      </c>
      <c r="U1444" s="1">
        <v>4.8226301E8</v>
      </c>
      <c r="W1444" s="1" t="s">
        <v>44</v>
      </c>
      <c r="X1444" s="1" t="s">
        <v>45</v>
      </c>
      <c r="Y1444" s="1">
        <v>4.8226301E8</v>
      </c>
      <c r="Z1444" s="1">
        <v>7.6386556E7</v>
      </c>
      <c r="AA1444" s="1" t="s">
        <v>1242</v>
      </c>
      <c r="AB1444" s="1">
        <v>36000.0</v>
      </c>
      <c r="AC1444" s="2">
        <v>41813.0</v>
      </c>
      <c r="AD1444" s="1">
        <v>9100.0</v>
      </c>
      <c r="AE1444" s="1" t="s">
        <v>194</v>
      </c>
      <c r="AF1444" s="1" t="s">
        <v>2904</v>
      </c>
      <c r="AG1444" s="1" t="s">
        <v>1232</v>
      </c>
      <c r="AH1444" s="1">
        <v>10.0</v>
      </c>
      <c r="AI1444" s="1">
        <v>2014.0</v>
      </c>
      <c r="AJ1444" s="1">
        <v>2014.0</v>
      </c>
      <c r="AK1444" s="1" t="s">
        <v>1233</v>
      </c>
    </row>
    <row r="1445">
      <c r="A1445" s="1" t="s">
        <v>2721</v>
      </c>
      <c r="B1445" s="1" t="s">
        <v>2721</v>
      </c>
      <c r="C1445" s="1" t="s">
        <v>194</v>
      </c>
      <c r="E1445" s="1">
        <v>1.3188316E7</v>
      </c>
      <c r="F1445" s="2">
        <v>41501.0</v>
      </c>
      <c r="G1445" s="1" t="s">
        <v>1228</v>
      </c>
      <c r="I1445" s="1" t="s">
        <v>1228</v>
      </c>
      <c r="L1445" s="1" t="s">
        <v>194</v>
      </c>
      <c r="M1445" s="1">
        <v>9100.0</v>
      </c>
      <c r="N1445" s="1" t="s">
        <v>194</v>
      </c>
      <c r="O1445" s="1">
        <v>8.00230674E8</v>
      </c>
      <c r="P1445" s="1" t="s">
        <v>2905</v>
      </c>
      <c r="R1445" s="1" t="s">
        <v>2906</v>
      </c>
      <c r="S1445" s="1" t="s">
        <v>44</v>
      </c>
      <c r="T1445" s="1" t="s">
        <v>45</v>
      </c>
      <c r="U1445" s="1">
        <v>4.8202405E8</v>
      </c>
      <c r="W1445" s="1" t="s">
        <v>44</v>
      </c>
      <c r="X1445" s="1" t="s">
        <v>45</v>
      </c>
      <c r="Y1445" s="1">
        <v>4.8202405E8</v>
      </c>
      <c r="AB1445" s="1">
        <v>30000.0</v>
      </c>
      <c r="AC1445" s="2">
        <v>41501.0</v>
      </c>
      <c r="AD1445" s="1">
        <v>9100.0</v>
      </c>
      <c r="AE1445" s="1" t="s">
        <v>194</v>
      </c>
      <c r="AF1445" s="1" t="s">
        <v>2907</v>
      </c>
      <c r="AG1445" s="1" t="s">
        <v>1232</v>
      </c>
      <c r="AH1445" s="1">
        <v>10.0</v>
      </c>
      <c r="AI1445" s="1">
        <v>2014.0</v>
      </c>
      <c r="AJ1445" s="1">
        <v>2013.0</v>
      </c>
      <c r="AK1445" s="1" t="s">
        <v>1233</v>
      </c>
    </row>
    <row r="1446">
      <c r="A1446" s="1" t="s">
        <v>198</v>
      </c>
      <c r="B1446" s="1" t="s">
        <v>198</v>
      </c>
      <c r="C1446" s="1" t="s">
        <v>38</v>
      </c>
      <c r="E1446" s="1">
        <v>9391444.0</v>
      </c>
      <c r="F1446" s="2">
        <v>41908.0</v>
      </c>
      <c r="G1446" s="1" t="s">
        <v>2086</v>
      </c>
      <c r="I1446" s="1" t="s">
        <v>2086</v>
      </c>
      <c r="L1446" s="1" t="s">
        <v>40</v>
      </c>
      <c r="M1446" s="1">
        <v>7500.0</v>
      </c>
      <c r="N1446" s="1" t="s">
        <v>40</v>
      </c>
      <c r="O1446" s="1">
        <v>7.3134603E7</v>
      </c>
      <c r="P1446" s="1" t="s">
        <v>41</v>
      </c>
      <c r="Q1446" s="1" t="s">
        <v>252</v>
      </c>
      <c r="R1446" s="1" t="s">
        <v>253</v>
      </c>
      <c r="S1446" s="1" t="s">
        <v>44</v>
      </c>
      <c r="T1446" s="1" t="s">
        <v>45</v>
      </c>
      <c r="U1446" s="1">
        <v>4.8202345E8</v>
      </c>
      <c r="W1446" s="1" t="s">
        <v>46</v>
      </c>
      <c r="X1446" s="1" t="s">
        <v>45</v>
      </c>
      <c r="Y1446" s="1">
        <v>4.8202345E8</v>
      </c>
      <c r="Z1446" s="1">
        <v>7.3134603E7</v>
      </c>
      <c r="AA1446" s="1" t="s">
        <v>41</v>
      </c>
      <c r="AB1446" s="1">
        <v>20995.0</v>
      </c>
      <c r="AC1446" s="2">
        <v>41908.0</v>
      </c>
      <c r="AD1446" s="1">
        <v>7500.0</v>
      </c>
      <c r="AE1446" s="1" t="s">
        <v>40</v>
      </c>
      <c r="AF1446" s="1" t="s">
        <v>2908</v>
      </c>
      <c r="AG1446" s="1" t="s">
        <v>2909</v>
      </c>
      <c r="AH1446" s="1">
        <v>10.0</v>
      </c>
      <c r="AI1446" s="1">
        <v>2014.0</v>
      </c>
      <c r="AJ1446" s="1">
        <v>2014.0</v>
      </c>
      <c r="AK1446" s="1" t="s">
        <v>202</v>
      </c>
    </row>
    <row r="1447">
      <c r="A1447" s="1" t="s">
        <v>2910</v>
      </c>
      <c r="B1447" s="1" t="s">
        <v>2910</v>
      </c>
      <c r="C1447" s="1" t="s">
        <v>100</v>
      </c>
      <c r="E1447" s="1">
        <v>1.4511747E7</v>
      </c>
      <c r="F1447" s="2">
        <v>41925.0</v>
      </c>
      <c r="G1447" s="1" t="s">
        <v>122</v>
      </c>
      <c r="I1447" s="1" t="s">
        <v>122</v>
      </c>
      <c r="L1447" s="1" t="s">
        <v>102</v>
      </c>
      <c r="M1447" s="1">
        <v>8600.0</v>
      </c>
      <c r="N1447" s="1" t="s">
        <v>102</v>
      </c>
      <c r="O1447" s="1">
        <v>8.47399933E8</v>
      </c>
      <c r="P1447" s="1" t="s">
        <v>2911</v>
      </c>
      <c r="R1447" s="1" t="s">
        <v>1462</v>
      </c>
      <c r="S1447" s="1" t="s">
        <v>44</v>
      </c>
      <c r="T1447" s="1" t="s">
        <v>45</v>
      </c>
      <c r="U1447" s="1">
        <v>4.82012009E8</v>
      </c>
      <c r="W1447" s="1" t="s">
        <v>46</v>
      </c>
      <c r="X1447" s="1" t="s">
        <v>45</v>
      </c>
      <c r="Y1447" s="1">
        <v>4.82012009E8</v>
      </c>
      <c r="AB1447" s="1">
        <v>250000.0</v>
      </c>
      <c r="AC1447" s="2">
        <v>41925.0</v>
      </c>
      <c r="AD1447" s="1">
        <v>8600.0</v>
      </c>
      <c r="AE1447" s="1" t="s">
        <v>102</v>
      </c>
      <c r="AF1447" s="1" t="s">
        <v>2912</v>
      </c>
      <c r="AG1447" s="1" t="s">
        <v>2913</v>
      </c>
      <c r="AH1447" s="1">
        <v>10.0</v>
      </c>
      <c r="AI1447" s="1">
        <v>2014.0</v>
      </c>
      <c r="AJ1447" s="1">
        <v>2015.0</v>
      </c>
      <c r="AK1447" s="1" t="s">
        <v>127</v>
      </c>
    </row>
    <row r="1448">
      <c r="A1448" s="1" t="s">
        <v>2910</v>
      </c>
      <c r="B1448" s="1" t="s">
        <v>2910</v>
      </c>
      <c r="C1448" s="1" t="s">
        <v>100</v>
      </c>
      <c r="E1448" s="1">
        <v>1.4511747E7</v>
      </c>
      <c r="F1448" s="2">
        <v>41821.0</v>
      </c>
      <c r="G1448" s="1" t="s">
        <v>122</v>
      </c>
      <c r="I1448" s="1" t="s">
        <v>122</v>
      </c>
      <c r="L1448" s="1" t="s">
        <v>102</v>
      </c>
      <c r="M1448" s="1">
        <v>8600.0</v>
      </c>
      <c r="N1448" s="1" t="s">
        <v>102</v>
      </c>
      <c r="O1448" s="1">
        <v>8.34085698E8</v>
      </c>
      <c r="P1448" s="1" t="s">
        <v>2443</v>
      </c>
      <c r="R1448" s="1" t="s">
        <v>2444</v>
      </c>
      <c r="S1448" s="1" t="s">
        <v>44</v>
      </c>
      <c r="T1448" s="1" t="s">
        <v>45</v>
      </c>
      <c r="U1448" s="1">
        <v>4.82133858E8</v>
      </c>
      <c r="W1448" s="1" t="s">
        <v>46</v>
      </c>
      <c r="X1448" s="1" t="s">
        <v>45</v>
      </c>
      <c r="Y1448" s="1">
        <v>4.82133858E8</v>
      </c>
      <c r="AB1448" s="1">
        <v>41250.0</v>
      </c>
      <c r="AC1448" s="2">
        <v>41821.0</v>
      </c>
      <c r="AD1448" s="1">
        <v>8600.0</v>
      </c>
      <c r="AE1448" s="1" t="s">
        <v>102</v>
      </c>
      <c r="AF1448" s="1" t="s">
        <v>2914</v>
      </c>
      <c r="AG1448" s="1" t="s">
        <v>2915</v>
      </c>
      <c r="AH1448" s="1">
        <v>10.0</v>
      </c>
      <c r="AI1448" s="1">
        <v>2014.0</v>
      </c>
      <c r="AJ1448" s="1">
        <v>2014.0</v>
      </c>
      <c r="AK1448" s="1" t="s">
        <v>127</v>
      </c>
    </row>
    <row r="1449">
      <c r="A1449" s="1" t="s">
        <v>2910</v>
      </c>
      <c r="B1449" s="1" t="s">
        <v>2910</v>
      </c>
      <c r="C1449" s="1" t="s">
        <v>100</v>
      </c>
      <c r="E1449" s="1">
        <v>1.4511747E7</v>
      </c>
      <c r="F1449" s="2">
        <v>41821.0</v>
      </c>
      <c r="G1449" s="1" t="s">
        <v>122</v>
      </c>
      <c r="I1449" s="1" t="s">
        <v>122</v>
      </c>
      <c r="L1449" s="1" t="s">
        <v>102</v>
      </c>
      <c r="M1449" s="1">
        <v>8600.0</v>
      </c>
      <c r="N1449" s="1" t="s">
        <v>102</v>
      </c>
      <c r="O1449" s="1">
        <v>9.33501314E8</v>
      </c>
      <c r="P1449" s="1" t="s">
        <v>2209</v>
      </c>
      <c r="Q1449" s="1" t="s">
        <v>2210</v>
      </c>
      <c r="R1449" s="1" t="s">
        <v>2211</v>
      </c>
      <c r="S1449" s="1" t="s">
        <v>44</v>
      </c>
      <c r="T1449" s="1" t="s">
        <v>45</v>
      </c>
      <c r="U1449" s="1">
        <v>4.82152967E8</v>
      </c>
      <c r="W1449" s="1" t="s">
        <v>46</v>
      </c>
      <c r="X1449" s="1" t="s">
        <v>45</v>
      </c>
      <c r="Y1449" s="1">
        <v>4.82152967E8</v>
      </c>
      <c r="AB1449" s="1">
        <v>50000.0</v>
      </c>
      <c r="AC1449" s="2">
        <v>41821.0</v>
      </c>
      <c r="AD1449" s="1">
        <v>8600.0</v>
      </c>
      <c r="AE1449" s="1" t="s">
        <v>102</v>
      </c>
      <c r="AF1449" s="1" t="s">
        <v>2916</v>
      </c>
      <c r="AG1449" s="1" t="s">
        <v>2917</v>
      </c>
      <c r="AH1449" s="1">
        <v>10.0</v>
      </c>
      <c r="AI1449" s="1">
        <v>2014.0</v>
      </c>
      <c r="AJ1449" s="1">
        <v>2014.0</v>
      </c>
      <c r="AK1449" s="1" t="s">
        <v>127</v>
      </c>
    </row>
    <row r="1450">
      <c r="A1450" s="1" t="s">
        <v>1894</v>
      </c>
      <c r="B1450" s="1" t="s">
        <v>1894</v>
      </c>
      <c r="C1450" s="1" t="s">
        <v>645</v>
      </c>
      <c r="E1450" s="1">
        <v>902980.0</v>
      </c>
      <c r="F1450" s="2">
        <v>41914.0</v>
      </c>
      <c r="G1450" s="1" t="s">
        <v>646</v>
      </c>
      <c r="I1450" s="1" t="s">
        <v>646</v>
      </c>
      <c r="L1450" s="1" t="s">
        <v>647</v>
      </c>
      <c r="M1450" s="1">
        <v>1200.0</v>
      </c>
      <c r="N1450" s="1" t="s">
        <v>647</v>
      </c>
      <c r="O1450" s="1">
        <v>7.3134884E7</v>
      </c>
      <c r="P1450" s="1" t="s">
        <v>1796</v>
      </c>
      <c r="R1450" s="1" t="s">
        <v>1855</v>
      </c>
      <c r="S1450" s="1" t="s">
        <v>44</v>
      </c>
      <c r="T1450" s="1" t="s">
        <v>45</v>
      </c>
      <c r="U1450" s="1">
        <v>48226.0</v>
      </c>
      <c r="W1450" s="1" t="s">
        <v>648</v>
      </c>
      <c r="X1450" s="1" t="s">
        <v>45</v>
      </c>
      <c r="Y1450" s="1">
        <v>4.81865305E8</v>
      </c>
      <c r="Z1450" s="1">
        <v>7.3134884E7</v>
      </c>
      <c r="AA1450" s="1" t="s">
        <v>1796</v>
      </c>
      <c r="AB1450" s="1">
        <v>65093.0</v>
      </c>
      <c r="AC1450" s="2">
        <v>41914.0</v>
      </c>
      <c r="AD1450" s="1">
        <v>1200.0</v>
      </c>
      <c r="AE1450" s="1" t="s">
        <v>647</v>
      </c>
      <c r="AF1450" s="1" t="s">
        <v>1895</v>
      </c>
      <c r="AG1450" s="1" t="s">
        <v>712</v>
      </c>
      <c r="AH1450" s="1">
        <v>10.0</v>
      </c>
      <c r="AI1450" s="1">
        <v>2014.0</v>
      </c>
      <c r="AJ1450" s="1">
        <v>2015.0</v>
      </c>
      <c r="AK1450" s="1" t="s">
        <v>651</v>
      </c>
    </row>
    <row r="1451">
      <c r="A1451" s="1" t="s">
        <v>1016</v>
      </c>
      <c r="B1451" s="1" t="s">
        <v>1016</v>
      </c>
      <c r="C1451" s="1" t="s">
        <v>38</v>
      </c>
      <c r="E1451" s="1">
        <v>2263924.0</v>
      </c>
      <c r="F1451" s="2">
        <v>41909.0</v>
      </c>
      <c r="G1451" s="1" t="s">
        <v>2918</v>
      </c>
      <c r="I1451" s="1" t="s">
        <v>2918</v>
      </c>
      <c r="L1451" s="1" t="s">
        <v>40</v>
      </c>
      <c r="M1451" s="1">
        <v>7500.0</v>
      </c>
      <c r="N1451" s="1" t="s">
        <v>40</v>
      </c>
      <c r="O1451" s="1">
        <v>8.29081207E8</v>
      </c>
      <c r="P1451" s="1" t="s">
        <v>1018</v>
      </c>
      <c r="R1451" s="1" t="s">
        <v>1019</v>
      </c>
      <c r="S1451" s="1" t="s">
        <v>44</v>
      </c>
      <c r="T1451" s="1" t="s">
        <v>45</v>
      </c>
      <c r="U1451" s="1">
        <v>4.82133402E8</v>
      </c>
      <c r="W1451" s="1" t="s">
        <v>46</v>
      </c>
      <c r="X1451" s="1" t="s">
        <v>45</v>
      </c>
      <c r="Y1451" s="1">
        <v>4.82133402E8</v>
      </c>
      <c r="AB1451" s="1">
        <v>43504.0</v>
      </c>
      <c r="AC1451" s="2">
        <v>41909.0</v>
      </c>
      <c r="AD1451" s="1">
        <v>7500.0</v>
      </c>
      <c r="AE1451" s="1" t="s">
        <v>40</v>
      </c>
      <c r="AF1451" s="1">
        <v>3.002042445E9</v>
      </c>
      <c r="AG1451" s="1" t="s">
        <v>2919</v>
      </c>
      <c r="AH1451" s="1">
        <v>9.0</v>
      </c>
      <c r="AI1451" s="1">
        <v>2014.0</v>
      </c>
      <c r="AJ1451" s="1">
        <v>2014.0</v>
      </c>
      <c r="AK1451" s="1" t="s">
        <v>1021</v>
      </c>
    </row>
    <row r="1452">
      <c r="A1452" s="1" t="s">
        <v>1345</v>
      </c>
      <c r="B1452" s="1" t="s">
        <v>1345</v>
      </c>
      <c r="C1452" s="1" t="s">
        <v>159</v>
      </c>
      <c r="E1452" s="1">
        <v>4573069.0</v>
      </c>
      <c r="F1452" s="2">
        <v>41883.0</v>
      </c>
      <c r="G1452" s="1" t="s">
        <v>1346</v>
      </c>
      <c r="I1452" s="1" t="s">
        <v>1346</v>
      </c>
      <c r="L1452" s="1" t="s">
        <v>40</v>
      </c>
      <c r="M1452" s="1">
        <v>7500.0</v>
      </c>
      <c r="N1452" s="1" t="s">
        <v>40</v>
      </c>
      <c r="O1452" s="1">
        <v>1962224.0</v>
      </c>
      <c r="P1452" s="1" t="s">
        <v>52</v>
      </c>
      <c r="R1452" s="1" t="s">
        <v>1885</v>
      </c>
      <c r="S1452" s="1" t="s">
        <v>44</v>
      </c>
      <c r="T1452" s="1" t="s">
        <v>45</v>
      </c>
      <c r="U1452" s="1">
        <v>4.82021347E8</v>
      </c>
      <c r="W1452" s="1" t="s">
        <v>46</v>
      </c>
      <c r="X1452" s="1" t="s">
        <v>45</v>
      </c>
      <c r="Y1452" s="1">
        <v>4.82024E8</v>
      </c>
      <c r="Z1452" s="1">
        <v>1962224.0</v>
      </c>
      <c r="AA1452" s="1" t="s">
        <v>52</v>
      </c>
      <c r="AB1452" s="1">
        <v>139357.0</v>
      </c>
      <c r="AC1452" s="2">
        <v>41883.0</v>
      </c>
      <c r="AD1452" s="1">
        <v>7500.0</v>
      </c>
      <c r="AE1452" s="1" t="s">
        <v>40</v>
      </c>
      <c r="AF1452" s="1">
        <v>3.002120343E9</v>
      </c>
      <c r="AG1452" s="1" t="s">
        <v>2920</v>
      </c>
      <c r="AH1452" s="1">
        <v>9.0</v>
      </c>
      <c r="AI1452" s="1">
        <v>2014.0</v>
      </c>
      <c r="AJ1452" s="1">
        <v>2014.0</v>
      </c>
      <c r="AK1452" s="1" t="s">
        <v>1348</v>
      </c>
    </row>
    <row r="1453">
      <c r="A1453" s="1" t="s">
        <v>1513</v>
      </c>
      <c r="B1453" s="1" t="s">
        <v>1513</v>
      </c>
      <c r="C1453" s="1" t="s">
        <v>194</v>
      </c>
      <c r="E1453" s="1">
        <v>398052.0</v>
      </c>
      <c r="F1453" s="2">
        <v>41900.0</v>
      </c>
      <c r="G1453" s="1" t="s">
        <v>195</v>
      </c>
      <c r="I1453" s="1" t="s">
        <v>195</v>
      </c>
      <c r="L1453" s="1" t="s">
        <v>194</v>
      </c>
      <c r="M1453" s="1">
        <v>9100.0</v>
      </c>
      <c r="N1453" s="1" t="s">
        <v>194</v>
      </c>
      <c r="O1453" s="1">
        <v>1962224.0</v>
      </c>
      <c r="P1453" s="1" t="s">
        <v>52</v>
      </c>
      <c r="R1453" s="1" t="s">
        <v>1885</v>
      </c>
      <c r="S1453" s="1" t="s">
        <v>44</v>
      </c>
      <c r="T1453" s="1" t="s">
        <v>45</v>
      </c>
      <c r="U1453" s="1">
        <v>4.82021347E8</v>
      </c>
      <c r="W1453" s="1" t="s">
        <v>46</v>
      </c>
      <c r="X1453" s="1" t="s">
        <v>45</v>
      </c>
      <c r="Y1453" s="1">
        <v>4.82024E8</v>
      </c>
      <c r="Z1453" s="1">
        <v>1962224.0</v>
      </c>
      <c r="AA1453" s="1" t="s">
        <v>52</v>
      </c>
      <c r="AB1453" s="1">
        <v>71393.0</v>
      </c>
      <c r="AC1453" s="2">
        <v>41900.0</v>
      </c>
      <c r="AD1453" s="1">
        <v>9100.0</v>
      </c>
      <c r="AE1453" s="1" t="s">
        <v>194</v>
      </c>
      <c r="AF1453" s="1">
        <v>3.002891343E9</v>
      </c>
      <c r="AG1453" s="1" t="s">
        <v>2921</v>
      </c>
      <c r="AH1453" s="1">
        <v>9.0</v>
      </c>
      <c r="AI1453" s="1">
        <v>2014.0</v>
      </c>
      <c r="AJ1453" s="1">
        <v>2014.0</v>
      </c>
      <c r="AK1453" s="1" t="s">
        <v>197</v>
      </c>
    </row>
    <row r="1454">
      <c r="A1454" s="1" t="s">
        <v>2922</v>
      </c>
      <c r="B1454" s="1" t="s">
        <v>2922</v>
      </c>
      <c r="C1454" s="1" t="s">
        <v>38</v>
      </c>
      <c r="E1454" s="1">
        <v>760304.0</v>
      </c>
      <c r="F1454" s="2">
        <v>41256.0</v>
      </c>
      <c r="G1454" s="1" t="s">
        <v>2923</v>
      </c>
      <c r="I1454" s="1" t="s">
        <v>2923</v>
      </c>
      <c r="L1454" s="1" t="s">
        <v>40</v>
      </c>
      <c r="M1454" s="1">
        <v>7500.0</v>
      </c>
      <c r="N1454" s="1" t="s">
        <v>40</v>
      </c>
      <c r="O1454" s="1">
        <v>7.3134603E7</v>
      </c>
      <c r="P1454" s="1" t="s">
        <v>41</v>
      </c>
      <c r="Q1454" s="1" t="s">
        <v>42</v>
      </c>
      <c r="R1454" s="1" t="s">
        <v>43</v>
      </c>
      <c r="S1454" s="1" t="s">
        <v>44</v>
      </c>
      <c r="T1454" s="1" t="s">
        <v>45</v>
      </c>
      <c r="U1454" s="1">
        <v>4.8202345E8</v>
      </c>
      <c r="W1454" s="1" t="s">
        <v>46</v>
      </c>
      <c r="X1454" s="1" t="s">
        <v>45</v>
      </c>
      <c r="Y1454" s="1">
        <v>4.82022689E8</v>
      </c>
      <c r="Z1454" s="1">
        <v>7.3134603E7</v>
      </c>
      <c r="AA1454" s="1" t="s">
        <v>41</v>
      </c>
      <c r="AB1454" s="1">
        <v>25276.0</v>
      </c>
      <c r="AC1454" s="2">
        <v>41256.0</v>
      </c>
      <c r="AD1454" s="1">
        <v>7500.0</v>
      </c>
      <c r="AE1454" s="1" t="s">
        <v>40</v>
      </c>
      <c r="AF1454" s="1">
        <v>2.012119719E9</v>
      </c>
      <c r="AG1454" s="1" t="s">
        <v>2924</v>
      </c>
      <c r="AH1454" s="1">
        <v>10.0</v>
      </c>
      <c r="AI1454" s="1">
        <v>2014.0</v>
      </c>
      <c r="AJ1454" s="1">
        <v>2013.0</v>
      </c>
      <c r="AK1454" s="1" t="s">
        <v>352</v>
      </c>
    </row>
    <row r="1455">
      <c r="A1455" s="1" t="s">
        <v>2925</v>
      </c>
      <c r="B1455" s="1" t="s">
        <v>2925</v>
      </c>
      <c r="C1455" s="1" t="s">
        <v>38</v>
      </c>
      <c r="E1455" s="1">
        <v>692240.0</v>
      </c>
      <c r="F1455" s="2">
        <v>41995.0</v>
      </c>
      <c r="G1455" s="1" t="s">
        <v>2926</v>
      </c>
      <c r="I1455" s="1" t="s">
        <v>2926</v>
      </c>
      <c r="L1455" s="1" t="s">
        <v>40</v>
      </c>
      <c r="M1455" s="1">
        <v>7500.0</v>
      </c>
      <c r="N1455" s="1" t="s">
        <v>40</v>
      </c>
      <c r="O1455" s="1">
        <v>1962224.0</v>
      </c>
      <c r="P1455" s="1" t="s">
        <v>52</v>
      </c>
      <c r="R1455" s="1" t="s">
        <v>1885</v>
      </c>
      <c r="S1455" s="1" t="s">
        <v>44</v>
      </c>
      <c r="T1455" s="1" t="s">
        <v>45</v>
      </c>
      <c r="U1455" s="1">
        <v>4.82021347E8</v>
      </c>
      <c r="W1455" s="1" t="s">
        <v>46</v>
      </c>
      <c r="X1455" s="1" t="s">
        <v>45</v>
      </c>
      <c r="Y1455" s="1">
        <v>4.8202405E8</v>
      </c>
      <c r="Z1455" s="1">
        <v>1962224.0</v>
      </c>
      <c r="AA1455" s="1" t="s">
        <v>52</v>
      </c>
      <c r="AB1455" s="1">
        <v>218144.0</v>
      </c>
      <c r="AC1455" s="2">
        <v>41995.0</v>
      </c>
      <c r="AD1455" s="1">
        <v>7500.0</v>
      </c>
      <c r="AE1455" s="1" t="s">
        <v>40</v>
      </c>
      <c r="AF1455" s="1" t="s">
        <v>2927</v>
      </c>
      <c r="AG1455" s="1" t="s">
        <v>2928</v>
      </c>
      <c r="AH1455" s="1">
        <v>1.0</v>
      </c>
      <c r="AI1455" s="1">
        <v>2015.0</v>
      </c>
      <c r="AJ1455" s="1">
        <v>2015.0</v>
      </c>
      <c r="AK1455" s="1" t="s">
        <v>415</v>
      </c>
    </row>
    <row r="1456">
      <c r="A1456" s="1" t="s">
        <v>2929</v>
      </c>
      <c r="B1456" s="1" t="s">
        <v>2929</v>
      </c>
      <c r="C1456" s="1" t="s">
        <v>63</v>
      </c>
      <c r="E1456" s="1">
        <v>1.2733216E7</v>
      </c>
      <c r="F1456" s="2">
        <v>41548.0</v>
      </c>
      <c r="G1456" s="1" t="s">
        <v>2930</v>
      </c>
      <c r="I1456" s="1" t="s">
        <v>2930</v>
      </c>
      <c r="L1456" s="1" t="s">
        <v>40</v>
      </c>
      <c r="M1456" s="1">
        <v>7500.0</v>
      </c>
      <c r="N1456" s="1" t="s">
        <v>40</v>
      </c>
      <c r="O1456" s="1">
        <v>3.8775243E7</v>
      </c>
      <c r="P1456" s="1" t="s">
        <v>209</v>
      </c>
      <c r="Q1456" s="1" t="s">
        <v>210</v>
      </c>
      <c r="R1456" s="1" t="s">
        <v>211</v>
      </c>
      <c r="S1456" s="1" t="s">
        <v>44</v>
      </c>
      <c r="T1456" s="1" t="s">
        <v>45</v>
      </c>
      <c r="U1456" s="1">
        <v>4.82023068E8</v>
      </c>
      <c r="W1456" s="1" t="s">
        <v>46</v>
      </c>
      <c r="X1456" s="1" t="s">
        <v>45</v>
      </c>
      <c r="Y1456" s="1">
        <v>4.82023068E8</v>
      </c>
      <c r="Z1456" s="1">
        <v>3.8775243E7</v>
      </c>
      <c r="AA1456" s="1" t="s">
        <v>209</v>
      </c>
      <c r="AB1456" s="1">
        <v>8348.0</v>
      </c>
      <c r="AC1456" s="2">
        <v>41548.0</v>
      </c>
      <c r="AD1456" s="1">
        <v>7500.0</v>
      </c>
      <c r="AE1456" s="1" t="s">
        <v>40</v>
      </c>
      <c r="AF1456" s="1">
        <v>2.0140707E7</v>
      </c>
      <c r="AG1456" s="1" t="s">
        <v>2931</v>
      </c>
      <c r="AH1456" s="1">
        <v>10.0</v>
      </c>
      <c r="AI1456" s="1">
        <v>2010.0</v>
      </c>
      <c r="AJ1456" s="1">
        <v>2014.0</v>
      </c>
      <c r="AK1456" s="1" t="s">
        <v>2932</v>
      </c>
    </row>
    <row r="1457">
      <c r="A1457" s="1" t="s">
        <v>2929</v>
      </c>
      <c r="B1457" s="1" t="s">
        <v>2929</v>
      </c>
      <c r="C1457" s="1" t="s">
        <v>63</v>
      </c>
      <c r="E1457" s="1">
        <v>1.2733216E7</v>
      </c>
      <c r="F1457" s="2">
        <v>41183.0</v>
      </c>
      <c r="G1457" s="1" t="s">
        <v>2930</v>
      </c>
      <c r="I1457" s="1" t="s">
        <v>2930</v>
      </c>
      <c r="L1457" s="1" t="s">
        <v>40</v>
      </c>
      <c r="M1457" s="1">
        <v>7500.0</v>
      </c>
      <c r="N1457" s="1" t="s">
        <v>40</v>
      </c>
      <c r="O1457" s="1">
        <v>3.8775243E7</v>
      </c>
      <c r="P1457" s="1" t="s">
        <v>209</v>
      </c>
      <c r="Q1457" s="1" t="s">
        <v>210</v>
      </c>
      <c r="R1457" s="1" t="s">
        <v>211</v>
      </c>
      <c r="S1457" s="1" t="s">
        <v>44</v>
      </c>
      <c r="T1457" s="1" t="s">
        <v>45</v>
      </c>
      <c r="U1457" s="1">
        <v>4.82023068E8</v>
      </c>
      <c r="W1457" s="1" t="s">
        <v>46</v>
      </c>
      <c r="X1457" s="1" t="s">
        <v>45</v>
      </c>
      <c r="Y1457" s="1">
        <v>4.82023068E8</v>
      </c>
      <c r="Z1457" s="1">
        <v>3.8775243E7</v>
      </c>
      <c r="AA1457" s="1" t="s">
        <v>209</v>
      </c>
      <c r="AB1457" s="1">
        <v>41729.18</v>
      </c>
      <c r="AC1457" s="2">
        <v>41183.0</v>
      </c>
      <c r="AD1457" s="1">
        <v>7500.0</v>
      </c>
      <c r="AE1457" s="1" t="s">
        <v>40</v>
      </c>
      <c r="AF1457" s="1">
        <v>2.0131223E7</v>
      </c>
      <c r="AG1457" s="1" t="s">
        <v>2931</v>
      </c>
      <c r="AH1457" s="1">
        <v>10.0</v>
      </c>
      <c r="AI1457" s="1">
        <v>2010.0</v>
      </c>
      <c r="AJ1457" s="1">
        <v>2013.0</v>
      </c>
      <c r="AK1457" s="1" t="s">
        <v>2932</v>
      </c>
    </row>
    <row r="1458">
      <c r="A1458" s="1" t="s">
        <v>2933</v>
      </c>
      <c r="B1458" s="1" t="s">
        <v>2933</v>
      </c>
      <c r="C1458" s="1" t="s">
        <v>63</v>
      </c>
      <c r="E1458" s="1">
        <v>1992967.0</v>
      </c>
      <c r="F1458" s="2">
        <v>41183.0</v>
      </c>
      <c r="G1458" s="1" t="s">
        <v>2934</v>
      </c>
      <c r="I1458" s="1" t="s">
        <v>2934</v>
      </c>
      <c r="L1458" s="1" t="s">
        <v>40</v>
      </c>
      <c r="M1458" s="1">
        <v>7500.0</v>
      </c>
      <c r="N1458" s="1" t="s">
        <v>40</v>
      </c>
      <c r="O1458" s="1">
        <v>3.8775243E7</v>
      </c>
      <c r="P1458" s="1" t="s">
        <v>209</v>
      </c>
      <c r="Q1458" s="1" t="s">
        <v>210</v>
      </c>
      <c r="R1458" s="1" t="s">
        <v>211</v>
      </c>
      <c r="S1458" s="1" t="s">
        <v>44</v>
      </c>
      <c r="T1458" s="1" t="s">
        <v>45</v>
      </c>
      <c r="U1458" s="1">
        <v>4.82023068E8</v>
      </c>
      <c r="W1458" s="1" t="s">
        <v>46</v>
      </c>
      <c r="X1458" s="1" t="s">
        <v>45</v>
      </c>
      <c r="Y1458" s="1">
        <v>4.82013096E8</v>
      </c>
      <c r="Z1458" s="1">
        <v>3.8775243E7</v>
      </c>
      <c r="AA1458" s="1" t="s">
        <v>209</v>
      </c>
      <c r="AB1458" s="1">
        <v>3720.0</v>
      </c>
      <c r="AC1458" s="2">
        <v>41183.0</v>
      </c>
      <c r="AD1458" s="1">
        <v>7500.0</v>
      </c>
      <c r="AE1458" s="1" t="s">
        <v>40</v>
      </c>
      <c r="AF1458" s="1">
        <v>2.013109E7</v>
      </c>
      <c r="AG1458" s="1" t="s">
        <v>2935</v>
      </c>
      <c r="AH1458" s="1">
        <v>10.0</v>
      </c>
      <c r="AI1458" s="1">
        <v>2011.0</v>
      </c>
      <c r="AJ1458" s="1">
        <v>2013.0</v>
      </c>
      <c r="AK1458" s="1" t="s">
        <v>2936</v>
      </c>
    </row>
    <row r="1459">
      <c r="A1459" s="1" t="s">
        <v>2929</v>
      </c>
      <c r="B1459" s="1" t="s">
        <v>2929</v>
      </c>
      <c r="C1459" s="1" t="s">
        <v>63</v>
      </c>
      <c r="E1459" s="1">
        <v>1.2733216E7</v>
      </c>
      <c r="F1459" s="2">
        <v>41548.0</v>
      </c>
      <c r="G1459" s="1" t="s">
        <v>2930</v>
      </c>
      <c r="I1459" s="1" t="s">
        <v>2930</v>
      </c>
      <c r="L1459" s="1" t="s">
        <v>40</v>
      </c>
      <c r="M1459" s="1">
        <v>7500.0</v>
      </c>
      <c r="N1459" s="1" t="s">
        <v>40</v>
      </c>
      <c r="O1459" s="1">
        <v>1.41947783E8</v>
      </c>
      <c r="P1459" s="1" t="s">
        <v>144</v>
      </c>
      <c r="Q1459" s="1" t="s">
        <v>210</v>
      </c>
      <c r="R1459" s="1" t="s">
        <v>145</v>
      </c>
      <c r="S1459" s="1" t="s">
        <v>44</v>
      </c>
      <c r="T1459" s="1" t="s">
        <v>45</v>
      </c>
      <c r="U1459" s="1">
        <v>4.82362148E8</v>
      </c>
      <c r="W1459" s="1" t="s">
        <v>46</v>
      </c>
      <c r="X1459" s="1" t="s">
        <v>45</v>
      </c>
      <c r="Y1459" s="1">
        <v>4.82362148E8</v>
      </c>
      <c r="Z1459" s="1">
        <v>3.8775243E7</v>
      </c>
      <c r="AA1459" s="1" t="s">
        <v>209</v>
      </c>
      <c r="AB1459" s="1">
        <v>0.0</v>
      </c>
      <c r="AC1459" s="2">
        <v>41548.0</v>
      </c>
      <c r="AD1459" s="1">
        <v>7500.0</v>
      </c>
      <c r="AE1459" s="1" t="s">
        <v>40</v>
      </c>
      <c r="AF1459" s="1">
        <v>2.0140231E7</v>
      </c>
      <c r="AG1459" s="1" t="s">
        <v>2931</v>
      </c>
      <c r="AH1459" s="1">
        <v>10.0</v>
      </c>
      <c r="AI1459" s="1">
        <v>2010.0</v>
      </c>
      <c r="AJ1459" s="1">
        <v>2014.0</v>
      </c>
      <c r="AK1459" s="1" t="s">
        <v>2932</v>
      </c>
    </row>
    <row r="1460">
      <c r="A1460" s="1" t="s">
        <v>2929</v>
      </c>
      <c r="B1460" s="1" t="s">
        <v>2929</v>
      </c>
      <c r="C1460" s="1" t="s">
        <v>63</v>
      </c>
      <c r="E1460" s="1">
        <v>1.2733216E7</v>
      </c>
      <c r="F1460" s="2">
        <v>41183.0</v>
      </c>
      <c r="G1460" s="1" t="s">
        <v>2930</v>
      </c>
      <c r="I1460" s="1" t="s">
        <v>2930</v>
      </c>
      <c r="L1460" s="1" t="s">
        <v>40</v>
      </c>
      <c r="M1460" s="1">
        <v>7500.0</v>
      </c>
      <c r="N1460" s="1" t="s">
        <v>40</v>
      </c>
      <c r="O1460" s="1">
        <v>1962224.0</v>
      </c>
      <c r="P1460" s="1" t="s">
        <v>52</v>
      </c>
      <c r="Q1460" s="1" t="s">
        <v>1408</v>
      </c>
      <c r="R1460" s="1" t="s">
        <v>1885</v>
      </c>
      <c r="S1460" s="1" t="s">
        <v>44</v>
      </c>
      <c r="T1460" s="1" t="s">
        <v>45</v>
      </c>
      <c r="U1460" s="1">
        <v>4.82021347E8</v>
      </c>
      <c r="W1460" s="1" t="s">
        <v>46</v>
      </c>
      <c r="X1460" s="1" t="s">
        <v>45</v>
      </c>
      <c r="Y1460" s="1">
        <v>4.82023692E8</v>
      </c>
      <c r="Z1460" s="1">
        <v>1962224.0</v>
      </c>
      <c r="AA1460" s="1" t="s">
        <v>52</v>
      </c>
      <c r="AB1460" s="1">
        <v>2500.0</v>
      </c>
      <c r="AC1460" s="2">
        <v>41183.0</v>
      </c>
      <c r="AD1460" s="1">
        <v>7500.0</v>
      </c>
      <c r="AE1460" s="1" t="s">
        <v>40</v>
      </c>
      <c r="AF1460" s="1">
        <v>2.0133256E7</v>
      </c>
      <c r="AG1460" s="1" t="s">
        <v>2931</v>
      </c>
      <c r="AH1460" s="1">
        <v>10.0</v>
      </c>
      <c r="AI1460" s="1">
        <v>2010.0</v>
      </c>
      <c r="AJ1460" s="1">
        <v>2013.0</v>
      </c>
      <c r="AK1460" s="1" t="s">
        <v>2932</v>
      </c>
    </row>
    <row r="1461">
      <c r="A1461" s="1" t="s">
        <v>2933</v>
      </c>
      <c r="B1461" s="1" t="s">
        <v>2933</v>
      </c>
      <c r="C1461" s="1" t="s">
        <v>63</v>
      </c>
      <c r="E1461" s="1">
        <v>1992967.0</v>
      </c>
      <c r="F1461" s="2">
        <v>41548.0</v>
      </c>
      <c r="G1461" s="1" t="s">
        <v>2934</v>
      </c>
      <c r="I1461" s="1" t="s">
        <v>2934</v>
      </c>
      <c r="L1461" s="1" t="s">
        <v>40</v>
      </c>
      <c r="M1461" s="1">
        <v>7500.0</v>
      </c>
      <c r="N1461" s="1" t="s">
        <v>40</v>
      </c>
      <c r="O1461" s="1">
        <v>3.8775243E7</v>
      </c>
      <c r="P1461" s="1" t="s">
        <v>209</v>
      </c>
      <c r="Q1461" s="1" t="s">
        <v>210</v>
      </c>
      <c r="R1461" s="1" t="s">
        <v>211</v>
      </c>
      <c r="S1461" s="1" t="s">
        <v>44</v>
      </c>
      <c r="T1461" s="1" t="s">
        <v>45</v>
      </c>
      <c r="U1461" s="1">
        <v>4.82023068E8</v>
      </c>
      <c r="W1461" s="1" t="s">
        <v>46</v>
      </c>
      <c r="X1461" s="1" t="s">
        <v>45</v>
      </c>
      <c r="Y1461" s="1">
        <v>4.82013096E8</v>
      </c>
      <c r="Z1461" s="1">
        <v>3.8775243E7</v>
      </c>
      <c r="AA1461" s="1" t="s">
        <v>209</v>
      </c>
      <c r="AB1461" s="1">
        <v>3829.0</v>
      </c>
      <c r="AC1461" s="2">
        <v>41548.0</v>
      </c>
      <c r="AD1461" s="1">
        <v>7500.0</v>
      </c>
      <c r="AE1461" s="1" t="s">
        <v>40</v>
      </c>
      <c r="AF1461" s="1">
        <v>2.01407E7</v>
      </c>
      <c r="AG1461" s="1" t="s">
        <v>2935</v>
      </c>
      <c r="AH1461" s="1">
        <v>10.0</v>
      </c>
      <c r="AI1461" s="1">
        <v>2011.0</v>
      </c>
      <c r="AJ1461" s="1">
        <v>2014.0</v>
      </c>
      <c r="AK1461" s="1" t="s">
        <v>2936</v>
      </c>
    </row>
    <row r="1462">
      <c r="A1462" s="1" t="s">
        <v>2937</v>
      </c>
      <c r="B1462" s="1" t="s">
        <v>2937</v>
      </c>
      <c r="C1462" s="1" t="s">
        <v>63</v>
      </c>
      <c r="E1462" s="1">
        <v>2957870.0</v>
      </c>
      <c r="F1462" s="2">
        <v>41548.0</v>
      </c>
      <c r="G1462" s="1" t="s">
        <v>2938</v>
      </c>
      <c r="I1462" s="1" t="s">
        <v>2938</v>
      </c>
      <c r="L1462" s="1" t="s">
        <v>40</v>
      </c>
      <c r="M1462" s="1">
        <v>7500.0</v>
      </c>
      <c r="N1462" s="1" t="s">
        <v>40</v>
      </c>
      <c r="O1462" s="1">
        <v>7.3135402E7</v>
      </c>
      <c r="P1462" s="1" t="s">
        <v>152</v>
      </c>
      <c r="Q1462" s="1" t="s">
        <v>153</v>
      </c>
      <c r="R1462" s="1" t="s">
        <v>154</v>
      </c>
      <c r="S1462" s="1" t="s">
        <v>44</v>
      </c>
      <c r="T1462" s="1" t="s">
        <v>45</v>
      </c>
      <c r="U1462" s="1">
        <v>4.82213038E8</v>
      </c>
      <c r="W1462" s="1" t="s">
        <v>46</v>
      </c>
      <c r="X1462" s="1" t="s">
        <v>45</v>
      </c>
      <c r="Y1462" s="1">
        <v>4.82213038E8</v>
      </c>
      <c r="Z1462" s="1">
        <v>7.3135402E7</v>
      </c>
      <c r="AA1462" s="1" t="s">
        <v>152</v>
      </c>
      <c r="AB1462" s="1">
        <v>1511.0</v>
      </c>
      <c r="AC1462" s="2">
        <v>41548.0</v>
      </c>
      <c r="AD1462" s="1">
        <v>7500.0</v>
      </c>
      <c r="AE1462" s="1" t="s">
        <v>40</v>
      </c>
      <c r="AF1462" s="1">
        <v>2.0140567E7</v>
      </c>
      <c r="AG1462" s="1" t="s">
        <v>1009</v>
      </c>
      <c r="AH1462" s="1">
        <v>7.0</v>
      </c>
      <c r="AI1462" s="1">
        <v>2013.0</v>
      </c>
      <c r="AJ1462" s="1">
        <v>2014.0</v>
      </c>
      <c r="AK1462" s="1" t="s">
        <v>2939</v>
      </c>
    </row>
    <row r="1463">
      <c r="A1463" s="1" t="s">
        <v>2940</v>
      </c>
      <c r="B1463" s="1" t="s">
        <v>2940</v>
      </c>
      <c r="C1463" s="1" t="s">
        <v>63</v>
      </c>
      <c r="E1463" s="1">
        <v>4589908.0</v>
      </c>
      <c r="F1463" s="2">
        <v>41548.0</v>
      </c>
      <c r="G1463" s="1" t="s">
        <v>2941</v>
      </c>
      <c r="I1463" s="1" t="s">
        <v>2941</v>
      </c>
      <c r="L1463" s="1" t="s">
        <v>40</v>
      </c>
      <c r="M1463" s="1">
        <v>7500.0</v>
      </c>
      <c r="N1463" s="1" t="s">
        <v>40</v>
      </c>
      <c r="O1463" s="1">
        <v>6530661.0</v>
      </c>
      <c r="P1463" s="1" t="s">
        <v>73</v>
      </c>
      <c r="Q1463" s="1" t="s">
        <v>323</v>
      </c>
      <c r="R1463" s="1" t="s">
        <v>1961</v>
      </c>
      <c r="S1463" s="1" t="s">
        <v>44</v>
      </c>
      <c r="T1463" s="1" t="s">
        <v>45</v>
      </c>
      <c r="U1463" s="1">
        <v>4.82263443E8</v>
      </c>
      <c r="W1463" s="1" t="s">
        <v>46</v>
      </c>
      <c r="X1463" s="1" t="s">
        <v>45</v>
      </c>
      <c r="Y1463" s="1">
        <v>4.82021732E8</v>
      </c>
      <c r="Z1463" s="1">
        <v>6530661.0</v>
      </c>
      <c r="AA1463" s="1" t="s">
        <v>76</v>
      </c>
      <c r="AB1463" s="1">
        <v>30000.0</v>
      </c>
      <c r="AC1463" s="2">
        <v>41548.0</v>
      </c>
      <c r="AD1463" s="1">
        <v>7500.0</v>
      </c>
      <c r="AE1463" s="1" t="s">
        <v>40</v>
      </c>
      <c r="AF1463" s="1">
        <v>2.0141454E7</v>
      </c>
      <c r="AG1463" s="1" t="s">
        <v>2942</v>
      </c>
      <c r="AH1463" s="1">
        <v>10.0</v>
      </c>
      <c r="AI1463" s="1">
        <v>2012.0</v>
      </c>
      <c r="AJ1463" s="1">
        <v>2014.0</v>
      </c>
      <c r="AK1463" s="1" t="s">
        <v>2943</v>
      </c>
    </row>
    <row r="1464">
      <c r="A1464" s="1" t="s">
        <v>2944</v>
      </c>
      <c r="B1464" s="1" t="s">
        <v>2944</v>
      </c>
      <c r="C1464" s="1" t="s">
        <v>159</v>
      </c>
      <c r="E1464" s="1">
        <v>3375416.0</v>
      </c>
      <c r="F1464" s="2">
        <v>41183.0</v>
      </c>
      <c r="G1464" s="1" t="s">
        <v>2945</v>
      </c>
      <c r="I1464" s="1" t="s">
        <v>2945</v>
      </c>
      <c r="L1464" s="1" t="s">
        <v>40</v>
      </c>
      <c r="M1464" s="1">
        <v>7500.0</v>
      </c>
      <c r="N1464" s="1" t="s">
        <v>40</v>
      </c>
      <c r="O1464" s="1">
        <v>8.48764171E8</v>
      </c>
      <c r="P1464" s="1" t="s">
        <v>1050</v>
      </c>
      <c r="Q1464" s="1" t="s">
        <v>1051</v>
      </c>
      <c r="R1464" s="1" t="s">
        <v>1052</v>
      </c>
      <c r="S1464" s="1" t="s">
        <v>44</v>
      </c>
      <c r="T1464" s="1" t="s">
        <v>45</v>
      </c>
      <c r="U1464" s="1">
        <v>4.820741E8</v>
      </c>
      <c r="W1464" s="1" t="s">
        <v>46</v>
      </c>
      <c r="X1464" s="1" t="s">
        <v>45</v>
      </c>
      <c r="Y1464" s="1">
        <v>4.820741E8</v>
      </c>
      <c r="Z1464" s="1">
        <v>3.8775243E7</v>
      </c>
      <c r="AA1464" s="1" t="s">
        <v>209</v>
      </c>
      <c r="AB1464" s="1">
        <v>16227.0</v>
      </c>
      <c r="AC1464" s="2">
        <v>41183.0</v>
      </c>
      <c r="AD1464" s="1">
        <v>7500.0</v>
      </c>
      <c r="AE1464" s="1" t="s">
        <v>40</v>
      </c>
      <c r="AF1464" s="1">
        <v>2.0130202E7</v>
      </c>
      <c r="AG1464" s="1" t="s">
        <v>2946</v>
      </c>
      <c r="AH1464" s="1">
        <v>10.0</v>
      </c>
      <c r="AI1464" s="1">
        <v>2011.0</v>
      </c>
      <c r="AJ1464" s="1">
        <v>2013.0</v>
      </c>
      <c r="AK1464" s="1" t="s">
        <v>2947</v>
      </c>
    </row>
    <row r="1465">
      <c r="A1465" s="1" t="s">
        <v>2937</v>
      </c>
      <c r="B1465" s="1" t="s">
        <v>2937</v>
      </c>
      <c r="C1465" s="1" t="s">
        <v>63</v>
      </c>
      <c r="E1465" s="1">
        <v>2957870.0</v>
      </c>
      <c r="F1465" s="2">
        <v>41548.0</v>
      </c>
      <c r="G1465" s="1" t="s">
        <v>2938</v>
      </c>
      <c r="I1465" s="1" t="s">
        <v>2938</v>
      </c>
      <c r="L1465" s="1" t="s">
        <v>40</v>
      </c>
      <c r="M1465" s="1">
        <v>7500.0</v>
      </c>
      <c r="N1465" s="1" t="s">
        <v>40</v>
      </c>
      <c r="O1465" s="1">
        <v>7.3135402E7</v>
      </c>
      <c r="P1465" s="1" t="s">
        <v>152</v>
      </c>
      <c r="Q1465" s="1" t="s">
        <v>153</v>
      </c>
      <c r="R1465" s="1" t="s">
        <v>154</v>
      </c>
      <c r="S1465" s="1" t="s">
        <v>44</v>
      </c>
      <c r="T1465" s="1" t="s">
        <v>45</v>
      </c>
      <c r="U1465" s="1">
        <v>4.82213038E8</v>
      </c>
      <c r="W1465" s="1" t="s">
        <v>46</v>
      </c>
      <c r="X1465" s="1" t="s">
        <v>45</v>
      </c>
      <c r="Y1465" s="1">
        <v>4.82213038E8</v>
      </c>
      <c r="Z1465" s="1">
        <v>7.3135402E7</v>
      </c>
      <c r="AA1465" s="1" t="s">
        <v>152</v>
      </c>
      <c r="AB1465" s="1">
        <v>7805.0</v>
      </c>
      <c r="AC1465" s="2">
        <v>41548.0</v>
      </c>
      <c r="AD1465" s="1">
        <v>7500.0</v>
      </c>
      <c r="AE1465" s="1" t="s">
        <v>40</v>
      </c>
      <c r="AF1465" s="1">
        <v>2.0140567E7</v>
      </c>
      <c r="AG1465" s="1" t="s">
        <v>1009</v>
      </c>
      <c r="AH1465" s="1">
        <v>7.0</v>
      </c>
      <c r="AI1465" s="1">
        <v>2013.0</v>
      </c>
      <c r="AJ1465" s="1">
        <v>2014.0</v>
      </c>
      <c r="AK1465" s="1" t="s">
        <v>2939</v>
      </c>
    </row>
    <row r="1466">
      <c r="A1466" s="1" t="s">
        <v>2948</v>
      </c>
      <c r="B1466" s="1" t="s">
        <v>2948</v>
      </c>
      <c r="C1466" s="1" t="s">
        <v>159</v>
      </c>
      <c r="E1466" s="1">
        <v>1474347.0</v>
      </c>
      <c r="F1466" s="2">
        <v>41183.0</v>
      </c>
      <c r="G1466" s="1" t="s">
        <v>2949</v>
      </c>
      <c r="I1466" s="1" t="s">
        <v>2949</v>
      </c>
      <c r="L1466" s="1" t="s">
        <v>40</v>
      </c>
      <c r="M1466" s="1">
        <v>7500.0</v>
      </c>
      <c r="N1466" s="1" t="s">
        <v>40</v>
      </c>
      <c r="O1466" s="1">
        <v>1962224.0</v>
      </c>
      <c r="P1466" s="1" t="s">
        <v>52</v>
      </c>
      <c r="Q1466" s="1" t="s">
        <v>1566</v>
      </c>
      <c r="R1466" s="1" t="s">
        <v>1885</v>
      </c>
      <c r="S1466" s="1" t="s">
        <v>44</v>
      </c>
      <c r="T1466" s="1" t="s">
        <v>45</v>
      </c>
      <c r="U1466" s="1">
        <v>4.82021347E8</v>
      </c>
      <c r="W1466" s="1" t="s">
        <v>46</v>
      </c>
      <c r="X1466" s="1" t="s">
        <v>45</v>
      </c>
      <c r="Y1466" s="1">
        <v>4.82023692E8</v>
      </c>
      <c r="Z1466" s="1">
        <v>1962224.0</v>
      </c>
      <c r="AA1466" s="1" t="s">
        <v>52</v>
      </c>
      <c r="AB1466" s="1">
        <v>123068.05</v>
      </c>
      <c r="AC1466" s="2">
        <v>41183.0</v>
      </c>
      <c r="AD1466" s="1">
        <v>7500.0</v>
      </c>
      <c r="AE1466" s="1" t="s">
        <v>40</v>
      </c>
      <c r="AF1466" s="1">
        <v>2.0131727E7</v>
      </c>
      <c r="AG1466" s="1" t="s">
        <v>2950</v>
      </c>
      <c r="AH1466" s="1">
        <v>10.0</v>
      </c>
      <c r="AI1466" s="1">
        <v>2012.0</v>
      </c>
      <c r="AJ1466" s="1">
        <v>2013.0</v>
      </c>
      <c r="AK1466" s="1" t="s">
        <v>2951</v>
      </c>
    </row>
    <row r="1467">
      <c r="A1467" s="1" t="s">
        <v>2952</v>
      </c>
      <c r="B1467" s="1" t="s">
        <v>2952</v>
      </c>
      <c r="C1467" s="1" t="s">
        <v>159</v>
      </c>
      <c r="E1467" s="1">
        <v>1.05784672E8</v>
      </c>
      <c r="F1467" s="2">
        <v>41548.0</v>
      </c>
      <c r="G1467" s="1" t="s">
        <v>2953</v>
      </c>
      <c r="I1467" s="1" t="s">
        <v>2953</v>
      </c>
      <c r="L1467" s="1" t="s">
        <v>40</v>
      </c>
      <c r="M1467" s="1">
        <v>7500.0</v>
      </c>
      <c r="N1467" s="1" t="s">
        <v>40</v>
      </c>
      <c r="O1467" s="1">
        <v>1962224.0</v>
      </c>
      <c r="P1467" s="1" t="s">
        <v>52</v>
      </c>
      <c r="Q1467" s="1" t="s">
        <v>210</v>
      </c>
      <c r="R1467" s="1" t="s">
        <v>1885</v>
      </c>
      <c r="S1467" s="1" t="s">
        <v>44</v>
      </c>
      <c r="T1467" s="1" t="s">
        <v>45</v>
      </c>
      <c r="U1467" s="1">
        <v>4.82021347E8</v>
      </c>
      <c r="W1467" s="1" t="s">
        <v>46</v>
      </c>
      <c r="X1467" s="1" t="s">
        <v>45</v>
      </c>
      <c r="Y1467" s="1">
        <v>4.82023692E8</v>
      </c>
      <c r="Z1467" s="1">
        <v>1962224.0</v>
      </c>
      <c r="AA1467" s="1" t="s">
        <v>52</v>
      </c>
      <c r="AB1467" s="1">
        <v>58666.0</v>
      </c>
      <c r="AC1467" s="2">
        <v>41548.0</v>
      </c>
      <c r="AD1467" s="1">
        <v>7500.0</v>
      </c>
      <c r="AE1467" s="1" t="s">
        <v>40</v>
      </c>
      <c r="AF1467" s="1">
        <v>2.0141516E7</v>
      </c>
      <c r="AG1467" s="1" t="s">
        <v>2954</v>
      </c>
      <c r="AH1467" s="1">
        <v>10.0</v>
      </c>
      <c r="AI1467" s="1">
        <v>2010.0</v>
      </c>
      <c r="AJ1467" s="1">
        <v>2014.0</v>
      </c>
      <c r="AK1467" s="1" t="s">
        <v>2955</v>
      </c>
    </row>
    <row r="1468">
      <c r="A1468" s="1" t="s">
        <v>2952</v>
      </c>
      <c r="B1468" s="1" t="s">
        <v>2952</v>
      </c>
      <c r="C1468" s="1" t="s">
        <v>159</v>
      </c>
      <c r="E1468" s="1">
        <v>1.05784672E8</v>
      </c>
      <c r="F1468" s="2">
        <v>41548.0</v>
      </c>
      <c r="G1468" s="1" t="s">
        <v>2953</v>
      </c>
      <c r="I1468" s="1" t="s">
        <v>2953</v>
      </c>
      <c r="L1468" s="1" t="s">
        <v>40</v>
      </c>
      <c r="M1468" s="1">
        <v>7500.0</v>
      </c>
      <c r="N1468" s="1" t="s">
        <v>40</v>
      </c>
      <c r="O1468" s="1">
        <v>1.3151134E7</v>
      </c>
      <c r="P1468" s="1" t="s">
        <v>2956</v>
      </c>
      <c r="Q1468" s="1" t="s">
        <v>210</v>
      </c>
      <c r="R1468" s="1" t="s">
        <v>2957</v>
      </c>
      <c r="S1468" s="1" t="s">
        <v>44</v>
      </c>
      <c r="T1468" s="1" t="s">
        <v>45</v>
      </c>
      <c r="U1468" s="1">
        <v>4.82012153E8</v>
      </c>
      <c r="W1468" s="1" t="s">
        <v>46</v>
      </c>
      <c r="X1468" s="1" t="s">
        <v>45</v>
      </c>
      <c r="Y1468" s="1">
        <v>4.82012153E8</v>
      </c>
      <c r="Z1468" s="1">
        <v>3.8775243E7</v>
      </c>
      <c r="AA1468" s="1" t="s">
        <v>209</v>
      </c>
      <c r="AB1468" s="1">
        <v>87518.0</v>
      </c>
      <c r="AC1468" s="2">
        <v>41548.0</v>
      </c>
      <c r="AD1468" s="1">
        <v>7500.0</v>
      </c>
      <c r="AE1468" s="1" t="s">
        <v>40</v>
      </c>
      <c r="AF1468" s="1">
        <v>2.0141571E7</v>
      </c>
      <c r="AG1468" s="1" t="s">
        <v>2954</v>
      </c>
      <c r="AH1468" s="1">
        <v>10.0</v>
      </c>
      <c r="AI1468" s="1">
        <v>2010.0</v>
      </c>
      <c r="AJ1468" s="1">
        <v>2014.0</v>
      </c>
      <c r="AK1468" s="1" t="s">
        <v>2955</v>
      </c>
    </row>
    <row r="1469">
      <c r="A1469" s="1" t="s">
        <v>2952</v>
      </c>
      <c r="B1469" s="1" t="s">
        <v>2952</v>
      </c>
      <c r="C1469" s="1" t="s">
        <v>159</v>
      </c>
      <c r="E1469" s="1">
        <v>1.05784672E8</v>
      </c>
      <c r="F1469" s="2">
        <v>41548.0</v>
      </c>
      <c r="G1469" s="1" t="s">
        <v>2953</v>
      </c>
      <c r="I1469" s="1" t="s">
        <v>2953</v>
      </c>
      <c r="L1469" s="1" t="s">
        <v>40</v>
      </c>
      <c r="M1469" s="1">
        <v>7500.0</v>
      </c>
      <c r="N1469" s="1" t="s">
        <v>40</v>
      </c>
      <c r="O1469" s="1">
        <v>8.48764171E8</v>
      </c>
      <c r="P1469" s="1" t="s">
        <v>1050</v>
      </c>
      <c r="Q1469" s="1" t="s">
        <v>1051</v>
      </c>
      <c r="R1469" s="1" t="s">
        <v>1052</v>
      </c>
      <c r="S1469" s="1" t="s">
        <v>44</v>
      </c>
      <c r="T1469" s="1" t="s">
        <v>45</v>
      </c>
      <c r="U1469" s="1">
        <v>4.820741E8</v>
      </c>
      <c r="W1469" s="1" t="s">
        <v>46</v>
      </c>
      <c r="X1469" s="1" t="s">
        <v>45</v>
      </c>
      <c r="Y1469" s="1">
        <v>4.820741E8</v>
      </c>
      <c r="Z1469" s="1">
        <v>1962224.0</v>
      </c>
      <c r="AA1469" s="1" t="s">
        <v>52</v>
      </c>
      <c r="AB1469" s="1">
        <v>74425.0</v>
      </c>
      <c r="AC1469" s="2">
        <v>41548.0</v>
      </c>
      <c r="AD1469" s="1">
        <v>7500.0</v>
      </c>
      <c r="AE1469" s="1" t="s">
        <v>40</v>
      </c>
      <c r="AF1469" s="1">
        <v>2.0141543E7</v>
      </c>
      <c r="AG1469" s="1" t="s">
        <v>2954</v>
      </c>
      <c r="AH1469" s="1">
        <v>10.0</v>
      </c>
      <c r="AI1469" s="1">
        <v>2010.0</v>
      </c>
      <c r="AJ1469" s="1">
        <v>2014.0</v>
      </c>
      <c r="AK1469" s="1" t="s">
        <v>2955</v>
      </c>
    </row>
    <row r="1470">
      <c r="A1470" s="1" t="s">
        <v>2952</v>
      </c>
      <c r="B1470" s="1" t="s">
        <v>2952</v>
      </c>
      <c r="C1470" s="1" t="s">
        <v>159</v>
      </c>
      <c r="E1470" s="1">
        <v>1.05784672E8</v>
      </c>
      <c r="F1470" s="2">
        <v>41548.0</v>
      </c>
      <c r="G1470" s="1" t="s">
        <v>2953</v>
      </c>
      <c r="I1470" s="1" t="s">
        <v>2953</v>
      </c>
      <c r="L1470" s="1" t="s">
        <v>40</v>
      </c>
      <c r="M1470" s="1">
        <v>7500.0</v>
      </c>
      <c r="N1470" s="1" t="s">
        <v>40</v>
      </c>
      <c r="O1470" s="1">
        <v>3.8775243E7</v>
      </c>
      <c r="P1470" s="1" t="s">
        <v>209</v>
      </c>
      <c r="Q1470" s="1" t="s">
        <v>210</v>
      </c>
      <c r="R1470" s="1" t="s">
        <v>211</v>
      </c>
      <c r="S1470" s="1" t="s">
        <v>44</v>
      </c>
      <c r="T1470" s="1" t="s">
        <v>45</v>
      </c>
      <c r="U1470" s="1">
        <v>4.82023068E8</v>
      </c>
      <c r="W1470" s="1" t="s">
        <v>46</v>
      </c>
      <c r="X1470" s="1" t="s">
        <v>45</v>
      </c>
      <c r="Y1470" s="1">
        <v>4.82023068E8</v>
      </c>
      <c r="Z1470" s="1">
        <v>3.8775243E7</v>
      </c>
      <c r="AA1470" s="1" t="s">
        <v>209</v>
      </c>
      <c r="AB1470" s="1">
        <v>178477.45</v>
      </c>
      <c r="AC1470" s="2">
        <v>41548.0</v>
      </c>
      <c r="AD1470" s="1">
        <v>7500.0</v>
      </c>
      <c r="AE1470" s="1" t="s">
        <v>40</v>
      </c>
      <c r="AF1470" s="1">
        <v>2.014068E7</v>
      </c>
      <c r="AG1470" s="1" t="s">
        <v>2954</v>
      </c>
      <c r="AH1470" s="1">
        <v>10.0</v>
      </c>
      <c r="AI1470" s="1">
        <v>2010.0</v>
      </c>
      <c r="AJ1470" s="1">
        <v>2014.0</v>
      </c>
      <c r="AK1470" s="1" t="s">
        <v>2955</v>
      </c>
    </row>
    <row r="1471">
      <c r="A1471" s="1" t="s">
        <v>2952</v>
      </c>
      <c r="B1471" s="1" t="s">
        <v>2952</v>
      </c>
      <c r="C1471" s="1" t="s">
        <v>159</v>
      </c>
      <c r="E1471" s="1">
        <v>1.05784672E8</v>
      </c>
      <c r="F1471" s="2">
        <v>41183.0</v>
      </c>
      <c r="G1471" s="1" t="s">
        <v>2953</v>
      </c>
      <c r="I1471" s="1" t="s">
        <v>2953</v>
      </c>
      <c r="L1471" s="1" t="s">
        <v>40</v>
      </c>
      <c r="M1471" s="1">
        <v>7500.0</v>
      </c>
      <c r="N1471" s="1" t="s">
        <v>40</v>
      </c>
      <c r="O1471" s="1">
        <v>1962224.0</v>
      </c>
      <c r="P1471" s="1" t="s">
        <v>52</v>
      </c>
      <c r="Q1471" s="1" t="s">
        <v>2958</v>
      </c>
      <c r="R1471" s="1" t="s">
        <v>1885</v>
      </c>
      <c r="S1471" s="1" t="s">
        <v>44</v>
      </c>
      <c r="T1471" s="1" t="s">
        <v>45</v>
      </c>
      <c r="U1471" s="1">
        <v>4.82021347E8</v>
      </c>
      <c r="W1471" s="1" t="s">
        <v>46</v>
      </c>
      <c r="X1471" s="1" t="s">
        <v>45</v>
      </c>
      <c r="Y1471" s="1">
        <v>4.82023692E8</v>
      </c>
      <c r="Z1471" s="1">
        <v>1962224.0</v>
      </c>
      <c r="AA1471" s="1" t="s">
        <v>52</v>
      </c>
      <c r="AB1471" s="1">
        <v>80449.27</v>
      </c>
      <c r="AC1471" s="2">
        <v>41183.0</v>
      </c>
      <c r="AD1471" s="1">
        <v>7500.0</v>
      </c>
      <c r="AE1471" s="1" t="s">
        <v>40</v>
      </c>
      <c r="AF1471" s="1">
        <v>2.0131064E7</v>
      </c>
      <c r="AG1471" s="1" t="s">
        <v>2954</v>
      </c>
      <c r="AH1471" s="1">
        <v>10.0</v>
      </c>
      <c r="AI1471" s="1">
        <v>2010.0</v>
      </c>
      <c r="AJ1471" s="1">
        <v>2013.0</v>
      </c>
      <c r="AK1471" s="1" t="s">
        <v>2955</v>
      </c>
    </row>
    <row r="1472">
      <c r="A1472" s="1" t="s">
        <v>2952</v>
      </c>
      <c r="B1472" s="1" t="s">
        <v>2952</v>
      </c>
      <c r="C1472" s="1" t="s">
        <v>159</v>
      </c>
      <c r="E1472" s="1">
        <v>1.05784672E8</v>
      </c>
      <c r="F1472" s="2">
        <v>41183.0</v>
      </c>
      <c r="G1472" s="1" t="s">
        <v>2953</v>
      </c>
      <c r="I1472" s="1" t="s">
        <v>2953</v>
      </c>
      <c r="L1472" s="1" t="s">
        <v>40</v>
      </c>
      <c r="M1472" s="1">
        <v>7500.0</v>
      </c>
      <c r="N1472" s="1" t="s">
        <v>40</v>
      </c>
      <c r="O1472" s="1">
        <v>1962224.0</v>
      </c>
      <c r="P1472" s="1" t="s">
        <v>52</v>
      </c>
      <c r="Q1472" s="1" t="s">
        <v>2958</v>
      </c>
      <c r="R1472" s="1" t="s">
        <v>1885</v>
      </c>
      <c r="S1472" s="1" t="s">
        <v>44</v>
      </c>
      <c r="T1472" s="1" t="s">
        <v>45</v>
      </c>
      <c r="U1472" s="1">
        <v>4.82021347E8</v>
      </c>
      <c r="W1472" s="1" t="s">
        <v>46</v>
      </c>
      <c r="X1472" s="1" t="s">
        <v>45</v>
      </c>
      <c r="Y1472" s="1">
        <v>4.82023692E8</v>
      </c>
      <c r="Z1472" s="1">
        <v>1962224.0</v>
      </c>
      <c r="AA1472" s="1" t="s">
        <v>52</v>
      </c>
      <c r="AB1472" s="1">
        <v>51550.73</v>
      </c>
      <c r="AC1472" s="2">
        <v>41183.0</v>
      </c>
      <c r="AD1472" s="1">
        <v>7500.0</v>
      </c>
      <c r="AE1472" s="1" t="s">
        <v>40</v>
      </c>
      <c r="AF1472" s="1">
        <v>2.0131064E7</v>
      </c>
      <c r="AG1472" s="1" t="s">
        <v>2954</v>
      </c>
      <c r="AH1472" s="1">
        <v>10.0</v>
      </c>
      <c r="AI1472" s="1">
        <v>2010.0</v>
      </c>
      <c r="AJ1472" s="1">
        <v>2013.0</v>
      </c>
      <c r="AK1472" s="1" t="s">
        <v>2955</v>
      </c>
    </row>
    <row r="1473">
      <c r="A1473" s="1" t="s">
        <v>2959</v>
      </c>
      <c r="B1473" s="1" t="s">
        <v>2959</v>
      </c>
      <c r="C1473" s="1" t="s">
        <v>85</v>
      </c>
      <c r="E1473" s="1">
        <v>1.4638954E7</v>
      </c>
      <c r="F1473" s="2">
        <v>41548.0</v>
      </c>
      <c r="G1473" s="1" t="s">
        <v>2860</v>
      </c>
      <c r="I1473" s="1" t="s">
        <v>2860</v>
      </c>
      <c r="L1473" s="1" t="s">
        <v>40</v>
      </c>
      <c r="M1473" s="1">
        <v>7500.0</v>
      </c>
      <c r="N1473" s="1" t="s">
        <v>40</v>
      </c>
      <c r="O1473" s="1">
        <v>3.8775243E7</v>
      </c>
      <c r="P1473" s="1" t="s">
        <v>209</v>
      </c>
      <c r="Q1473" s="1" t="s">
        <v>210</v>
      </c>
      <c r="R1473" s="1" t="s">
        <v>211</v>
      </c>
      <c r="S1473" s="1" t="s">
        <v>44</v>
      </c>
      <c r="T1473" s="1" t="s">
        <v>45</v>
      </c>
      <c r="U1473" s="1">
        <v>4.82023068E8</v>
      </c>
      <c r="W1473" s="1" t="s">
        <v>46</v>
      </c>
      <c r="X1473" s="1" t="s">
        <v>45</v>
      </c>
      <c r="Y1473" s="1">
        <v>4.82023068E8</v>
      </c>
      <c r="Z1473" s="1">
        <v>3.8775243E7</v>
      </c>
      <c r="AA1473" s="1" t="s">
        <v>209</v>
      </c>
      <c r="AB1473" s="1">
        <v>10449.38</v>
      </c>
      <c r="AC1473" s="2">
        <v>41548.0</v>
      </c>
      <c r="AD1473" s="1">
        <v>7500.0</v>
      </c>
      <c r="AE1473" s="1" t="s">
        <v>40</v>
      </c>
      <c r="AF1473" s="1">
        <v>2.0140694E7</v>
      </c>
      <c r="AG1473" s="1" t="s">
        <v>1098</v>
      </c>
      <c r="AH1473" s="1">
        <v>10.0</v>
      </c>
      <c r="AI1473" s="1">
        <v>2013.0</v>
      </c>
      <c r="AJ1473" s="1">
        <v>2014.0</v>
      </c>
      <c r="AK1473" s="1" t="s">
        <v>1099</v>
      </c>
    </row>
    <row r="1474">
      <c r="A1474" s="1" t="s">
        <v>2960</v>
      </c>
      <c r="B1474" s="1" t="s">
        <v>2960</v>
      </c>
      <c r="C1474" s="1" t="s">
        <v>745</v>
      </c>
      <c r="E1474" s="1">
        <v>5000000.0</v>
      </c>
      <c r="F1474" s="2">
        <v>41849.0</v>
      </c>
      <c r="G1474" s="1" t="s">
        <v>2961</v>
      </c>
      <c r="I1474" s="1" t="s">
        <v>2961</v>
      </c>
      <c r="L1474" s="1" t="s">
        <v>151</v>
      </c>
      <c r="M1474" s="1">
        <v>6900.0</v>
      </c>
      <c r="N1474" s="1" t="s">
        <v>151</v>
      </c>
      <c r="O1474" s="1">
        <v>7.9110614E7</v>
      </c>
      <c r="P1474" s="1" t="s">
        <v>2962</v>
      </c>
      <c r="R1474" s="1" t="s">
        <v>2963</v>
      </c>
      <c r="S1474" s="1" t="s">
        <v>44</v>
      </c>
      <c r="T1474" s="1" t="s">
        <v>45</v>
      </c>
      <c r="U1474" s="1">
        <v>4.82431805E8</v>
      </c>
      <c r="W1474" s="1" t="s">
        <v>46</v>
      </c>
      <c r="X1474" s="1" t="s">
        <v>45</v>
      </c>
      <c r="Y1474" s="1">
        <v>4.82431805E8</v>
      </c>
      <c r="AB1474" s="1">
        <v>5000000.0</v>
      </c>
      <c r="AC1474" s="2">
        <v>41849.0</v>
      </c>
      <c r="AD1474" s="1">
        <v>6900.0</v>
      </c>
      <c r="AE1474" s="1" t="s">
        <v>151</v>
      </c>
      <c r="AF1474" s="1">
        <v>4.82431805E8</v>
      </c>
      <c r="AG1474" s="1" t="s">
        <v>2964</v>
      </c>
      <c r="AH1474" s="1">
        <v>11.0</v>
      </c>
      <c r="AI1474" s="1">
        <v>2014.0</v>
      </c>
      <c r="AJ1474" s="1">
        <v>2014.0</v>
      </c>
      <c r="AK1474" s="1" t="s">
        <v>2965</v>
      </c>
    </row>
    <row r="1475">
      <c r="A1475" s="1" t="s">
        <v>2966</v>
      </c>
      <c r="B1475" s="1" t="s">
        <v>2966</v>
      </c>
      <c r="C1475" s="1" t="s">
        <v>85</v>
      </c>
      <c r="E1475" s="1">
        <v>1729000.0</v>
      </c>
      <c r="F1475" s="2">
        <v>41913.0</v>
      </c>
      <c r="G1475" s="1" t="s">
        <v>2605</v>
      </c>
      <c r="I1475" s="1" t="s">
        <v>2605</v>
      </c>
      <c r="L1475" s="1" t="s">
        <v>40</v>
      </c>
      <c r="M1475" s="1">
        <v>7500.0</v>
      </c>
      <c r="N1475" s="1" t="s">
        <v>40</v>
      </c>
      <c r="O1475" s="1">
        <v>7.914812E7</v>
      </c>
      <c r="P1475" s="1" t="s">
        <v>1944</v>
      </c>
      <c r="R1475" s="1" t="s">
        <v>1945</v>
      </c>
      <c r="S1475" s="1" t="s">
        <v>44</v>
      </c>
      <c r="T1475" s="1" t="s">
        <v>45</v>
      </c>
      <c r="U1475" s="1">
        <v>4.820125E8</v>
      </c>
      <c r="W1475" s="1" t="s">
        <v>46</v>
      </c>
      <c r="X1475" s="1" t="s">
        <v>45</v>
      </c>
      <c r="Y1475" s="1">
        <v>4.8226348E8</v>
      </c>
      <c r="AB1475" s="1">
        <v>37470.0</v>
      </c>
      <c r="AC1475" s="2">
        <v>41913.0</v>
      </c>
      <c r="AD1475" s="1">
        <v>7500.0</v>
      </c>
      <c r="AE1475" s="1" t="s">
        <v>40</v>
      </c>
      <c r="AF1475" s="1">
        <v>2.0151701E7</v>
      </c>
      <c r="AG1475" s="1" t="s">
        <v>2698</v>
      </c>
      <c r="AH1475" s="1">
        <v>10.0</v>
      </c>
      <c r="AI1475" s="1">
        <v>2013.0</v>
      </c>
      <c r="AJ1475" s="1">
        <v>2015.0</v>
      </c>
      <c r="AK1475" s="1" t="s">
        <v>2699</v>
      </c>
    </row>
    <row r="1476">
      <c r="A1476" s="1" t="s">
        <v>2966</v>
      </c>
      <c r="B1476" s="1" t="s">
        <v>2966</v>
      </c>
      <c r="C1476" s="1" t="s">
        <v>85</v>
      </c>
      <c r="E1476" s="1">
        <v>1729000.0</v>
      </c>
      <c r="F1476" s="2">
        <v>41913.0</v>
      </c>
      <c r="G1476" s="1" t="s">
        <v>2605</v>
      </c>
      <c r="I1476" s="1" t="s">
        <v>2605</v>
      </c>
      <c r="L1476" s="1" t="s">
        <v>40</v>
      </c>
      <c r="M1476" s="1">
        <v>7500.0</v>
      </c>
      <c r="N1476" s="1" t="s">
        <v>40</v>
      </c>
      <c r="O1476" s="1">
        <v>7.914812E7</v>
      </c>
      <c r="P1476" s="1" t="s">
        <v>1944</v>
      </c>
      <c r="R1476" s="1" t="s">
        <v>1945</v>
      </c>
      <c r="S1476" s="1" t="s">
        <v>44</v>
      </c>
      <c r="T1476" s="1" t="s">
        <v>45</v>
      </c>
      <c r="U1476" s="1">
        <v>4.820125E8</v>
      </c>
      <c r="W1476" s="1" t="s">
        <v>46</v>
      </c>
      <c r="X1476" s="1" t="s">
        <v>45</v>
      </c>
      <c r="Y1476" s="1">
        <v>4.8226348E8</v>
      </c>
      <c r="Z1476" s="1">
        <v>5.480424E7</v>
      </c>
      <c r="AA1476" s="1" t="s">
        <v>2967</v>
      </c>
      <c r="AB1476" s="1">
        <v>127627.0</v>
      </c>
      <c r="AC1476" s="2">
        <v>41913.0</v>
      </c>
      <c r="AD1476" s="1">
        <v>7500.0</v>
      </c>
      <c r="AE1476" s="1" t="s">
        <v>40</v>
      </c>
      <c r="AF1476" s="1">
        <v>2.0151702E7</v>
      </c>
      <c r="AG1476" s="1" t="s">
        <v>2698</v>
      </c>
      <c r="AH1476" s="1">
        <v>10.0</v>
      </c>
      <c r="AI1476" s="1">
        <v>2013.0</v>
      </c>
      <c r="AJ1476" s="1">
        <v>2015.0</v>
      </c>
      <c r="AK1476" s="1" t="s">
        <v>2699</v>
      </c>
    </row>
    <row r="1477">
      <c r="A1477" s="1" t="s">
        <v>2968</v>
      </c>
      <c r="B1477" s="1" t="s">
        <v>2968</v>
      </c>
      <c r="C1477" s="1" t="s">
        <v>100</v>
      </c>
      <c r="E1477" s="1">
        <v>4951200.0</v>
      </c>
      <c r="F1477" s="2">
        <v>41456.0</v>
      </c>
      <c r="G1477" s="1" t="s">
        <v>2969</v>
      </c>
      <c r="I1477" s="1" t="s">
        <v>2969</v>
      </c>
      <c r="L1477" s="1" t="s">
        <v>102</v>
      </c>
      <c r="M1477" s="1">
        <v>8600.0</v>
      </c>
      <c r="N1477" s="1" t="s">
        <v>102</v>
      </c>
      <c r="O1477" s="1">
        <v>6.03701959E8</v>
      </c>
      <c r="P1477" s="1" t="s">
        <v>2970</v>
      </c>
      <c r="R1477" s="1" t="s">
        <v>2971</v>
      </c>
      <c r="S1477" s="1" t="s">
        <v>44</v>
      </c>
      <c r="T1477" s="1" t="s">
        <v>45</v>
      </c>
      <c r="U1477" s="1">
        <v>4.82032857E8</v>
      </c>
      <c r="W1477" s="1" t="s">
        <v>46</v>
      </c>
      <c r="X1477" s="1" t="s">
        <v>45</v>
      </c>
      <c r="Y1477" s="1">
        <v>4.82032857E8</v>
      </c>
      <c r="Z1477" s="1">
        <v>6.03701959E8</v>
      </c>
      <c r="AA1477" s="1" t="s">
        <v>2970</v>
      </c>
      <c r="AB1477" s="1">
        <v>25000.0</v>
      </c>
      <c r="AC1477" s="2">
        <v>41456.0</v>
      </c>
      <c r="AD1477" s="1">
        <v>8600.0</v>
      </c>
      <c r="AE1477" s="1" t="s">
        <v>102</v>
      </c>
      <c r="AF1477" s="1" t="s">
        <v>2972</v>
      </c>
      <c r="AG1477" s="1" t="s">
        <v>2973</v>
      </c>
      <c r="AH1477" s="1">
        <v>12.0</v>
      </c>
      <c r="AI1477" s="1">
        <v>2014.0</v>
      </c>
      <c r="AJ1477" s="1">
        <v>2013.0</v>
      </c>
      <c r="AK1477" s="1" t="s">
        <v>305</v>
      </c>
    </row>
    <row r="1478">
      <c r="A1478" s="1" t="s">
        <v>2944</v>
      </c>
      <c r="B1478" s="1" t="s">
        <v>2944</v>
      </c>
      <c r="C1478" s="1" t="s">
        <v>159</v>
      </c>
      <c r="E1478" s="1">
        <v>3375416.0</v>
      </c>
      <c r="F1478" s="2">
        <v>41548.0</v>
      </c>
      <c r="G1478" s="1" t="s">
        <v>2945</v>
      </c>
      <c r="I1478" s="1" t="s">
        <v>2945</v>
      </c>
      <c r="L1478" s="1" t="s">
        <v>40</v>
      </c>
      <c r="M1478" s="1">
        <v>7500.0</v>
      </c>
      <c r="N1478" s="1" t="s">
        <v>40</v>
      </c>
      <c r="O1478" s="1">
        <v>1962224.0</v>
      </c>
      <c r="P1478" s="1" t="s">
        <v>52</v>
      </c>
      <c r="Q1478" s="1" t="s">
        <v>2974</v>
      </c>
      <c r="R1478" s="1" t="s">
        <v>1885</v>
      </c>
      <c r="S1478" s="1" t="s">
        <v>44</v>
      </c>
      <c r="T1478" s="1" t="s">
        <v>45</v>
      </c>
      <c r="U1478" s="1">
        <v>4.82021347E8</v>
      </c>
      <c r="W1478" s="1" t="s">
        <v>46</v>
      </c>
      <c r="X1478" s="1" t="s">
        <v>45</v>
      </c>
      <c r="Y1478" s="1">
        <v>4.82023692E8</v>
      </c>
      <c r="Z1478" s="1">
        <v>1962224.0</v>
      </c>
      <c r="AA1478" s="1" t="s">
        <v>52</v>
      </c>
      <c r="AB1478" s="1">
        <v>603195.28</v>
      </c>
      <c r="AC1478" s="2">
        <v>41548.0</v>
      </c>
      <c r="AD1478" s="1">
        <v>7500.0</v>
      </c>
      <c r="AE1478" s="1" t="s">
        <v>40</v>
      </c>
      <c r="AF1478" s="1">
        <v>2.0141517E7</v>
      </c>
      <c r="AG1478" s="1" t="s">
        <v>2946</v>
      </c>
      <c r="AH1478" s="1">
        <v>10.0</v>
      </c>
      <c r="AI1478" s="1">
        <v>2011.0</v>
      </c>
      <c r="AJ1478" s="1">
        <v>2014.0</v>
      </c>
      <c r="AK1478" s="1" t="s">
        <v>2947</v>
      </c>
    </row>
    <row r="1479">
      <c r="A1479" s="1" t="s">
        <v>2944</v>
      </c>
      <c r="B1479" s="1" t="s">
        <v>2944</v>
      </c>
      <c r="C1479" s="1" t="s">
        <v>159</v>
      </c>
      <c r="E1479" s="1">
        <v>3375416.0</v>
      </c>
      <c r="F1479" s="2">
        <v>41548.0</v>
      </c>
      <c r="G1479" s="1" t="s">
        <v>2945</v>
      </c>
      <c r="I1479" s="1" t="s">
        <v>2945</v>
      </c>
      <c r="L1479" s="1" t="s">
        <v>40</v>
      </c>
      <c r="M1479" s="1">
        <v>7500.0</v>
      </c>
      <c r="N1479" s="1" t="s">
        <v>40</v>
      </c>
      <c r="O1479" s="1">
        <v>8.48764171E8</v>
      </c>
      <c r="P1479" s="1" t="s">
        <v>1050</v>
      </c>
      <c r="Q1479" s="1" t="s">
        <v>1051</v>
      </c>
      <c r="R1479" s="1" t="s">
        <v>1052</v>
      </c>
      <c r="S1479" s="1" t="s">
        <v>44</v>
      </c>
      <c r="T1479" s="1" t="s">
        <v>45</v>
      </c>
      <c r="U1479" s="1">
        <v>4.820741E8</v>
      </c>
      <c r="W1479" s="1" t="s">
        <v>46</v>
      </c>
      <c r="X1479" s="1" t="s">
        <v>45</v>
      </c>
      <c r="Y1479" s="1">
        <v>4.820741E8</v>
      </c>
      <c r="AB1479" s="1">
        <v>14355.0</v>
      </c>
      <c r="AC1479" s="2">
        <v>41548.0</v>
      </c>
      <c r="AD1479" s="1">
        <v>7500.0</v>
      </c>
      <c r="AE1479" s="1" t="s">
        <v>40</v>
      </c>
      <c r="AF1479" s="1">
        <v>2.0141547E7</v>
      </c>
      <c r="AG1479" s="1" t="s">
        <v>2946</v>
      </c>
      <c r="AH1479" s="1">
        <v>10.0</v>
      </c>
      <c r="AI1479" s="1">
        <v>2011.0</v>
      </c>
      <c r="AJ1479" s="1">
        <v>2014.0</v>
      </c>
      <c r="AK1479" s="1" t="s">
        <v>2947</v>
      </c>
    </row>
    <row r="1480">
      <c r="A1480" s="1" t="s">
        <v>2944</v>
      </c>
      <c r="B1480" s="1" t="s">
        <v>2944</v>
      </c>
      <c r="C1480" s="1" t="s">
        <v>159</v>
      </c>
      <c r="E1480" s="1">
        <v>3375416.0</v>
      </c>
      <c r="F1480" s="2">
        <v>41183.0</v>
      </c>
      <c r="G1480" s="1" t="s">
        <v>2945</v>
      </c>
      <c r="I1480" s="1" t="s">
        <v>2945</v>
      </c>
      <c r="L1480" s="1" t="s">
        <v>40</v>
      </c>
      <c r="M1480" s="1">
        <v>7500.0</v>
      </c>
      <c r="N1480" s="1" t="s">
        <v>40</v>
      </c>
      <c r="O1480" s="1">
        <v>1962224.0</v>
      </c>
      <c r="P1480" s="1" t="s">
        <v>52</v>
      </c>
      <c r="Q1480" s="1" t="s">
        <v>2974</v>
      </c>
      <c r="R1480" s="1" t="s">
        <v>1885</v>
      </c>
      <c r="S1480" s="1" t="s">
        <v>44</v>
      </c>
      <c r="T1480" s="1" t="s">
        <v>45</v>
      </c>
      <c r="U1480" s="1">
        <v>4.82021347E8</v>
      </c>
      <c r="W1480" s="1" t="s">
        <v>46</v>
      </c>
      <c r="X1480" s="1" t="s">
        <v>45</v>
      </c>
      <c r="Y1480" s="1">
        <v>4.82023692E8</v>
      </c>
      <c r="Z1480" s="1">
        <v>1962224.0</v>
      </c>
      <c r="AA1480" s="1" t="s">
        <v>52</v>
      </c>
      <c r="AB1480" s="1">
        <v>626523.0</v>
      </c>
      <c r="AC1480" s="2">
        <v>41183.0</v>
      </c>
      <c r="AD1480" s="1">
        <v>7500.0</v>
      </c>
      <c r="AE1480" s="1" t="s">
        <v>40</v>
      </c>
      <c r="AF1480" s="1">
        <v>2.0131065E7</v>
      </c>
      <c r="AG1480" s="1" t="s">
        <v>2946</v>
      </c>
      <c r="AH1480" s="1">
        <v>10.0</v>
      </c>
      <c r="AI1480" s="1">
        <v>2011.0</v>
      </c>
      <c r="AJ1480" s="1">
        <v>2013.0</v>
      </c>
      <c r="AK1480" s="1" t="s">
        <v>2947</v>
      </c>
    </row>
    <row r="1481">
      <c r="A1481" s="1" t="s">
        <v>2944</v>
      </c>
      <c r="B1481" s="1" t="s">
        <v>2944</v>
      </c>
      <c r="C1481" s="1" t="s">
        <v>159</v>
      </c>
      <c r="E1481" s="1">
        <v>3375416.0</v>
      </c>
      <c r="F1481" s="2">
        <v>41548.0</v>
      </c>
      <c r="G1481" s="1" t="s">
        <v>2945</v>
      </c>
      <c r="I1481" s="1" t="s">
        <v>2945</v>
      </c>
      <c r="L1481" s="1" t="s">
        <v>40</v>
      </c>
      <c r="M1481" s="1">
        <v>7500.0</v>
      </c>
      <c r="N1481" s="1" t="s">
        <v>40</v>
      </c>
      <c r="O1481" s="1">
        <v>8.48764171E8</v>
      </c>
      <c r="P1481" s="1" t="s">
        <v>1050</v>
      </c>
      <c r="Q1481" s="1" t="s">
        <v>1051</v>
      </c>
      <c r="R1481" s="1" t="s">
        <v>1052</v>
      </c>
      <c r="S1481" s="1" t="s">
        <v>44</v>
      </c>
      <c r="T1481" s="1" t="s">
        <v>45</v>
      </c>
      <c r="U1481" s="1">
        <v>4.820741E8</v>
      </c>
      <c r="W1481" s="1" t="s">
        <v>46</v>
      </c>
      <c r="X1481" s="1" t="s">
        <v>45</v>
      </c>
      <c r="Y1481" s="1">
        <v>4.820741E8</v>
      </c>
      <c r="Z1481" s="1">
        <v>3.8775243E7</v>
      </c>
      <c r="AA1481" s="1" t="s">
        <v>209</v>
      </c>
      <c r="AB1481" s="1">
        <v>71773.0</v>
      </c>
      <c r="AC1481" s="2">
        <v>41548.0</v>
      </c>
      <c r="AD1481" s="1">
        <v>7500.0</v>
      </c>
      <c r="AE1481" s="1" t="s">
        <v>40</v>
      </c>
      <c r="AF1481" s="1">
        <v>2.0141547E7</v>
      </c>
      <c r="AG1481" s="1" t="s">
        <v>2946</v>
      </c>
      <c r="AH1481" s="1">
        <v>10.0</v>
      </c>
      <c r="AI1481" s="1">
        <v>2011.0</v>
      </c>
      <c r="AJ1481" s="1">
        <v>2014.0</v>
      </c>
      <c r="AK1481" s="1" t="s">
        <v>2947</v>
      </c>
    </row>
    <row r="1482">
      <c r="A1482" s="1" t="s">
        <v>2944</v>
      </c>
      <c r="B1482" s="1" t="s">
        <v>2944</v>
      </c>
      <c r="C1482" s="1" t="s">
        <v>159</v>
      </c>
      <c r="E1482" s="1">
        <v>3375416.0</v>
      </c>
      <c r="F1482" s="2">
        <v>41183.0</v>
      </c>
      <c r="G1482" s="1" t="s">
        <v>2945</v>
      </c>
      <c r="I1482" s="1" t="s">
        <v>2945</v>
      </c>
      <c r="L1482" s="1" t="s">
        <v>40</v>
      </c>
      <c r="M1482" s="1">
        <v>7500.0</v>
      </c>
      <c r="N1482" s="1" t="s">
        <v>40</v>
      </c>
      <c r="O1482" s="1">
        <v>3.8775243E7</v>
      </c>
      <c r="P1482" s="1" t="s">
        <v>209</v>
      </c>
      <c r="Q1482" s="1" t="s">
        <v>210</v>
      </c>
      <c r="R1482" s="1" t="s">
        <v>211</v>
      </c>
      <c r="S1482" s="1" t="s">
        <v>44</v>
      </c>
      <c r="T1482" s="1" t="s">
        <v>45</v>
      </c>
      <c r="U1482" s="1">
        <v>4.82023068E8</v>
      </c>
      <c r="W1482" s="1" t="s">
        <v>46</v>
      </c>
      <c r="X1482" s="1" t="s">
        <v>45</v>
      </c>
      <c r="Y1482" s="1">
        <v>4.82023068E8</v>
      </c>
      <c r="Z1482" s="1">
        <v>3.8775243E7</v>
      </c>
      <c r="AA1482" s="1" t="s">
        <v>209</v>
      </c>
      <c r="AB1482" s="1">
        <v>52069.69</v>
      </c>
      <c r="AC1482" s="2">
        <v>41183.0</v>
      </c>
      <c r="AD1482" s="1">
        <v>7500.0</v>
      </c>
      <c r="AE1482" s="1" t="s">
        <v>40</v>
      </c>
      <c r="AF1482" s="1">
        <v>2.013124E7</v>
      </c>
      <c r="AG1482" s="1" t="s">
        <v>2946</v>
      </c>
      <c r="AH1482" s="1">
        <v>10.0</v>
      </c>
      <c r="AI1482" s="1">
        <v>2011.0</v>
      </c>
      <c r="AJ1482" s="1">
        <v>2013.0</v>
      </c>
      <c r="AK1482" s="1" t="s">
        <v>2947</v>
      </c>
    </row>
    <row r="1483">
      <c r="A1483" s="1" t="s">
        <v>2944</v>
      </c>
      <c r="B1483" s="1" t="s">
        <v>2944</v>
      </c>
      <c r="C1483" s="1" t="s">
        <v>159</v>
      </c>
      <c r="E1483" s="1">
        <v>3375416.0</v>
      </c>
      <c r="F1483" s="2">
        <v>41183.0</v>
      </c>
      <c r="G1483" s="1" t="s">
        <v>2945</v>
      </c>
      <c r="I1483" s="1" t="s">
        <v>2945</v>
      </c>
      <c r="L1483" s="1" t="s">
        <v>40</v>
      </c>
      <c r="M1483" s="1">
        <v>7500.0</v>
      </c>
      <c r="N1483" s="1" t="s">
        <v>40</v>
      </c>
      <c r="O1483" s="1">
        <v>3.8775243E7</v>
      </c>
      <c r="P1483" s="1" t="s">
        <v>209</v>
      </c>
      <c r="Q1483" s="1" t="s">
        <v>210</v>
      </c>
      <c r="R1483" s="1" t="s">
        <v>211</v>
      </c>
      <c r="S1483" s="1" t="s">
        <v>44</v>
      </c>
      <c r="T1483" s="1" t="s">
        <v>45</v>
      </c>
      <c r="U1483" s="1">
        <v>4.82023068E8</v>
      </c>
      <c r="W1483" s="1" t="s">
        <v>46</v>
      </c>
      <c r="X1483" s="1" t="s">
        <v>45</v>
      </c>
      <c r="Y1483" s="1">
        <v>4.82023068E8</v>
      </c>
      <c r="Z1483" s="1">
        <v>3.8775243E7</v>
      </c>
      <c r="AA1483" s="1" t="s">
        <v>209</v>
      </c>
      <c r="AB1483" s="1">
        <v>141134.2</v>
      </c>
      <c r="AC1483" s="2">
        <v>41183.0</v>
      </c>
      <c r="AD1483" s="1">
        <v>7500.0</v>
      </c>
      <c r="AE1483" s="1" t="s">
        <v>40</v>
      </c>
      <c r="AF1483" s="1">
        <v>2.013124E7</v>
      </c>
      <c r="AG1483" s="1" t="s">
        <v>2946</v>
      </c>
      <c r="AH1483" s="1">
        <v>10.0</v>
      </c>
      <c r="AI1483" s="1">
        <v>2011.0</v>
      </c>
      <c r="AJ1483" s="1">
        <v>2013.0</v>
      </c>
      <c r="AK1483" s="1" t="s">
        <v>2947</v>
      </c>
    </row>
    <row r="1484">
      <c r="A1484" s="1" t="s">
        <v>2948</v>
      </c>
      <c r="B1484" s="1" t="s">
        <v>2948</v>
      </c>
      <c r="C1484" s="1" t="s">
        <v>159</v>
      </c>
      <c r="E1484" s="1">
        <v>1474347.0</v>
      </c>
      <c r="F1484" s="2">
        <v>41548.0</v>
      </c>
      <c r="G1484" s="1" t="s">
        <v>2949</v>
      </c>
      <c r="I1484" s="1" t="s">
        <v>2949</v>
      </c>
      <c r="L1484" s="1" t="s">
        <v>40</v>
      </c>
      <c r="M1484" s="1">
        <v>7500.0</v>
      </c>
      <c r="N1484" s="1" t="s">
        <v>40</v>
      </c>
      <c r="O1484" s="1">
        <v>1962224.0</v>
      </c>
      <c r="P1484" s="1" t="s">
        <v>52</v>
      </c>
      <c r="Q1484" s="1" t="s">
        <v>2975</v>
      </c>
      <c r="R1484" s="1" t="s">
        <v>1885</v>
      </c>
      <c r="S1484" s="1" t="s">
        <v>44</v>
      </c>
      <c r="T1484" s="1" t="s">
        <v>45</v>
      </c>
      <c r="U1484" s="1">
        <v>4.82021347E8</v>
      </c>
      <c r="W1484" s="1" t="s">
        <v>46</v>
      </c>
      <c r="X1484" s="1" t="s">
        <v>45</v>
      </c>
      <c r="Y1484" s="1">
        <v>4.82023692E8</v>
      </c>
      <c r="Z1484" s="1">
        <v>1962224.0</v>
      </c>
      <c r="AA1484" s="1" t="s">
        <v>52</v>
      </c>
      <c r="AB1484" s="1">
        <v>91454.47</v>
      </c>
      <c r="AC1484" s="2">
        <v>41548.0</v>
      </c>
      <c r="AD1484" s="1">
        <v>7500.0</v>
      </c>
      <c r="AE1484" s="1" t="s">
        <v>40</v>
      </c>
      <c r="AF1484" s="1">
        <v>2.0141515E7</v>
      </c>
      <c r="AG1484" s="1" t="s">
        <v>2950</v>
      </c>
      <c r="AH1484" s="1">
        <v>10.0</v>
      </c>
      <c r="AI1484" s="1">
        <v>2012.0</v>
      </c>
      <c r="AJ1484" s="1">
        <v>2014.0</v>
      </c>
      <c r="AK1484" s="1" t="s">
        <v>2951</v>
      </c>
    </row>
    <row r="1485">
      <c r="A1485" s="1" t="s">
        <v>2944</v>
      </c>
      <c r="B1485" s="1" t="s">
        <v>2944</v>
      </c>
      <c r="C1485" s="1" t="s">
        <v>159</v>
      </c>
      <c r="E1485" s="1">
        <v>3375416.0</v>
      </c>
      <c r="F1485" s="2">
        <v>41913.0</v>
      </c>
      <c r="G1485" s="1" t="s">
        <v>2945</v>
      </c>
      <c r="I1485" s="1" t="s">
        <v>2945</v>
      </c>
      <c r="L1485" s="1" t="s">
        <v>40</v>
      </c>
      <c r="M1485" s="1">
        <v>7500.0</v>
      </c>
      <c r="N1485" s="1" t="s">
        <v>40</v>
      </c>
      <c r="O1485" s="1">
        <v>8.48764171E8</v>
      </c>
      <c r="P1485" s="1" t="s">
        <v>1050</v>
      </c>
      <c r="Q1485" s="1" t="s">
        <v>1051</v>
      </c>
      <c r="R1485" s="1" t="s">
        <v>1052</v>
      </c>
      <c r="S1485" s="1" t="s">
        <v>44</v>
      </c>
      <c r="T1485" s="1" t="s">
        <v>45</v>
      </c>
      <c r="U1485" s="1">
        <v>4.820741E8</v>
      </c>
      <c r="W1485" s="1" t="s">
        <v>46</v>
      </c>
      <c r="X1485" s="1" t="s">
        <v>45</v>
      </c>
      <c r="Y1485" s="1">
        <v>4.820741E8</v>
      </c>
      <c r="Z1485" s="1">
        <v>1.25919378E8</v>
      </c>
      <c r="AA1485" s="1" t="s">
        <v>2976</v>
      </c>
      <c r="AB1485" s="1">
        <v>57115.65</v>
      </c>
      <c r="AC1485" s="2">
        <v>41913.0</v>
      </c>
      <c r="AD1485" s="1">
        <v>7500.0</v>
      </c>
      <c r="AE1485" s="1" t="s">
        <v>40</v>
      </c>
      <c r="AF1485" s="1">
        <v>2.0150658E7</v>
      </c>
      <c r="AG1485" s="1" t="s">
        <v>2946</v>
      </c>
      <c r="AH1485" s="1">
        <v>10.0</v>
      </c>
      <c r="AI1485" s="1">
        <v>2011.0</v>
      </c>
      <c r="AJ1485" s="1">
        <v>2015.0</v>
      </c>
      <c r="AK1485" s="1" t="s">
        <v>2947</v>
      </c>
    </row>
    <row r="1486">
      <c r="A1486" s="1" t="s">
        <v>2944</v>
      </c>
      <c r="B1486" s="1" t="s">
        <v>2944</v>
      </c>
      <c r="C1486" s="1" t="s">
        <v>159</v>
      </c>
      <c r="E1486" s="1">
        <v>3375416.0</v>
      </c>
      <c r="F1486" s="2">
        <v>41913.0</v>
      </c>
      <c r="G1486" s="1" t="s">
        <v>2945</v>
      </c>
      <c r="I1486" s="1" t="s">
        <v>2945</v>
      </c>
      <c r="L1486" s="1" t="s">
        <v>40</v>
      </c>
      <c r="M1486" s="1">
        <v>7500.0</v>
      </c>
      <c r="N1486" s="1" t="s">
        <v>40</v>
      </c>
      <c r="O1486" s="1">
        <v>1962224.0</v>
      </c>
      <c r="P1486" s="1" t="s">
        <v>52</v>
      </c>
      <c r="Q1486" s="1" t="s">
        <v>2077</v>
      </c>
      <c r="R1486" s="1" t="s">
        <v>1885</v>
      </c>
      <c r="S1486" s="1" t="s">
        <v>44</v>
      </c>
      <c r="T1486" s="1" t="s">
        <v>45</v>
      </c>
      <c r="U1486" s="1">
        <v>4.82021347E8</v>
      </c>
      <c r="W1486" s="1" t="s">
        <v>46</v>
      </c>
      <c r="X1486" s="1" t="s">
        <v>45</v>
      </c>
      <c r="Y1486" s="1">
        <v>4.82023692E8</v>
      </c>
      <c r="Z1486" s="1">
        <v>1962224.0</v>
      </c>
      <c r="AA1486" s="1" t="s">
        <v>52</v>
      </c>
      <c r="AB1486" s="1">
        <v>505177.95</v>
      </c>
      <c r="AC1486" s="2">
        <v>41913.0</v>
      </c>
      <c r="AD1486" s="1">
        <v>7500.0</v>
      </c>
      <c r="AE1486" s="1" t="s">
        <v>40</v>
      </c>
      <c r="AF1486" s="1">
        <v>2.0151664E7</v>
      </c>
      <c r="AG1486" s="1" t="s">
        <v>2946</v>
      </c>
      <c r="AH1486" s="1">
        <v>10.0</v>
      </c>
      <c r="AI1486" s="1">
        <v>2011.0</v>
      </c>
      <c r="AJ1486" s="1">
        <v>2015.0</v>
      </c>
      <c r="AK1486" s="1" t="s">
        <v>2947</v>
      </c>
    </row>
    <row r="1487">
      <c r="A1487" s="1" t="s">
        <v>2952</v>
      </c>
      <c r="B1487" s="1" t="s">
        <v>2952</v>
      </c>
      <c r="C1487" s="1" t="s">
        <v>159</v>
      </c>
      <c r="E1487" s="1">
        <v>1.05784672E8</v>
      </c>
      <c r="F1487" s="2">
        <v>41548.0</v>
      </c>
      <c r="G1487" s="1" t="s">
        <v>2953</v>
      </c>
      <c r="I1487" s="1" t="s">
        <v>2953</v>
      </c>
      <c r="L1487" s="1" t="s">
        <v>40</v>
      </c>
      <c r="M1487" s="1">
        <v>7500.0</v>
      </c>
      <c r="N1487" s="1" t="s">
        <v>40</v>
      </c>
      <c r="O1487" s="1">
        <v>1962224.0</v>
      </c>
      <c r="P1487" s="1" t="s">
        <v>52</v>
      </c>
      <c r="Q1487" s="1" t="s">
        <v>2958</v>
      </c>
      <c r="R1487" s="1" t="s">
        <v>1885</v>
      </c>
      <c r="S1487" s="1" t="s">
        <v>44</v>
      </c>
      <c r="T1487" s="1" t="s">
        <v>45</v>
      </c>
      <c r="U1487" s="1">
        <v>4.82021347E8</v>
      </c>
      <c r="W1487" s="1" t="s">
        <v>46</v>
      </c>
      <c r="X1487" s="1" t="s">
        <v>45</v>
      </c>
      <c r="Y1487" s="1">
        <v>4.82023692E8</v>
      </c>
      <c r="Z1487" s="1">
        <v>1962224.0</v>
      </c>
      <c r="AA1487" s="1" t="s">
        <v>52</v>
      </c>
      <c r="AB1487" s="1">
        <v>25003.71</v>
      </c>
      <c r="AC1487" s="2">
        <v>41548.0</v>
      </c>
      <c r="AD1487" s="1">
        <v>7500.0</v>
      </c>
      <c r="AE1487" s="1" t="s">
        <v>40</v>
      </c>
      <c r="AF1487" s="1">
        <v>2.0141501E7</v>
      </c>
      <c r="AG1487" s="1" t="s">
        <v>2954</v>
      </c>
      <c r="AH1487" s="1">
        <v>10.0</v>
      </c>
      <c r="AI1487" s="1">
        <v>2010.0</v>
      </c>
      <c r="AJ1487" s="1">
        <v>2014.0</v>
      </c>
      <c r="AK1487" s="1" t="s">
        <v>2955</v>
      </c>
    </row>
    <row r="1488">
      <c r="A1488" s="1" t="s">
        <v>2952</v>
      </c>
      <c r="B1488" s="1" t="s">
        <v>2952</v>
      </c>
      <c r="C1488" s="1" t="s">
        <v>159</v>
      </c>
      <c r="E1488" s="1">
        <v>1.05784672E8</v>
      </c>
      <c r="F1488" s="2">
        <v>41183.0</v>
      </c>
      <c r="G1488" s="1" t="s">
        <v>2953</v>
      </c>
      <c r="I1488" s="1" t="s">
        <v>2953</v>
      </c>
      <c r="L1488" s="1" t="s">
        <v>40</v>
      </c>
      <c r="M1488" s="1">
        <v>7500.0</v>
      </c>
      <c r="N1488" s="1" t="s">
        <v>40</v>
      </c>
      <c r="O1488" s="1">
        <v>1.3151134E7</v>
      </c>
      <c r="P1488" s="1" t="s">
        <v>2956</v>
      </c>
      <c r="Q1488" s="1" t="s">
        <v>210</v>
      </c>
      <c r="R1488" s="1" t="s">
        <v>2957</v>
      </c>
      <c r="S1488" s="1" t="s">
        <v>44</v>
      </c>
      <c r="T1488" s="1" t="s">
        <v>45</v>
      </c>
      <c r="U1488" s="1">
        <v>4.82012153E8</v>
      </c>
      <c r="W1488" s="1" t="s">
        <v>46</v>
      </c>
      <c r="X1488" s="1" t="s">
        <v>45</v>
      </c>
      <c r="Y1488" s="1">
        <v>4.82012153E8</v>
      </c>
      <c r="Z1488" s="1">
        <v>3.8775243E7</v>
      </c>
      <c r="AA1488" s="1" t="s">
        <v>209</v>
      </c>
      <c r="AB1488" s="1">
        <v>98817.42</v>
      </c>
      <c r="AC1488" s="2">
        <v>41183.0</v>
      </c>
      <c r="AD1488" s="1">
        <v>7500.0</v>
      </c>
      <c r="AE1488" s="1" t="s">
        <v>40</v>
      </c>
      <c r="AF1488" s="1">
        <v>2.0130211E7</v>
      </c>
      <c r="AG1488" s="1" t="s">
        <v>2954</v>
      </c>
      <c r="AH1488" s="1">
        <v>10.0</v>
      </c>
      <c r="AI1488" s="1">
        <v>2010.0</v>
      </c>
      <c r="AJ1488" s="1">
        <v>2013.0</v>
      </c>
      <c r="AK1488" s="1" t="s">
        <v>2955</v>
      </c>
    </row>
    <row r="1489">
      <c r="A1489" s="1" t="s">
        <v>2944</v>
      </c>
      <c r="B1489" s="1" t="s">
        <v>2944</v>
      </c>
      <c r="C1489" s="1" t="s">
        <v>159</v>
      </c>
      <c r="E1489" s="1">
        <v>3375416.0</v>
      </c>
      <c r="F1489" s="2">
        <v>41183.0</v>
      </c>
      <c r="G1489" s="1" t="s">
        <v>2945</v>
      </c>
      <c r="I1489" s="1" t="s">
        <v>2945</v>
      </c>
      <c r="L1489" s="1" t="s">
        <v>40</v>
      </c>
      <c r="M1489" s="1">
        <v>7500.0</v>
      </c>
      <c r="N1489" s="1" t="s">
        <v>40</v>
      </c>
      <c r="O1489" s="1">
        <v>8.48764171E8</v>
      </c>
      <c r="P1489" s="1" t="s">
        <v>1050</v>
      </c>
      <c r="Q1489" s="1" t="s">
        <v>1051</v>
      </c>
      <c r="R1489" s="1" t="s">
        <v>1052</v>
      </c>
      <c r="S1489" s="1" t="s">
        <v>44</v>
      </c>
      <c r="T1489" s="1" t="s">
        <v>45</v>
      </c>
      <c r="U1489" s="1">
        <v>4.820741E8</v>
      </c>
      <c r="W1489" s="1" t="s">
        <v>46</v>
      </c>
      <c r="X1489" s="1" t="s">
        <v>45</v>
      </c>
      <c r="Y1489" s="1">
        <v>4.820741E8</v>
      </c>
      <c r="Z1489" s="1">
        <v>1962224.0</v>
      </c>
      <c r="AA1489" s="1" t="s">
        <v>52</v>
      </c>
      <c r="AB1489" s="1">
        <v>69901.0</v>
      </c>
      <c r="AC1489" s="2">
        <v>41183.0</v>
      </c>
      <c r="AD1489" s="1">
        <v>7500.0</v>
      </c>
      <c r="AE1489" s="1" t="s">
        <v>40</v>
      </c>
      <c r="AF1489" s="1">
        <v>2.0130202E7</v>
      </c>
      <c r="AG1489" s="1" t="s">
        <v>2946</v>
      </c>
      <c r="AH1489" s="1">
        <v>10.0</v>
      </c>
      <c r="AI1489" s="1">
        <v>2011.0</v>
      </c>
      <c r="AJ1489" s="1">
        <v>2013.0</v>
      </c>
      <c r="AK1489" s="1" t="s">
        <v>2947</v>
      </c>
    </row>
    <row r="1490">
      <c r="A1490" s="1" t="s">
        <v>2959</v>
      </c>
      <c r="B1490" s="1" t="s">
        <v>2959</v>
      </c>
      <c r="C1490" s="1" t="s">
        <v>85</v>
      </c>
      <c r="E1490" s="1">
        <v>1.4638954E7</v>
      </c>
      <c r="F1490" s="2">
        <v>41548.0</v>
      </c>
      <c r="G1490" s="1" t="s">
        <v>2860</v>
      </c>
      <c r="I1490" s="1" t="s">
        <v>2860</v>
      </c>
      <c r="L1490" s="1" t="s">
        <v>40</v>
      </c>
      <c r="M1490" s="1">
        <v>7500.0</v>
      </c>
      <c r="N1490" s="1" t="s">
        <v>40</v>
      </c>
      <c r="O1490" s="1">
        <v>3.8775243E7</v>
      </c>
      <c r="P1490" s="1" t="s">
        <v>209</v>
      </c>
      <c r="Q1490" s="1" t="s">
        <v>210</v>
      </c>
      <c r="R1490" s="1" t="s">
        <v>211</v>
      </c>
      <c r="S1490" s="1" t="s">
        <v>44</v>
      </c>
      <c r="T1490" s="1" t="s">
        <v>45</v>
      </c>
      <c r="U1490" s="1">
        <v>4.82023068E8</v>
      </c>
      <c r="W1490" s="1" t="s">
        <v>46</v>
      </c>
      <c r="X1490" s="1" t="s">
        <v>45</v>
      </c>
      <c r="Y1490" s="1">
        <v>4.82023068E8</v>
      </c>
      <c r="Z1490" s="1">
        <v>3.8775243E7</v>
      </c>
      <c r="AA1490" s="1" t="s">
        <v>209</v>
      </c>
      <c r="AB1490" s="1">
        <v>34910.33</v>
      </c>
      <c r="AC1490" s="2">
        <v>41548.0</v>
      </c>
      <c r="AD1490" s="1">
        <v>7500.0</v>
      </c>
      <c r="AE1490" s="1" t="s">
        <v>40</v>
      </c>
      <c r="AF1490" s="1">
        <v>2.0140692E7</v>
      </c>
      <c r="AG1490" s="1" t="s">
        <v>1098</v>
      </c>
      <c r="AH1490" s="1">
        <v>10.0</v>
      </c>
      <c r="AI1490" s="1">
        <v>2013.0</v>
      </c>
      <c r="AJ1490" s="1">
        <v>2014.0</v>
      </c>
      <c r="AK1490" s="1" t="s">
        <v>1099</v>
      </c>
    </row>
    <row r="1491">
      <c r="A1491" s="1" t="s">
        <v>2952</v>
      </c>
      <c r="B1491" s="1" t="s">
        <v>2952</v>
      </c>
      <c r="C1491" s="1" t="s">
        <v>159</v>
      </c>
      <c r="E1491" s="1">
        <v>1.05784672E8</v>
      </c>
      <c r="F1491" s="2">
        <v>41913.0</v>
      </c>
      <c r="G1491" s="1" t="s">
        <v>2953</v>
      </c>
      <c r="I1491" s="1" t="s">
        <v>2953</v>
      </c>
      <c r="L1491" s="1" t="s">
        <v>40</v>
      </c>
      <c r="M1491" s="1">
        <v>7500.0</v>
      </c>
      <c r="N1491" s="1" t="s">
        <v>40</v>
      </c>
      <c r="O1491" s="1">
        <v>1.3151134E7</v>
      </c>
      <c r="P1491" s="1" t="s">
        <v>2956</v>
      </c>
      <c r="R1491" s="1" t="s">
        <v>2957</v>
      </c>
      <c r="S1491" s="1" t="s">
        <v>44</v>
      </c>
      <c r="T1491" s="1" t="s">
        <v>45</v>
      </c>
      <c r="U1491" s="1">
        <v>4.82012153E8</v>
      </c>
      <c r="W1491" s="1" t="s">
        <v>46</v>
      </c>
      <c r="X1491" s="1" t="s">
        <v>45</v>
      </c>
      <c r="Y1491" s="1">
        <v>4.82012153E8</v>
      </c>
      <c r="AB1491" s="1">
        <v>87517.0</v>
      </c>
      <c r="AC1491" s="2">
        <v>41913.0</v>
      </c>
      <c r="AD1491" s="1">
        <v>7500.0</v>
      </c>
      <c r="AE1491" s="1" t="s">
        <v>40</v>
      </c>
      <c r="AF1491" s="1">
        <v>2.0150703E7</v>
      </c>
      <c r="AG1491" s="1" t="s">
        <v>2954</v>
      </c>
      <c r="AH1491" s="1">
        <v>10.0</v>
      </c>
      <c r="AI1491" s="1">
        <v>2010.0</v>
      </c>
      <c r="AJ1491" s="1">
        <v>2015.0</v>
      </c>
      <c r="AK1491" s="1" t="s">
        <v>2955</v>
      </c>
    </row>
    <row r="1492">
      <c r="A1492" s="1" t="s">
        <v>2952</v>
      </c>
      <c r="B1492" s="1" t="s">
        <v>2952</v>
      </c>
      <c r="C1492" s="1" t="s">
        <v>159</v>
      </c>
      <c r="E1492" s="1">
        <v>1.05784672E8</v>
      </c>
      <c r="F1492" s="2">
        <v>41913.0</v>
      </c>
      <c r="G1492" s="1" t="s">
        <v>2953</v>
      </c>
      <c r="I1492" s="1" t="s">
        <v>2953</v>
      </c>
      <c r="L1492" s="1" t="s">
        <v>40</v>
      </c>
      <c r="M1492" s="1">
        <v>7500.0</v>
      </c>
      <c r="N1492" s="1" t="s">
        <v>40</v>
      </c>
      <c r="O1492" s="1">
        <v>8.48764171E8</v>
      </c>
      <c r="P1492" s="1" t="s">
        <v>1050</v>
      </c>
      <c r="Q1492" s="1" t="s">
        <v>1051</v>
      </c>
      <c r="R1492" s="1" t="s">
        <v>1052</v>
      </c>
      <c r="S1492" s="1" t="s">
        <v>44</v>
      </c>
      <c r="T1492" s="1" t="s">
        <v>45</v>
      </c>
      <c r="U1492" s="1">
        <v>4.820741E8</v>
      </c>
      <c r="W1492" s="1" t="s">
        <v>46</v>
      </c>
      <c r="X1492" s="1" t="s">
        <v>45</v>
      </c>
      <c r="Y1492" s="1">
        <v>4.820741E8</v>
      </c>
      <c r="Z1492" s="1">
        <v>1962224.0</v>
      </c>
      <c r="AA1492" s="1" t="s">
        <v>52</v>
      </c>
      <c r="AB1492" s="1">
        <v>79567.0</v>
      </c>
      <c r="AC1492" s="2">
        <v>41913.0</v>
      </c>
      <c r="AD1492" s="1">
        <v>7500.0</v>
      </c>
      <c r="AE1492" s="1" t="s">
        <v>40</v>
      </c>
      <c r="AF1492" s="1">
        <v>2.0150654E7</v>
      </c>
      <c r="AG1492" s="1" t="s">
        <v>2954</v>
      </c>
      <c r="AH1492" s="1">
        <v>10.0</v>
      </c>
      <c r="AI1492" s="1">
        <v>2010.0</v>
      </c>
      <c r="AJ1492" s="1">
        <v>2015.0</v>
      </c>
      <c r="AK1492" s="1" t="s">
        <v>2955</v>
      </c>
    </row>
    <row r="1493">
      <c r="A1493" s="1" t="s">
        <v>2952</v>
      </c>
      <c r="B1493" s="1" t="s">
        <v>2952</v>
      </c>
      <c r="C1493" s="1" t="s">
        <v>159</v>
      </c>
      <c r="E1493" s="1">
        <v>1.05784672E8</v>
      </c>
      <c r="F1493" s="2">
        <v>41548.0</v>
      </c>
      <c r="G1493" s="1" t="s">
        <v>2953</v>
      </c>
      <c r="I1493" s="1" t="s">
        <v>2953</v>
      </c>
      <c r="L1493" s="1" t="s">
        <v>40</v>
      </c>
      <c r="M1493" s="1">
        <v>7500.0</v>
      </c>
      <c r="N1493" s="1" t="s">
        <v>40</v>
      </c>
      <c r="O1493" s="1">
        <v>1.3151134E7</v>
      </c>
      <c r="P1493" s="1" t="s">
        <v>2956</v>
      </c>
      <c r="Q1493" s="1" t="s">
        <v>2977</v>
      </c>
      <c r="R1493" s="1" t="s">
        <v>2957</v>
      </c>
      <c r="S1493" s="1" t="s">
        <v>44</v>
      </c>
      <c r="T1493" s="1" t="s">
        <v>45</v>
      </c>
      <c r="U1493" s="1">
        <v>4.82012153E8</v>
      </c>
      <c r="W1493" s="1" t="s">
        <v>46</v>
      </c>
      <c r="X1493" s="1" t="s">
        <v>45</v>
      </c>
      <c r="Y1493" s="1">
        <v>4.82012153E8</v>
      </c>
      <c r="Z1493" s="1">
        <v>1.71384183E8</v>
      </c>
      <c r="AA1493" s="1" t="s">
        <v>2978</v>
      </c>
      <c r="AB1493" s="1">
        <v>87517.0</v>
      </c>
      <c r="AC1493" s="2">
        <v>41548.0</v>
      </c>
      <c r="AD1493" s="1">
        <v>7500.0</v>
      </c>
      <c r="AE1493" s="1" t="s">
        <v>40</v>
      </c>
      <c r="AF1493" s="1">
        <v>2.0141571E7</v>
      </c>
      <c r="AG1493" s="1" t="s">
        <v>2954</v>
      </c>
      <c r="AH1493" s="1">
        <v>10.0</v>
      </c>
      <c r="AI1493" s="1">
        <v>2010.0</v>
      </c>
      <c r="AJ1493" s="1">
        <v>2014.0</v>
      </c>
      <c r="AK1493" s="1" t="s">
        <v>2955</v>
      </c>
    </row>
    <row r="1494">
      <c r="A1494" s="1" t="s">
        <v>2952</v>
      </c>
      <c r="B1494" s="1" t="s">
        <v>2952</v>
      </c>
      <c r="C1494" s="1" t="s">
        <v>159</v>
      </c>
      <c r="E1494" s="1">
        <v>1.05784672E8</v>
      </c>
      <c r="F1494" s="2">
        <v>41548.0</v>
      </c>
      <c r="G1494" s="1" t="s">
        <v>2953</v>
      </c>
      <c r="I1494" s="1" t="s">
        <v>2953</v>
      </c>
      <c r="L1494" s="1" t="s">
        <v>40</v>
      </c>
      <c r="M1494" s="1">
        <v>7500.0</v>
      </c>
      <c r="N1494" s="1" t="s">
        <v>40</v>
      </c>
      <c r="O1494" s="1">
        <v>8.48764171E8</v>
      </c>
      <c r="P1494" s="1" t="s">
        <v>1050</v>
      </c>
      <c r="Q1494" s="1" t="s">
        <v>1051</v>
      </c>
      <c r="R1494" s="1" t="s">
        <v>1052</v>
      </c>
      <c r="S1494" s="1" t="s">
        <v>44</v>
      </c>
      <c r="T1494" s="1" t="s">
        <v>45</v>
      </c>
      <c r="U1494" s="1">
        <v>4.820741E8</v>
      </c>
      <c r="W1494" s="1" t="s">
        <v>46</v>
      </c>
      <c r="X1494" s="1" t="s">
        <v>45</v>
      </c>
      <c r="Y1494" s="1">
        <v>4.820741E8</v>
      </c>
      <c r="Z1494" s="1">
        <v>1962224.0</v>
      </c>
      <c r="AA1494" s="1" t="s">
        <v>52</v>
      </c>
      <c r="AB1494" s="1">
        <v>91006.0</v>
      </c>
      <c r="AC1494" s="2">
        <v>41548.0</v>
      </c>
      <c r="AD1494" s="1">
        <v>7500.0</v>
      </c>
      <c r="AE1494" s="1" t="s">
        <v>40</v>
      </c>
      <c r="AF1494" s="1">
        <v>2.0141543E7</v>
      </c>
      <c r="AG1494" s="1" t="s">
        <v>2954</v>
      </c>
      <c r="AH1494" s="1">
        <v>10.0</v>
      </c>
      <c r="AI1494" s="1">
        <v>2010.0</v>
      </c>
      <c r="AJ1494" s="1">
        <v>2014.0</v>
      </c>
      <c r="AK1494" s="1" t="s">
        <v>2955</v>
      </c>
    </row>
    <row r="1495">
      <c r="A1495" s="1" t="s">
        <v>2952</v>
      </c>
      <c r="B1495" s="1" t="s">
        <v>2952</v>
      </c>
      <c r="C1495" s="1" t="s">
        <v>159</v>
      </c>
      <c r="E1495" s="1">
        <v>1.05784672E8</v>
      </c>
      <c r="F1495" s="2">
        <v>41548.0</v>
      </c>
      <c r="G1495" s="1" t="s">
        <v>2953</v>
      </c>
      <c r="I1495" s="1" t="s">
        <v>2953</v>
      </c>
      <c r="L1495" s="1" t="s">
        <v>40</v>
      </c>
      <c r="M1495" s="1">
        <v>7500.0</v>
      </c>
      <c r="N1495" s="1" t="s">
        <v>40</v>
      </c>
      <c r="O1495" s="1">
        <v>1962224.0</v>
      </c>
      <c r="P1495" s="1" t="s">
        <v>52</v>
      </c>
      <c r="Q1495" s="1" t="s">
        <v>2979</v>
      </c>
      <c r="R1495" s="1" t="s">
        <v>1885</v>
      </c>
      <c r="S1495" s="1" t="s">
        <v>44</v>
      </c>
      <c r="T1495" s="1" t="s">
        <v>45</v>
      </c>
      <c r="U1495" s="1">
        <v>4.82021347E8</v>
      </c>
      <c r="W1495" s="1" t="s">
        <v>46</v>
      </c>
      <c r="X1495" s="1" t="s">
        <v>45</v>
      </c>
      <c r="Y1495" s="1">
        <v>4.82023692E8</v>
      </c>
      <c r="Z1495" s="1">
        <v>1962224.0</v>
      </c>
      <c r="AA1495" s="1" t="s">
        <v>52</v>
      </c>
      <c r="AB1495" s="1">
        <v>58667.0</v>
      </c>
      <c r="AC1495" s="2">
        <v>41548.0</v>
      </c>
      <c r="AD1495" s="1">
        <v>7500.0</v>
      </c>
      <c r="AE1495" s="1" t="s">
        <v>40</v>
      </c>
      <c r="AF1495" s="1">
        <v>2.0141516E7</v>
      </c>
      <c r="AG1495" s="1" t="s">
        <v>2954</v>
      </c>
      <c r="AH1495" s="1">
        <v>10.0</v>
      </c>
      <c r="AI1495" s="1">
        <v>2010.0</v>
      </c>
      <c r="AJ1495" s="1">
        <v>2014.0</v>
      </c>
      <c r="AK1495" s="1" t="s">
        <v>2955</v>
      </c>
    </row>
    <row r="1496">
      <c r="A1496" s="1" t="s">
        <v>2952</v>
      </c>
      <c r="B1496" s="1" t="s">
        <v>2952</v>
      </c>
      <c r="C1496" s="1" t="s">
        <v>159</v>
      </c>
      <c r="E1496" s="1">
        <v>1.05784672E8</v>
      </c>
      <c r="F1496" s="2">
        <v>41183.0</v>
      </c>
      <c r="G1496" s="1" t="s">
        <v>2953</v>
      </c>
      <c r="I1496" s="1" t="s">
        <v>2953</v>
      </c>
      <c r="L1496" s="1" t="s">
        <v>40</v>
      </c>
      <c r="M1496" s="1">
        <v>7500.0</v>
      </c>
      <c r="N1496" s="1" t="s">
        <v>40</v>
      </c>
      <c r="O1496" s="1">
        <v>3.8775243E7</v>
      </c>
      <c r="P1496" s="1" t="s">
        <v>209</v>
      </c>
      <c r="Q1496" s="1" t="s">
        <v>210</v>
      </c>
      <c r="R1496" s="1" t="s">
        <v>211</v>
      </c>
      <c r="S1496" s="1" t="s">
        <v>44</v>
      </c>
      <c r="T1496" s="1" t="s">
        <v>45</v>
      </c>
      <c r="U1496" s="1">
        <v>4.82023068E8</v>
      </c>
      <c r="W1496" s="1" t="s">
        <v>46</v>
      </c>
      <c r="X1496" s="1" t="s">
        <v>45</v>
      </c>
      <c r="Y1496" s="1">
        <v>4.82023068E8</v>
      </c>
      <c r="Z1496" s="1">
        <v>3.8775243E7</v>
      </c>
      <c r="AA1496" s="1" t="s">
        <v>209</v>
      </c>
      <c r="AB1496" s="1">
        <v>854359.75</v>
      </c>
      <c r="AC1496" s="2">
        <v>41183.0</v>
      </c>
      <c r="AD1496" s="1">
        <v>7500.0</v>
      </c>
      <c r="AE1496" s="1" t="s">
        <v>40</v>
      </c>
      <c r="AF1496" s="1">
        <v>2.0131074E7</v>
      </c>
      <c r="AG1496" s="1" t="s">
        <v>2954</v>
      </c>
      <c r="AH1496" s="1">
        <v>10.0</v>
      </c>
      <c r="AI1496" s="1">
        <v>2010.0</v>
      </c>
      <c r="AJ1496" s="1">
        <v>2013.0</v>
      </c>
      <c r="AK1496" s="1" t="s">
        <v>2955</v>
      </c>
    </row>
    <row r="1497">
      <c r="A1497" s="1" t="s">
        <v>2952</v>
      </c>
      <c r="B1497" s="1" t="s">
        <v>2952</v>
      </c>
      <c r="C1497" s="1" t="s">
        <v>159</v>
      </c>
      <c r="E1497" s="1">
        <v>1.05784672E8</v>
      </c>
      <c r="F1497" s="2">
        <v>41183.0</v>
      </c>
      <c r="G1497" s="1" t="s">
        <v>2953</v>
      </c>
      <c r="I1497" s="1" t="s">
        <v>2953</v>
      </c>
      <c r="L1497" s="1" t="s">
        <v>40</v>
      </c>
      <c r="M1497" s="1">
        <v>7500.0</v>
      </c>
      <c r="N1497" s="1" t="s">
        <v>40</v>
      </c>
      <c r="O1497" s="1">
        <v>1.3151134E7</v>
      </c>
      <c r="P1497" s="1" t="s">
        <v>2956</v>
      </c>
      <c r="Q1497" s="1" t="s">
        <v>210</v>
      </c>
      <c r="R1497" s="1" t="s">
        <v>2957</v>
      </c>
      <c r="S1497" s="1" t="s">
        <v>44</v>
      </c>
      <c r="T1497" s="1" t="s">
        <v>45</v>
      </c>
      <c r="U1497" s="1">
        <v>4.82012153E8</v>
      </c>
      <c r="W1497" s="1" t="s">
        <v>46</v>
      </c>
      <c r="X1497" s="1" t="s">
        <v>45</v>
      </c>
      <c r="Y1497" s="1">
        <v>4.82012153E8</v>
      </c>
      <c r="Z1497" s="1">
        <v>3.8775243E7</v>
      </c>
      <c r="AA1497" s="1" t="s">
        <v>209</v>
      </c>
      <c r="AB1497" s="1">
        <v>61585.58</v>
      </c>
      <c r="AC1497" s="2">
        <v>41183.0</v>
      </c>
      <c r="AD1497" s="1">
        <v>7500.0</v>
      </c>
      <c r="AE1497" s="1" t="s">
        <v>40</v>
      </c>
      <c r="AF1497" s="1">
        <v>2.0130211E7</v>
      </c>
      <c r="AG1497" s="1" t="s">
        <v>2954</v>
      </c>
      <c r="AH1497" s="1">
        <v>10.0</v>
      </c>
      <c r="AI1497" s="1">
        <v>2010.0</v>
      </c>
      <c r="AJ1497" s="1">
        <v>2013.0</v>
      </c>
      <c r="AK1497" s="1" t="s">
        <v>2955</v>
      </c>
    </row>
    <row r="1498">
      <c r="A1498" s="1" t="s">
        <v>2944</v>
      </c>
      <c r="B1498" s="1" t="s">
        <v>2944</v>
      </c>
      <c r="C1498" s="1" t="s">
        <v>159</v>
      </c>
      <c r="E1498" s="1">
        <v>3375416.0</v>
      </c>
      <c r="F1498" s="2">
        <v>41548.0</v>
      </c>
      <c r="G1498" s="1" t="s">
        <v>2945</v>
      </c>
      <c r="I1498" s="1" t="s">
        <v>2945</v>
      </c>
      <c r="L1498" s="1" t="s">
        <v>40</v>
      </c>
      <c r="M1498" s="1">
        <v>7500.0</v>
      </c>
      <c r="N1498" s="1" t="s">
        <v>40</v>
      </c>
      <c r="O1498" s="1">
        <v>1962224.0</v>
      </c>
      <c r="P1498" s="1" t="s">
        <v>52</v>
      </c>
      <c r="Q1498" s="1" t="s">
        <v>2077</v>
      </c>
      <c r="R1498" s="1" t="s">
        <v>1885</v>
      </c>
      <c r="S1498" s="1" t="s">
        <v>44</v>
      </c>
      <c r="T1498" s="1" t="s">
        <v>45</v>
      </c>
      <c r="U1498" s="1">
        <v>4.82021347E8</v>
      </c>
      <c r="W1498" s="1" t="s">
        <v>46</v>
      </c>
      <c r="X1498" s="1" t="s">
        <v>45</v>
      </c>
      <c r="Y1498" s="1">
        <v>4.82023692E8</v>
      </c>
      <c r="Z1498" s="1">
        <v>1962224.0</v>
      </c>
      <c r="AA1498" s="1" t="s">
        <v>52</v>
      </c>
      <c r="AB1498" s="1">
        <v>148631.72</v>
      </c>
      <c r="AC1498" s="2">
        <v>41548.0</v>
      </c>
      <c r="AD1498" s="1">
        <v>7500.0</v>
      </c>
      <c r="AE1498" s="1" t="s">
        <v>40</v>
      </c>
      <c r="AF1498" s="1">
        <v>2.0141517E7</v>
      </c>
      <c r="AG1498" s="1" t="s">
        <v>2946</v>
      </c>
      <c r="AH1498" s="1">
        <v>10.0</v>
      </c>
      <c r="AI1498" s="1">
        <v>2011.0</v>
      </c>
      <c r="AJ1498" s="1">
        <v>2014.0</v>
      </c>
      <c r="AK1498" s="1" t="s">
        <v>2947</v>
      </c>
    </row>
    <row r="1499">
      <c r="A1499" s="1" t="s">
        <v>2944</v>
      </c>
      <c r="B1499" s="1" t="s">
        <v>2944</v>
      </c>
      <c r="C1499" s="1" t="s">
        <v>159</v>
      </c>
      <c r="E1499" s="1">
        <v>3375416.0</v>
      </c>
      <c r="F1499" s="2">
        <v>41548.0</v>
      </c>
      <c r="G1499" s="1" t="s">
        <v>2945</v>
      </c>
      <c r="I1499" s="1" t="s">
        <v>2945</v>
      </c>
      <c r="L1499" s="1" t="s">
        <v>40</v>
      </c>
      <c r="M1499" s="1">
        <v>7500.0</v>
      </c>
      <c r="N1499" s="1" t="s">
        <v>40</v>
      </c>
      <c r="O1499" s="1">
        <v>3.8775243E7</v>
      </c>
      <c r="P1499" s="1" t="s">
        <v>209</v>
      </c>
      <c r="Q1499" s="1" t="s">
        <v>210</v>
      </c>
      <c r="R1499" s="1" t="s">
        <v>211</v>
      </c>
      <c r="S1499" s="1" t="s">
        <v>44</v>
      </c>
      <c r="T1499" s="1" t="s">
        <v>45</v>
      </c>
      <c r="U1499" s="1">
        <v>4.82023068E8</v>
      </c>
      <c r="W1499" s="1" t="s">
        <v>46</v>
      </c>
      <c r="X1499" s="1" t="s">
        <v>45</v>
      </c>
      <c r="Y1499" s="1">
        <v>4.82023068E8</v>
      </c>
      <c r="Z1499" s="1">
        <v>3.8775243E7</v>
      </c>
      <c r="AA1499" s="1" t="s">
        <v>209</v>
      </c>
      <c r="AB1499" s="1">
        <v>25348.0</v>
      </c>
      <c r="AC1499" s="2">
        <v>41548.0</v>
      </c>
      <c r="AD1499" s="1">
        <v>7500.0</v>
      </c>
      <c r="AE1499" s="1" t="s">
        <v>40</v>
      </c>
      <c r="AF1499" s="1">
        <v>2.0140723E7</v>
      </c>
      <c r="AG1499" s="1" t="s">
        <v>2946</v>
      </c>
      <c r="AH1499" s="1">
        <v>10.0</v>
      </c>
      <c r="AI1499" s="1">
        <v>2011.0</v>
      </c>
      <c r="AJ1499" s="1">
        <v>2014.0</v>
      </c>
      <c r="AK1499" s="1" t="s">
        <v>2947</v>
      </c>
    </row>
    <row r="1500">
      <c r="A1500" s="1" t="s">
        <v>2944</v>
      </c>
      <c r="B1500" s="1" t="s">
        <v>2944</v>
      </c>
      <c r="C1500" s="1" t="s">
        <v>159</v>
      </c>
      <c r="E1500" s="1">
        <v>3375416.0</v>
      </c>
      <c r="F1500" s="2">
        <v>41183.0</v>
      </c>
      <c r="G1500" s="1" t="s">
        <v>2945</v>
      </c>
      <c r="I1500" s="1" t="s">
        <v>2945</v>
      </c>
      <c r="L1500" s="1" t="s">
        <v>40</v>
      </c>
      <c r="M1500" s="1">
        <v>7500.0</v>
      </c>
      <c r="N1500" s="1" t="s">
        <v>40</v>
      </c>
      <c r="O1500" s="1">
        <v>1962224.0</v>
      </c>
      <c r="P1500" s="1" t="s">
        <v>52</v>
      </c>
      <c r="Q1500" s="1" t="s">
        <v>1051</v>
      </c>
      <c r="R1500" s="1" t="s">
        <v>1885</v>
      </c>
      <c r="S1500" s="1" t="s">
        <v>44</v>
      </c>
      <c r="T1500" s="1" t="s">
        <v>45</v>
      </c>
      <c r="U1500" s="1">
        <v>4.82021347E8</v>
      </c>
      <c r="W1500" s="1" t="s">
        <v>46</v>
      </c>
      <c r="X1500" s="1" t="s">
        <v>45</v>
      </c>
      <c r="Y1500" s="1">
        <v>4.82023692E8</v>
      </c>
      <c r="Z1500" s="1">
        <v>1962224.0</v>
      </c>
      <c r="AA1500" s="1" t="s">
        <v>52</v>
      </c>
      <c r="AB1500" s="1">
        <v>125304.0</v>
      </c>
      <c r="AC1500" s="2">
        <v>41183.0</v>
      </c>
      <c r="AD1500" s="1">
        <v>7500.0</v>
      </c>
      <c r="AE1500" s="1" t="s">
        <v>40</v>
      </c>
      <c r="AF1500" s="1">
        <v>2.0131065E7</v>
      </c>
      <c r="AG1500" s="1" t="s">
        <v>2946</v>
      </c>
      <c r="AH1500" s="1">
        <v>10.0</v>
      </c>
      <c r="AI1500" s="1">
        <v>2011.0</v>
      </c>
      <c r="AJ1500" s="1">
        <v>2013.0</v>
      </c>
      <c r="AK1500" s="1" t="s">
        <v>2947</v>
      </c>
    </row>
    <row r="1501">
      <c r="A1501" s="1" t="s">
        <v>2959</v>
      </c>
      <c r="B1501" s="1" t="s">
        <v>2959</v>
      </c>
      <c r="C1501" s="1" t="s">
        <v>85</v>
      </c>
      <c r="E1501" s="1">
        <v>1.4638954E7</v>
      </c>
      <c r="F1501" s="2">
        <v>41913.0</v>
      </c>
      <c r="G1501" s="1" t="s">
        <v>2860</v>
      </c>
      <c r="I1501" s="1" t="s">
        <v>2860</v>
      </c>
      <c r="L1501" s="1" t="s">
        <v>40</v>
      </c>
      <c r="M1501" s="1">
        <v>7500.0</v>
      </c>
      <c r="N1501" s="1" t="s">
        <v>40</v>
      </c>
      <c r="O1501" s="1">
        <v>3.8775243E7</v>
      </c>
      <c r="P1501" s="1" t="s">
        <v>209</v>
      </c>
      <c r="Q1501" s="1" t="s">
        <v>210</v>
      </c>
      <c r="R1501" s="1" t="s">
        <v>211</v>
      </c>
      <c r="S1501" s="1" t="s">
        <v>44</v>
      </c>
      <c r="T1501" s="1" t="s">
        <v>45</v>
      </c>
      <c r="U1501" s="1">
        <v>4.82023068E8</v>
      </c>
      <c r="W1501" s="1" t="s">
        <v>46</v>
      </c>
      <c r="X1501" s="1" t="s">
        <v>45</v>
      </c>
      <c r="Y1501" s="1">
        <v>4.82023068E8</v>
      </c>
      <c r="Z1501" s="1">
        <v>3.8775243E7</v>
      </c>
      <c r="AA1501" s="1" t="s">
        <v>209</v>
      </c>
      <c r="AB1501" s="1">
        <v>177058.0</v>
      </c>
      <c r="AC1501" s="2">
        <v>41913.0</v>
      </c>
      <c r="AD1501" s="1">
        <v>7500.0</v>
      </c>
      <c r="AE1501" s="1" t="s">
        <v>40</v>
      </c>
      <c r="AF1501" s="1">
        <v>2.0151611E7</v>
      </c>
      <c r="AG1501" s="1" t="s">
        <v>1098</v>
      </c>
      <c r="AH1501" s="1">
        <v>10.0</v>
      </c>
      <c r="AI1501" s="1">
        <v>2013.0</v>
      </c>
      <c r="AJ1501" s="1">
        <v>2015.0</v>
      </c>
      <c r="AK1501" s="1" t="s">
        <v>1099</v>
      </c>
    </row>
    <row r="1502">
      <c r="A1502" s="1" t="s">
        <v>2959</v>
      </c>
      <c r="B1502" s="1" t="s">
        <v>2959</v>
      </c>
      <c r="C1502" s="1" t="s">
        <v>85</v>
      </c>
      <c r="E1502" s="1">
        <v>1.4638954E7</v>
      </c>
      <c r="F1502" s="2">
        <v>41913.0</v>
      </c>
      <c r="G1502" s="1" t="s">
        <v>2860</v>
      </c>
      <c r="I1502" s="1" t="s">
        <v>2860</v>
      </c>
      <c r="L1502" s="1" t="s">
        <v>40</v>
      </c>
      <c r="M1502" s="1">
        <v>7500.0</v>
      </c>
      <c r="N1502" s="1" t="s">
        <v>40</v>
      </c>
      <c r="O1502" s="1">
        <v>3.8775243E7</v>
      </c>
      <c r="P1502" s="1" t="s">
        <v>209</v>
      </c>
      <c r="Q1502" s="1" t="s">
        <v>210</v>
      </c>
      <c r="R1502" s="1" t="s">
        <v>211</v>
      </c>
      <c r="S1502" s="1" t="s">
        <v>44</v>
      </c>
      <c r="T1502" s="1" t="s">
        <v>45</v>
      </c>
      <c r="U1502" s="1">
        <v>4.82023068E8</v>
      </c>
      <c r="W1502" s="1" t="s">
        <v>46</v>
      </c>
      <c r="X1502" s="1" t="s">
        <v>45</v>
      </c>
      <c r="Y1502" s="1">
        <v>4.82023068E8</v>
      </c>
      <c r="Z1502" s="1">
        <v>3.8775243E7</v>
      </c>
      <c r="AA1502" s="1" t="s">
        <v>209</v>
      </c>
      <c r="AB1502" s="1">
        <v>50295.0</v>
      </c>
      <c r="AC1502" s="2">
        <v>41913.0</v>
      </c>
      <c r="AD1502" s="1">
        <v>7500.0</v>
      </c>
      <c r="AE1502" s="1" t="s">
        <v>40</v>
      </c>
      <c r="AF1502" s="1">
        <v>2.015161E7</v>
      </c>
      <c r="AG1502" s="1" t="s">
        <v>1098</v>
      </c>
      <c r="AH1502" s="1">
        <v>10.0</v>
      </c>
      <c r="AI1502" s="1">
        <v>2013.0</v>
      </c>
      <c r="AJ1502" s="1">
        <v>2015.0</v>
      </c>
      <c r="AK1502" s="1" t="s">
        <v>1099</v>
      </c>
    </row>
    <row r="1503">
      <c r="A1503" s="1" t="s">
        <v>2948</v>
      </c>
      <c r="B1503" s="1" t="s">
        <v>2948</v>
      </c>
      <c r="C1503" s="1" t="s">
        <v>159</v>
      </c>
      <c r="E1503" s="1">
        <v>1474347.0</v>
      </c>
      <c r="F1503" s="2">
        <v>41913.0</v>
      </c>
      <c r="G1503" s="1" t="s">
        <v>2949</v>
      </c>
      <c r="I1503" s="1" t="s">
        <v>2949</v>
      </c>
      <c r="L1503" s="1" t="s">
        <v>40</v>
      </c>
      <c r="M1503" s="1">
        <v>7500.0</v>
      </c>
      <c r="N1503" s="1" t="s">
        <v>40</v>
      </c>
      <c r="O1503" s="1">
        <v>1962224.0</v>
      </c>
      <c r="P1503" s="1" t="s">
        <v>52</v>
      </c>
      <c r="Q1503" s="1" t="s">
        <v>2975</v>
      </c>
      <c r="R1503" s="1" t="s">
        <v>1885</v>
      </c>
      <c r="S1503" s="1" t="s">
        <v>44</v>
      </c>
      <c r="T1503" s="1" t="s">
        <v>45</v>
      </c>
      <c r="U1503" s="1">
        <v>4.82021347E8</v>
      </c>
      <c r="W1503" s="1" t="s">
        <v>46</v>
      </c>
      <c r="X1503" s="1" t="s">
        <v>45</v>
      </c>
      <c r="Y1503" s="1">
        <v>4.82023692E8</v>
      </c>
      <c r="Z1503" s="1">
        <v>1962224.0</v>
      </c>
      <c r="AA1503" s="1" t="s">
        <v>52</v>
      </c>
      <c r="AB1503" s="1">
        <v>148153.23</v>
      </c>
      <c r="AC1503" s="2">
        <v>41913.0</v>
      </c>
      <c r="AD1503" s="1">
        <v>7500.0</v>
      </c>
      <c r="AE1503" s="1" t="s">
        <v>40</v>
      </c>
      <c r="AF1503" s="1">
        <v>2.0151669E7</v>
      </c>
      <c r="AG1503" s="1" t="s">
        <v>2950</v>
      </c>
      <c r="AH1503" s="1">
        <v>10.0</v>
      </c>
      <c r="AI1503" s="1">
        <v>2012.0</v>
      </c>
      <c r="AJ1503" s="1">
        <v>2015.0</v>
      </c>
      <c r="AK1503" s="1" t="s">
        <v>2951</v>
      </c>
    </row>
    <row r="1504">
      <c r="A1504" s="1" t="s">
        <v>2948</v>
      </c>
      <c r="B1504" s="1" t="s">
        <v>2948</v>
      </c>
      <c r="C1504" s="1" t="s">
        <v>159</v>
      </c>
      <c r="E1504" s="1">
        <v>1474347.0</v>
      </c>
      <c r="F1504" s="2">
        <v>41548.0</v>
      </c>
      <c r="G1504" s="1" t="s">
        <v>2949</v>
      </c>
      <c r="I1504" s="1" t="s">
        <v>2949</v>
      </c>
      <c r="L1504" s="1" t="s">
        <v>40</v>
      </c>
      <c r="M1504" s="1">
        <v>7500.0</v>
      </c>
      <c r="N1504" s="1" t="s">
        <v>40</v>
      </c>
      <c r="O1504" s="1">
        <v>1962224.0</v>
      </c>
      <c r="P1504" s="1" t="s">
        <v>52</v>
      </c>
      <c r="Q1504" s="1" t="s">
        <v>1566</v>
      </c>
      <c r="R1504" s="1" t="s">
        <v>1885</v>
      </c>
      <c r="S1504" s="1" t="s">
        <v>44</v>
      </c>
      <c r="T1504" s="1" t="s">
        <v>45</v>
      </c>
      <c r="U1504" s="1">
        <v>4.82021347E8</v>
      </c>
      <c r="W1504" s="1" t="s">
        <v>46</v>
      </c>
      <c r="X1504" s="1" t="s">
        <v>45</v>
      </c>
      <c r="Y1504" s="1">
        <v>4.82023692E8</v>
      </c>
      <c r="Z1504" s="1">
        <v>1962224.0</v>
      </c>
      <c r="AA1504" s="1" t="s">
        <v>52</v>
      </c>
      <c r="AB1504" s="1">
        <v>185040.53</v>
      </c>
      <c r="AC1504" s="2">
        <v>41548.0</v>
      </c>
      <c r="AD1504" s="1">
        <v>7500.0</v>
      </c>
      <c r="AE1504" s="1" t="s">
        <v>40</v>
      </c>
      <c r="AF1504" s="1">
        <v>2.0141515E7</v>
      </c>
      <c r="AG1504" s="1" t="s">
        <v>2950</v>
      </c>
      <c r="AH1504" s="1">
        <v>10.0</v>
      </c>
      <c r="AI1504" s="1">
        <v>2012.0</v>
      </c>
      <c r="AJ1504" s="1">
        <v>2014.0</v>
      </c>
      <c r="AK1504" s="1" t="s">
        <v>2951</v>
      </c>
    </row>
    <row r="1505">
      <c r="A1505" s="1" t="s">
        <v>2948</v>
      </c>
      <c r="B1505" s="1" t="s">
        <v>2948</v>
      </c>
      <c r="C1505" s="1" t="s">
        <v>159</v>
      </c>
      <c r="E1505" s="1">
        <v>1474347.0</v>
      </c>
      <c r="F1505" s="2">
        <v>41183.0</v>
      </c>
      <c r="G1505" s="1" t="s">
        <v>2949</v>
      </c>
      <c r="I1505" s="1" t="s">
        <v>2949</v>
      </c>
      <c r="L1505" s="1" t="s">
        <v>40</v>
      </c>
      <c r="M1505" s="1">
        <v>7500.0</v>
      </c>
      <c r="N1505" s="1" t="s">
        <v>40</v>
      </c>
      <c r="O1505" s="1">
        <v>1962224.0</v>
      </c>
      <c r="P1505" s="1" t="s">
        <v>52</v>
      </c>
      <c r="Q1505" s="1" t="s">
        <v>1566</v>
      </c>
      <c r="R1505" s="1" t="s">
        <v>1885</v>
      </c>
      <c r="S1505" s="1" t="s">
        <v>44</v>
      </c>
      <c r="T1505" s="1" t="s">
        <v>45</v>
      </c>
      <c r="U1505" s="1">
        <v>4.82021347E8</v>
      </c>
      <c r="W1505" s="1" t="s">
        <v>46</v>
      </c>
      <c r="X1505" s="1" t="s">
        <v>45</v>
      </c>
      <c r="Y1505" s="1">
        <v>4.82023692E8</v>
      </c>
      <c r="Z1505" s="1">
        <v>1962224.0</v>
      </c>
      <c r="AA1505" s="1" t="s">
        <v>52</v>
      </c>
      <c r="AB1505" s="1">
        <v>22289.95</v>
      </c>
      <c r="AC1505" s="2">
        <v>41183.0</v>
      </c>
      <c r="AD1505" s="1">
        <v>7500.0</v>
      </c>
      <c r="AE1505" s="1" t="s">
        <v>40</v>
      </c>
      <c r="AF1505" s="1">
        <v>2.0131727E7</v>
      </c>
      <c r="AG1505" s="1" t="s">
        <v>2950</v>
      </c>
      <c r="AH1505" s="1">
        <v>10.0</v>
      </c>
      <c r="AI1505" s="1">
        <v>2012.0</v>
      </c>
      <c r="AJ1505" s="1">
        <v>2013.0</v>
      </c>
      <c r="AK1505" s="1" t="s">
        <v>2951</v>
      </c>
    </row>
    <row r="1506">
      <c r="A1506" s="1" t="s">
        <v>2952</v>
      </c>
      <c r="B1506" s="1" t="s">
        <v>2952</v>
      </c>
      <c r="C1506" s="1" t="s">
        <v>159</v>
      </c>
      <c r="E1506" s="1">
        <v>1.05784672E8</v>
      </c>
      <c r="F1506" s="2">
        <v>41913.0</v>
      </c>
      <c r="G1506" s="1" t="s">
        <v>2953</v>
      </c>
      <c r="I1506" s="1" t="s">
        <v>2953</v>
      </c>
      <c r="L1506" s="1" t="s">
        <v>40</v>
      </c>
      <c r="M1506" s="1">
        <v>7500.0</v>
      </c>
      <c r="N1506" s="1" t="s">
        <v>40</v>
      </c>
      <c r="O1506" s="1">
        <v>1962224.0</v>
      </c>
      <c r="P1506" s="1" t="s">
        <v>52</v>
      </c>
      <c r="R1506" s="1" t="s">
        <v>1885</v>
      </c>
      <c r="S1506" s="1" t="s">
        <v>44</v>
      </c>
      <c r="T1506" s="1" t="s">
        <v>45</v>
      </c>
      <c r="U1506" s="1">
        <v>4.82021347E8</v>
      </c>
      <c r="W1506" s="1" t="s">
        <v>46</v>
      </c>
      <c r="X1506" s="1" t="s">
        <v>45</v>
      </c>
      <c r="Y1506" s="1">
        <v>4.82023692E8</v>
      </c>
      <c r="Z1506" s="1">
        <v>1962224.0</v>
      </c>
      <c r="AA1506" s="1" t="s">
        <v>52</v>
      </c>
      <c r="AB1506" s="1">
        <v>58666.0</v>
      </c>
      <c r="AC1506" s="2">
        <v>41913.0</v>
      </c>
      <c r="AD1506" s="1">
        <v>7500.0</v>
      </c>
      <c r="AE1506" s="1" t="s">
        <v>40</v>
      </c>
      <c r="AF1506" s="1">
        <v>2.0151654E7</v>
      </c>
      <c r="AG1506" s="1" t="s">
        <v>2954</v>
      </c>
      <c r="AH1506" s="1">
        <v>10.0</v>
      </c>
      <c r="AI1506" s="1">
        <v>2010.0</v>
      </c>
      <c r="AJ1506" s="1">
        <v>2015.0</v>
      </c>
      <c r="AK1506" s="1" t="s">
        <v>2955</v>
      </c>
    </row>
    <row r="1507">
      <c r="A1507" s="1" t="s">
        <v>2952</v>
      </c>
      <c r="B1507" s="1" t="s">
        <v>2952</v>
      </c>
      <c r="C1507" s="1" t="s">
        <v>159</v>
      </c>
      <c r="E1507" s="1">
        <v>1.05784672E8</v>
      </c>
      <c r="F1507" s="2">
        <v>41548.0</v>
      </c>
      <c r="G1507" s="1" t="s">
        <v>2953</v>
      </c>
      <c r="I1507" s="1" t="s">
        <v>2953</v>
      </c>
      <c r="L1507" s="1" t="s">
        <v>40</v>
      </c>
      <c r="M1507" s="1">
        <v>7500.0</v>
      </c>
      <c r="N1507" s="1" t="s">
        <v>40</v>
      </c>
      <c r="O1507" s="1">
        <v>1962224.0</v>
      </c>
      <c r="P1507" s="1" t="s">
        <v>52</v>
      </c>
      <c r="Q1507" s="1" t="s">
        <v>2958</v>
      </c>
      <c r="R1507" s="1" t="s">
        <v>1885</v>
      </c>
      <c r="S1507" s="1" t="s">
        <v>44</v>
      </c>
      <c r="T1507" s="1" t="s">
        <v>45</v>
      </c>
      <c r="U1507" s="1">
        <v>4.82021347E8</v>
      </c>
      <c r="W1507" s="1" t="s">
        <v>46</v>
      </c>
      <c r="X1507" s="1" t="s">
        <v>45</v>
      </c>
      <c r="Y1507" s="1">
        <v>4.82023692E8</v>
      </c>
      <c r="Z1507" s="1">
        <v>1962224.0</v>
      </c>
      <c r="AA1507" s="1" t="s">
        <v>52</v>
      </c>
      <c r="AB1507" s="1">
        <v>46996.29</v>
      </c>
      <c r="AC1507" s="2">
        <v>41548.0</v>
      </c>
      <c r="AD1507" s="1">
        <v>7500.0</v>
      </c>
      <c r="AE1507" s="1" t="s">
        <v>40</v>
      </c>
      <c r="AF1507" s="1">
        <v>2.0141501E7</v>
      </c>
      <c r="AG1507" s="1" t="s">
        <v>2954</v>
      </c>
      <c r="AH1507" s="1">
        <v>10.0</v>
      </c>
      <c r="AI1507" s="1">
        <v>2010.0</v>
      </c>
      <c r="AJ1507" s="1">
        <v>2014.0</v>
      </c>
      <c r="AK1507" s="1" t="s">
        <v>2955</v>
      </c>
    </row>
    <row r="1508">
      <c r="A1508" s="1" t="s">
        <v>2952</v>
      </c>
      <c r="B1508" s="1" t="s">
        <v>2952</v>
      </c>
      <c r="C1508" s="1" t="s">
        <v>159</v>
      </c>
      <c r="E1508" s="1">
        <v>1.05784672E8</v>
      </c>
      <c r="F1508" s="2">
        <v>41548.0</v>
      </c>
      <c r="G1508" s="1" t="s">
        <v>2953</v>
      </c>
      <c r="I1508" s="1" t="s">
        <v>2953</v>
      </c>
      <c r="L1508" s="1" t="s">
        <v>40</v>
      </c>
      <c r="M1508" s="1">
        <v>7500.0</v>
      </c>
      <c r="N1508" s="1" t="s">
        <v>40</v>
      </c>
      <c r="O1508" s="1">
        <v>3.8775243E7</v>
      </c>
      <c r="P1508" s="1" t="s">
        <v>209</v>
      </c>
      <c r="Q1508" s="1" t="s">
        <v>210</v>
      </c>
      <c r="R1508" s="1" t="s">
        <v>211</v>
      </c>
      <c r="S1508" s="1" t="s">
        <v>44</v>
      </c>
      <c r="T1508" s="1" t="s">
        <v>45</v>
      </c>
      <c r="U1508" s="1">
        <v>4.82023068E8</v>
      </c>
      <c r="W1508" s="1" t="s">
        <v>46</v>
      </c>
      <c r="X1508" s="1" t="s">
        <v>45</v>
      </c>
      <c r="Y1508" s="1">
        <v>4.82023068E8</v>
      </c>
      <c r="Z1508" s="1">
        <v>3.8775243E7</v>
      </c>
      <c r="AA1508" s="1" t="s">
        <v>209</v>
      </c>
      <c r="AB1508" s="1">
        <v>2982.55</v>
      </c>
      <c r="AC1508" s="2">
        <v>41548.0</v>
      </c>
      <c r="AD1508" s="1">
        <v>7500.0</v>
      </c>
      <c r="AE1508" s="1" t="s">
        <v>40</v>
      </c>
      <c r="AF1508" s="1">
        <v>2.014068E7</v>
      </c>
      <c r="AG1508" s="1" t="s">
        <v>2954</v>
      </c>
      <c r="AH1508" s="1">
        <v>10.0</v>
      </c>
      <c r="AI1508" s="1">
        <v>2010.0</v>
      </c>
      <c r="AJ1508" s="1">
        <v>2014.0</v>
      </c>
      <c r="AK1508" s="1" t="s">
        <v>2955</v>
      </c>
    </row>
    <row r="1509">
      <c r="A1509" s="1" t="s">
        <v>2952</v>
      </c>
      <c r="B1509" s="1" t="s">
        <v>2952</v>
      </c>
      <c r="C1509" s="1" t="s">
        <v>159</v>
      </c>
      <c r="E1509" s="1">
        <v>1.05784672E8</v>
      </c>
      <c r="F1509" s="2">
        <v>41183.0</v>
      </c>
      <c r="G1509" s="1" t="s">
        <v>2953</v>
      </c>
      <c r="I1509" s="1" t="s">
        <v>2953</v>
      </c>
      <c r="L1509" s="1" t="s">
        <v>40</v>
      </c>
      <c r="M1509" s="1">
        <v>7500.0</v>
      </c>
      <c r="N1509" s="1" t="s">
        <v>40</v>
      </c>
      <c r="O1509" s="1">
        <v>3.8775243E7</v>
      </c>
      <c r="P1509" s="1" t="s">
        <v>209</v>
      </c>
      <c r="Q1509" s="1" t="s">
        <v>210</v>
      </c>
      <c r="R1509" s="1" t="s">
        <v>211</v>
      </c>
      <c r="S1509" s="1" t="s">
        <v>44</v>
      </c>
      <c r="T1509" s="1" t="s">
        <v>45</v>
      </c>
      <c r="U1509" s="1">
        <v>4.82023068E8</v>
      </c>
      <c r="W1509" s="1" t="s">
        <v>46</v>
      </c>
      <c r="X1509" s="1" t="s">
        <v>45</v>
      </c>
      <c r="Y1509" s="1">
        <v>4.82023068E8</v>
      </c>
      <c r="Z1509" s="1">
        <v>3.8775243E7</v>
      </c>
      <c r="AA1509" s="1" t="s">
        <v>209</v>
      </c>
      <c r="AB1509" s="1">
        <v>390223.25</v>
      </c>
      <c r="AC1509" s="2">
        <v>41183.0</v>
      </c>
      <c r="AD1509" s="1">
        <v>7500.0</v>
      </c>
      <c r="AE1509" s="1" t="s">
        <v>40</v>
      </c>
      <c r="AF1509" s="1">
        <v>2.0131074E7</v>
      </c>
      <c r="AG1509" s="1" t="s">
        <v>2954</v>
      </c>
      <c r="AH1509" s="1">
        <v>10.0</v>
      </c>
      <c r="AI1509" s="1">
        <v>2010.0</v>
      </c>
      <c r="AJ1509" s="1">
        <v>2013.0</v>
      </c>
      <c r="AK1509" s="1" t="s">
        <v>2955</v>
      </c>
    </row>
    <row r="1510">
      <c r="A1510" s="1" t="s">
        <v>2952</v>
      </c>
      <c r="B1510" s="1" t="s">
        <v>2952</v>
      </c>
      <c r="C1510" s="1" t="s">
        <v>159</v>
      </c>
      <c r="E1510" s="1">
        <v>1.05784672E8</v>
      </c>
      <c r="F1510" s="2">
        <v>41183.0</v>
      </c>
      <c r="G1510" s="1" t="s">
        <v>2953</v>
      </c>
      <c r="I1510" s="1" t="s">
        <v>2953</v>
      </c>
      <c r="L1510" s="1" t="s">
        <v>40</v>
      </c>
      <c r="M1510" s="1">
        <v>7500.0</v>
      </c>
      <c r="N1510" s="1" t="s">
        <v>40</v>
      </c>
      <c r="O1510" s="1">
        <v>8.48764171E8</v>
      </c>
      <c r="P1510" s="1" t="s">
        <v>1050</v>
      </c>
      <c r="Q1510" s="1" t="s">
        <v>1051</v>
      </c>
      <c r="R1510" s="1" t="s">
        <v>1052</v>
      </c>
      <c r="S1510" s="1" t="s">
        <v>44</v>
      </c>
      <c r="T1510" s="1" t="s">
        <v>45</v>
      </c>
      <c r="U1510" s="1">
        <v>4.820741E8</v>
      </c>
      <c r="W1510" s="1" t="s">
        <v>46</v>
      </c>
      <c r="X1510" s="1" t="s">
        <v>45</v>
      </c>
      <c r="Y1510" s="1">
        <v>4.820741E8</v>
      </c>
      <c r="Z1510" s="1">
        <v>1962224.0</v>
      </c>
      <c r="AA1510" s="1" t="s">
        <v>52</v>
      </c>
      <c r="AB1510" s="1">
        <v>91006.0</v>
      </c>
      <c r="AC1510" s="2">
        <v>41183.0</v>
      </c>
      <c r="AD1510" s="1">
        <v>7500.0</v>
      </c>
      <c r="AE1510" s="1" t="s">
        <v>40</v>
      </c>
      <c r="AF1510" s="1">
        <v>2.0130202E7</v>
      </c>
      <c r="AG1510" s="1" t="s">
        <v>2954</v>
      </c>
      <c r="AH1510" s="1">
        <v>10.0</v>
      </c>
      <c r="AI1510" s="1">
        <v>2010.0</v>
      </c>
      <c r="AJ1510" s="1">
        <v>2013.0</v>
      </c>
      <c r="AK1510" s="1" t="s">
        <v>2955</v>
      </c>
    </row>
    <row r="1511">
      <c r="A1511" s="1" t="s">
        <v>2952</v>
      </c>
      <c r="B1511" s="1" t="s">
        <v>2952</v>
      </c>
      <c r="C1511" s="1" t="s">
        <v>159</v>
      </c>
      <c r="E1511" s="1">
        <v>1.05784672E8</v>
      </c>
      <c r="F1511" s="2">
        <v>41183.0</v>
      </c>
      <c r="G1511" s="1" t="s">
        <v>2953</v>
      </c>
      <c r="I1511" s="1" t="s">
        <v>2953</v>
      </c>
      <c r="L1511" s="1" t="s">
        <v>40</v>
      </c>
      <c r="M1511" s="1">
        <v>7500.0</v>
      </c>
      <c r="N1511" s="1" t="s">
        <v>40</v>
      </c>
      <c r="O1511" s="1">
        <v>8.48764171E8</v>
      </c>
      <c r="P1511" s="1" t="s">
        <v>1050</v>
      </c>
      <c r="Q1511" s="1" t="s">
        <v>1051</v>
      </c>
      <c r="R1511" s="1" t="s">
        <v>1052</v>
      </c>
      <c r="S1511" s="1" t="s">
        <v>44</v>
      </c>
      <c r="T1511" s="1" t="s">
        <v>45</v>
      </c>
      <c r="U1511" s="1">
        <v>4.820741E8</v>
      </c>
      <c r="W1511" s="1" t="s">
        <v>46</v>
      </c>
      <c r="X1511" s="1" t="s">
        <v>45</v>
      </c>
      <c r="Y1511" s="1">
        <v>4.820741E8</v>
      </c>
      <c r="AB1511" s="1">
        <v>76218.0</v>
      </c>
      <c r="AC1511" s="2">
        <v>41183.0</v>
      </c>
      <c r="AD1511" s="1">
        <v>7500.0</v>
      </c>
      <c r="AE1511" s="1" t="s">
        <v>40</v>
      </c>
      <c r="AF1511" s="1">
        <v>2.0130202E7</v>
      </c>
      <c r="AG1511" s="1" t="s">
        <v>2954</v>
      </c>
      <c r="AH1511" s="1">
        <v>10.0</v>
      </c>
      <c r="AI1511" s="1">
        <v>2010.0</v>
      </c>
      <c r="AJ1511" s="1">
        <v>2013.0</v>
      </c>
      <c r="AK1511" s="1" t="s">
        <v>2955</v>
      </c>
    </row>
    <row r="1512">
      <c r="A1512" s="1" t="s">
        <v>2966</v>
      </c>
      <c r="B1512" s="1" t="s">
        <v>2966</v>
      </c>
      <c r="C1512" s="1" t="s">
        <v>85</v>
      </c>
      <c r="E1512" s="1">
        <v>1729000.0</v>
      </c>
      <c r="F1512" s="2">
        <v>41913.0</v>
      </c>
      <c r="G1512" s="1" t="s">
        <v>2605</v>
      </c>
      <c r="I1512" s="1" t="s">
        <v>2605</v>
      </c>
      <c r="L1512" s="1" t="s">
        <v>40</v>
      </c>
      <c r="M1512" s="1">
        <v>7500.0</v>
      </c>
      <c r="N1512" s="1" t="s">
        <v>40</v>
      </c>
      <c r="O1512" s="1">
        <v>7.914812E7</v>
      </c>
      <c r="P1512" s="1" t="s">
        <v>1944</v>
      </c>
      <c r="R1512" s="1" t="s">
        <v>1945</v>
      </c>
      <c r="S1512" s="1" t="s">
        <v>44</v>
      </c>
      <c r="T1512" s="1" t="s">
        <v>45</v>
      </c>
      <c r="U1512" s="1">
        <v>4.820125E8</v>
      </c>
      <c r="W1512" s="1" t="s">
        <v>46</v>
      </c>
      <c r="X1512" s="1" t="s">
        <v>45</v>
      </c>
      <c r="Y1512" s="1">
        <v>4.8226348E8</v>
      </c>
      <c r="AB1512" s="1">
        <v>158935.0</v>
      </c>
      <c r="AC1512" s="2">
        <v>41913.0</v>
      </c>
      <c r="AD1512" s="1">
        <v>7500.0</v>
      </c>
      <c r="AE1512" s="1" t="s">
        <v>40</v>
      </c>
      <c r="AF1512" s="1">
        <v>2.0151703E7</v>
      </c>
      <c r="AG1512" s="1" t="s">
        <v>2698</v>
      </c>
      <c r="AH1512" s="1">
        <v>10.0</v>
      </c>
      <c r="AI1512" s="1">
        <v>2013.0</v>
      </c>
      <c r="AJ1512" s="1">
        <v>2015.0</v>
      </c>
      <c r="AK1512" s="1" t="s">
        <v>2699</v>
      </c>
    </row>
    <row r="1513">
      <c r="A1513" s="1" t="s">
        <v>2966</v>
      </c>
      <c r="B1513" s="1" t="s">
        <v>2966</v>
      </c>
      <c r="C1513" s="1" t="s">
        <v>85</v>
      </c>
      <c r="E1513" s="1">
        <v>1729000.0</v>
      </c>
      <c r="F1513" s="2">
        <v>41913.0</v>
      </c>
      <c r="G1513" s="1" t="s">
        <v>2605</v>
      </c>
      <c r="I1513" s="1" t="s">
        <v>2605</v>
      </c>
      <c r="L1513" s="1" t="s">
        <v>40</v>
      </c>
      <c r="M1513" s="1">
        <v>7500.0</v>
      </c>
      <c r="N1513" s="1" t="s">
        <v>40</v>
      </c>
      <c r="O1513" s="1">
        <v>7.6385699E7</v>
      </c>
      <c r="P1513" s="1" t="s">
        <v>106</v>
      </c>
      <c r="Q1513" s="1" t="s">
        <v>1005</v>
      </c>
      <c r="R1513" s="1" t="s">
        <v>1006</v>
      </c>
      <c r="S1513" s="1" t="s">
        <v>44</v>
      </c>
      <c r="T1513" s="1" t="s">
        <v>45</v>
      </c>
      <c r="U1513" s="1">
        <v>4.82092022E8</v>
      </c>
      <c r="W1513" s="1" t="s">
        <v>46</v>
      </c>
      <c r="X1513" s="1" t="s">
        <v>45</v>
      </c>
      <c r="Y1513" s="1">
        <v>4.82092022E8</v>
      </c>
      <c r="Z1513" s="1">
        <v>7.6385699E7</v>
      </c>
      <c r="AA1513" s="1" t="s">
        <v>106</v>
      </c>
      <c r="AB1513" s="1">
        <v>46750.0</v>
      </c>
      <c r="AC1513" s="2">
        <v>41913.0</v>
      </c>
      <c r="AD1513" s="1">
        <v>7500.0</v>
      </c>
      <c r="AE1513" s="1" t="s">
        <v>40</v>
      </c>
      <c r="AF1513" s="1">
        <v>2.0151713E7</v>
      </c>
      <c r="AG1513" s="1" t="s">
        <v>2698</v>
      </c>
      <c r="AH1513" s="1">
        <v>10.0</v>
      </c>
      <c r="AI1513" s="1">
        <v>2013.0</v>
      </c>
      <c r="AJ1513" s="1">
        <v>2015.0</v>
      </c>
      <c r="AK1513" s="1" t="s">
        <v>2699</v>
      </c>
    </row>
    <row r="1514">
      <c r="A1514" s="1" t="s">
        <v>2966</v>
      </c>
      <c r="B1514" s="1" t="s">
        <v>2966</v>
      </c>
      <c r="C1514" s="1" t="s">
        <v>85</v>
      </c>
      <c r="E1514" s="1">
        <v>1729000.0</v>
      </c>
      <c r="F1514" s="2">
        <v>41913.0</v>
      </c>
      <c r="G1514" s="1" t="s">
        <v>2605</v>
      </c>
      <c r="I1514" s="1" t="s">
        <v>2605</v>
      </c>
      <c r="L1514" s="1" t="s">
        <v>40</v>
      </c>
      <c r="M1514" s="1">
        <v>7500.0</v>
      </c>
      <c r="N1514" s="1" t="s">
        <v>40</v>
      </c>
      <c r="O1514" s="1">
        <v>7.914812E7</v>
      </c>
      <c r="P1514" s="1" t="s">
        <v>1944</v>
      </c>
      <c r="R1514" s="1" t="s">
        <v>1945</v>
      </c>
      <c r="S1514" s="1" t="s">
        <v>44</v>
      </c>
      <c r="T1514" s="1" t="s">
        <v>45</v>
      </c>
      <c r="U1514" s="1">
        <v>4.820125E8</v>
      </c>
      <c r="W1514" s="1" t="s">
        <v>46</v>
      </c>
      <c r="X1514" s="1" t="s">
        <v>45</v>
      </c>
      <c r="Y1514" s="1">
        <v>4.8226348E8</v>
      </c>
      <c r="AB1514" s="1">
        <v>86487.0</v>
      </c>
      <c r="AC1514" s="2">
        <v>41913.0</v>
      </c>
      <c r="AD1514" s="1">
        <v>7500.0</v>
      </c>
      <c r="AE1514" s="1" t="s">
        <v>40</v>
      </c>
      <c r="AF1514" s="1">
        <v>2.0151704E7</v>
      </c>
      <c r="AG1514" s="1" t="s">
        <v>2698</v>
      </c>
      <c r="AH1514" s="1">
        <v>10.0</v>
      </c>
      <c r="AI1514" s="1">
        <v>2013.0</v>
      </c>
      <c r="AJ1514" s="1">
        <v>2015.0</v>
      </c>
      <c r="AK1514" s="1" t="s">
        <v>2699</v>
      </c>
    </row>
    <row r="1515">
      <c r="A1515" s="1" t="s">
        <v>2966</v>
      </c>
      <c r="B1515" s="1" t="s">
        <v>2966</v>
      </c>
      <c r="C1515" s="1" t="s">
        <v>85</v>
      </c>
      <c r="E1515" s="1">
        <v>1729000.0</v>
      </c>
      <c r="F1515" s="2">
        <v>41913.0</v>
      </c>
      <c r="G1515" s="1" t="s">
        <v>2605</v>
      </c>
      <c r="I1515" s="1" t="s">
        <v>2605</v>
      </c>
      <c r="L1515" s="1" t="s">
        <v>40</v>
      </c>
      <c r="M1515" s="1">
        <v>7500.0</v>
      </c>
      <c r="N1515" s="1" t="s">
        <v>40</v>
      </c>
      <c r="O1515" s="1">
        <v>7.914812E7</v>
      </c>
      <c r="P1515" s="1" t="s">
        <v>1944</v>
      </c>
      <c r="R1515" s="1" t="s">
        <v>1945</v>
      </c>
      <c r="S1515" s="1" t="s">
        <v>44</v>
      </c>
      <c r="T1515" s="1" t="s">
        <v>45</v>
      </c>
      <c r="U1515" s="1">
        <v>4.820125E8</v>
      </c>
      <c r="W1515" s="1" t="s">
        <v>46</v>
      </c>
      <c r="X1515" s="1" t="s">
        <v>45</v>
      </c>
      <c r="Y1515" s="1">
        <v>4.8226348E8</v>
      </c>
      <c r="AB1515" s="1">
        <v>43477.0</v>
      </c>
      <c r="AC1515" s="2">
        <v>41913.0</v>
      </c>
      <c r="AD1515" s="1">
        <v>7500.0</v>
      </c>
      <c r="AE1515" s="1" t="s">
        <v>40</v>
      </c>
      <c r="AF1515" s="1">
        <v>2.01517E7</v>
      </c>
      <c r="AG1515" s="1" t="s">
        <v>2698</v>
      </c>
      <c r="AH1515" s="1">
        <v>10.0</v>
      </c>
      <c r="AI1515" s="1">
        <v>2013.0</v>
      </c>
      <c r="AJ1515" s="1">
        <v>2015.0</v>
      </c>
      <c r="AK1515" s="1" t="s">
        <v>2699</v>
      </c>
    </row>
    <row r="1516">
      <c r="A1516" s="1" t="s">
        <v>2980</v>
      </c>
      <c r="B1516" s="1" t="s">
        <v>2980</v>
      </c>
      <c r="C1516" s="1" t="s">
        <v>129</v>
      </c>
      <c r="E1516" s="1">
        <v>3414638.0</v>
      </c>
      <c r="F1516" s="2">
        <v>41548.0</v>
      </c>
      <c r="G1516" s="1" t="s">
        <v>2981</v>
      </c>
      <c r="I1516" s="1" t="s">
        <v>2981</v>
      </c>
      <c r="L1516" s="1" t="s">
        <v>40</v>
      </c>
      <c r="M1516" s="1">
        <v>7500.0</v>
      </c>
      <c r="N1516" s="1" t="s">
        <v>40</v>
      </c>
      <c r="O1516" s="1">
        <v>2.2026893E7</v>
      </c>
      <c r="P1516" s="1" t="s">
        <v>1428</v>
      </c>
      <c r="R1516" s="1" t="s">
        <v>1429</v>
      </c>
      <c r="S1516" s="1" t="s">
        <v>44</v>
      </c>
      <c r="T1516" s="1" t="s">
        <v>45</v>
      </c>
      <c r="U1516" s="1">
        <v>4.82193941E8</v>
      </c>
      <c r="W1516" s="1" t="s">
        <v>46</v>
      </c>
      <c r="X1516" s="1" t="s">
        <v>45</v>
      </c>
      <c r="Y1516" s="1">
        <v>4.82193941E8</v>
      </c>
      <c r="AB1516" s="1">
        <v>100000.0</v>
      </c>
      <c r="AC1516" s="2">
        <v>41548.0</v>
      </c>
      <c r="AD1516" s="1">
        <v>7500.0</v>
      </c>
      <c r="AE1516" s="1" t="s">
        <v>40</v>
      </c>
      <c r="AF1516" s="1">
        <v>2.014034E7</v>
      </c>
      <c r="AG1516" s="1" t="s">
        <v>1430</v>
      </c>
      <c r="AH1516" s="1">
        <v>10.0</v>
      </c>
      <c r="AI1516" s="1">
        <v>2010.0</v>
      </c>
      <c r="AJ1516" s="1">
        <v>2014.0</v>
      </c>
      <c r="AK1516" s="1" t="s">
        <v>1431</v>
      </c>
    </row>
    <row r="1517">
      <c r="A1517" s="1" t="s">
        <v>2980</v>
      </c>
      <c r="B1517" s="1" t="s">
        <v>2980</v>
      </c>
      <c r="C1517" s="1" t="s">
        <v>129</v>
      </c>
      <c r="E1517" s="1">
        <v>3414638.0</v>
      </c>
      <c r="F1517" s="2">
        <v>41548.0</v>
      </c>
      <c r="G1517" s="1" t="s">
        <v>2981</v>
      </c>
      <c r="I1517" s="1" t="s">
        <v>2981</v>
      </c>
      <c r="L1517" s="1" t="s">
        <v>40</v>
      </c>
      <c r="M1517" s="1">
        <v>7500.0</v>
      </c>
      <c r="N1517" s="1" t="s">
        <v>40</v>
      </c>
      <c r="O1517" s="1">
        <v>7.3134603E7</v>
      </c>
      <c r="P1517" s="1" t="s">
        <v>41</v>
      </c>
      <c r="Q1517" s="1" t="s">
        <v>252</v>
      </c>
      <c r="R1517" s="1" t="s">
        <v>253</v>
      </c>
      <c r="S1517" s="1" t="s">
        <v>44</v>
      </c>
      <c r="T1517" s="1" t="s">
        <v>45</v>
      </c>
      <c r="U1517" s="1">
        <v>4.8202345E8</v>
      </c>
      <c r="W1517" s="1" t="s">
        <v>46</v>
      </c>
      <c r="X1517" s="1" t="s">
        <v>45</v>
      </c>
      <c r="Y1517" s="1">
        <v>4.8202345E8</v>
      </c>
      <c r="Z1517" s="1">
        <v>7.3134603E7</v>
      </c>
      <c r="AA1517" s="1" t="s">
        <v>41</v>
      </c>
      <c r="AB1517" s="1">
        <v>100000.0</v>
      </c>
      <c r="AC1517" s="2">
        <v>41548.0</v>
      </c>
      <c r="AD1517" s="1">
        <v>7500.0</v>
      </c>
      <c r="AE1517" s="1" t="s">
        <v>40</v>
      </c>
      <c r="AF1517" s="1">
        <v>2.0140044E7</v>
      </c>
      <c r="AG1517" s="1" t="s">
        <v>1430</v>
      </c>
      <c r="AH1517" s="1">
        <v>10.0</v>
      </c>
      <c r="AI1517" s="1">
        <v>2010.0</v>
      </c>
      <c r="AJ1517" s="1">
        <v>2014.0</v>
      </c>
      <c r="AK1517" s="1" t="s">
        <v>1431</v>
      </c>
    </row>
    <row r="1518">
      <c r="A1518" s="1" t="s">
        <v>2980</v>
      </c>
      <c r="B1518" s="1" t="s">
        <v>2980</v>
      </c>
      <c r="C1518" s="1" t="s">
        <v>129</v>
      </c>
      <c r="E1518" s="1">
        <v>3414638.0</v>
      </c>
      <c r="F1518" s="2">
        <v>41183.0</v>
      </c>
      <c r="G1518" s="1" t="s">
        <v>2981</v>
      </c>
      <c r="I1518" s="1" t="s">
        <v>2981</v>
      </c>
      <c r="L1518" s="1" t="s">
        <v>40</v>
      </c>
      <c r="M1518" s="1">
        <v>7500.0</v>
      </c>
      <c r="N1518" s="1" t="s">
        <v>40</v>
      </c>
      <c r="O1518" s="1">
        <v>2.2026893E7</v>
      </c>
      <c r="P1518" s="1" t="s">
        <v>1428</v>
      </c>
      <c r="R1518" s="1" t="s">
        <v>1429</v>
      </c>
      <c r="S1518" s="1" t="s">
        <v>44</v>
      </c>
      <c r="T1518" s="1" t="s">
        <v>45</v>
      </c>
      <c r="U1518" s="1">
        <v>4.82193941E8</v>
      </c>
      <c r="W1518" s="1" t="s">
        <v>46</v>
      </c>
      <c r="X1518" s="1" t="s">
        <v>45</v>
      </c>
      <c r="Y1518" s="1">
        <v>4.82193941E8</v>
      </c>
      <c r="AB1518" s="1">
        <v>21242.96</v>
      </c>
      <c r="AC1518" s="2">
        <v>41183.0</v>
      </c>
      <c r="AD1518" s="1">
        <v>7500.0</v>
      </c>
      <c r="AE1518" s="1" t="s">
        <v>40</v>
      </c>
      <c r="AF1518" s="1">
        <v>2.0130248E7</v>
      </c>
      <c r="AG1518" s="1" t="s">
        <v>1430</v>
      </c>
      <c r="AH1518" s="1">
        <v>10.0</v>
      </c>
      <c r="AI1518" s="1">
        <v>2010.0</v>
      </c>
      <c r="AJ1518" s="1">
        <v>2013.0</v>
      </c>
      <c r="AK1518" s="1" t="s">
        <v>1431</v>
      </c>
    </row>
    <row r="1519">
      <c r="A1519" s="1" t="s">
        <v>2982</v>
      </c>
      <c r="B1519" s="1" t="s">
        <v>2982</v>
      </c>
      <c r="C1519" s="1" t="s">
        <v>70</v>
      </c>
      <c r="E1519" s="1">
        <v>1.3750704E7</v>
      </c>
      <c r="F1519" s="2">
        <v>41913.0</v>
      </c>
      <c r="G1519" s="1" t="s">
        <v>2983</v>
      </c>
      <c r="I1519" s="1" t="s">
        <v>2983</v>
      </c>
      <c r="L1519" s="1" t="s">
        <v>72</v>
      </c>
      <c r="M1519" s="1">
        <v>1500.0</v>
      </c>
      <c r="N1519" s="1" t="s">
        <v>72</v>
      </c>
      <c r="O1519" s="1">
        <v>7.85448994E8</v>
      </c>
      <c r="P1519" s="1" t="s">
        <v>259</v>
      </c>
      <c r="Q1519" s="1" t="s">
        <v>2984</v>
      </c>
      <c r="R1519" s="1" t="s">
        <v>2985</v>
      </c>
      <c r="S1519" s="1" t="s">
        <v>44</v>
      </c>
      <c r="T1519" s="1" t="s">
        <v>45</v>
      </c>
      <c r="U1519" s="1">
        <v>4.82262311E8</v>
      </c>
      <c r="W1519" s="1" t="s">
        <v>46</v>
      </c>
      <c r="X1519" s="1" t="s">
        <v>45</v>
      </c>
      <c r="Y1519" s="1">
        <v>4.82262387E8</v>
      </c>
      <c r="Z1519" s="1">
        <v>7.3134884E7</v>
      </c>
      <c r="AA1519" s="1" t="s">
        <v>1796</v>
      </c>
      <c r="AB1519" s="1">
        <v>727623.0</v>
      </c>
      <c r="AC1519" s="2">
        <v>41913.0</v>
      </c>
      <c r="AD1519" s="1">
        <v>1500.0</v>
      </c>
      <c r="AE1519" s="1" t="s">
        <v>72</v>
      </c>
      <c r="AF1519" s="1">
        <v>2.015013E7</v>
      </c>
      <c r="AG1519" s="1" t="s">
        <v>1422</v>
      </c>
      <c r="AH1519" s="1">
        <v>10.0</v>
      </c>
      <c r="AI1519" s="1">
        <v>2013.0</v>
      </c>
      <c r="AJ1519" s="1">
        <v>2015.0</v>
      </c>
      <c r="AK1519" s="1" t="s">
        <v>1130</v>
      </c>
    </row>
    <row r="1520">
      <c r="A1520" s="1" t="s">
        <v>2986</v>
      </c>
      <c r="B1520" s="1" t="s">
        <v>2986</v>
      </c>
      <c r="C1520" s="1" t="s">
        <v>70</v>
      </c>
      <c r="E1520" s="1">
        <v>1.2873784E7</v>
      </c>
      <c r="F1520" s="2">
        <v>41548.0</v>
      </c>
      <c r="G1520" s="1" t="s">
        <v>2987</v>
      </c>
      <c r="I1520" s="1" t="s">
        <v>2987</v>
      </c>
      <c r="L1520" s="1" t="s">
        <v>72</v>
      </c>
      <c r="M1520" s="1">
        <v>1500.0</v>
      </c>
      <c r="N1520" s="1" t="s">
        <v>72</v>
      </c>
      <c r="O1520" s="1">
        <v>1962224.0</v>
      </c>
      <c r="P1520" s="1" t="s">
        <v>52</v>
      </c>
      <c r="R1520" s="1" t="s">
        <v>1885</v>
      </c>
      <c r="S1520" s="1" t="s">
        <v>44</v>
      </c>
      <c r="T1520" s="1" t="s">
        <v>45</v>
      </c>
      <c r="U1520" s="1">
        <v>4.82021347E8</v>
      </c>
      <c r="W1520" s="1" t="s">
        <v>46</v>
      </c>
      <c r="X1520" s="1" t="s">
        <v>45</v>
      </c>
      <c r="Y1520" s="1">
        <v>4.82024123E8</v>
      </c>
      <c r="Z1520" s="1">
        <v>1962224.0</v>
      </c>
      <c r="AA1520" s="1" t="s">
        <v>52</v>
      </c>
      <c r="AB1520" s="1">
        <v>189051.0</v>
      </c>
      <c r="AC1520" s="2">
        <v>41548.0</v>
      </c>
      <c r="AD1520" s="1">
        <v>1500.0</v>
      </c>
      <c r="AE1520" s="1" t="s">
        <v>72</v>
      </c>
      <c r="AF1520" s="1">
        <v>2.0141519E7</v>
      </c>
      <c r="AG1520" s="1" t="s">
        <v>1422</v>
      </c>
      <c r="AH1520" s="1">
        <v>10.0</v>
      </c>
      <c r="AI1520" s="1">
        <v>2012.0</v>
      </c>
      <c r="AJ1520" s="1">
        <v>2014.0</v>
      </c>
      <c r="AK1520" s="1" t="s">
        <v>1130</v>
      </c>
    </row>
    <row r="1521">
      <c r="A1521" s="1" t="s">
        <v>2988</v>
      </c>
      <c r="B1521" s="1" t="s">
        <v>2988</v>
      </c>
      <c r="C1521" s="1" t="s">
        <v>194</v>
      </c>
      <c r="E1521" s="1">
        <v>3.9382336E8</v>
      </c>
      <c r="F1521" s="2">
        <v>41892.0</v>
      </c>
      <c r="G1521" s="1" t="s">
        <v>1950</v>
      </c>
      <c r="I1521" s="1" t="s">
        <v>1950</v>
      </c>
      <c r="L1521" s="1" t="s">
        <v>194</v>
      </c>
      <c r="M1521" s="1">
        <v>9100.0</v>
      </c>
      <c r="N1521" s="1" t="s">
        <v>194</v>
      </c>
      <c r="O1521" s="1">
        <v>7.8346351E7</v>
      </c>
      <c r="P1521" s="1" t="s">
        <v>615</v>
      </c>
      <c r="Q1521" s="1" t="s">
        <v>2989</v>
      </c>
      <c r="R1521" s="1" t="s">
        <v>1708</v>
      </c>
      <c r="S1521" s="1" t="s">
        <v>44</v>
      </c>
      <c r="T1521" s="1" t="s">
        <v>45</v>
      </c>
      <c r="U1521" s="1">
        <v>4.82074457E8</v>
      </c>
      <c r="W1521" s="1" t="s">
        <v>44</v>
      </c>
      <c r="X1521" s="1" t="s">
        <v>45</v>
      </c>
      <c r="Y1521" s="1">
        <v>4.82074298E8</v>
      </c>
      <c r="Z1521" s="1">
        <v>7.8903218E7</v>
      </c>
      <c r="AA1521" s="1" t="s">
        <v>2990</v>
      </c>
      <c r="AB1521" s="1">
        <v>1857734.0</v>
      </c>
      <c r="AC1521" s="2">
        <v>41892.0</v>
      </c>
      <c r="AD1521" s="1">
        <v>9100.0</v>
      </c>
      <c r="AE1521" s="1" t="s">
        <v>194</v>
      </c>
      <c r="AF1521" s="1" t="s">
        <v>2991</v>
      </c>
      <c r="AG1521" s="1" t="s">
        <v>1952</v>
      </c>
      <c r="AH1521" s="1">
        <v>1.0</v>
      </c>
      <c r="AI1521" s="1">
        <v>2015.0</v>
      </c>
      <c r="AJ1521" s="1">
        <v>2014.0</v>
      </c>
      <c r="AK1521" s="1" t="s">
        <v>1953</v>
      </c>
    </row>
    <row r="1522">
      <c r="A1522" s="1" t="s">
        <v>2992</v>
      </c>
      <c r="B1522" s="1" t="s">
        <v>2992</v>
      </c>
      <c r="C1522" s="1" t="s">
        <v>129</v>
      </c>
      <c r="E1522" s="1">
        <v>1582653.0</v>
      </c>
      <c r="F1522" s="2">
        <v>41913.0</v>
      </c>
      <c r="G1522" s="1" t="s">
        <v>2993</v>
      </c>
      <c r="I1522" s="1" t="s">
        <v>2993</v>
      </c>
      <c r="L1522" s="1" t="s">
        <v>40</v>
      </c>
      <c r="M1522" s="1">
        <v>7500.0</v>
      </c>
      <c r="N1522" s="1" t="s">
        <v>40</v>
      </c>
      <c r="O1522" s="1">
        <v>7.3134603E7</v>
      </c>
      <c r="P1522" s="1" t="s">
        <v>41</v>
      </c>
      <c r="Q1522" s="1" t="s">
        <v>252</v>
      </c>
      <c r="R1522" s="1" t="s">
        <v>253</v>
      </c>
      <c r="S1522" s="1" t="s">
        <v>44</v>
      </c>
      <c r="T1522" s="1" t="s">
        <v>45</v>
      </c>
      <c r="U1522" s="1">
        <v>4.8202345E8</v>
      </c>
      <c r="W1522" s="1" t="s">
        <v>46</v>
      </c>
      <c r="X1522" s="1" t="s">
        <v>45</v>
      </c>
      <c r="Y1522" s="1">
        <v>4.8202345E8</v>
      </c>
      <c r="Z1522" s="1">
        <v>7.3134603E7</v>
      </c>
      <c r="AA1522" s="1" t="s">
        <v>41</v>
      </c>
      <c r="AB1522" s="1">
        <v>100000.0</v>
      </c>
      <c r="AC1522" s="2">
        <v>41913.0</v>
      </c>
      <c r="AD1522" s="1">
        <v>7500.0</v>
      </c>
      <c r="AE1522" s="1" t="s">
        <v>40</v>
      </c>
      <c r="AF1522" s="1">
        <v>2.0151239E7</v>
      </c>
      <c r="AG1522" s="1" t="s">
        <v>1430</v>
      </c>
      <c r="AH1522" s="1">
        <v>10.0</v>
      </c>
      <c r="AI1522" s="1">
        <v>2012.0</v>
      </c>
      <c r="AJ1522" s="1">
        <v>2015.0</v>
      </c>
      <c r="AK1522" s="1" t="s">
        <v>1431</v>
      </c>
    </row>
    <row r="1523">
      <c r="A1523" s="1" t="s">
        <v>2986</v>
      </c>
      <c r="B1523" s="1" t="s">
        <v>2986</v>
      </c>
      <c r="C1523" s="1" t="s">
        <v>70</v>
      </c>
      <c r="E1523" s="1">
        <v>1.2873784E7</v>
      </c>
      <c r="F1523" s="2">
        <v>41913.0</v>
      </c>
      <c r="G1523" s="1" t="s">
        <v>2987</v>
      </c>
      <c r="I1523" s="1" t="s">
        <v>2987</v>
      </c>
      <c r="L1523" s="1" t="s">
        <v>72</v>
      </c>
      <c r="M1523" s="1">
        <v>1500.0</v>
      </c>
      <c r="N1523" s="1" t="s">
        <v>72</v>
      </c>
      <c r="O1523" s="1">
        <v>1.97862014E8</v>
      </c>
      <c r="P1523" s="1" t="s">
        <v>1056</v>
      </c>
      <c r="Q1523" s="1" t="s">
        <v>1057</v>
      </c>
      <c r="R1523" s="1" t="s">
        <v>1058</v>
      </c>
      <c r="S1523" s="1" t="s">
        <v>44</v>
      </c>
      <c r="T1523" s="1" t="s">
        <v>45</v>
      </c>
      <c r="U1523" s="1">
        <v>4.82023165E8</v>
      </c>
      <c r="W1523" s="1" t="s">
        <v>46</v>
      </c>
      <c r="X1523" s="1" t="s">
        <v>45</v>
      </c>
      <c r="Y1523" s="1">
        <v>4.82262982E8</v>
      </c>
      <c r="Z1523" s="1">
        <v>1.97862014E8</v>
      </c>
      <c r="AA1523" s="1" t="s">
        <v>1056</v>
      </c>
      <c r="AB1523" s="1">
        <v>158574.0</v>
      </c>
      <c r="AC1523" s="2">
        <v>41913.0</v>
      </c>
      <c r="AD1523" s="1">
        <v>1500.0</v>
      </c>
      <c r="AE1523" s="1" t="s">
        <v>72</v>
      </c>
      <c r="AF1523" s="1">
        <v>2.0150131E7</v>
      </c>
      <c r="AG1523" s="1" t="s">
        <v>1422</v>
      </c>
      <c r="AH1523" s="1">
        <v>10.0</v>
      </c>
      <c r="AI1523" s="1">
        <v>2012.0</v>
      </c>
      <c r="AJ1523" s="1">
        <v>2015.0</v>
      </c>
      <c r="AK1523" s="1" t="s">
        <v>1130</v>
      </c>
    </row>
    <row r="1524">
      <c r="A1524" s="1" t="s">
        <v>2986</v>
      </c>
      <c r="B1524" s="1" t="s">
        <v>2986</v>
      </c>
      <c r="C1524" s="1" t="s">
        <v>70</v>
      </c>
      <c r="E1524" s="1">
        <v>1.2873784E7</v>
      </c>
      <c r="F1524" s="2">
        <v>41913.0</v>
      </c>
      <c r="G1524" s="1" t="s">
        <v>2987</v>
      </c>
      <c r="I1524" s="1" t="s">
        <v>2987</v>
      </c>
      <c r="L1524" s="1" t="s">
        <v>72</v>
      </c>
      <c r="M1524" s="1">
        <v>1500.0</v>
      </c>
      <c r="N1524" s="1" t="s">
        <v>72</v>
      </c>
      <c r="O1524" s="1">
        <v>1.41947783E8</v>
      </c>
      <c r="P1524" s="1" t="s">
        <v>144</v>
      </c>
      <c r="Q1524" s="1" t="s">
        <v>2994</v>
      </c>
      <c r="R1524" s="1" t="s">
        <v>145</v>
      </c>
      <c r="S1524" s="1" t="s">
        <v>44</v>
      </c>
      <c r="T1524" s="1" t="s">
        <v>45</v>
      </c>
      <c r="U1524" s="1">
        <v>4.82362148E8</v>
      </c>
      <c r="W1524" s="1" t="s">
        <v>1454</v>
      </c>
      <c r="X1524" s="1" t="s">
        <v>45</v>
      </c>
      <c r="Y1524" s="1">
        <v>4.80922468E8</v>
      </c>
      <c r="AB1524" s="1">
        <v>174105.0</v>
      </c>
      <c r="AC1524" s="2">
        <v>41913.0</v>
      </c>
      <c r="AD1524" s="1">
        <v>1500.0</v>
      </c>
      <c r="AE1524" s="1" t="s">
        <v>72</v>
      </c>
      <c r="AF1524" s="1">
        <v>2.015012E7</v>
      </c>
      <c r="AG1524" s="1" t="s">
        <v>1422</v>
      </c>
      <c r="AH1524" s="1">
        <v>10.0</v>
      </c>
      <c r="AI1524" s="1">
        <v>2012.0</v>
      </c>
      <c r="AJ1524" s="1">
        <v>2015.0</v>
      </c>
      <c r="AK1524" s="1" t="s">
        <v>1130</v>
      </c>
    </row>
    <row r="1525">
      <c r="A1525" s="1" t="s">
        <v>2982</v>
      </c>
      <c r="B1525" s="1" t="s">
        <v>2982</v>
      </c>
      <c r="C1525" s="1" t="s">
        <v>70</v>
      </c>
      <c r="E1525" s="1">
        <v>1.3750704E7</v>
      </c>
      <c r="F1525" s="2">
        <v>41913.0</v>
      </c>
      <c r="G1525" s="1" t="s">
        <v>2983</v>
      </c>
      <c r="I1525" s="1" t="s">
        <v>2983</v>
      </c>
      <c r="L1525" s="1" t="s">
        <v>72</v>
      </c>
      <c r="M1525" s="1">
        <v>1500.0</v>
      </c>
      <c r="N1525" s="1" t="s">
        <v>72</v>
      </c>
      <c r="O1525" s="1">
        <v>1962224.0</v>
      </c>
      <c r="P1525" s="1" t="s">
        <v>52</v>
      </c>
      <c r="R1525" s="1" t="s">
        <v>1885</v>
      </c>
      <c r="S1525" s="1" t="s">
        <v>44</v>
      </c>
      <c r="T1525" s="1" t="s">
        <v>45</v>
      </c>
      <c r="U1525" s="1">
        <v>4.82021347E8</v>
      </c>
      <c r="W1525" s="1" t="s">
        <v>46</v>
      </c>
      <c r="X1525" s="1" t="s">
        <v>45</v>
      </c>
      <c r="Y1525" s="1">
        <v>4.82011347E8</v>
      </c>
      <c r="Z1525" s="1">
        <v>1962224.0</v>
      </c>
      <c r="AA1525" s="1" t="s">
        <v>52</v>
      </c>
      <c r="AB1525" s="1">
        <v>194835.0</v>
      </c>
      <c r="AC1525" s="2">
        <v>41913.0</v>
      </c>
      <c r="AD1525" s="1">
        <v>1500.0</v>
      </c>
      <c r="AE1525" s="1" t="s">
        <v>72</v>
      </c>
      <c r="AF1525" s="1">
        <v>2.0151659E7</v>
      </c>
      <c r="AG1525" s="1" t="s">
        <v>1422</v>
      </c>
      <c r="AH1525" s="1">
        <v>10.0</v>
      </c>
      <c r="AI1525" s="1">
        <v>2013.0</v>
      </c>
      <c r="AJ1525" s="1">
        <v>2015.0</v>
      </c>
      <c r="AK1525" s="1" t="s">
        <v>1130</v>
      </c>
    </row>
    <row r="1526">
      <c r="A1526" s="1" t="s">
        <v>2982</v>
      </c>
      <c r="B1526" s="1" t="s">
        <v>2982</v>
      </c>
      <c r="C1526" s="1" t="s">
        <v>70</v>
      </c>
      <c r="E1526" s="1">
        <v>1.3750704E7</v>
      </c>
      <c r="F1526" s="2">
        <v>41913.0</v>
      </c>
      <c r="G1526" s="1" t="s">
        <v>2983</v>
      </c>
      <c r="I1526" s="1" t="s">
        <v>2983</v>
      </c>
      <c r="L1526" s="1" t="s">
        <v>72</v>
      </c>
      <c r="M1526" s="1">
        <v>1500.0</v>
      </c>
      <c r="N1526" s="1" t="s">
        <v>72</v>
      </c>
      <c r="O1526" s="1">
        <v>6.03005542E8</v>
      </c>
      <c r="P1526" s="1" t="s">
        <v>73</v>
      </c>
      <c r="Q1526" s="1" t="s">
        <v>2764</v>
      </c>
      <c r="R1526" s="1" t="s">
        <v>2765</v>
      </c>
      <c r="S1526" s="1" t="s">
        <v>44</v>
      </c>
      <c r="T1526" s="1" t="s">
        <v>45</v>
      </c>
      <c r="U1526" s="1">
        <v>4.82161928E8</v>
      </c>
      <c r="W1526" s="1" t="s">
        <v>46</v>
      </c>
      <c r="X1526" s="1" t="s">
        <v>45</v>
      </c>
      <c r="Y1526" s="1">
        <v>4.82021732E8</v>
      </c>
      <c r="Z1526" s="1">
        <v>6530661.0</v>
      </c>
      <c r="AA1526" s="1" t="s">
        <v>76</v>
      </c>
      <c r="AB1526" s="1">
        <v>589258.0</v>
      </c>
      <c r="AC1526" s="2">
        <v>41913.0</v>
      </c>
      <c r="AD1526" s="1">
        <v>1500.0</v>
      </c>
      <c r="AE1526" s="1" t="s">
        <v>72</v>
      </c>
      <c r="AF1526" s="1">
        <v>2.0150074E7</v>
      </c>
      <c r="AG1526" s="1" t="s">
        <v>1422</v>
      </c>
      <c r="AH1526" s="1">
        <v>10.0</v>
      </c>
      <c r="AI1526" s="1">
        <v>2013.0</v>
      </c>
      <c r="AJ1526" s="1">
        <v>2015.0</v>
      </c>
      <c r="AK1526" s="1" t="s">
        <v>1130</v>
      </c>
    </row>
    <row r="1527">
      <c r="A1527" s="1" t="s">
        <v>2995</v>
      </c>
      <c r="B1527" s="1" t="s">
        <v>2995</v>
      </c>
      <c r="C1527" s="1" t="s">
        <v>194</v>
      </c>
      <c r="E1527" s="1">
        <v>5.11731456E8</v>
      </c>
      <c r="F1527" s="2">
        <v>41682.0</v>
      </c>
      <c r="G1527" s="1" t="s">
        <v>1168</v>
      </c>
      <c r="I1527" s="1" t="s">
        <v>1168</v>
      </c>
      <c r="L1527" s="1" t="s">
        <v>194</v>
      </c>
      <c r="M1527" s="1">
        <v>9100.0</v>
      </c>
      <c r="N1527" s="1" t="s">
        <v>194</v>
      </c>
      <c r="O1527" s="1">
        <v>1.23577707E8</v>
      </c>
      <c r="P1527" s="1" t="s">
        <v>563</v>
      </c>
      <c r="R1527" s="1" t="s">
        <v>565</v>
      </c>
      <c r="S1527" s="1" t="s">
        <v>44</v>
      </c>
      <c r="T1527" s="1" t="s">
        <v>45</v>
      </c>
      <c r="U1527" s="1">
        <v>4.8228333E8</v>
      </c>
      <c r="W1527" s="1" t="s">
        <v>44</v>
      </c>
      <c r="X1527" s="1" t="s">
        <v>45</v>
      </c>
      <c r="Y1527" s="1">
        <v>4.82283396E8</v>
      </c>
      <c r="Z1527" s="1">
        <v>9.60742484E8</v>
      </c>
      <c r="AB1527" s="1">
        <v>523502.0</v>
      </c>
      <c r="AC1527" s="2">
        <v>41682.0</v>
      </c>
      <c r="AD1527" s="1">
        <v>9100.0</v>
      </c>
      <c r="AE1527" s="1" t="s">
        <v>194</v>
      </c>
      <c r="AF1527" s="1" t="s">
        <v>2996</v>
      </c>
      <c r="AG1527" s="1" t="s">
        <v>1170</v>
      </c>
      <c r="AH1527" s="1">
        <v>1.0</v>
      </c>
      <c r="AI1527" s="1">
        <v>2015.0</v>
      </c>
      <c r="AJ1527" s="1">
        <v>2014.0</v>
      </c>
      <c r="AK1527" s="1" t="s">
        <v>1171</v>
      </c>
    </row>
    <row r="1528">
      <c r="A1528" s="1" t="s">
        <v>2995</v>
      </c>
      <c r="B1528" s="1" t="s">
        <v>2995</v>
      </c>
      <c r="C1528" s="1" t="s">
        <v>194</v>
      </c>
      <c r="E1528" s="1">
        <v>5.11731456E8</v>
      </c>
      <c r="F1528" s="2">
        <v>41669.0</v>
      </c>
      <c r="G1528" s="1" t="s">
        <v>1168</v>
      </c>
      <c r="I1528" s="1" t="s">
        <v>1168</v>
      </c>
      <c r="L1528" s="1" t="s">
        <v>194</v>
      </c>
      <c r="M1528" s="1">
        <v>9100.0</v>
      </c>
      <c r="N1528" s="1" t="s">
        <v>194</v>
      </c>
      <c r="O1528" s="1">
        <v>2.5773859E7</v>
      </c>
      <c r="P1528" s="1" t="s">
        <v>872</v>
      </c>
      <c r="R1528" s="1" t="s">
        <v>873</v>
      </c>
      <c r="S1528" s="1" t="s">
        <v>44</v>
      </c>
      <c r="T1528" s="1" t="s">
        <v>45</v>
      </c>
      <c r="U1528" s="1">
        <v>4.82042042E8</v>
      </c>
      <c r="W1528" s="1" t="s">
        <v>44</v>
      </c>
      <c r="X1528" s="1" t="s">
        <v>45</v>
      </c>
      <c r="Y1528" s="1">
        <v>4.82042042E8</v>
      </c>
      <c r="AB1528" s="1">
        <v>428222.0</v>
      </c>
      <c r="AC1528" s="2">
        <v>41669.0</v>
      </c>
      <c r="AD1528" s="1">
        <v>9100.0</v>
      </c>
      <c r="AE1528" s="1" t="s">
        <v>194</v>
      </c>
      <c r="AF1528" s="1" t="s">
        <v>2997</v>
      </c>
      <c r="AG1528" s="1" t="s">
        <v>1170</v>
      </c>
      <c r="AH1528" s="1">
        <v>1.0</v>
      </c>
      <c r="AI1528" s="1">
        <v>2015.0</v>
      </c>
      <c r="AJ1528" s="1">
        <v>2014.0</v>
      </c>
      <c r="AK1528" s="1" t="s">
        <v>1171</v>
      </c>
    </row>
    <row r="1529">
      <c r="A1529" s="1" t="s">
        <v>2995</v>
      </c>
      <c r="B1529" s="1" t="s">
        <v>2995</v>
      </c>
      <c r="C1529" s="1" t="s">
        <v>194</v>
      </c>
      <c r="E1529" s="1">
        <v>5.11731456E8</v>
      </c>
      <c r="F1529" s="2">
        <v>41710.0</v>
      </c>
      <c r="G1529" s="1" t="s">
        <v>1168</v>
      </c>
      <c r="I1529" s="1" t="s">
        <v>1168</v>
      </c>
      <c r="L1529" s="1" t="s">
        <v>194</v>
      </c>
      <c r="M1529" s="1">
        <v>9100.0</v>
      </c>
      <c r="N1529" s="1" t="s">
        <v>194</v>
      </c>
      <c r="O1529" s="1">
        <v>7.8634042E7</v>
      </c>
      <c r="P1529" s="1" t="s">
        <v>2998</v>
      </c>
      <c r="R1529" s="1" t="s">
        <v>475</v>
      </c>
      <c r="S1529" s="1" t="s">
        <v>44</v>
      </c>
      <c r="T1529" s="1" t="s">
        <v>45</v>
      </c>
      <c r="U1529" s="1">
        <v>4.82133744E8</v>
      </c>
      <c r="W1529" s="1" t="s">
        <v>46</v>
      </c>
      <c r="X1529" s="1" t="s">
        <v>45</v>
      </c>
      <c r="Y1529" s="1">
        <v>4.82133744E8</v>
      </c>
      <c r="AB1529" s="1">
        <v>598583.0</v>
      </c>
      <c r="AC1529" s="2">
        <v>41710.0</v>
      </c>
      <c r="AD1529" s="1">
        <v>9100.0</v>
      </c>
      <c r="AE1529" s="1" t="s">
        <v>194</v>
      </c>
      <c r="AF1529" s="1" t="s">
        <v>2999</v>
      </c>
      <c r="AG1529" s="1" t="s">
        <v>3000</v>
      </c>
      <c r="AH1529" s="1">
        <v>1.0</v>
      </c>
      <c r="AI1529" s="1">
        <v>2015.0</v>
      </c>
      <c r="AJ1529" s="1">
        <v>2014.0</v>
      </c>
      <c r="AK1529" s="1" t="s">
        <v>1171</v>
      </c>
    </row>
    <row r="1530">
      <c r="A1530" s="1" t="s">
        <v>2995</v>
      </c>
      <c r="B1530" s="1" t="s">
        <v>2995</v>
      </c>
      <c r="C1530" s="1" t="s">
        <v>194</v>
      </c>
      <c r="E1530" s="1">
        <v>5.11731456E8</v>
      </c>
      <c r="F1530" s="2">
        <v>41740.0</v>
      </c>
      <c r="G1530" s="1" t="s">
        <v>1168</v>
      </c>
      <c r="I1530" s="1" t="s">
        <v>1168</v>
      </c>
      <c r="L1530" s="1" t="s">
        <v>194</v>
      </c>
      <c r="M1530" s="1">
        <v>9100.0</v>
      </c>
      <c r="N1530" s="1" t="s">
        <v>194</v>
      </c>
      <c r="O1530" s="1">
        <v>8.0463354E7</v>
      </c>
      <c r="P1530" s="1" t="s">
        <v>518</v>
      </c>
      <c r="R1530" s="1" t="s">
        <v>519</v>
      </c>
      <c r="S1530" s="1" t="s">
        <v>44</v>
      </c>
      <c r="T1530" s="1" t="s">
        <v>45</v>
      </c>
      <c r="U1530" s="1">
        <v>4.82102105E8</v>
      </c>
      <c r="W1530" s="1" t="s">
        <v>44</v>
      </c>
      <c r="X1530" s="1" t="s">
        <v>45</v>
      </c>
      <c r="Y1530" s="1">
        <v>4.82102105E8</v>
      </c>
      <c r="Z1530" s="1">
        <v>8.0463354E7</v>
      </c>
      <c r="AA1530" s="1" t="s">
        <v>518</v>
      </c>
      <c r="AB1530" s="1">
        <v>564591.0</v>
      </c>
      <c r="AC1530" s="2">
        <v>41740.0</v>
      </c>
      <c r="AD1530" s="1">
        <v>9100.0</v>
      </c>
      <c r="AE1530" s="1" t="s">
        <v>194</v>
      </c>
      <c r="AF1530" s="1" t="s">
        <v>3001</v>
      </c>
      <c r="AG1530" s="1" t="s">
        <v>1170</v>
      </c>
      <c r="AH1530" s="1">
        <v>1.0</v>
      </c>
      <c r="AI1530" s="1">
        <v>2015.0</v>
      </c>
      <c r="AJ1530" s="1">
        <v>2014.0</v>
      </c>
      <c r="AK1530" s="1" t="s">
        <v>1171</v>
      </c>
    </row>
    <row r="1531">
      <c r="A1531" s="1" t="s">
        <v>2995</v>
      </c>
      <c r="B1531" s="1" t="s">
        <v>2995</v>
      </c>
      <c r="C1531" s="1" t="s">
        <v>194</v>
      </c>
      <c r="E1531" s="1">
        <v>5.11731456E8</v>
      </c>
      <c r="F1531" s="2">
        <v>41793.0</v>
      </c>
      <c r="G1531" s="1" t="s">
        <v>1168</v>
      </c>
      <c r="I1531" s="1" t="s">
        <v>1168</v>
      </c>
      <c r="L1531" s="1" t="s">
        <v>194</v>
      </c>
      <c r="M1531" s="1">
        <v>9100.0</v>
      </c>
      <c r="N1531" s="1" t="s">
        <v>194</v>
      </c>
      <c r="O1531" s="1">
        <v>7.97531295E8</v>
      </c>
      <c r="P1531" s="1" t="s">
        <v>582</v>
      </c>
      <c r="R1531" s="1" t="s">
        <v>583</v>
      </c>
      <c r="S1531" s="1" t="s">
        <v>44</v>
      </c>
      <c r="T1531" s="1" t="s">
        <v>45</v>
      </c>
      <c r="U1531" s="1">
        <v>4.82123452E8</v>
      </c>
      <c r="W1531" s="1" t="s">
        <v>44</v>
      </c>
      <c r="X1531" s="1" t="s">
        <v>45</v>
      </c>
      <c r="Y1531" s="1">
        <v>4.82123452E8</v>
      </c>
      <c r="AB1531" s="1">
        <v>303881.0</v>
      </c>
      <c r="AC1531" s="2">
        <v>41793.0</v>
      </c>
      <c r="AD1531" s="1">
        <v>9100.0</v>
      </c>
      <c r="AE1531" s="1" t="s">
        <v>194</v>
      </c>
      <c r="AF1531" s="1" t="s">
        <v>3002</v>
      </c>
      <c r="AG1531" s="1" t="s">
        <v>1170</v>
      </c>
      <c r="AH1531" s="1">
        <v>1.0</v>
      </c>
      <c r="AI1531" s="1">
        <v>2015.0</v>
      </c>
      <c r="AJ1531" s="1">
        <v>2014.0</v>
      </c>
      <c r="AK1531" s="1" t="s">
        <v>1171</v>
      </c>
    </row>
    <row r="1532">
      <c r="A1532" s="1" t="s">
        <v>2995</v>
      </c>
      <c r="B1532" s="1" t="s">
        <v>2995</v>
      </c>
      <c r="C1532" s="1" t="s">
        <v>194</v>
      </c>
      <c r="E1532" s="1">
        <v>5.11731456E8</v>
      </c>
      <c r="F1532" s="2">
        <v>41613.0</v>
      </c>
      <c r="G1532" s="1" t="s">
        <v>1168</v>
      </c>
      <c r="I1532" s="1" t="s">
        <v>1168</v>
      </c>
      <c r="L1532" s="1" t="s">
        <v>194</v>
      </c>
      <c r="M1532" s="1">
        <v>9100.0</v>
      </c>
      <c r="N1532" s="1" t="s">
        <v>194</v>
      </c>
      <c r="O1532" s="1">
        <v>3537326.0</v>
      </c>
      <c r="P1532" s="1" t="s">
        <v>560</v>
      </c>
      <c r="R1532" s="1" t="s">
        <v>561</v>
      </c>
      <c r="S1532" s="1" t="s">
        <v>44</v>
      </c>
      <c r="T1532" s="1" t="s">
        <v>45</v>
      </c>
      <c r="U1532" s="1">
        <v>4.8212177E8</v>
      </c>
      <c r="W1532" s="1" t="s">
        <v>498</v>
      </c>
      <c r="X1532" s="1" t="s">
        <v>45</v>
      </c>
      <c r="Y1532" s="1">
        <v>4.82121754E8</v>
      </c>
      <c r="Z1532" s="1">
        <v>3537326.0</v>
      </c>
      <c r="AA1532" s="1" t="s">
        <v>560</v>
      </c>
      <c r="AB1532" s="1">
        <v>283813.0</v>
      </c>
      <c r="AC1532" s="2">
        <v>41613.0</v>
      </c>
      <c r="AD1532" s="1">
        <v>9100.0</v>
      </c>
      <c r="AE1532" s="1" t="s">
        <v>194</v>
      </c>
      <c r="AF1532" s="1" t="s">
        <v>3003</v>
      </c>
      <c r="AG1532" s="1" t="s">
        <v>1170</v>
      </c>
      <c r="AH1532" s="1">
        <v>1.0</v>
      </c>
      <c r="AI1532" s="1">
        <v>2015.0</v>
      </c>
      <c r="AJ1532" s="1">
        <v>2014.0</v>
      </c>
      <c r="AK1532" s="1" t="s">
        <v>1171</v>
      </c>
    </row>
    <row r="1533">
      <c r="A1533" s="1" t="s">
        <v>2995</v>
      </c>
      <c r="B1533" s="1" t="s">
        <v>2995</v>
      </c>
      <c r="C1533" s="1" t="s">
        <v>194</v>
      </c>
      <c r="E1533" s="1">
        <v>5.11731456E8</v>
      </c>
      <c r="F1533" s="2">
        <v>41809.0</v>
      </c>
      <c r="G1533" s="1" t="s">
        <v>1168</v>
      </c>
      <c r="I1533" s="1" t="s">
        <v>1168</v>
      </c>
      <c r="L1533" s="1" t="s">
        <v>194</v>
      </c>
      <c r="M1533" s="1">
        <v>9100.0</v>
      </c>
      <c r="N1533" s="1" t="s">
        <v>194</v>
      </c>
      <c r="O1533" s="1">
        <v>2.2561935E7</v>
      </c>
      <c r="P1533" s="1" t="s">
        <v>2631</v>
      </c>
      <c r="R1533" s="1" t="s">
        <v>2632</v>
      </c>
      <c r="S1533" s="1" t="s">
        <v>44</v>
      </c>
      <c r="T1533" s="1" t="s">
        <v>45</v>
      </c>
      <c r="U1533" s="1">
        <v>4.8238E8</v>
      </c>
      <c r="W1533" s="1" t="s">
        <v>44</v>
      </c>
      <c r="X1533" s="1" t="s">
        <v>45</v>
      </c>
      <c r="Y1533" s="1">
        <v>4.82382124E8</v>
      </c>
      <c r="AB1533" s="1">
        <v>308909.0</v>
      </c>
      <c r="AC1533" s="2">
        <v>41809.0</v>
      </c>
      <c r="AD1533" s="1">
        <v>9100.0</v>
      </c>
      <c r="AE1533" s="1" t="s">
        <v>194</v>
      </c>
      <c r="AF1533" s="1" t="s">
        <v>3004</v>
      </c>
      <c r="AG1533" s="1" t="s">
        <v>3000</v>
      </c>
      <c r="AH1533" s="1">
        <v>1.0</v>
      </c>
      <c r="AI1533" s="1">
        <v>2015.0</v>
      </c>
      <c r="AJ1533" s="1">
        <v>2014.0</v>
      </c>
      <c r="AK1533" s="1" t="s">
        <v>1171</v>
      </c>
    </row>
    <row r="1534">
      <c r="A1534" s="1" t="s">
        <v>2995</v>
      </c>
      <c r="B1534" s="1" t="s">
        <v>2995</v>
      </c>
      <c r="C1534" s="1" t="s">
        <v>194</v>
      </c>
      <c r="E1534" s="1">
        <v>5.11731456E8</v>
      </c>
      <c r="F1534" s="2">
        <v>41752.0</v>
      </c>
      <c r="G1534" s="1" t="s">
        <v>1168</v>
      </c>
      <c r="I1534" s="1" t="s">
        <v>1168</v>
      </c>
      <c r="L1534" s="1" t="s">
        <v>194</v>
      </c>
      <c r="M1534" s="1">
        <v>9100.0</v>
      </c>
      <c r="N1534" s="1" t="s">
        <v>194</v>
      </c>
      <c r="O1534" s="1">
        <v>8.3082572E8</v>
      </c>
      <c r="P1534" s="1" t="s">
        <v>465</v>
      </c>
      <c r="Q1534" s="1" t="s">
        <v>554</v>
      </c>
      <c r="R1534" s="1" t="s">
        <v>555</v>
      </c>
      <c r="S1534" s="1" t="s">
        <v>44</v>
      </c>
      <c r="T1534" s="1" t="s">
        <v>45</v>
      </c>
      <c r="U1534" s="1">
        <v>4.82024061E8</v>
      </c>
      <c r="W1534" s="1" t="s">
        <v>44</v>
      </c>
      <c r="X1534" s="1" t="s">
        <v>45</v>
      </c>
      <c r="Y1534" s="1">
        <v>4.82023457E8</v>
      </c>
      <c r="Z1534" s="1">
        <v>1.6338926E8</v>
      </c>
      <c r="AA1534" s="1" t="s">
        <v>465</v>
      </c>
      <c r="AB1534" s="1">
        <v>741997.0</v>
      </c>
      <c r="AC1534" s="2">
        <v>41752.0</v>
      </c>
      <c r="AD1534" s="1">
        <v>9100.0</v>
      </c>
      <c r="AE1534" s="1" t="s">
        <v>194</v>
      </c>
      <c r="AF1534" s="1" t="s">
        <v>3005</v>
      </c>
      <c r="AG1534" s="1" t="s">
        <v>1170</v>
      </c>
      <c r="AH1534" s="1">
        <v>1.0</v>
      </c>
      <c r="AI1534" s="1">
        <v>2015.0</v>
      </c>
      <c r="AJ1534" s="1">
        <v>2014.0</v>
      </c>
      <c r="AK1534" s="1" t="s">
        <v>1171</v>
      </c>
    </row>
    <row r="1535">
      <c r="A1535" s="1" t="s">
        <v>2995</v>
      </c>
      <c r="B1535" s="1" t="s">
        <v>2995</v>
      </c>
      <c r="C1535" s="1" t="s">
        <v>194</v>
      </c>
      <c r="E1535" s="1">
        <v>5.11731456E8</v>
      </c>
      <c r="F1535" s="2">
        <v>41683.0</v>
      </c>
      <c r="G1535" s="1" t="s">
        <v>1168</v>
      </c>
      <c r="I1535" s="1" t="s">
        <v>1168</v>
      </c>
      <c r="L1535" s="1" t="s">
        <v>194</v>
      </c>
      <c r="M1535" s="1">
        <v>9100.0</v>
      </c>
      <c r="N1535" s="1" t="s">
        <v>194</v>
      </c>
      <c r="O1535" s="1">
        <v>7.97527715E8</v>
      </c>
      <c r="P1535" s="1" t="s">
        <v>567</v>
      </c>
      <c r="R1535" s="1" t="s">
        <v>568</v>
      </c>
      <c r="S1535" s="1" t="s">
        <v>44</v>
      </c>
      <c r="T1535" s="1" t="s">
        <v>45</v>
      </c>
      <c r="U1535" s="1">
        <v>4.82123134E8</v>
      </c>
      <c r="W1535" s="1" t="s">
        <v>498</v>
      </c>
      <c r="X1535" s="1" t="s">
        <v>45</v>
      </c>
      <c r="Y1535" s="1">
        <v>4.82123134E8</v>
      </c>
      <c r="Z1535" s="1">
        <v>9.60742484E8</v>
      </c>
      <c r="AB1535" s="1">
        <v>439633.0</v>
      </c>
      <c r="AC1535" s="2">
        <v>41683.0</v>
      </c>
      <c r="AD1535" s="1">
        <v>9100.0</v>
      </c>
      <c r="AE1535" s="1" t="s">
        <v>194</v>
      </c>
      <c r="AF1535" s="1" t="s">
        <v>3006</v>
      </c>
      <c r="AG1535" s="1" t="s">
        <v>1170</v>
      </c>
      <c r="AH1535" s="1">
        <v>1.0</v>
      </c>
      <c r="AI1535" s="1">
        <v>2015.0</v>
      </c>
      <c r="AJ1535" s="1">
        <v>2014.0</v>
      </c>
      <c r="AK1535" s="1" t="s">
        <v>1171</v>
      </c>
    </row>
    <row r="1536">
      <c r="A1536" s="1" t="s">
        <v>2995</v>
      </c>
      <c r="B1536" s="1" t="s">
        <v>2995</v>
      </c>
      <c r="C1536" s="1" t="s">
        <v>194</v>
      </c>
      <c r="E1536" s="1">
        <v>5.11731456E8</v>
      </c>
      <c r="F1536" s="2">
        <v>41667.0</v>
      </c>
      <c r="G1536" s="1" t="s">
        <v>1168</v>
      </c>
      <c r="I1536" s="1" t="s">
        <v>1168</v>
      </c>
      <c r="L1536" s="1" t="s">
        <v>194</v>
      </c>
      <c r="M1536" s="1">
        <v>9100.0</v>
      </c>
      <c r="N1536" s="1" t="s">
        <v>194</v>
      </c>
      <c r="O1536" s="1">
        <v>1.52892667E8</v>
      </c>
      <c r="P1536" s="1" t="s">
        <v>638</v>
      </c>
      <c r="R1536" s="1" t="s">
        <v>639</v>
      </c>
      <c r="S1536" s="1" t="s">
        <v>44</v>
      </c>
      <c r="T1536" s="1" t="s">
        <v>45</v>
      </c>
      <c r="U1536" s="1">
        <v>4.82343358E8</v>
      </c>
      <c r="W1536" s="1" t="s">
        <v>44</v>
      </c>
      <c r="X1536" s="1" t="s">
        <v>45</v>
      </c>
      <c r="Y1536" s="1">
        <v>4.82343358E8</v>
      </c>
      <c r="AB1536" s="1">
        <v>336945.0</v>
      </c>
      <c r="AC1536" s="2">
        <v>41667.0</v>
      </c>
      <c r="AD1536" s="1">
        <v>9100.0</v>
      </c>
      <c r="AE1536" s="1" t="s">
        <v>194</v>
      </c>
      <c r="AF1536" s="1" t="s">
        <v>3007</v>
      </c>
      <c r="AG1536" s="1" t="s">
        <v>1170</v>
      </c>
      <c r="AH1536" s="1">
        <v>1.0</v>
      </c>
      <c r="AI1536" s="1">
        <v>2015.0</v>
      </c>
      <c r="AJ1536" s="1">
        <v>2014.0</v>
      </c>
      <c r="AK1536" s="1" t="s">
        <v>1171</v>
      </c>
    </row>
    <row r="1537">
      <c r="A1537" s="1" t="s">
        <v>2995</v>
      </c>
      <c r="B1537" s="1" t="s">
        <v>2995</v>
      </c>
      <c r="C1537" s="1" t="s">
        <v>194</v>
      </c>
      <c r="E1537" s="1">
        <v>5.11731456E8</v>
      </c>
      <c r="F1537" s="2">
        <v>41717.0</v>
      </c>
      <c r="G1537" s="1" t="s">
        <v>1168</v>
      </c>
      <c r="I1537" s="1" t="s">
        <v>1168</v>
      </c>
      <c r="L1537" s="1" t="s">
        <v>194</v>
      </c>
      <c r="M1537" s="1">
        <v>9100.0</v>
      </c>
      <c r="N1537" s="1" t="s">
        <v>194</v>
      </c>
      <c r="O1537" s="1">
        <v>3.9866801E7</v>
      </c>
      <c r="P1537" s="1" t="s">
        <v>612</v>
      </c>
      <c r="R1537" s="1" t="s">
        <v>613</v>
      </c>
      <c r="S1537" s="1" t="s">
        <v>44</v>
      </c>
      <c r="T1537" s="1" t="s">
        <v>45</v>
      </c>
      <c r="U1537" s="1">
        <v>4.8212E8</v>
      </c>
      <c r="W1537" s="1" t="s">
        <v>607</v>
      </c>
      <c r="X1537" s="1" t="s">
        <v>45</v>
      </c>
      <c r="Y1537" s="1">
        <v>4.82120012E8</v>
      </c>
      <c r="Z1537" s="1">
        <v>3.9866801E7</v>
      </c>
      <c r="AA1537" s="1" t="s">
        <v>612</v>
      </c>
      <c r="AB1537" s="1">
        <v>4891662.0</v>
      </c>
      <c r="AC1537" s="2">
        <v>41717.0</v>
      </c>
      <c r="AD1537" s="1">
        <v>9100.0</v>
      </c>
      <c r="AE1537" s="1" t="s">
        <v>194</v>
      </c>
      <c r="AF1537" s="1" t="s">
        <v>3008</v>
      </c>
      <c r="AG1537" s="1" t="s">
        <v>3000</v>
      </c>
      <c r="AH1537" s="1">
        <v>1.0</v>
      </c>
      <c r="AI1537" s="1">
        <v>2015.0</v>
      </c>
      <c r="AJ1537" s="1">
        <v>2014.0</v>
      </c>
      <c r="AK1537" s="1" t="s">
        <v>1171</v>
      </c>
    </row>
    <row r="1538">
      <c r="A1538" s="1" t="s">
        <v>2995</v>
      </c>
      <c r="B1538" s="1" t="s">
        <v>2995</v>
      </c>
      <c r="C1538" s="1" t="s">
        <v>194</v>
      </c>
      <c r="E1538" s="1">
        <v>5.11731456E8</v>
      </c>
      <c r="F1538" s="2">
        <v>41708.0</v>
      </c>
      <c r="G1538" s="1" t="s">
        <v>1168</v>
      </c>
      <c r="I1538" s="1" t="s">
        <v>1168</v>
      </c>
      <c r="L1538" s="1" t="s">
        <v>194</v>
      </c>
      <c r="M1538" s="1">
        <v>9100.0</v>
      </c>
      <c r="N1538" s="1" t="s">
        <v>194</v>
      </c>
      <c r="O1538" s="1">
        <v>1.38064923E8</v>
      </c>
      <c r="P1538" s="1" t="s">
        <v>585</v>
      </c>
      <c r="R1538" s="1" t="s">
        <v>586</v>
      </c>
      <c r="S1538" s="1" t="s">
        <v>44</v>
      </c>
      <c r="T1538" s="1" t="s">
        <v>45</v>
      </c>
      <c r="U1538" s="1">
        <v>4.82152861E8</v>
      </c>
      <c r="W1538" s="1" t="s">
        <v>44</v>
      </c>
      <c r="X1538" s="1" t="s">
        <v>45</v>
      </c>
      <c r="Y1538" s="1">
        <v>4.82152861E8</v>
      </c>
      <c r="Z1538" s="1">
        <v>9.60742484E8</v>
      </c>
      <c r="AB1538" s="1">
        <v>440033.0</v>
      </c>
      <c r="AC1538" s="2">
        <v>41708.0</v>
      </c>
      <c r="AD1538" s="1">
        <v>9100.0</v>
      </c>
      <c r="AE1538" s="1" t="s">
        <v>194</v>
      </c>
      <c r="AF1538" s="1" t="s">
        <v>3009</v>
      </c>
      <c r="AG1538" s="1" t="s">
        <v>1170</v>
      </c>
      <c r="AH1538" s="1">
        <v>1.0</v>
      </c>
      <c r="AI1538" s="1">
        <v>2015.0</v>
      </c>
      <c r="AJ1538" s="1">
        <v>2014.0</v>
      </c>
      <c r="AK1538" s="1" t="s">
        <v>1171</v>
      </c>
    </row>
    <row r="1539">
      <c r="A1539" s="1" t="s">
        <v>2995</v>
      </c>
      <c r="B1539" s="1" t="s">
        <v>2995</v>
      </c>
      <c r="C1539" s="1" t="s">
        <v>194</v>
      </c>
      <c r="E1539" s="1">
        <v>5.11731456E8</v>
      </c>
      <c r="F1539" s="2">
        <v>41670.0</v>
      </c>
      <c r="G1539" s="1" t="s">
        <v>1168</v>
      </c>
      <c r="I1539" s="1" t="s">
        <v>1168</v>
      </c>
      <c r="L1539" s="1" t="s">
        <v>194</v>
      </c>
      <c r="M1539" s="1">
        <v>9100.0</v>
      </c>
      <c r="N1539" s="1" t="s">
        <v>194</v>
      </c>
      <c r="O1539" s="1">
        <v>8.01081899E8</v>
      </c>
      <c r="P1539" s="1" t="s">
        <v>280</v>
      </c>
      <c r="R1539" s="1" t="s">
        <v>281</v>
      </c>
      <c r="S1539" s="1" t="s">
        <v>44</v>
      </c>
      <c r="T1539" s="1" t="s">
        <v>45</v>
      </c>
      <c r="U1539" s="1">
        <v>4.82033277E8</v>
      </c>
      <c r="W1539" s="1" t="s">
        <v>282</v>
      </c>
      <c r="X1539" s="1" t="s">
        <v>45</v>
      </c>
      <c r="Y1539" s="1">
        <v>4.82202899E8</v>
      </c>
      <c r="AB1539" s="1">
        <v>239752.0</v>
      </c>
      <c r="AC1539" s="2">
        <v>41670.0</v>
      </c>
      <c r="AD1539" s="1">
        <v>9100.0</v>
      </c>
      <c r="AE1539" s="1" t="s">
        <v>194</v>
      </c>
      <c r="AF1539" s="1" t="s">
        <v>3010</v>
      </c>
      <c r="AG1539" s="1" t="s">
        <v>1170</v>
      </c>
      <c r="AH1539" s="1">
        <v>1.0</v>
      </c>
      <c r="AI1539" s="1">
        <v>2015.0</v>
      </c>
      <c r="AJ1539" s="1">
        <v>2014.0</v>
      </c>
      <c r="AK1539" s="1" t="s">
        <v>1171</v>
      </c>
    </row>
    <row r="1540">
      <c r="A1540" s="1" t="s">
        <v>2995</v>
      </c>
      <c r="B1540" s="1" t="s">
        <v>2995</v>
      </c>
      <c r="C1540" s="1" t="s">
        <v>194</v>
      </c>
      <c r="E1540" s="1">
        <v>5.11731456E8</v>
      </c>
      <c r="F1540" s="2">
        <v>41761.0</v>
      </c>
      <c r="G1540" s="1" t="s">
        <v>1168</v>
      </c>
      <c r="I1540" s="1" t="s">
        <v>1168</v>
      </c>
      <c r="L1540" s="1" t="s">
        <v>194</v>
      </c>
      <c r="M1540" s="1">
        <v>9100.0</v>
      </c>
      <c r="N1540" s="1" t="s">
        <v>194</v>
      </c>
      <c r="O1540" s="1">
        <v>2.496865E7</v>
      </c>
      <c r="P1540" s="1" t="s">
        <v>609</v>
      </c>
      <c r="R1540" s="1" t="s">
        <v>610</v>
      </c>
      <c r="S1540" s="1" t="s">
        <v>44</v>
      </c>
      <c r="T1540" s="1" t="s">
        <v>45</v>
      </c>
      <c r="U1540" s="1">
        <v>4.8235168E8</v>
      </c>
      <c r="W1540" s="1" t="s">
        <v>46</v>
      </c>
      <c r="X1540" s="1" t="s">
        <v>45</v>
      </c>
      <c r="Y1540" s="1">
        <v>4.8235168E8</v>
      </c>
      <c r="AB1540" s="1">
        <v>164101.0</v>
      </c>
      <c r="AC1540" s="2">
        <v>41761.0</v>
      </c>
      <c r="AD1540" s="1">
        <v>9100.0</v>
      </c>
      <c r="AE1540" s="1" t="s">
        <v>194</v>
      </c>
      <c r="AF1540" s="1" t="s">
        <v>3011</v>
      </c>
      <c r="AG1540" s="1" t="s">
        <v>3000</v>
      </c>
      <c r="AH1540" s="1">
        <v>1.0</v>
      </c>
      <c r="AI1540" s="1">
        <v>2015.0</v>
      </c>
      <c r="AJ1540" s="1">
        <v>2014.0</v>
      </c>
      <c r="AK1540" s="1" t="s">
        <v>1171</v>
      </c>
    </row>
    <row r="1541">
      <c r="A1541" s="1" t="s">
        <v>2995</v>
      </c>
      <c r="B1541" s="1" t="s">
        <v>2995</v>
      </c>
      <c r="C1541" s="1" t="s">
        <v>194</v>
      </c>
      <c r="E1541" s="1">
        <v>5.11731456E8</v>
      </c>
      <c r="F1541" s="2">
        <v>41733.0</v>
      </c>
      <c r="G1541" s="1" t="s">
        <v>1168</v>
      </c>
      <c r="I1541" s="1" t="s">
        <v>1168</v>
      </c>
      <c r="L1541" s="1" t="s">
        <v>194</v>
      </c>
      <c r="M1541" s="1">
        <v>9100.0</v>
      </c>
      <c r="N1541" s="1" t="s">
        <v>194</v>
      </c>
      <c r="O1541" s="1">
        <v>7.6340843E7</v>
      </c>
      <c r="P1541" s="1" t="s">
        <v>461</v>
      </c>
      <c r="R1541" s="1" t="s">
        <v>1599</v>
      </c>
      <c r="S1541" s="1" t="s">
        <v>44</v>
      </c>
      <c r="T1541" s="1" t="s">
        <v>45</v>
      </c>
      <c r="U1541" s="1">
        <v>4.8202301E8</v>
      </c>
      <c r="W1541" s="1" t="s">
        <v>44</v>
      </c>
      <c r="X1541" s="1" t="s">
        <v>45</v>
      </c>
      <c r="Y1541" s="1">
        <v>4.82023096E8</v>
      </c>
      <c r="Z1541" s="1">
        <v>7.6340843E7</v>
      </c>
      <c r="AA1541" s="1" t="s">
        <v>461</v>
      </c>
      <c r="AB1541" s="1">
        <v>1.45378333E8</v>
      </c>
      <c r="AC1541" s="2">
        <v>41733.0</v>
      </c>
      <c r="AD1541" s="1">
        <v>9100.0</v>
      </c>
      <c r="AE1541" s="1" t="s">
        <v>194</v>
      </c>
      <c r="AF1541" s="1" t="s">
        <v>3012</v>
      </c>
      <c r="AG1541" s="1" t="s">
        <v>1170</v>
      </c>
      <c r="AH1541" s="1">
        <v>1.0</v>
      </c>
      <c r="AI1541" s="1">
        <v>2015.0</v>
      </c>
      <c r="AJ1541" s="1">
        <v>2014.0</v>
      </c>
      <c r="AK1541" s="1" t="s">
        <v>1171</v>
      </c>
    </row>
    <row r="1542">
      <c r="A1542" s="1" t="s">
        <v>2995</v>
      </c>
      <c r="B1542" s="1" t="s">
        <v>2995</v>
      </c>
      <c r="C1542" s="1" t="s">
        <v>194</v>
      </c>
      <c r="E1542" s="1">
        <v>5.11731456E8</v>
      </c>
      <c r="F1542" s="2">
        <v>41716.0</v>
      </c>
      <c r="G1542" s="1" t="s">
        <v>1168</v>
      </c>
      <c r="I1542" s="1" t="s">
        <v>1168</v>
      </c>
      <c r="L1542" s="1" t="s">
        <v>194</v>
      </c>
      <c r="M1542" s="1">
        <v>9100.0</v>
      </c>
      <c r="N1542" s="1" t="s">
        <v>194</v>
      </c>
      <c r="O1542" s="1">
        <v>7.8346351E7</v>
      </c>
      <c r="P1542" s="1" t="s">
        <v>615</v>
      </c>
      <c r="R1542" s="1" t="s">
        <v>1708</v>
      </c>
      <c r="S1542" s="1" t="s">
        <v>44</v>
      </c>
      <c r="T1542" s="1" t="s">
        <v>45</v>
      </c>
      <c r="U1542" s="1">
        <v>4.82074457E8</v>
      </c>
      <c r="W1542" s="1" t="s">
        <v>44</v>
      </c>
      <c r="X1542" s="1" t="s">
        <v>45</v>
      </c>
      <c r="Y1542" s="1">
        <v>4.82074298E8</v>
      </c>
      <c r="AB1542" s="1">
        <v>1.9948046E7</v>
      </c>
      <c r="AC1542" s="2">
        <v>41716.0</v>
      </c>
      <c r="AD1542" s="1">
        <v>9100.0</v>
      </c>
      <c r="AE1542" s="1" t="s">
        <v>194</v>
      </c>
      <c r="AF1542" s="1" t="s">
        <v>3013</v>
      </c>
      <c r="AG1542" s="1" t="s">
        <v>1170</v>
      </c>
      <c r="AH1542" s="1">
        <v>1.0</v>
      </c>
      <c r="AI1542" s="1">
        <v>2015.0</v>
      </c>
      <c r="AJ1542" s="1">
        <v>2014.0</v>
      </c>
      <c r="AK1542" s="1" t="s">
        <v>1171</v>
      </c>
    </row>
    <row r="1543">
      <c r="A1543" s="1" t="s">
        <v>2995</v>
      </c>
      <c r="B1543" s="1" t="s">
        <v>2995</v>
      </c>
      <c r="C1543" s="1" t="s">
        <v>194</v>
      </c>
      <c r="E1543" s="1">
        <v>5.11731456E8</v>
      </c>
      <c r="F1543" s="2">
        <v>41740.0</v>
      </c>
      <c r="G1543" s="1" t="s">
        <v>1168</v>
      </c>
      <c r="I1543" s="1" t="s">
        <v>1168</v>
      </c>
      <c r="L1543" s="1" t="s">
        <v>194</v>
      </c>
      <c r="M1543" s="1">
        <v>9100.0</v>
      </c>
      <c r="N1543" s="1" t="s">
        <v>194</v>
      </c>
      <c r="O1543" s="1">
        <v>1.17726252E8</v>
      </c>
      <c r="P1543" s="1" t="s">
        <v>512</v>
      </c>
      <c r="R1543" s="1" t="s">
        <v>513</v>
      </c>
      <c r="S1543" s="1" t="s">
        <v>44</v>
      </c>
      <c r="T1543" s="1" t="s">
        <v>45</v>
      </c>
      <c r="U1543" s="1">
        <v>4.82193259E8</v>
      </c>
      <c r="W1543" s="1" t="s">
        <v>44</v>
      </c>
      <c r="X1543" s="1" t="s">
        <v>45</v>
      </c>
      <c r="Y1543" s="1">
        <v>4.82193259E8</v>
      </c>
      <c r="AB1543" s="1">
        <v>1117465.0</v>
      </c>
      <c r="AC1543" s="2">
        <v>41740.0</v>
      </c>
      <c r="AD1543" s="1">
        <v>9100.0</v>
      </c>
      <c r="AE1543" s="1" t="s">
        <v>194</v>
      </c>
      <c r="AF1543" s="1" t="s">
        <v>3014</v>
      </c>
      <c r="AG1543" s="1" t="s">
        <v>1170</v>
      </c>
      <c r="AH1543" s="1">
        <v>1.0</v>
      </c>
      <c r="AI1543" s="1">
        <v>2015.0</v>
      </c>
      <c r="AJ1543" s="1">
        <v>2014.0</v>
      </c>
      <c r="AK1543" s="1" t="s">
        <v>1171</v>
      </c>
    </row>
    <row r="1544">
      <c r="A1544" s="1" t="s">
        <v>2995</v>
      </c>
      <c r="B1544" s="1" t="s">
        <v>2995</v>
      </c>
      <c r="C1544" s="1" t="s">
        <v>194</v>
      </c>
      <c r="E1544" s="1">
        <v>5.11731456E8</v>
      </c>
      <c r="F1544" s="2">
        <v>41739.0</v>
      </c>
      <c r="G1544" s="1" t="s">
        <v>1168</v>
      </c>
      <c r="I1544" s="1" t="s">
        <v>1168</v>
      </c>
      <c r="L1544" s="1" t="s">
        <v>194</v>
      </c>
      <c r="M1544" s="1">
        <v>9100.0</v>
      </c>
      <c r="N1544" s="1" t="s">
        <v>194</v>
      </c>
      <c r="O1544" s="1">
        <v>8.30649195E8</v>
      </c>
      <c r="P1544" s="1" t="s">
        <v>545</v>
      </c>
      <c r="R1544" s="1" t="s">
        <v>547</v>
      </c>
      <c r="S1544" s="1" t="s">
        <v>44</v>
      </c>
      <c r="T1544" s="1" t="s">
        <v>45</v>
      </c>
      <c r="U1544" s="1">
        <v>4.82071E8</v>
      </c>
      <c r="W1544" s="1" t="s">
        <v>44</v>
      </c>
      <c r="X1544" s="1" t="s">
        <v>45</v>
      </c>
      <c r="Y1544" s="1">
        <v>4.82071E8</v>
      </c>
      <c r="AB1544" s="1">
        <v>618693.0</v>
      </c>
      <c r="AC1544" s="2">
        <v>41739.0</v>
      </c>
      <c r="AD1544" s="1">
        <v>9100.0</v>
      </c>
      <c r="AE1544" s="1" t="s">
        <v>194</v>
      </c>
      <c r="AF1544" s="1" t="s">
        <v>3015</v>
      </c>
      <c r="AG1544" s="1" t="s">
        <v>1170</v>
      </c>
      <c r="AH1544" s="1">
        <v>1.0</v>
      </c>
      <c r="AI1544" s="1">
        <v>2015.0</v>
      </c>
      <c r="AJ1544" s="1">
        <v>2014.0</v>
      </c>
      <c r="AK1544" s="1" t="s">
        <v>1171</v>
      </c>
    </row>
    <row r="1545">
      <c r="A1545" s="1" t="s">
        <v>2988</v>
      </c>
      <c r="B1545" s="1" t="s">
        <v>2988</v>
      </c>
      <c r="C1545" s="1" t="s">
        <v>194</v>
      </c>
      <c r="E1545" s="1">
        <v>3.9382336E8</v>
      </c>
      <c r="F1545" s="2">
        <v>41899.0</v>
      </c>
      <c r="G1545" s="1" t="s">
        <v>1950</v>
      </c>
      <c r="I1545" s="1" t="s">
        <v>1950</v>
      </c>
      <c r="L1545" s="1" t="s">
        <v>194</v>
      </c>
      <c r="M1545" s="1">
        <v>9100.0</v>
      </c>
      <c r="N1545" s="1" t="s">
        <v>194</v>
      </c>
      <c r="O1545" s="1">
        <v>7.8346351E7</v>
      </c>
      <c r="P1545" s="1" t="s">
        <v>615</v>
      </c>
      <c r="Q1545" s="1" t="s">
        <v>2989</v>
      </c>
      <c r="R1545" s="1" t="s">
        <v>1708</v>
      </c>
      <c r="S1545" s="1" t="s">
        <v>44</v>
      </c>
      <c r="T1545" s="1" t="s">
        <v>45</v>
      </c>
      <c r="U1545" s="1">
        <v>4.82074457E8</v>
      </c>
      <c r="W1545" s="1" t="s">
        <v>44</v>
      </c>
      <c r="X1545" s="1" t="s">
        <v>45</v>
      </c>
      <c r="Y1545" s="1">
        <v>4.82074298E8</v>
      </c>
      <c r="Z1545" s="1">
        <v>7.8903218E7</v>
      </c>
      <c r="AA1545" s="1" t="s">
        <v>2990</v>
      </c>
      <c r="AB1545" s="1">
        <v>50000.0</v>
      </c>
      <c r="AC1545" s="2">
        <v>41899.0</v>
      </c>
      <c r="AD1545" s="1">
        <v>9100.0</v>
      </c>
      <c r="AE1545" s="1" t="s">
        <v>194</v>
      </c>
      <c r="AF1545" s="1" t="s">
        <v>3016</v>
      </c>
      <c r="AG1545" s="1" t="s">
        <v>1952</v>
      </c>
      <c r="AH1545" s="1">
        <v>1.0</v>
      </c>
      <c r="AI1545" s="1">
        <v>2015.0</v>
      </c>
      <c r="AJ1545" s="1">
        <v>2014.0</v>
      </c>
      <c r="AK1545" s="1" t="s">
        <v>1953</v>
      </c>
    </row>
    <row r="1546">
      <c r="A1546" s="1" t="s">
        <v>2995</v>
      </c>
      <c r="B1546" s="1" t="s">
        <v>2995</v>
      </c>
      <c r="C1546" s="1" t="s">
        <v>194</v>
      </c>
      <c r="E1546" s="1">
        <v>5.11731456E8</v>
      </c>
      <c r="F1546" s="2">
        <v>41688.0</v>
      </c>
      <c r="G1546" s="1" t="s">
        <v>1168</v>
      </c>
      <c r="I1546" s="1" t="s">
        <v>1168</v>
      </c>
      <c r="L1546" s="1" t="s">
        <v>194</v>
      </c>
      <c r="M1546" s="1">
        <v>9100.0</v>
      </c>
      <c r="N1546" s="1" t="s">
        <v>194</v>
      </c>
      <c r="O1546" s="1">
        <v>3.7602699E7</v>
      </c>
      <c r="P1546" s="1" t="s">
        <v>535</v>
      </c>
      <c r="R1546" s="1" t="s">
        <v>536</v>
      </c>
      <c r="S1546" s="1" t="s">
        <v>44</v>
      </c>
      <c r="T1546" s="1" t="s">
        <v>45</v>
      </c>
      <c r="U1546" s="1">
        <v>4.82052545E8</v>
      </c>
      <c r="W1546" s="1" t="s">
        <v>46</v>
      </c>
      <c r="X1546" s="1" t="s">
        <v>45</v>
      </c>
      <c r="Y1546" s="1">
        <v>4.82052545E8</v>
      </c>
      <c r="AB1546" s="1">
        <v>473207.0</v>
      </c>
      <c r="AC1546" s="2">
        <v>41688.0</v>
      </c>
      <c r="AD1546" s="1">
        <v>9100.0</v>
      </c>
      <c r="AE1546" s="1" t="s">
        <v>194</v>
      </c>
      <c r="AF1546" s="1" t="s">
        <v>3017</v>
      </c>
      <c r="AG1546" s="1" t="s">
        <v>1170</v>
      </c>
      <c r="AH1546" s="1">
        <v>1.0</v>
      </c>
      <c r="AI1546" s="1">
        <v>2015.0</v>
      </c>
      <c r="AJ1546" s="1">
        <v>2014.0</v>
      </c>
      <c r="AK1546" s="1" t="s">
        <v>1171</v>
      </c>
    </row>
    <row r="1547">
      <c r="A1547" s="1" t="s">
        <v>2995</v>
      </c>
      <c r="B1547" s="1" t="s">
        <v>2995</v>
      </c>
      <c r="C1547" s="1" t="s">
        <v>194</v>
      </c>
      <c r="E1547" s="1">
        <v>5.11731456E8</v>
      </c>
      <c r="F1547" s="2">
        <v>41752.0</v>
      </c>
      <c r="G1547" s="1" t="s">
        <v>1168</v>
      </c>
      <c r="I1547" s="1" t="s">
        <v>1168</v>
      </c>
      <c r="L1547" s="1" t="s">
        <v>194</v>
      </c>
      <c r="M1547" s="1">
        <v>9100.0</v>
      </c>
      <c r="N1547" s="1" t="s">
        <v>194</v>
      </c>
      <c r="O1547" s="1">
        <v>7.8359005E7</v>
      </c>
      <c r="P1547" s="1" t="s">
        <v>486</v>
      </c>
      <c r="R1547" s="1" t="s">
        <v>487</v>
      </c>
      <c r="S1547" s="1" t="s">
        <v>44</v>
      </c>
      <c r="T1547" s="1" t="s">
        <v>45</v>
      </c>
      <c r="U1547" s="1">
        <v>4.82011006E8</v>
      </c>
      <c r="W1547" s="1" t="s">
        <v>46</v>
      </c>
      <c r="X1547" s="1" t="s">
        <v>45</v>
      </c>
      <c r="Y1547" s="1">
        <v>4.82011006E8</v>
      </c>
      <c r="AB1547" s="1">
        <v>346672.0</v>
      </c>
      <c r="AC1547" s="2">
        <v>41752.0</v>
      </c>
      <c r="AD1547" s="1">
        <v>9100.0</v>
      </c>
      <c r="AE1547" s="1" t="s">
        <v>194</v>
      </c>
      <c r="AF1547" s="1" t="s">
        <v>3018</v>
      </c>
      <c r="AG1547" s="1" t="s">
        <v>3000</v>
      </c>
      <c r="AH1547" s="1">
        <v>1.0</v>
      </c>
      <c r="AI1547" s="1">
        <v>2015.0</v>
      </c>
      <c r="AJ1547" s="1">
        <v>2014.0</v>
      </c>
      <c r="AK1547" s="1" t="s">
        <v>1171</v>
      </c>
    </row>
    <row r="1548">
      <c r="A1548" s="1" t="s">
        <v>2995</v>
      </c>
      <c r="B1548" s="1" t="s">
        <v>2995</v>
      </c>
      <c r="C1548" s="1" t="s">
        <v>194</v>
      </c>
      <c r="E1548" s="1">
        <v>5.11731456E8</v>
      </c>
      <c r="F1548" s="2">
        <v>41733.0</v>
      </c>
      <c r="G1548" s="1" t="s">
        <v>1168</v>
      </c>
      <c r="I1548" s="1" t="s">
        <v>1168</v>
      </c>
      <c r="L1548" s="1" t="s">
        <v>194</v>
      </c>
      <c r="M1548" s="1">
        <v>9100.0</v>
      </c>
      <c r="N1548" s="1" t="s">
        <v>194</v>
      </c>
      <c r="O1548" s="1">
        <v>3.1613877E7</v>
      </c>
      <c r="P1548" s="1" t="s">
        <v>2626</v>
      </c>
      <c r="R1548" s="1" t="s">
        <v>2627</v>
      </c>
      <c r="S1548" s="1" t="s">
        <v>44</v>
      </c>
      <c r="T1548" s="1" t="s">
        <v>45</v>
      </c>
      <c r="U1548" s="1">
        <v>4.82111081E8</v>
      </c>
      <c r="W1548" s="1" t="s">
        <v>44</v>
      </c>
      <c r="X1548" s="1" t="s">
        <v>45</v>
      </c>
      <c r="Y1548" s="1">
        <v>4.82111081E8</v>
      </c>
      <c r="AB1548" s="1">
        <v>173489.0</v>
      </c>
      <c r="AC1548" s="2">
        <v>41733.0</v>
      </c>
      <c r="AD1548" s="1">
        <v>9100.0</v>
      </c>
      <c r="AE1548" s="1" t="s">
        <v>194</v>
      </c>
      <c r="AF1548" s="1" t="s">
        <v>3019</v>
      </c>
      <c r="AG1548" s="1" t="s">
        <v>1170</v>
      </c>
      <c r="AH1548" s="1">
        <v>1.0</v>
      </c>
      <c r="AI1548" s="1">
        <v>2015.0</v>
      </c>
      <c r="AJ1548" s="1">
        <v>2014.0</v>
      </c>
      <c r="AK1548" s="1" t="s">
        <v>1171</v>
      </c>
    </row>
    <row r="1549">
      <c r="A1549" s="1" t="s">
        <v>2995</v>
      </c>
      <c r="B1549" s="1" t="s">
        <v>2995</v>
      </c>
      <c r="C1549" s="1" t="s">
        <v>194</v>
      </c>
      <c r="E1549" s="1">
        <v>5.11731456E8</v>
      </c>
      <c r="F1549" s="2">
        <v>41809.0</v>
      </c>
      <c r="G1549" s="1" t="s">
        <v>1168</v>
      </c>
      <c r="I1549" s="1" t="s">
        <v>1168</v>
      </c>
      <c r="L1549" s="1" t="s">
        <v>194</v>
      </c>
      <c r="M1549" s="1">
        <v>9100.0</v>
      </c>
      <c r="N1549" s="1" t="s">
        <v>194</v>
      </c>
      <c r="O1549" s="1">
        <v>7.8583963E7</v>
      </c>
      <c r="P1549" s="1" t="s">
        <v>526</v>
      </c>
      <c r="Q1549" s="1" t="s">
        <v>527</v>
      </c>
      <c r="R1549" s="1" t="s">
        <v>3020</v>
      </c>
      <c r="S1549" s="1" t="s">
        <v>44</v>
      </c>
      <c r="T1549" s="1" t="s">
        <v>45</v>
      </c>
      <c r="U1549" s="1">
        <v>4.82091434E8</v>
      </c>
      <c r="W1549" s="1" t="s">
        <v>46</v>
      </c>
      <c r="X1549" s="1" t="s">
        <v>45</v>
      </c>
      <c r="Y1549" s="1">
        <v>4.82091434E8</v>
      </c>
      <c r="AB1549" s="1">
        <v>465553.0</v>
      </c>
      <c r="AC1549" s="2">
        <v>41809.0</v>
      </c>
      <c r="AD1549" s="1">
        <v>9100.0</v>
      </c>
      <c r="AE1549" s="1" t="s">
        <v>194</v>
      </c>
      <c r="AF1549" s="1" t="s">
        <v>3021</v>
      </c>
      <c r="AG1549" s="1" t="s">
        <v>3000</v>
      </c>
      <c r="AH1549" s="1">
        <v>1.0</v>
      </c>
      <c r="AI1549" s="1">
        <v>2015.0</v>
      </c>
      <c r="AJ1549" s="1">
        <v>2014.0</v>
      </c>
      <c r="AK1549" s="1" t="s">
        <v>1171</v>
      </c>
    </row>
    <row r="1550">
      <c r="A1550" s="1" t="s">
        <v>2995</v>
      </c>
      <c r="B1550" s="1" t="s">
        <v>2995</v>
      </c>
      <c r="C1550" s="1" t="s">
        <v>194</v>
      </c>
      <c r="E1550" s="1">
        <v>5.11731456E8</v>
      </c>
      <c r="F1550" s="2">
        <v>41705.0</v>
      </c>
      <c r="G1550" s="1" t="s">
        <v>1168</v>
      </c>
      <c r="I1550" s="1" t="s">
        <v>1168</v>
      </c>
      <c r="L1550" s="1" t="s">
        <v>194</v>
      </c>
      <c r="M1550" s="1">
        <v>9100.0</v>
      </c>
      <c r="N1550" s="1" t="s">
        <v>194</v>
      </c>
      <c r="O1550" s="1">
        <v>1.6338926E8</v>
      </c>
      <c r="P1550" s="1" t="s">
        <v>465</v>
      </c>
      <c r="Q1550" s="1" t="s">
        <v>598</v>
      </c>
      <c r="R1550" s="1" t="s">
        <v>599</v>
      </c>
      <c r="S1550" s="1" t="s">
        <v>44</v>
      </c>
      <c r="T1550" s="1" t="s">
        <v>45</v>
      </c>
      <c r="U1550" s="1">
        <v>4.82023457E8</v>
      </c>
      <c r="W1550" s="1" t="s">
        <v>44</v>
      </c>
      <c r="X1550" s="1" t="s">
        <v>45</v>
      </c>
      <c r="Y1550" s="1">
        <v>4.82023457E8</v>
      </c>
      <c r="Z1550" s="1">
        <v>1.6338926E8</v>
      </c>
      <c r="AA1550" s="1" t="s">
        <v>465</v>
      </c>
      <c r="AB1550" s="1">
        <v>1328227.0</v>
      </c>
      <c r="AC1550" s="2">
        <v>41705.0</v>
      </c>
      <c r="AD1550" s="1">
        <v>9100.0</v>
      </c>
      <c r="AE1550" s="1" t="s">
        <v>194</v>
      </c>
      <c r="AF1550" s="1" t="s">
        <v>3022</v>
      </c>
      <c r="AG1550" s="1" t="s">
        <v>1170</v>
      </c>
      <c r="AH1550" s="1">
        <v>1.0</v>
      </c>
      <c r="AI1550" s="1">
        <v>2015.0</v>
      </c>
      <c r="AJ1550" s="1">
        <v>2014.0</v>
      </c>
      <c r="AK1550" s="1" t="s">
        <v>1171</v>
      </c>
    </row>
    <row r="1551">
      <c r="A1551" s="1" t="s">
        <v>2995</v>
      </c>
      <c r="B1551" s="1" t="s">
        <v>2995</v>
      </c>
      <c r="C1551" s="1" t="s">
        <v>194</v>
      </c>
      <c r="E1551" s="1">
        <v>5.11731456E8</v>
      </c>
      <c r="F1551" s="2">
        <v>41703.0</v>
      </c>
      <c r="G1551" s="1" t="s">
        <v>1168</v>
      </c>
      <c r="I1551" s="1" t="s">
        <v>1168</v>
      </c>
      <c r="L1551" s="1" t="s">
        <v>194</v>
      </c>
      <c r="M1551" s="1">
        <v>9100.0</v>
      </c>
      <c r="N1551" s="1" t="s">
        <v>194</v>
      </c>
      <c r="O1551" s="1">
        <v>1.9859919E7</v>
      </c>
      <c r="P1551" s="1" t="s">
        <v>1657</v>
      </c>
      <c r="R1551" s="1" t="s">
        <v>1173</v>
      </c>
      <c r="S1551" s="1" t="s">
        <v>44</v>
      </c>
      <c r="T1551" s="1" t="s">
        <v>45</v>
      </c>
      <c r="U1551" s="1">
        <v>4.82191263E8</v>
      </c>
      <c r="W1551" s="1" t="s">
        <v>44</v>
      </c>
      <c r="X1551" s="1" t="s">
        <v>45</v>
      </c>
      <c r="Y1551" s="1">
        <v>4.82191263E8</v>
      </c>
      <c r="AB1551" s="1">
        <v>67900.0</v>
      </c>
      <c r="AC1551" s="2">
        <v>41703.0</v>
      </c>
      <c r="AD1551" s="1">
        <v>9100.0</v>
      </c>
      <c r="AE1551" s="1" t="s">
        <v>194</v>
      </c>
      <c r="AF1551" s="1" t="s">
        <v>3023</v>
      </c>
      <c r="AG1551" s="1" t="s">
        <v>1170</v>
      </c>
      <c r="AH1551" s="1">
        <v>1.0</v>
      </c>
      <c r="AI1551" s="1">
        <v>2015.0</v>
      </c>
      <c r="AJ1551" s="1">
        <v>2014.0</v>
      </c>
      <c r="AK1551" s="1" t="s">
        <v>1171</v>
      </c>
    </row>
    <row r="1552">
      <c r="A1552" s="1" t="s">
        <v>2995</v>
      </c>
      <c r="B1552" s="1" t="s">
        <v>2995</v>
      </c>
      <c r="C1552" s="1" t="s">
        <v>194</v>
      </c>
      <c r="E1552" s="1">
        <v>5.11731456E8</v>
      </c>
      <c r="F1552" s="2">
        <v>41682.0</v>
      </c>
      <c r="G1552" s="1" t="s">
        <v>1168</v>
      </c>
      <c r="I1552" s="1" t="s">
        <v>1168</v>
      </c>
      <c r="L1552" s="1" t="s">
        <v>194</v>
      </c>
      <c r="M1552" s="1">
        <v>9100.0</v>
      </c>
      <c r="N1552" s="1" t="s">
        <v>194</v>
      </c>
      <c r="O1552" s="1">
        <v>9.62104118E8</v>
      </c>
      <c r="P1552" s="1" t="s">
        <v>634</v>
      </c>
      <c r="R1552" s="1" t="s">
        <v>635</v>
      </c>
      <c r="S1552" s="1" t="s">
        <v>44</v>
      </c>
      <c r="T1552" s="1" t="s">
        <v>45</v>
      </c>
      <c r="U1552" s="1">
        <v>4.82351111E8</v>
      </c>
      <c r="W1552" s="1" t="s">
        <v>46</v>
      </c>
      <c r="X1552" s="1" t="s">
        <v>45</v>
      </c>
      <c r="Y1552" s="1">
        <v>4.82351111E8</v>
      </c>
      <c r="AB1552" s="1">
        <v>262429.0</v>
      </c>
      <c r="AC1552" s="2">
        <v>41682.0</v>
      </c>
      <c r="AD1552" s="1">
        <v>9100.0</v>
      </c>
      <c r="AE1552" s="1" t="s">
        <v>194</v>
      </c>
      <c r="AF1552" s="1" t="s">
        <v>3024</v>
      </c>
      <c r="AG1552" s="1" t="s">
        <v>1170</v>
      </c>
      <c r="AH1552" s="1">
        <v>1.0</v>
      </c>
      <c r="AI1552" s="1">
        <v>2015.0</v>
      </c>
      <c r="AJ1552" s="1">
        <v>2014.0</v>
      </c>
      <c r="AK1552" s="1" t="s">
        <v>1171</v>
      </c>
    </row>
    <row r="1553">
      <c r="A1553" s="1" t="s">
        <v>2980</v>
      </c>
      <c r="B1553" s="1" t="s">
        <v>2980</v>
      </c>
      <c r="C1553" s="1" t="s">
        <v>129</v>
      </c>
      <c r="E1553" s="1">
        <v>3414638.0</v>
      </c>
      <c r="F1553" s="2">
        <v>41548.0</v>
      </c>
      <c r="G1553" s="1" t="s">
        <v>2981</v>
      </c>
      <c r="I1553" s="1" t="s">
        <v>2981</v>
      </c>
      <c r="L1553" s="1" t="s">
        <v>40</v>
      </c>
      <c r="M1553" s="1">
        <v>7500.0</v>
      </c>
      <c r="N1553" s="1" t="s">
        <v>40</v>
      </c>
      <c r="O1553" s="1">
        <v>7.8074923E8</v>
      </c>
      <c r="P1553" s="1" t="s">
        <v>419</v>
      </c>
      <c r="R1553" s="1" t="s">
        <v>420</v>
      </c>
      <c r="S1553" s="1" t="s">
        <v>44</v>
      </c>
      <c r="T1553" s="1" t="s">
        <v>45</v>
      </c>
      <c r="U1553" s="1">
        <v>4.82082365E8</v>
      </c>
      <c r="W1553" s="1" t="s">
        <v>46</v>
      </c>
      <c r="X1553" s="1" t="s">
        <v>45</v>
      </c>
      <c r="Y1553" s="1">
        <v>4.82082365E8</v>
      </c>
      <c r="AB1553" s="1">
        <v>100000.0</v>
      </c>
      <c r="AC1553" s="2">
        <v>41548.0</v>
      </c>
      <c r="AD1553" s="1">
        <v>7500.0</v>
      </c>
      <c r="AE1553" s="1" t="s">
        <v>40</v>
      </c>
      <c r="AF1553" s="1">
        <v>2.0140331E7</v>
      </c>
      <c r="AG1553" s="1" t="s">
        <v>1430</v>
      </c>
      <c r="AH1553" s="1">
        <v>10.0</v>
      </c>
      <c r="AI1553" s="1">
        <v>2010.0</v>
      </c>
      <c r="AJ1553" s="1">
        <v>2014.0</v>
      </c>
      <c r="AK1553" s="1" t="s">
        <v>1431</v>
      </c>
    </row>
    <row r="1554">
      <c r="A1554" s="1" t="s">
        <v>2995</v>
      </c>
      <c r="B1554" s="1" t="s">
        <v>2995</v>
      </c>
      <c r="C1554" s="1" t="s">
        <v>194</v>
      </c>
      <c r="E1554" s="1">
        <v>5.11731456E8</v>
      </c>
      <c r="F1554" s="2">
        <v>41799.0</v>
      </c>
      <c r="G1554" s="1" t="s">
        <v>1168</v>
      </c>
      <c r="I1554" s="1" t="s">
        <v>1168</v>
      </c>
      <c r="L1554" s="1" t="s">
        <v>194</v>
      </c>
      <c r="M1554" s="1">
        <v>9100.0</v>
      </c>
      <c r="N1554" s="1" t="s">
        <v>194</v>
      </c>
      <c r="O1554" s="1">
        <v>9.6910162E8</v>
      </c>
      <c r="P1554" s="1" t="s">
        <v>579</v>
      </c>
      <c r="R1554" s="1" t="s">
        <v>580</v>
      </c>
      <c r="S1554" s="1" t="s">
        <v>44</v>
      </c>
      <c r="T1554" s="1" t="s">
        <v>45</v>
      </c>
      <c r="U1554" s="1">
        <v>4.82283905E8</v>
      </c>
      <c r="W1554" s="1" t="s">
        <v>287</v>
      </c>
      <c r="X1554" s="1" t="s">
        <v>45</v>
      </c>
      <c r="Y1554" s="1">
        <v>4.82283905E8</v>
      </c>
      <c r="AB1554" s="1">
        <v>190784.0</v>
      </c>
      <c r="AC1554" s="2">
        <v>41799.0</v>
      </c>
      <c r="AD1554" s="1">
        <v>9100.0</v>
      </c>
      <c r="AE1554" s="1" t="s">
        <v>194</v>
      </c>
      <c r="AF1554" s="1" t="s">
        <v>3025</v>
      </c>
      <c r="AG1554" s="1" t="s">
        <v>1170</v>
      </c>
      <c r="AH1554" s="1">
        <v>1.0</v>
      </c>
      <c r="AI1554" s="1">
        <v>2015.0</v>
      </c>
      <c r="AJ1554" s="1">
        <v>2014.0</v>
      </c>
      <c r="AK1554" s="1" t="s">
        <v>1171</v>
      </c>
    </row>
    <row r="1555">
      <c r="A1555" s="1" t="s">
        <v>2992</v>
      </c>
      <c r="B1555" s="1" t="s">
        <v>2992</v>
      </c>
      <c r="C1555" s="1" t="s">
        <v>129</v>
      </c>
      <c r="E1555" s="1">
        <v>1582653.0</v>
      </c>
      <c r="F1555" s="2">
        <v>41913.0</v>
      </c>
      <c r="G1555" s="1" t="s">
        <v>2993</v>
      </c>
      <c r="I1555" s="1" t="s">
        <v>2993</v>
      </c>
      <c r="L1555" s="1" t="s">
        <v>40</v>
      </c>
      <c r="M1555" s="1">
        <v>7500.0</v>
      </c>
      <c r="N1555" s="1" t="s">
        <v>40</v>
      </c>
      <c r="O1555" s="1">
        <v>7.8074923E8</v>
      </c>
      <c r="P1555" s="1" t="s">
        <v>419</v>
      </c>
      <c r="R1555" s="1" t="s">
        <v>420</v>
      </c>
      <c r="S1555" s="1" t="s">
        <v>44</v>
      </c>
      <c r="T1555" s="1" t="s">
        <v>45</v>
      </c>
      <c r="U1555" s="1">
        <v>4.82082365E8</v>
      </c>
      <c r="W1555" s="1" t="s">
        <v>46</v>
      </c>
      <c r="X1555" s="1" t="s">
        <v>45</v>
      </c>
      <c r="Y1555" s="1">
        <v>4.82082365E8</v>
      </c>
      <c r="AB1555" s="1">
        <v>100000.0</v>
      </c>
      <c r="AC1555" s="2">
        <v>41913.0</v>
      </c>
      <c r="AD1555" s="1">
        <v>7500.0</v>
      </c>
      <c r="AE1555" s="1" t="s">
        <v>40</v>
      </c>
      <c r="AF1555" s="1">
        <v>2.0150209E7</v>
      </c>
      <c r="AG1555" s="1" t="s">
        <v>1430</v>
      </c>
      <c r="AH1555" s="1">
        <v>10.0</v>
      </c>
      <c r="AI1555" s="1">
        <v>2012.0</v>
      </c>
      <c r="AJ1555" s="1">
        <v>2015.0</v>
      </c>
      <c r="AK1555" s="1" t="s">
        <v>1431</v>
      </c>
    </row>
    <row r="1556">
      <c r="A1556" s="1" t="s">
        <v>2995</v>
      </c>
      <c r="B1556" s="1" t="s">
        <v>2995</v>
      </c>
      <c r="C1556" s="1" t="s">
        <v>194</v>
      </c>
      <c r="E1556" s="1">
        <v>5.11731456E8</v>
      </c>
      <c r="F1556" s="2">
        <v>41681.0</v>
      </c>
      <c r="G1556" s="1" t="s">
        <v>1168</v>
      </c>
      <c r="I1556" s="1" t="s">
        <v>1168</v>
      </c>
      <c r="L1556" s="1" t="s">
        <v>194</v>
      </c>
      <c r="M1556" s="1">
        <v>9100.0</v>
      </c>
      <c r="N1556" s="1" t="s">
        <v>194</v>
      </c>
      <c r="O1556" s="1">
        <v>1.80070547E8</v>
      </c>
      <c r="P1556" s="1" t="s">
        <v>508</v>
      </c>
      <c r="R1556" s="1" t="s">
        <v>509</v>
      </c>
      <c r="S1556" s="1" t="s">
        <v>44</v>
      </c>
      <c r="T1556" s="1" t="s">
        <v>45</v>
      </c>
      <c r="U1556" s="1">
        <v>4.82133487E8</v>
      </c>
      <c r="W1556" s="1" t="s">
        <v>44</v>
      </c>
      <c r="X1556" s="1" t="s">
        <v>45</v>
      </c>
      <c r="Y1556" s="1">
        <v>4.82133487E8</v>
      </c>
      <c r="AB1556" s="1">
        <v>1216611.0</v>
      </c>
      <c r="AC1556" s="2">
        <v>41681.0</v>
      </c>
      <c r="AD1556" s="1">
        <v>9100.0</v>
      </c>
      <c r="AE1556" s="1" t="s">
        <v>194</v>
      </c>
      <c r="AF1556" s="1" t="s">
        <v>3026</v>
      </c>
      <c r="AG1556" s="1" t="s">
        <v>3000</v>
      </c>
      <c r="AH1556" s="1">
        <v>1.0</v>
      </c>
      <c r="AI1556" s="1">
        <v>2015.0</v>
      </c>
      <c r="AJ1556" s="1">
        <v>2014.0</v>
      </c>
      <c r="AK1556" s="1" t="s">
        <v>1171</v>
      </c>
    </row>
    <row r="1557">
      <c r="A1557" s="1" t="s">
        <v>2995</v>
      </c>
      <c r="B1557" s="1" t="s">
        <v>2995</v>
      </c>
      <c r="C1557" s="1" t="s">
        <v>194</v>
      </c>
      <c r="E1557" s="1">
        <v>5.11731456E8</v>
      </c>
      <c r="F1557" s="2">
        <v>41683.0</v>
      </c>
      <c r="G1557" s="1" t="s">
        <v>1168</v>
      </c>
      <c r="I1557" s="1" t="s">
        <v>1168</v>
      </c>
      <c r="L1557" s="1" t="s">
        <v>194</v>
      </c>
      <c r="M1557" s="1">
        <v>9100.0</v>
      </c>
      <c r="N1557" s="1" t="s">
        <v>194</v>
      </c>
      <c r="O1557" s="1">
        <v>1.68568132E8</v>
      </c>
      <c r="P1557" s="1" t="s">
        <v>588</v>
      </c>
      <c r="R1557" s="1" t="s">
        <v>589</v>
      </c>
      <c r="S1557" s="1" t="s">
        <v>44</v>
      </c>
      <c r="T1557" s="1" t="s">
        <v>45</v>
      </c>
      <c r="U1557" s="1">
        <v>4.82143323E8</v>
      </c>
      <c r="W1557" s="1" t="s">
        <v>44</v>
      </c>
      <c r="X1557" s="1" t="s">
        <v>45</v>
      </c>
      <c r="Y1557" s="1">
        <v>4.82143323E8</v>
      </c>
      <c r="Z1557" s="1">
        <v>9.60742484E8</v>
      </c>
      <c r="AB1557" s="1">
        <v>501741.0</v>
      </c>
      <c r="AC1557" s="2">
        <v>41683.0</v>
      </c>
      <c r="AD1557" s="1">
        <v>9100.0</v>
      </c>
      <c r="AE1557" s="1" t="s">
        <v>194</v>
      </c>
      <c r="AF1557" s="1" t="s">
        <v>3027</v>
      </c>
      <c r="AG1557" s="1" t="s">
        <v>1170</v>
      </c>
      <c r="AH1557" s="1">
        <v>1.0</v>
      </c>
      <c r="AI1557" s="1">
        <v>2015.0</v>
      </c>
      <c r="AJ1557" s="1">
        <v>2014.0</v>
      </c>
      <c r="AK1557" s="1" t="s">
        <v>1171</v>
      </c>
    </row>
    <row r="1558">
      <c r="A1558" s="1" t="s">
        <v>2995</v>
      </c>
      <c r="B1558" s="1" t="s">
        <v>2995</v>
      </c>
      <c r="C1558" s="1" t="s">
        <v>194</v>
      </c>
      <c r="E1558" s="1">
        <v>5.11731456E8</v>
      </c>
      <c r="F1558" s="2">
        <v>41666.0</v>
      </c>
      <c r="G1558" s="1" t="s">
        <v>1168</v>
      </c>
      <c r="I1558" s="1" t="s">
        <v>1168</v>
      </c>
      <c r="L1558" s="1" t="s">
        <v>194</v>
      </c>
      <c r="M1558" s="1">
        <v>9100.0</v>
      </c>
      <c r="N1558" s="1" t="s">
        <v>194</v>
      </c>
      <c r="O1558" s="1">
        <v>7.93697942E8</v>
      </c>
      <c r="P1558" s="1" t="s">
        <v>459</v>
      </c>
      <c r="R1558" s="1" t="s">
        <v>460</v>
      </c>
      <c r="S1558" s="1" t="s">
        <v>44</v>
      </c>
      <c r="T1558" s="1" t="s">
        <v>45</v>
      </c>
      <c r="U1558" s="1">
        <v>4.82141601E8</v>
      </c>
      <c r="W1558" s="1" t="s">
        <v>44</v>
      </c>
      <c r="X1558" s="1" t="s">
        <v>45</v>
      </c>
      <c r="Y1558" s="1">
        <v>4.82141601E8</v>
      </c>
      <c r="Z1558" s="1">
        <v>7.6340843E7</v>
      </c>
      <c r="AA1558" s="1" t="s">
        <v>461</v>
      </c>
      <c r="AB1558" s="1">
        <v>355302.0</v>
      </c>
      <c r="AC1558" s="2">
        <v>41666.0</v>
      </c>
      <c r="AD1558" s="1">
        <v>9100.0</v>
      </c>
      <c r="AE1558" s="1" t="s">
        <v>194</v>
      </c>
      <c r="AF1558" s="1" t="s">
        <v>3028</v>
      </c>
      <c r="AG1558" s="1" t="s">
        <v>1170</v>
      </c>
      <c r="AH1558" s="1">
        <v>1.0</v>
      </c>
      <c r="AI1558" s="1">
        <v>2015.0</v>
      </c>
      <c r="AJ1558" s="1">
        <v>2014.0</v>
      </c>
      <c r="AK1558" s="1" t="s">
        <v>1171</v>
      </c>
    </row>
    <row r="1559">
      <c r="A1559" s="1" t="s">
        <v>2995</v>
      </c>
      <c r="B1559" s="1" t="s">
        <v>2995</v>
      </c>
      <c r="C1559" s="1" t="s">
        <v>194</v>
      </c>
      <c r="E1559" s="1">
        <v>5.11731456E8</v>
      </c>
      <c r="F1559" s="2">
        <v>41682.0</v>
      </c>
      <c r="G1559" s="1" t="s">
        <v>1168</v>
      </c>
      <c r="I1559" s="1" t="s">
        <v>1168</v>
      </c>
      <c r="L1559" s="1" t="s">
        <v>194</v>
      </c>
      <c r="M1559" s="1">
        <v>9100.0</v>
      </c>
      <c r="N1559" s="1" t="s">
        <v>194</v>
      </c>
      <c r="O1559" s="1">
        <v>7.8811813E7</v>
      </c>
      <c r="P1559" s="1" t="s">
        <v>2629</v>
      </c>
      <c r="R1559" s="1">
        <v>16411.0</v>
      </c>
      <c r="S1559" s="1" t="s">
        <v>44</v>
      </c>
      <c r="T1559" s="1" t="s">
        <v>45</v>
      </c>
      <c r="U1559" s="1">
        <v>48225.0</v>
      </c>
      <c r="W1559" s="1" t="s">
        <v>46</v>
      </c>
      <c r="X1559" s="1" t="s">
        <v>45</v>
      </c>
      <c r="Y1559" s="1">
        <v>4.8238E8</v>
      </c>
      <c r="AB1559" s="1">
        <v>348713.0</v>
      </c>
      <c r="AC1559" s="2">
        <v>41682.0</v>
      </c>
      <c r="AD1559" s="1">
        <v>9100.0</v>
      </c>
      <c r="AE1559" s="1" t="s">
        <v>194</v>
      </c>
      <c r="AF1559" s="1" t="s">
        <v>3029</v>
      </c>
      <c r="AG1559" s="1" t="s">
        <v>3000</v>
      </c>
      <c r="AH1559" s="1">
        <v>1.0</v>
      </c>
      <c r="AI1559" s="1">
        <v>2015.0</v>
      </c>
      <c r="AJ1559" s="1">
        <v>2014.0</v>
      </c>
      <c r="AK1559" s="1" t="s">
        <v>1171</v>
      </c>
    </row>
    <row r="1560">
      <c r="A1560" s="1" t="s">
        <v>2995</v>
      </c>
      <c r="B1560" s="1" t="s">
        <v>2995</v>
      </c>
      <c r="C1560" s="1" t="s">
        <v>194</v>
      </c>
      <c r="E1560" s="1">
        <v>5.11731456E8</v>
      </c>
      <c r="F1560" s="2">
        <v>41725.0</v>
      </c>
      <c r="G1560" s="1" t="s">
        <v>1168</v>
      </c>
      <c r="I1560" s="1" t="s">
        <v>1168</v>
      </c>
      <c r="L1560" s="1" t="s">
        <v>194</v>
      </c>
      <c r="M1560" s="1">
        <v>9100.0</v>
      </c>
      <c r="N1560" s="1" t="s">
        <v>194</v>
      </c>
      <c r="O1560" s="1">
        <v>1.9859285E7</v>
      </c>
      <c r="P1560" s="1" t="s">
        <v>1172</v>
      </c>
      <c r="R1560" s="1" t="s">
        <v>1173</v>
      </c>
      <c r="S1560" s="1" t="s">
        <v>44</v>
      </c>
      <c r="T1560" s="1" t="s">
        <v>45</v>
      </c>
      <c r="U1560" s="1">
        <v>4.82191263E8</v>
      </c>
      <c r="W1560" s="1" t="s">
        <v>44</v>
      </c>
      <c r="X1560" s="1" t="s">
        <v>45</v>
      </c>
      <c r="Y1560" s="1">
        <v>4.82191263E8</v>
      </c>
      <c r="AB1560" s="1">
        <v>230777.0</v>
      </c>
      <c r="AC1560" s="2">
        <v>41725.0</v>
      </c>
      <c r="AD1560" s="1">
        <v>9100.0</v>
      </c>
      <c r="AE1560" s="1" t="s">
        <v>194</v>
      </c>
      <c r="AF1560" s="1" t="s">
        <v>3030</v>
      </c>
      <c r="AG1560" s="1" t="s">
        <v>1170</v>
      </c>
      <c r="AH1560" s="1">
        <v>1.0</v>
      </c>
      <c r="AI1560" s="1">
        <v>2015.0</v>
      </c>
      <c r="AJ1560" s="1">
        <v>2014.0</v>
      </c>
      <c r="AK1560" s="1" t="s">
        <v>1171</v>
      </c>
    </row>
    <row r="1561">
      <c r="A1561" s="1" t="s">
        <v>2995</v>
      </c>
      <c r="B1561" s="1" t="s">
        <v>2995</v>
      </c>
      <c r="C1561" s="1" t="s">
        <v>194</v>
      </c>
      <c r="E1561" s="1">
        <v>5.11731456E8</v>
      </c>
      <c r="F1561" s="2">
        <v>41746.0</v>
      </c>
      <c r="G1561" s="1" t="s">
        <v>1168</v>
      </c>
      <c r="I1561" s="1" t="s">
        <v>1168</v>
      </c>
      <c r="L1561" s="1" t="s">
        <v>194</v>
      </c>
      <c r="M1561" s="1">
        <v>9100.0</v>
      </c>
      <c r="N1561" s="1" t="s">
        <v>194</v>
      </c>
      <c r="O1561" s="1">
        <v>7.8638919E7</v>
      </c>
      <c r="P1561" s="1" t="s">
        <v>3031</v>
      </c>
      <c r="R1561" s="1" t="s">
        <v>3032</v>
      </c>
      <c r="S1561" s="1" t="s">
        <v>44</v>
      </c>
      <c r="T1561" s="1" t="s">
        <v>45</v>
      </c>
      <c r="U1561" s="1">
        <v>4.8216195E8</v>
      </c>
      <c r="W1561" s="1" t="s">
        <v>44</v>
      </c>
      <c r="X1561" s="1" t="s">
        <v>45</v>
      </c>
      <c r="Y1561" s="1">
        <v>4.8216195E8</v>
      </c>
      <c r="AB1561" s="1">
        <v>34753.0</v>
      </c>
      <c r="AC1561" s="2">
        <v>41746.0</v>
      </c>
      <c r="AD1561" s="1">
        <v>9100.0</v>
      </c>
      <c r="AE1561" s="1" t="s">
        <v>194</v>
      </c>
      <c r="AF1561" s="1" t="s">
        <v>3033</v>
      </c>
      <c r="AG1561" s="1" t="s">
        <v>1170</v>
      </c>
      <c r="AH1561" s="1">
        <v>1.0</v>
      </c>
      <c r="AI1561" s="1">
        <v>2015.0</v>
      </c>
      <c r="AJ1561" s="1">
        <v>2014.0</v>
      </c>
      <c r="AK1561" s="1" t="s">
        <v>1171</v>
      </c>
    </row>
    <row r="1562">
      <c r="A1562" s="1" t="s">
        <v>2995</v>
      </c>
      <c r="B1562" s="1" t="s">
        <v>2995</v>
      </c>
      <c r="C1562" s="1" t="s">
        <v>194</v>
      </c>
      <c r="E1562" s="1">
        <v>5.11731456E8</v>
      </c>
      <c r="F1562" s="2">
        <v>41809.0</v>
      </c>
      <c r="G1562" s="1" t="s">
        <v>1168</v>
      </c>
      <c r="I1562" s="1" t="s">
        <v>1168</v>
      </c>
      <c r="L1562" s="1" t="s">
        <v>194</v>
      </c>
      <c r="M1562" s="1">
        <v>9100.0</v>
      </c>
      <c r="N1562" s="1" t="s">
        <v>194</v>
      </c>
      <c r="O1562" s="1">
        <v>8.76992343E8</v>
      </c>
      <c r="P1562" s="1" t="s">
        <v>550</v>
      </c>
      <c r="R1562" s="1" t="s">
        <v>551</v>
      </c>
      <c r="S1562" s="1" t="s">
        <v>44</v>
      </c>
      <c r="T1562" s="1" t="s">
        <v>45</v>
      </c>
      <c r="U1562" s="1">
        <v>4.82102451E8</v>
      </c>
      <c r="W1562" s="1" t="s">
        <v>44</v>
      </c>
      <c r="X1562" s="1" t="s">
        <v>45</v>
      </c>
      <c r="Y1562" s="1">
        <v>4.82102451E8</v>
      </c>
      <c r="AB1562" s="1">
        <v>735871.0</v>
      </c>
      <c r="AC1562" s="2">
        <v>41809.0</v>
      </c>
      <c r="AD1562" s="1">
        <v>9100.0</v>
      </c>
      <c r="AE1562" s="1" t="s">
        <v>194</v>
      </c>
      <c r="AF1562" s="1" t="s">
        <v>3034</v>
      </c>
      <c r="AG1562" s="1" t="s">
        <v>1170</v>
      </c>
      <c r="AH1562" s="1">
        <v>1.0</v>
      </c>
      <c r="AI1562" s="1">
        <v>2015.0</v>
      </c>
      <c r="AJ1562" s="1">
        <v>2014.0</v>
      </c>
      <c r="AK1562" s="1" t="s">
        <v>1171</v>
      </c>
    </row>
    <row r="1563">
      <c r="A1563" s="1" t="s">
        <v>2995</v>
      </c>
      <c r="B1563" s="1" t="s">
        <v>2995</v>
      </c>
      <c r="C1563" s="1" t="s">
        <v>194</v>
      </c>
      <c r="E1563" s="1">
        <v>5.11731456E8</v>
      </c>
      <c r="F1563" s="2">
        <v>41729.0</v>
      </c>
      <c r="G1563" s="1" t="s">
        <v>1168</v>
      </c>
      <c r="I1563" s="1" t="s">
        <v>1168</v>
      </c>
      <c r="L1563" s="1" t="s">
        <v>194</v>
      </c>
      <c r="M1563" s="1">
        <v>9100.0</v>
      </c>
      <c r="N1563" s="1" t="s">
        <v>194</v>
      </c>
      <c r="O1563" s="1">
        <v>9.65778702E8</v>
      </c>
      <c r="P1563" s="1" t="s">
        <v>493</v>
      </c>
      <c r="R1563" s="1" t="s">
        <v>494</v>
      </c>
      <c r="S1563" s="1" t="s">
        <v>44</v>
      </c>
      <c r="T1563" s="1" t="s">
        <v>45</v>
      </c>
      <c r="U1563" s="1">
        <v>4.82082475E8</v>
      </c>
      <c r="W1563" s="1" t="s">
        <v>44</v>
      </c>
      <c r="X1563" s="1" t="s">
        <v>45</v>
      </c>
      <c r="Y1563" s="1">
        <v>4.82082475E8</v>
      </c>
      <c r="AB1563" s="1">
        <v>1036018.0</v>
      </c>
      <c r="AC1563" s="2">
        <v>41729.0</v>
      </c>
      <c r="AD1563" s="1">
        <v>9100.0</v>
      </c>
      <c r="AE1563" s="1" t="s">
        <v>194</v>
      </c>
      <c r="AF1563" s="1" t="s">
        <v>3035</v>
      </c>
      <c r="AG1563" s="1" t="s">
        <v>1170</v>
      </c>
      <c r="AH1563" s="1">
        <v>1.0</v>
      </c>
      <c r="AI1563" s="1">
        <v>2015.0</v>
      </c>
      <c r="AJ1563" s="1">
        <v>2014.0</v>
      </c>
      <c r="AK1563" s="1" t="s">
        <v>1171</v>
      </c>
    </row>
    <row r="1564">
      <c r="A1564" s="1" t="s">
        <v>2995</v>
      </c>
      <c r="B1564" s="1" t="s">
        <v>2995</v>
      </c>
      <c r="C1564" s="1" t="s">
        <v>194</v>
      </c>
      <c r="E1564" s="1">
        <v>5.11731456E8</v>
      </c>
      <c r="F1564" s="2">
        <v>41703.0</v>
      </c>
      <c r="G1564" s="1" t="s">
        <v>1168</v>
      </c>
      <c r="I1564" s="1" t="s">
        <v>1168</v>
      </c>
      <c r="L1564" s="1" t="s">
        <v>194</v>
      </c>
      <c r="M1564" s="1">
        <v>9100.0</v>
      </c>
      <c r="N1564" s="1" t="s">
        <v>194</v>
      </c>
      <c r="O1564" s="1">
        <v>3790107.0</v>
      </c>
      <c r="P1564" s="1" t="s">
        <v>576</v>
      </c>
      <c r="R1564" s="1" t="s">
        <v>577</v>
      </c>
      <c r="S1564" s="1" t="s">
        <v>44</v>
      </c>
      <c r="T1564" s="1" t="s">
        <v>45</v>
      </c>
      <c r="U1564" s="1">
        <v>4.82343284E8</v>
      </c>
      <c r="W1564" s="1" t="s">
        <v>44</v>
      </c>
      <c r="X1564" s="1" t="s">
        <v>45</v>
      </c>
      <c r="Y1564" s="1">
        <v>4.82343284E8</v>
      </c>
      <c r="AB1564" s="1">
        <v>959577.0</v>
      </c>
      <c r="AC1564" s="2">
        <v>41703.0</v>
      </c>
      <c r="AD1564" s="1">
        <v>9100.0</v>
      </c>
      <c r="AE1564" s="1" t="s">
        <v>194</v>
      </c>
      <c r="AF1564" s="1" t="s">
        <v>3036</v>
      </c>
      <c r="AG1564" s="1" t="s">
        <v>1170</v>
      </c>
      <c r="AH1564" s="1">
        <v>1.0</v>
      </c>
      <c r="AI1564" s="1">
        <v>2015.0</v>
      </c>
      <c r="AJ1564" s="1">
        <v>2014.0</v>
      </c>
      <c r="AK1564" s="1" t="s">
        <v>1171</v>
      </c>
    </row>
    <row r="1565">
      <c r="A1565" s="1" t="s">
        <v>2995</v>
      </c>
      <c r="B1565" s="1" t="s">
        <v>2995</v>
      </c>
      <c r="C1565" s="1" t="s">
        <v>194</v>
      </c>
      <c r="E1565" s="1">
        <v>5.11731456E8</v>
      </c>
      <c r="F1565" s="2">
        <v>41780.0</v>
      </c>
      <c r="G1565" s="1" t="s">
        <v>1168</v>
      </c>
      <c r="I1565" s="1" t="s">
        <v>1168</v>
      </c>
      <c r="L1565" s="1" t="s">
        <v>194</v>
      </c>
      <c r="M1565" s="1">
        <v>9100.0</v>
      </c>
      <c r="N1565" s="1" t="s">
        <v>194</v>
      </c>
      <c r="O1565" s="1">
        <v>1.3032514E8</v>
      </c>
      <c r="P1565" s="1" t="s">
        <v>819</v>
      </c>
      <c r="R1565" s="1" t="s">
        <v>820</v>
      </c>
      <c r="S1565" s="1" t="s">
        <v>44</v>
      </c>
      <c r="T1565" s="1" t="s">
        <v>45</v>
      </c>
      <c r="U1565" s="1">
        <v>4.82072418E8</v>
      </c>
      <c r="W1565" s="1" t="s">
        <v>44</v>
      </c>
      <c r="X1565" s="1" t="s">
        <v>45</v>
      </c>
      <c r="Y1565" s="1">
        <v>4.82072418E8</v>
      </c>
      <c r="Z1565" s="1">
        <v>1.3032514E8</v>
      </c>
      <c r="AA1565" s="1" t="s">
        <v>819</v>
      </c>
      <c r="AB1565" s="1">
        <v>140014.0</v>
      </c>
      <c r="AC1565" s="2">
        <v>41780.0</v>
      </c>
      <c r="AD1565" s="1">
        <v>9100.0</v>
      </c>
      <c r="AE1565" s="1" t="s">
        <v>194</v>
      </c>
      <c r="AF1565" s="1" t="s">
        <v>3037</v>
      </c>
      <c r="AG1565" s="1" t="s">
        <v>1170</v>
      </c>
      <c r="AH1565" s="1">
        <v>1.0</v>
      </c>
      <c r="AI1565" s="1">
        <v>2015.0</v>
      </c>
      <c r="AJ1565" s="1">
        <v>2014.0</v>
      </c>
      <c r="AK1565" s="1" t="s">
        <v>1171</v>
      </c>
    </row>
    <row r="1566">
      <c r="A1566" s="1" t="s">
        <v>2995</v>
      </c>
      <c r="B1566" s="1" t="s">
        <v>2995</v>
      </c>
      <c r="C1566" s="1" t="s">
        <v>194</v>
      </c>
      <c r="E1566" s="1">
        <v>5.11731456E8</v>
      </c>
      <c r="F1566" s="2">
        <v>41733.0</v>
      </c>
      <c r="G1566" s="1" t="s">
        <v>1168</v>
      </c>
      <c r="I1566" s="1" t="s">
        <v>1168</v>
      </c>
      <c r="L1566" s="1" t="s">
        <v>194</v>
      </c>
      <c r="M1566" s="1">
        <v>9100.0</v>
      </c>
      <c r="N1566" s="1" t="s">
        <v>194</v>
      </c>
      <c r="O1566" s="1">
        <v>1.52807538E8</v>
      </c>
      <c r="P1566" s="1" t="s">
        <v>591</v>
      </c>
      <c r="R1566" s="1" t="s">
        <v>592</v>
      </c>
      <c r="S1566" s="1" t="s">
        <v>44</v>
      </c>
      <c r="T1566" s="1" t="s">
        <v>45</v>
      </c>
      <c r="U1566" s="1">
        <v>4.82191161E8</v>
      </c>
      <c r="W1566" s="1" t="s">
        <v>44</v>
      </c>
      <c r="X1566" s="1" t="s">
        <v>45</v>
      </c>
      <c r="Y1566" s="1">
        <v>4.82191161E8</v>
      </c>
      <c r="AB1566" s="1">
        <v>196502.0</v>
      </c>
      <c r="AC1566" s="2">
        <v>41733.0</v>
      </c>
      <c r="AD1566" s="1">
        <v>9100.0</v>
      </c>
      <c r="AE1566" s="1" t="s">
        <v>194</v>
      </c>
      <c r="AF1566" s="1" t="s">
        <v>3038</v>
      </c>
      <c r="AG1566" s="1" t="s">
        <v>1170</v>
      </c>
      <c r="AH1566" s="1">
        <v>1.0</v>
      </c>
      <c r="AI1566" s="1">
        <v>2015.0</v>
      </c>
      <c r="AJ1566" s="1">
        <v>2014.0</v>
      </c>
      <c r="AK1566" s="1" t="s">
        <v>1171</v>
      </c>
    </row>
    <row r="1567">
      <c r="A1567" s="1" t="s">
        <v>2995</v>
      </c>
      <c r="B1567" s="1" t="s">
        <v>2995</v>
      </c>
      <c r="C1567" s="1" t="s">
        <v>194</v>
      </c>
      <c r="E1567" s="1">
        <v>5.11731456E8</v>
      </c>
      <c r="F1567" s="2">
        <v>41752.0</v>
      </c>
      <c r="G1567" s="1" t="s">
        <v>1168</v>
      </c>
      <c r="I1567" s="1" t="s">
        <v>1168</v>
      </c>
      <c r="L1567" s="1" t="s">
        <v>194</v>
      </c>
      <c r="M1567" s="1">
        <v>9100.0</v>
      </c>
      <c r="N1567" s="1" t="s">
        <v>194</v>
      </c>
      <c r="O1567" s="1">
        <v>7.8359653E7</v>
      </c>
      <c r="P1567" s="1" t="s">
        <v>469</v>
      </c>
      <c r="R1567" s="1" t="s">
        <v>470</v>
      </c>
      <c r="S1567" s="1" t="s">
        <v>44</v>
      </c>
      <c r="T1567" s="1" t="s">
        <v>45</v>
      </c>
      <c r="U1567" s="1">
        <v>4.82122462E8</v>
      </c>
      <c r="W1567" s="1" t="s">
        <v>46</v>
      </c>
      <c r="X1567" s="1" t="s">
        <v>45</v>
      </c>
      <c r="Y1567" s="1">
        <v>4.82122462E8</v>
      </c>
      <c r="AB1567" s="1">
        <v>835489.0</v>
      </c>
      <c r="AC1567" s="2">
        <v>41752.0</v>
      </c>
      <c r="AD1567" s="1">
        <v>9100.0</v>
      </c>
      <c r="AE1567" s="1" t="s">
        <v>194</v>
      </c>
      <c r="AF1567" s="1" t="s">
        <v>3039</v>
      </c>
      <c r="AG1567" s="1" t="s">
        <v>3000</v>
      </c>
      <c r="AH1567" s="1">
        <v>1.0</v>
      </c>
      <c r="AI1567" s="1">
        <v>2015.0</v>
      </c>
      <c r="AJ1567" s="1">
        <v>2014.0</v>
      </c>
      <c r="AK1567" s="1" t="s">
        <v>1171</v>
      </c>
    </row>
    <row r="1568">
      <c r="A1568" s="1" t="s">
        <v>2995</v>
      </c>
      <c r="B1568" s="1" t="s">
        <v>2995</v>
      </c>
      <c r="C1568" s="1" t="s">
        <v>194</v>
      </c>
      <c r="E1568" s="1">
        <v>5.11731456E8</v>
      </c>
      <c r="F1568" s="2">
        <v>41703.0</v>
      </c>
      <c r="G1568" s="1" t="s">
        <v>1168</v>
      </c>
      <c r="I1568" s="1" t="s">
        <v>1168</v>
      </c>
      <c r="L1568" s="1" t="s">
        <v>194</v>
      </c>
      <c r="M1568" s="1">
        <v>9100.0</v>
      </c>
      <c r="N1568" s="1" t="s">
        <v>194</v>
      </c>
      <c r="O1568" s="1">
        <v>1.96632496E8</v>
      </c>
      <c r="P1568" s="1" t="s">
        <v>715</v>
      </c>
      <c r="R1568" s="1" t="s">
        <v>716</v>
      </c>
      <c r="S1568" s="1" t="s">
        <v>44</v>
      </c>
      <c r="T1568" s="1" t="s">
        <v>45</v>
      </c>
      <c r="U1568" s="1">
        <v>4.82162058E8</v>
      </c>
      <c r="W1568" s="1" t="s">
        <v>44</v>
      </c>
      <c r="X1568" s="1" t="s">
        <v>45</v>
      </c>
      <c r="Y1568" s="1">
        <v>4.82162058E8</v>
      </c>
      <c r="AB1568" s="1">
        <v>75933.0</v>
      </c>
      <c r="AC1568" s="2">
        <v>41703.0</v>
      </c>
      <c r="AD1568" s="1">
        <v>9100.0</v>
      </c>
      <c r="AE1568" s="1" t="s">
        <v>194</v>
      </c>
      <c r="AF1568" s="1" t="s">
        <v>3040</v>
      </c>
      <c r="AG1568" s="1" t="s">
        <v>1170</v>
      </c>
      <c r="AH1568" s="1">
        <v>1.0</v>
      </c>
      <c r="AI1568" s="1">
        <v>2015.0</v>
      </c>
      <c r="AJ1568" s="1">
        <v>2014.0</v>
      </c>
      <c r="AK1568" s="1" t="s">
        <v>1171</v>
      </c>
    </row>
    <row r="1569">
      <c r="A1569" s="1" t="s">
        <v>2995</v>
      </c>
      <c r="B1569" s="1" t="s">
        <v>2995</v>
      </c>
      <c r="C1569" s="1" t="s">
        <v>194</v>
      </c>
      <c r="E1569" s="1">
        <v>5.11731456E8</v>
      </c>
      <c r="F1569" s="2">
        <v>41540.0</v>
      </c>
      <c r="G1569" s="1" t="s">
        <v>1168</v>
      </c>
      <c r="I1569" s="1" t="s">
        <v>1168</v>
      </c>
      <c r="L1569" s="1" t="s">
        <v>194</v>
      </c>
      <c r="M1569" s="1">
        <v>9100.0</v>
      </c>
      <c r="N1569" s="1" t="s">
        <v>194</v>
      </c>
      <c r="O1569" s="1">
        <v>1.0030049E8</v>
      </c>
      <c r="P1569" s="1" t="s">
        <v>461</v>
      </c>
      <c r="Q1569" s="1" t="s">
        <v>570</v>
      </c>
      <c r="R1569" s="1" t="s">
        <v>571</v>
      </c>
      <c r="S1569" s="1" t="s">
        <v>44</v>
      </c>
      <c r="T1569" s="1" t="s">
        <v>45</v>
      </c>
      <c r="U1569" s="1">
        <v>4.82382941E8</v>
      </c>
      <c r="W1569" s="1" t="s">
        <v>44</v>
      </c>
      <c r="X1569" s="1" t="s">
        <v>45</v>
      </c>
      <c r="Y1569" s="1">
        <v>4.82382941E8</v>
      </c>
      <c r="AB1569" s="1">
        <v>124349.0</v>
      </c>
      <c r="AC1569" s="2">
        <v>41540.0</v>
      </c>
      <c r="AD1569" s="1">
        <v>9100.0</v>
      </c>
      <c r="AE1569" s="1" t="s">
        <v>194</v>
      </c>
      <c r="AF1569" s="1" t="s">
        <v>3041</v>
      </c>
      <c r="AG1569" s="1" t="s">
        <v>3000</v>
      </c>
      <c r="AH1569" s="1">
        <v>1.0</v>
      </c>
      <c r="AI1569" s="1">
        <v>2015.0</v>
      </c>
      <c r="AJ1569" s="1">
        <v>2013.0</v>
      </c>
      <c r="AK1569" s="1" t="s">
        <v>1171</v>
      </c>
    </row>
    <row r="1570">
      <c r="A1570" s="1" t="s">
        <v>2995</v>
      </c>
      <c r="B1570" s="1" t="s">
        <v>2995</v>
      </c>
      <c r="C1570" s="1" t="s">
        <v>194</v>
      </c>
      <c r="E1570" s="1">
        <v>5.11731456E8</v>
      </c>
      <c r="F1570" s="2">
        <v>41806.0</v>
      </c>
      <c r="G1570" s="1" t="s">
        <v>1168</v>
      </c>
      <c r="I1570" s="1" t="s">
        <v>1168</v>
      </c>
      <c r="L1570" s="1" t="s">
        <v>194</v>
      </c>
      <c r="M1570" s="1">
        <v>9100.0</v>
      </c>
      <c r="N1570" s="1" t="s">
        <v>194</v>
      </c>
      <c r="O1570" s="1">
        <v>5.2874042E7</v>
      </c>
      <c r="P1570" s="1" t="s">
        <v>538</v>
      </c>
      <c r="R1570" s="1" t="s">
        <v>539</v>
      </c>
      <c r="S1570" s="1" t="s">
        <v>44</v>
      </c>
      <c r="T1570" s="1" t="s">
        <v>45</v>
      </c>
      <c r="U1570" s="1">
        <v>4.82091524E8</v>
      </c>
      <c r="W1570" s="1" t="s">
        <v>44</v>
      </c>
      <c r="X1570" s="1" t="s">
        <v>45</v>
      </c>
      <c r="Y1570" s="1">
        <v>4.82091524E8</v>
      </c>
      <c r="AB1570" s="1">
        <v>1688503.0</v>
      </c>
      <c r="AC1570" s="2">
        <v>41806.0</v>
      </c>
      <c r="AD1570" s="1">
        <v>9100.0</v>
      </c>
      <c r="AE1570" s="1" t="s">
        <v>194</v>
      </c>
      <c r="AF1570" s="1" t="s">
        <v>3042</v>
      </c>
      <c r="AG1570" s="1" t="s">
        <v>1170</v>
      </c>
      <c r="AH1570" s="1">
        <v>1.0</v>
      </c>
      <c r="AI1570" s="1">
        <v>2015.0</v>
      </c>
      <c r="AJ1570" s="1">
        <v>2014.0</v>
      </c>
      <c r="AK1570" s="1" t="s">
        <v>1171</v>
      </c>
    </row>
    <row r="1571">
      <c r="A1571" s="1" t="s">
        <v>2995</v>
      </c>
      <c r="B1571" s="1" t="s">
        <v>2995</v>
      </c>
      <c r="C1571" s="1" t="s">
        <v>194</v>
      </c>
      <c r="E1571" s="1">
        <v>5.11731456E8</v>
      </c>
      <c r="F1571" s="2">
        <v>41668.0</v>
      </c>
      <c r="G1571" s="1" t="s">
        <v>1168</v>
      </c>
      <c r="I1571" s="1" t="s">
        <v>1168</v>
      </c>
      <c r="L1571" s="1" t="s">
        <v>194</v>
      </c>
      <c r="M1571" s="1">
        <v>9100.0</v>
      </c>
      <c r="N1571" s="1" t="s">
        <v>194</v>
      </c>
      <c r="O1571" s="1">
        <v>7894403.0</v>
      </c>
      <c r="P1571" s="1" t="s">
        <v>1676</v>
      </c>
      <c r="R1571" s="1" t="s">
        <v>1677</v>
      </c>
      <c r="S1571" s="1" t="s">
        <v>44</v>
      </c>
      <c r="T1571" s="1" t="s">
        <v>45</v>
      </c>
      <c r="U1571" s="1">
        <v>4.82012402E8</v>
      </c>
      <c r="W1571" s="1" t="s">
        <v>46</v>
      </c>
      <c r="X1571" s="1" t="s">
        <v>45</v>
      </c>
      <c r="Y1571" s="1">
        <v>4.82012402E8</v>
      </c>
      <c r="AB1571" s="1">
        <v>195029.0</v>
      </c>
      <c r="AC1571" s="2">
        <v>41668.0</v>
      </c>
      <c r="AD1571" s="1">
        <v>9100.0</v>
      </c>
      <c r="AE1571" s="1" t="s">
        <v>194</v>
      </c>
      <c r="AF1571" s="1" t="s">
        <v>3043</v>
      </c>
      <c r="AG1571" s="1" t="s">
        <v>3000</v>
      </c>
      <c r="AH1571" s="1">
        <v>1.0</v>
      </c>
      <c r="AI1571" s="1">
        <v>2015.0</v>
      </c>
      <c r="AJ1571" s="1">
        <v>2014.0</v>
      </c>
      <c r="AK1571" s="1" t="s">
        <v>1171</v>
      </c>
    </row>
    <row r="1572">
      <c r="A1572" s="1" t="s">
        <v>2995</v>
      </c>
      <c r="B1572" s="1" t="s">
        <v>2995</v>
      </c>
      <c r="C1572" s="1" t="s">
        <v>194</v>
      </c>
      <c r="E1572" s="1">
        <v>5.11731456E8</v>
      </c>
      <c r="F1572" s="2">
        <v>41703.0</v>
      </c>
      <c r="G1572" s="1" t="s">
        <v>1168</v>
      </c>
      <c r="I1572" s="1" t="s">
        <v>1168</v>
      </c>
      <c r="L1572" s="1" t="s">
        <v>194</v>
      </c>
      <c r="M1572" s="1">
        <v>9100.0</v>
      </c>
      <c r="N1572" s="1" t="s">
        <v>194</v>
      </c>
      <c r="O1572" s="1">
        <v>9.65349769E8</v>
      </c>
      <c r="P1572" s="1" t="s">
        <v>465</v>
      </c>
      <c r="Q1572" s="1" t="s">
        <v>466</v>
      </c>
      <c r="R1572" s="1" t="s">
        <v>467</v>
      </c>
      <c r="S1572" s="1" t="s">
        <v>44</v>
      </c>
      <c r="T1572" s="1" t="s">
        <v>45</v>
      </c>
      <c r="U1572" s="1">
        <v>4.8202322E8</v>
      </c>
      <c r="W1572" s="1" t="s">
        <v>44</v>
      </c>
      <c r="X1572" s="1" t="s">
        <v>45</v>
      </c>
      <c r="Y1572" s="1">
        <v>4.8202322E8</v>
      </c>
      <c r="Z1572" s="1">
        <v>1.6338926E8</v>
      </c>
      <c r="AA1572" s="1" t="s">
        <v>465</v>
      </c>
      <c r="AB1572" s="1">
        <v>801114.0</v>
      </c>
      <c r="AC1572" s="2">
        <v>41703.0</v>
      </c>
      <c r="AD1572" s="1">
        <v>9100.0</v>
      </c>
      <c r="AE1572" s="1" t="s">
        <v>194</v>
      </c>
      <c r="AF1572" s="1" t="s">
        <v>3044</v>
      </c>
      <c r="AG1572" s="1" t="s">
        <v>1170</v>
      </c>
      <c r="AH1572" s="1">
        <v>1.0</v>
      </c>
      <c r="AI1572" s="1">
        <v>2015.0</v>
      </c>
      <c r="AJ1572" s="1">
        <v>2014.0</v>
      </c>
      <c r="AK1572" s="1" t="s">
        <v>1171</v>
      </c>
    </row>
    <row r="1573">
      <c r="A1573" s="1" t="s">
        <v>2995</v>
      </c>
      <c r="B1573" s="1" t="s">
        <v>2995</v>
      </c>
      <c r="C1573" s="1" t="s">
        <v>194</v>
      </c>
      <c r="E1573" s="1">
        <v>5.11731456E8</v>
      </c>
      <c r="F1573" s="2">
        <v>41806.0</v>
      </c>
      <c r="G1573" s="1" t="s">
        <v>1168</v>
      </c>
      <c r="I1573" s="1" t="s">
        <v>1168</v>
      </c>
      <c r="L1573" s="1" t="s">
        <v>194</v>
      </c>
      <c r="M1573" s="1">
        <v>9100.0</v>
      </c>
      <c r="N1573" s="1" t="s">
        <v>194</v>
      </c>
      <c r="O1573" s="1">
        <v>9.62949843E8</v>
      </c>
      <c r="P1573" s="1" t="s">
        <v>619</v>
      </c>
      <c r="R1573" s="1" t="s">
        <v>620</v>
      </c>
      <c r="S1573" s="1" t="s">
        <v>44</v>
      </c>
      <c r="T1573" s="1" t="s">
        <v>45</v>
      </c>
      <c r="U1573" s="1">
        <v>4.82042306E8</v>
      </c>
      <c r="W1573" s="1" t="s">
        <v>44</v>
      </c>
      <c r="X1573" s="1" t="s">
        <v>45</v>
      </c>
      <c r="Y1573" s="1">
        <v>4.82042306E8</v>
      </c>
      <c r="AB1573" s="1">
        <v>982269.0</v>
      </c>
      <c r="AC1573" s="2">
        <v>41806.0</v>
      </c>
      <c r="AD1573" s="1">
        <v>9100.0</v>
      </c>
      <c r="AE1573" s="1" t="s">
        <v>194</v>
      </c>
      <c r="AF1573" s="1" t="s">
        <v>3045</v>
      </c>
      <c r="AG1573" s="1" t="s">
        <v>1170</v>
      </c>
      <c r="AH1573" s="1">
        <v>1.0</v>
      </c>
      <c r="AI1573" s="1">
        <v>2015.0</v>
      </c>
      <c r="AJ1573" s="1">
        <v>2014.0</v>
      </c>
      <c r="AK1573" s="1" t="s">
        <v>1171</v>
      </c>
    </row>
    <row r="1574">
      <c r="A1574" s="1" t="s">
        <v>2995</v>
      </c>
      <c r="B1574" s="1" t="s">
        <v>2995</v>
      </c>
      <c r="C1574" s="1" t="s">
        <v>194</v>
      </c>
      <c r="E1574" s="1">
        <v>5.11731456E8</v>
      </c>
      <c r="F1574" s="2">
        <v>41669.0</v>
      </c>
      <c r="G1574" s="1" t="s">
        <v>1168</v>
      </c>
      <c r="I1574" s="1" t="s">
        <v>1168</v>
      </c>
      <c r="L1574" s="1" t="s">
        <v>194</v>
      </c>
      <c r="M1574" s="1">
        <v>9100.0</v>
      </c>
      <c r="N1574" s="1" t="s">
        <v>194</v>
      </c>
      <c r="O1574" s="1">
        <v>9.48021373E8</v>
      </c>
      <c r="P1574" s="1" t="s">
        <v>501</v>
      </c>
      <c r="R1574" s="1" t="s">
        <v>502</v>
      </c>
      <c r="S1574" s="1" t="s">
        <v>44</v>
      </c>
      <c r="T1574" s="1" t="s">
        <v>45</v>
      </c>
      <c r="U1574" s="1">
        <v>4.82072901E8</v>
      </c>
      <c r="W1574" s="1" t="s">
        <v>44</v>
      </c>
      <c r="X1574" s="1" t="s">
        <v>45</v>
      </c>
      <c r="Y1574" s="1">
        <v>4.82072901E8</v>
      </c>
      <c r="AB1574" s="1">
        <v>389506.0</v>
      </c>
      <c r="AC1574" s="2">
        <v>41669.0</v>
      </c>
      <c r="AD1574" s="1">
        <v>9100.0</v>
      </c>
      <c r="AE1574" s="1" t="s">
        <v>194</v>
      </c>
      <c r="AF1574" s="1" t="s">
        <v>3046</v>
      </c>
      <c r="AG1574" s="1" t="s">
        <v>1170</v>
      </c>
      <c r="AH1574" s="1">
        <v>1.0</v>
      </c>
      <c r="AI1574" s="1">
        <v>2015.0</v>
      </c>
      <c r="AJ1574" s="1">
        <v>2014.0</v>
      </c>
      <c r="AK1574" s="1" t="s">
        <v>1171</v>
      </c>
    </row>
    <row r="1575">
      <c r="A1575" s="1" t="s">
        <v>2995</v>
      </c>
      <c r="B1575" s="1" t="s">
        <v>2995</v>
      </c>
      <c r="C1575" s="1" t="s">
        <v>194</v>
      </c>
      <c r="E1575" s="1">
        <v>5.11731456E8</v>
      </c>
      <c r="F1575" s="2">
        <v>41809.0</v>
      </c>
      <c r="G1575" s="1" t="s">
        <v>1168</v>
      </c>
      <c r="I1575" s="1" t="s">
        <v>1168</v>
      </c>
      <c r="L1575" s="1" t="s">
        <v>194</v>
      </c>
      <c r="M1575" s="1">
        <v>9100.0</v>
      </c>
      <c r="N1575" s="1" t="s">
        <v>194</v>
      </c>
      <c r="O1575" s="1">
        <v>6.6707493E7</v>
      </c>
      <c r="P1575" s="1" t="s">
        <v>541</v>
      </c>
      <c r="R1575" s="1" t="s">
        <v>542</v>
      </c>
      <c r="S1575" s="1" t="s">
        <v>44</v>
      </c>
      <c r="T1575" s="1" t="s">
        <v>45</v>
      </c>
      <c r="U1575" s="1">
        <v>4.8210252E8</v>
      </c>
      <c r="W1575" s="1" t="s">
        <v>44</v>
      </c>
      <c r="X1575" s="1" t="s">
        <v>45</v>
      </c>
      <c r="Y1575" s="1">
        <v>4.8210252E8</v>
      </c>
      <c r="AB1575" s="1">
        <v>352378.0</v>
      </c>
      <c r="AC1575" s="2">
        <v>41809.0</v>
      </c>
      <c r="AD1575" s="1">
        <v>9100.0</v>
      </c>
      <c r="AE1575" s="1" t="s">
        <v>194</v>
      </c>
      <c r="AF1575" s="1" t="s">
        <v>3047</v>
      </c>
      <c r="AG1575" s="1" t="s">
        <v>1170</v>
      </c>
      <c r="AH1575" s="1">
        <v>1.0</v>
      </c>
      <c r="AI1575" s="1">
        <v>2015.0</v>
      </c>
      <c r="AJ1575" s="1">
        <v>2014.0</v>
      </c>
      <c r="AK1575" s="1" t="s">
        <v>1171</v>
      </c>
    </row>
    <row r="1576">
      <c r="A1576" s="1" t="s">
        <v>2982</v>
      </c>
      <c r="B1576" s="1" t="s">
        <v>2982</v>
      </c>
      <c r="C1576" s="1" t="s">
        <v>70</v>
      </c>
      <c r="E1576" s="1">
        <v>1.3750704E7</v>
      </c>
      <c r="F1576" s="2">
        <v>41913.0</v>
      </c>
      <c r="G1576" s="1" t="s">
        <v>2983</v>
      </c>
      <c r="I1576" s="1" t="s">
        <v>2983</v>
      </c>
      <c r="L1576" s="1" t="s">
        <v>72</v>
      </c>
      <c r="M1576" s="1">
        <v>1500.0</v>
      </c>
      <c r="N1576" s="1" t="s">
        <v>72</v>
      </c>
      <c r="O1576" s="1">
        <v>8.29087865E8</v>
      </c>
      <c r="P1576" s="1" t="s">
        <v>1423</v>
      </c>
      <c r="R1576" s="1" t="s">
        <v>1425</v>
      </c>
      <c r="S1576" s="1" t="s">
        <v>44</v>
      </c>
      <c r="T1576" s="1" t="s">
        <v>45</v>
      </c>
      <c r="U1576" s="1">
        <v>4.82192721E8</v>
      </c>
      <c r="W1576" s="1" t="s">
        <v>44</v>
      </c>
      <c r="X1576" s="1" t="s">
        <v>45</v>
      </c>
      <c r="Y1576" s="1">
        <v>4.82192721E8</v>
      </c>
      <c r="AB1576" s="1">
        <v>109200.0</v>
      </c>
      <c r="AC1576" s="2">
        <v>41913.0</v>
      </c>
      <c r="AD1576" s="1">
        <v>1500.0</v>
      </c>
      <c r="AE1576" s="1" t="s">
        <v>72</v>
      </c>
      <c r="AF1576" s="1">
        <v>2.0150125E7</v>
      </c>
      <c r="AG1576" s="1" t="s">
        <v>1422</v>
      </c>
      <c r="AH1576" s="1">
        <v>10.0</v>
      </c>
      <c r="AI1576" s="1">
        <v>2013.0</v>
      </c>
      <c r="AJ1576" s="1">
        <v>2015.0</v>
      </c>
      <c r="AK1576" s="1" t="s">
        <v>1130</v>
      </c>
    </row>
    <row r="1577">
      <c r="A1577" s="1" t="s">
        <v>2982</v>
      </c>
      <c r="B1577" s="1" t="s">
        <v>2982</v>
      </c>
      <c r="C1577" s="1" t="s">
        <v>70</v>
      </c>
      <c r="E1577" s="1">
        <v>1.3750704E7</v>
      </c>
      <c r="F1577" s="2">
        <v>41913.0</v>
      </c>
      <c r="G1577" s="1" t="s">
        <v>2983</v>
      </c>
      <c r="I1577" s="1" t="s">
        <v>2983</v>
      </c>
      <c r="L1577" s="1" t="s">
        <v>72</v>
      </c>
      <c r="M1577" s="1">
        <v>1500.0</v>
      </c>
      <c r="N1577" s="1" t="s">
        <v>72</v>
      </c>
      <c r="O1577" s="1">
        <v>7.89629859E8</v>
      </c>
      <c r="P1577" s="1" t="s">
        <v>416</v>
      </c>
      <c r="R1577" s="1" t="s">
        <v>417</v>
      </c>
      <c r="S1577" s="1" t="s">
        <v>44</v>
      </c>
      <c r="T1577" s="1" t="s">
        <v>45</v>
      </c>
      <c r="U1577" s="1">
        <v>4.82343241E8</v>
      </c>
      <c r="W1577" s="1" t="s">
        <v>46</v>
      </c>
      <c r="X1577" s="1" t="s">
        <v>45</v>
      </c>
      <c r="Y1577" s="1">
        <v>4.82342621E8</v>
      </c>
      <c r="AB1577" s="1">
        <v>100729.0</v>
      </c>
      <c r="AC1577" s="2">
        <v>41913.0</v>
      </c>
      <c r="AD1577" s="1">
        <v>1500.0</v>
      </c>
      <c r="AE1577" s="1" t="s">
        <v>72</v>
      </c>
      <c r="AF1577" s="1">
        <v>2.0150133E7</v>
      </c>
      <c r="AG1577" s="1" t="s">
        <v>1422</v>
      </c>
      <c r="AH1577" s="1">
        <v>10.0</v>
      </c>
      <c r="AI1577" s="1">
        <v>2013.0</v>
      </c>
      <c r="AJ1577" s="1">
        <v>2015.0</v>
      </c>
      <c r="AK1577" s="1" t="s">
        <v>1130</v>
      </c>
    </row>
    <row r="1578">
      <c r="A1578" s="1" t="s">
        <v>3048</v>
      </c>
      <c r="B1578" s="1" t="s">
        <v>3048</v>
      </c>
      <c r="C1578" s="1" t="s">
        <v>645</v>
      </c>
      <c r="E1578" s="1">
        <v>4.58254144E8</v>
      </c>
      <c r="F1578" s="2">
        <v>41578.0</v>
      </c>
      <c r="G1578" s="1" t="s">
        <v>710</v>
      </c>
      <c r="I1578" s="1" t="s">
        <v>710</v>
      </c>
      <c r="L1578" s="1" t="s">
        <v>647</v>
      </c>
      <c r="M1578" s="1">
        <v>1200.0</v>
      </c>
      <c r="N1578" s="1" t="s">
        <v>647</v>
      </c>
      <c r="O1578" s="1">
        <v>7.8583404E7</v>
      </c>
      <c r="P1578" s="1" t="s">
        <v>65</v>
      </c>
      <c r="R1578" s="1" t="s">
        <v>1573</v>
      </c>
      <c r="S1578" s="1" t="s">
        <v>44</v>
      </c>
      <c r="T1578" s="1" t="s">
        <v>45</v>
      </c>
      <c r="U1578" s="1">
        <v>4.8207311E8</v>
      </c>
      <c r="W1578" s="1" t="s">
        <v>46</v>
      </c>
      <c r="X1578" s="1" t="s">
        <v>45</v>
      </c>
      <c r="Y1578" s="1">
        <v>4.8207311E8</v>
      </c>
      <c r="AB1578" s="1">
        <v>130049.38</v>
      </c>
      <c r="AC1578" s="2">
        <v>41578.0</v>
      </c>
      <c r="AD1578" s="1">
        <v>1200.0</v>
      </c>
      <c r="AE1578" s="1" t="s">
        <v>647</v>
      </c>
      <c r="AF1578" s="1" t="s">
        <v>3049</v>
      </c>
      <c r="AG1578" s="1" t="s">
        <v>712</v>
      </c>
      <c r="AH1578" s="1">
        <v>1.0</v>
      </c>
      <c r="AI1578" s="1">
        <v>2015.0</v>
      </c>
      <c r="AJ1578" s="1">
        <v>2014.0</v>
      </c>
      <c r="AK1578" s="1" t="s">
        <v>713</v>
      </c>
    </row>
    <row r="1579">
      <c r="A1579" s="1" t="s">
        <v>3048</v>
      </c>
      <c r="B1579" s="1" t="s">
        <v>3048</v>
      </c>
      <c r="C1579" s="1" t="s">
        <v>645</v>
      </c>
      <c r="E1579" s="1">
        <v>4.58254144E8</v>
      </c>
      <c r="F1579" s="2">
        <v>41557.0</v>
      </c>
      <c r="G1579" s="1" t="s">
        <v>710</v>
      </c>
      <c r="I1579" s="1" t="s">
        <v>710</v>
      </c>
      <c r="L1579" s="1" t="s">
        <v>647</v>
      </c>
      <c r="M1579" s="1">
        <v>1200.0</v>
      </c>
      <c r="N1579" s="1" t="s">
        <v>647</v>
      </c>
      <c r="O1579" s="1">
        <v>7.93697355E8</v>
      </c>
      <c r="P1579" s="1" t="s">
        <v>691</v>
      </c>
      <c r="Q1579" s="1" t="s">
        <v>1194</v>
      </c>
      <c r="R1579" s="1" t="s">
        <v>692</v>
      </c>
      <c r="S1579" s="1" t="s">
        <v>44</v>
      </c>
      <c r="T1579" s="1" t="s">
        <v>45</v>
      </c>
      <c r="U1579" s="1">
        <v>4.82111554E8</v>
      </c>
      <c r="W1579" s="1" t="s">
        <v>44</v>
      </c>
      <c r="X1579" s="1" t="s">
        <v>45</v>
      </c>
      <c r="Y1579" s="1">
        <v>4.82111552E8</v>
      </c>
      <c r="AB1579" s="1">
        <v>131156.92</v>
      </c>
      <c r="AC1579" s="2">
        <v>41557.0</v>
      </c>
      <c r="AD1579" s="1">
        <v>1200.0</v>
      </c>
      <c r="AE1579" s="1" t="s">
        <v>647</v>
      </c>
      <c r="AF1579" s="1" t="s">
        <v>3050</v>
      </c>
      <c r="AG1579" s="1" t="s">
        <v>712</v>
      </c>
      <c r="AH1579" s="1">
        <v>1.0</v>
      </c>
      <c r="AI1579" s="1">
        <v>2015.0</v>
      </c>
      <c r="AJ1579" s="1">
        <v>2014.0</v>
      </c>
      <c r="AK1579" s="1" t="s">
        <v>713</v>
      </c>
    </row>
    <row r="1580">
      <c r="A1580" s="1" t="s">
        <v>3048</v>
      </c>
      <c r="B1580" s="1" t="s">
        <v>3048</v>
      </c>
      <c r="C1580" s="1" t="s">
        <v>645</v>
      </c>
      <c r="E1580" s="1">
        <v>4.58254144E8</v>
      </c>
      <c r="F1580" s="2">
        <v>41550.0</v>
      </c>
      <c r="G1580" s="1" t="s">
        <v>710</v>
      </c>
      <c r="I1580" s="1" t="s">
        <v>710</v>
      </c>
      <c r="L1580" s="1" t="s">
        <v>647</v>
      </c>
      <c r="M1580" s="1">
        <v>1200.0</v>
      </c>
      <c r="N1580" s="1" t="s">
        <v>647</v>
      </c>
      <c r="O1580" s="1">
        <v>9.48021373E8</v>
      </c>
      <c r="P1580" s="1" t="s">
        <v>501</v>
      </c>
      <c r="R1580" s="1" t="s">
        <v>502</v>
      </c>
      <c r="S1580" s="1" t="s">
        <v>44</v>
      </c>
      <c r="T1580" s="1" t="s">
        <v>45</v>
      </c>
      <c r="U1580" s="1">
        <v>4.82072901E8</v>
      </c>
      <c r="W1580" s="1" t="s">
        <v>44</v>
      </c>
      <c r="X1580" s="1" t="s">
        <v>45</v>
      </c>
      <c r="Y1580" s="1">
        <v>4.82072901E8</v>
      </c>
      <c r="AB1580" s="1">
        <v>279938.14</v>
      </c>
      <c r="AC1580" s="2">
        <v>41550.0</v>
      </c>
      <c r="AD1580" s="1">
        <v>1200.0</v>
      </c>
      <c r="AE1580" s="1" t="s">
        <v>647</v>
      </c>
      <c r="AF1580" s="1" t="s">
        <v>3051</v>
      </c>
      <c r="AG1580" s="1" t="s">
        <v>712</v>
      </c>
      <c r="AH1580" s="1">
        <v>1.0</v>
      </c>
      <c r="AI1580" s="1">
        <v>2015.0</v>
      </c>
      <c r="AJ1580" s="1">
        <v>2014.0</v>
      </c>
      <c r="AK1580" s="1" t="s">
        <v>713</v>
      </c>
    </row>
    <row r="1581">
      <c r="A1581" s="1" t="s">
        <v>3048</v>
      </c>
      <c r="B1581" s="1" t="s">
        <v>3048</v>
      </c>
      <c r="C1581" s="1" t="s">
        <v>645</v>
      </c>
      <c r="E1581" s="1">
        <v>4.58254144E8</v>
      </c>
      <c r="F1581" s="2">
        <v>41571.0</v>
      </c>
      <c r="G1581" s="1" t="s">
        <v>710</v>
      </c>
      <c r="I1581" s="1" t="s">
        <v>710</v>
      </c>
      <c r="L1581" s="1" t="s">
        <v>647</v>
      </c>
      <c r="M1581" s="1">
        <v>1200.0</v>
      </c>
      <c r="N1581" s="1" t="s">
        <v>647</v>
      </c>
      <c r="O1581" s="1">
        <v>9.62104118E8</v>
      </c>
      <c r="P1581" s="1" t="s">
        <v>634</v>
      </c>
      <c r="R1581" s="1" t="s">
        <v>635</v>
      </c>
      <c r="S1581" s="1" t="s">
        <v>44</v>
      </c>
      <c r="T1581" s="1" t="s">
        <v>45</v>
      </c>
      <c r="U1581" s="1">
        <v>4.82351111E8</v>
      </c>
      <c r="W1581" s="1" t="s">
        <v>46</v>
      </c>
      <c r="X1581" s="1" t="s">
        <v>45</v>
      </c>
      <c r="Y1581" s="1">
        <v>4.82351111E8</v>
      </c>
      <c r="AB1581" s="1">
        <v>58286.05</v>
      </c>
      <c r="AC1581" s="2">
        <v>41571.0</v>
      </c>
      <c r="AD1581" s="1">
        <v>1200.0</v>
      </c>
      <c r="AE1581" s="1" t="s">
        <v>647</v>
      </c>
      <c r="AF1581" s="1" t="s">
        <v>3052</v>
      </c>
      <c r="AG1581" s="1" t="s">
        <v>712</v>
      </c>
      <c r="AH1581" s="1">
        <v>1.0</v>
      </c>
      <c r="AI1581" s="1">
        <v>2015.0</v>
      </c>
      <c r="AJ1581" s="1">
        <v>2014.0</v>
      </c>
      <c r="AK1581" s="1" t="s">
        <v>713</v>
      </c>
    </row>
    <row r="1582">
      <c r="A1582" s="1" t="s">
        <v>3048</v>
      </c>
      <c r="B1582" s="1" t="s">
        <v>3048</v>
      </c>
      <c r="C1582" s="1" t="s">
        <v>645</v>
      </c>
      <c r="E1582" s="1">
        <v>4.58254144E8</v>
      </c>
      <c r="F1582" s="2">
        <v>41550.0</v>
      </c>
      <c r="G1582" s="1" t="s">
        <v>710</v>
      </c>
      <c r="I1582" s="1" t="s">
        <v>710</v>
      </c>
      <c r="L1582" s="1" t="s">
        <v>647</v>
      </c>
      <c r="M1582" s="1">
        <v>1200.0</v>
      </c>
      <c r="N1582" s="1" t="s">
        <v>647</v>
      </c>
      <c r="O1582" s="1">
        <v>8.08238237E8</v>
      </c>
      <c r="P1582" s="1" t="s">
        <v>807</v>
      </c>
      <c r="R1582" s="1" t="s">
        <v>808</v>
      </c>
      <c r="S1582" s="1" t="s">
        <v>44</v>
      </c>
      <c r="T1582" s="1" t="s">
        <v>45</v>
      </c>
      <c r="U1582" s="1">
        <v>4.82242744E8</v>
      </c>
      <c r="W1582" s="1" t="s">
        <v>44</v>
      </c>
      <c r="X1582" s="1" t="s">
        <v>45</v>
      </c>
      <c r="Y1582" s="1">
        <v>4.82242744E8</v>
      </c>
      <c r="AB1582" s="1">
        <v>72855.63</v>
      </c>
      <c r="AC1582" s="2">
        <v>41550.0</v>
      </c>
      <c r="AD1582" s="1">
        <v>1200.0</v>
      </c>
      <c r="AE1582" s="1" t="s">
        <v>647</v>
      </c>
      <c r="AF1582" s="1" t="s">
        <v>3053</v>
      </c>
      <c r="AG1582" s="1" t="s">
        <v>712</v>
      </c>
      <c r="AH1582" s="1">
        <v>1.0</v>
      </c>
      <c r="AI1582" s="1">
        <v>2015.0</v>
      </c>
      <c r="AJ1582" s="1">
        <v>2014.0</v>
      </c>
      <c r="AK1582" s="1" t="s">
        <v>713</v>
      </c>
    </row>
    <row r="1583">
      <c r="A1583" s="1" t="s">
        <v>3048</v>
      </c>
      <c r="B1583" s="1" t="s">
        <v>3048</v>
      </c>
      <c r="C1583" s="1" t="s">
        <v>645</v>
      </c>
      <c r="E1583" s="1">
        <v>4.58254144E8</v>
      </c>
      <c r="F1583" s="2">
        <v>41557.0</v>
      </c>
      <c r="G1583" s="1" t="s">
        <v>710</v>
      </c>
      <c r="I1583" s="1" t="s">
        <v>710</v>
      </c>
      <c r="L1583" s="1" t="s">
        <v>647</v>
      </c>
      <c r="M1583" s="1">
        <v>1200.0</v>
      </c>
      <c r="N1583" s="1" t="s">
        <v>647</v>
      </c>
      <c r="O1583" s="1">
        <v>1.43249386E8</v>
      </c>
      <c r="P1583" s="1" t="s">
        <v>3054</v>
      </c>
      <c r="R1583" s="1" t="s">
        <v>3055</v>
      </c>
      <c r="S1583" s="1" t="s">
        <v>44</v>
      </c>
      <c r="T1583" s="1" t="s">
        <v>45</v>
      </c>
      <c r="U1583" s="1">
        <v>4.82102806E8</v>
      </c>
      <c r="W1583" s="1" t="s">
        <v>46</v>
      </c>
      <c r="X1583" s="1" t="s">
        <v>45</v>
      </c>
      <c r="Y1583" s="1">
        <v>4.82100509E8</v>
      </c>
      <c r="AB1583" s="1">
        <v>29313.79</v>
      </c>
      <c r="AC1583" s="2">
        <v>41557.0</v>
      </c>
      <c r="AD1583" s="1">
        <v>1200.0</v>
      </c>
      <c r="AE1583" s="1" t="s">
        <v>647</v>
      </c>
      <c r="AF1583" s="1" t="s">
        <v>3056</v>
      </c>
      <c r="AG1583" s="1" t="s">
        <v>712</v>
      </c>
      <c r="AH1583" s="1">
        <v>1.0</v>
      </c>
      <c r="AI1583" s="1">
        <v>2015.0</v>
      </c>
      <c r="AJ1583" s="1">
        <v>2014.0</v>
      </c>
      <c r="AK1583" s="1" t="s">
        <v>713</v>
      </c>
    </row>
    <row r="1584">
      <c r="A1584" s="1" t="s">
        <v>3048</v>
      </c>
      <c r="B1584" s="1" t="s">
        <v>3048</v>
      </c>
      <c r="C1584" s="1" t="s">
        <v>645</v>
      </c>
      <c r="E1584" s="1">
        <v>4.58254144E8</v>
      </c>
      <c r="F1584" s="2">
        <v>41599.0</v>
      </c>
      <c r="G1584" s="1" t="s">
        <v>710</v>
      </c>
      <c r="I1584" s="1" t="s">
        <v>710</v>
      </c>
      <c r="L1584" s="1" t="s">
        <v>647</v>
      </c>
      <c r="M1584" s="1">
        <v>1200.0</v>
      </c>
      <c r="N1584" s="1" t="s">
        <v>647</v>
      </c>
      <c r="O1584" s="1">
        <v>7.93697942E8</v>
      </c>
      <c r="P1584" s="1" t="s">
        <v>459</v>
      </c>
      <c r="R1584" s="1" t="s">
        <v>460</v>
      </c>
      <c r="S1584" s="1" t="s">
        <v>44</v>
      </c>
      <c r="T1584" s="1" t="s">
        <v>45</v>
      </c>
      <c r="U1584" s="1">
        <v>4.82141601E8</v>
      </c>
      <c r="W1584" s="1" t="s">
        <v>44</v>
      </c>
      <c r="X1584" s="1" t="s">
        <v>45</v>
      </c>
      <c r="Y1584" s="1">
        <v>4.82141601E8</v>
      </c>
      <c r="Z1584" s="1">
        <v>7.6340843E7</v>
      </c>
      <c r="AA1584" s="1" t="s">
        <v>461</v>
      </c>
      <c r="AB1584" s="1">
        <v>120860.73</v>
      </c>
      <c r="AC1584" s="2">
        <v>41599.0</v>
      </c>
      <c r="AD1584" s="1">
        <v>1200.0</v>
      </c>
      <c r="AE1584" s="1" t="s">
        <v>647</v>
      </c>
      <c r="AF1584" s="1" t="s">
        <v>3057</v>
      </c>
      <c r="AG1584" s="1" t="s">
        <v>712</v>
      </c>
      <c r="AH1584" s="1">
        <v>1.0</v>
      </c>
      <c r="AI1584" s="1">
        <v>2015.0</v>
      </c>
      <c r="AJ1584" s="1">
        <v>2014.0</v>
      </c>
      <c r="AK1584" s="1" t="s">
        <v>713</v>
      </c>
    </row>
    <row r="1585">
      <c r="A1585" s="1" t="s">
        <v>3048</v>
      </c>
      <c r="B1585" s="1" t="s">
        <v>3048</v>
      </c>
      <c r="C1585" s="1" t="s">
        <v>645</v>
      </c>
      <c r="E1585" s="1">
        <v>4.58254144E8</v>
      </c>
      <c r="F1585" s="2">
        <v>41487.0</v>
      </c>
      <c r="G1585" s="1" t="s">
        <v>710</v>
      </c>
      <c r="I1585" s="1" t="s">
        <v>710</v>
      </c>
      <c r="L1585" s="1" t="s">
        <v>647</v>
      </c>
      <c r="M1585" s="1">
        <v>1200.0</v>
      </c>
      <c r="N1585" s="1" t="s">
        <v>647</v>
      </c>
      <c r="O1585" s="1">
        <v>3790107.0</v>
      </c>
      <c r="P1585" s="1" t="s">
        <v>576</v>
      </c>
      <c r="R1585" s="1" t="s">
        <v>577</v>
      </c>
      <c r="S1585" s="1" t="s">
        <v>44</v>
      </c>
      <c r="T1585" s="1" t="s">
        <v>45</v>
      </c>
      <c r="U1585" s="1">
        <v>4.82343284E8</v>
      </c>
      <c r="W1585" s="1" t="s">
        <v>44</v>
      </c>
      <c r="X1585" s="1" t="s">
        <v>45</v>
      </c>
      <c r="Y1585" s="1">
        <v>4.82343284E8</v>
      </c>
      <c r="AB1585" s="1">
        <v>54855.3</v>
      </c>
      <c r="AC1585" s="2">
        <v>41487.0</v>
      </c>
      <c r="AD1585" s="1">
        <v>1200.0</v>
      </c>
      <c r="AE1585" s="1" t="s">
        <v>647</v>
      </c>
      <c r="AF1585" s="1" t="s">
        <v>3058</v>
      </c>
      <c r="AG1585" s="1" t="s">
        <v>712</v>
      </c>
      <c r="AH1585" s="1">
        <v>1.0</v>
      </c>
      <c r="AI1585" s="1">
        <v>2015.0</v>
      </c>
      <c r="AJ1585" s="1">
        <v>2013.0</v>
      </c>
      <c r="AK1585" s="1" t="s">
        <v>713</v>
      </c>
    </row>
    <row r="1586">
      <c r="A1586" s="1" t="s">
        <v>3048</v>
      </c>
      <c r="B1586" s="1" t="s">
        <v>3048</v>
      </c>
      <c r="C1586" s="1" t="s">
        <v>645</v>
      </c>
      <c r="E1586" s="1">
        <v>4.58254144E8</v>
      </c>
      <c r="F1586" s="2">
        <v>41550.0</v>
      </c>
      <c r="G1586" s="1" t="s">
        <v>710</v>
      </c>
      <c r="I1586" s="1" t="s">
        <v>710</v>
      </c>
      <c r="L1586" s="1" t="s">
        <v>647</v>
      </c>
      <c r="M1586" s="1">
        <v>1200.0</v>
      </c>
      <c r="N1586" s="1" t="s">
        <v>647</v>
      </c>
      <c r="O1586" s="1">
        <v>9.48021373E8</v>
      </c>
      <c r="P1586" s="1" t="s">
        <v>501</v>
      </c>
      <c r="R1586" s="1" t="s">
        <v>502</v>
      </c>
      <c r="S1586" s="1" t="s">
        <v>44</v>
      </c>
      <c r="T1586" s="1" t="s">
        <v>45</v>
      </c>
      <c r="U1586" s="1">
        <v>4.82072901E8</v>
      </c>
      <c r="W1586" s="1" t="s">
        <v>44</v>
      </c>
      <c r="X1586" s="1" t="s">
        <v>45</v>
      </c>
      <c r="Y1586" s="1">
        <v>4.82072901E8</v>
      </c>
      <c r="AB1586" s="1">
        <v>34368.83</v>
      </c>
      <c r="AC1586" s="2">
        <v>41550.0</v>
      </c>
      <c r="AD1586" s="1">
        <v>1200.0</v>
      </c>
      <c r="AE1586" s="1" t="s">
        <v>647</v>
      </c>
      <c r="AF1586" s="1" t="s">
        <v>3059</v>
      </c>
      <c r="AG1586" s="1" t="s">
        <v>712</v>
      </c>
      <c r="AH1586" s="1">
        <v>1.0</v>
      </c>
      <c r="AI1586" s="1">
        <v>2015.0</v>
      </c>
      <c r="AJ1586" s="1">
        <v>2014.0</v>
      </c>
      <c r="AK1586" s="1" t="s">
        <v>713</v>
      </c>
    </row>
    <row r="1587">
      <c r="A1587" s="1" t="s">
        <v>3048</v>
      </c>
      <c r="B1587" s="1" t="s">
        <v>3048</v>
      </c>
      <c r="C1587" s="1" t="s">
        <v>645</v>
      </c>
      <c r="E1587" s="1">
        <v>4.58254144E8</v>
      </c>
      <c r="F1587" s="2">
        <v>41564.0</v>
      </c>
      <c r="G1587" s="1" t="s">
        <v>710</v>
      </c>
      <c r="I1587" s="1" t="s">
        <v>710</v>
      </c>
      <c r="L1587" s="1" t="s">
        <v>647</v>
      </c>
      <c r="M1587" s="1">
        <v>1200.0</v>
      </c>
      <c r="N1587" s="1" t="s">
        <v>647</v>
      </c>
      <c r="O1587" s="1">
        <v>1.47777952E8</v>
      </c>
      <c r="P1587" s="1" t="s">
        <v>459</v>
      </c>
      <c r="Q1587" s="1" t="s">
        <v>626</v>
      </c>
      <c r="R1587" s="1" t="s">
        <v>627</v>
      </c>
      <c r="S1587" s="1" t="s">
        <v>44</v>
      </c>
      <c r="T1587" s="1" t="s">
        <v>45</v>
      </c>
      <c r="U1587" s="1">
        <v>4.82072112E8</v>
      </c>
      <c r="W1587" s="1" t="s">
        <v>44</v>
      </c>
      <c r="X1587" s="1" t="s">
        <v>45</v>
      </c>
      <c r="Y1587" s="1">
        <v>4.82072112E8</v>
      </c>
      <c r="Z1587" s="1">
        <v>7.6340843E7</v>
      </c>
      <c r="AA1587" s="1" t="s">
        <v>461</v>
      </c>
      <c r="AB1587" s="1">
        <v>208841.87</v>
      </c>
      <c r="AC1587" s="2">
        <v>41564.0</v>
      </c>
      <c r="AD1587" s="1">
        <v>1200.0</v>
      </c>
      <c r="AE1587" s="1" t="s">
        <v>647</v>
      </c>
      <c r="AF1587" s="1" t="s">
        <v>3060</v>
      </c>
      <c r="AG1587" s="1" t="s">
        <v>712</v>
      </c>
      <c r="AH1587" s="1">
        <v>1.0</v>
      </c>
      <c r="AI1587" s="1">
        <v>2015.0</v>
      </c>
      <c r="AJ1587" s="1">
        <v>2014.0</v>
      </c>
      <c r="AK1587" s="1" t="s">
        <v>713</v>
      </c>
    </row>
    <row r="1588">
      <c r="A1588" s="1" t="s">
        <v>3048</v>
      </c>
      <c r="B1588" s="1" t="s">
        <v>3048</v>
      </c>
      <c r="C1588" s="1" t="s">
        <v>645</v>
      </c>
      <c r="E1588" s="1">
        <v>4.58254144E8</v>
      </c>
      <c r="F1588" s="2">
        <v>41585.0</v>
      </c>
      <c r="G1588" s="1" t="s">
        <v>710</v>
      </c>
      <c r="I1588" s="1" t="s">
        <v>710</v>
      </c>
      <c r="L1588" s="1" t="s">
        <v>647</v>
      </c>
      <c r="M1588" s="1">
        <v>1200.0</v>
      </c>
      <c r="N1588" s="1" t="s">
        <v>647</v>
      </c>
      <c r="O1588" s="1">
        <v>7.2761299E7</v>
      </c>
      <c r="P1588" s="1" t="s">
        <v>667</v>
      </c>
      <c r="R1588" s="1" t="s">
        <v>668</v>
      </c>
      <c r="S1588" s="1" t="s">
        <v>44</v>
      </c>
      <c r="T1588" s="1" t="s">
        <v>45</v>
      </c>
      <c r="U1588" s="1">
        <v>4.82382849E8</v>
      </c>
      <c r="W1588" s="1" t="s">
        <v>44</v>
      </c>
      <c r="X1588" s="1" t="s">
        <v>45</v>
      </c>
      <c r="Y1588" s="1">
        <v>4.82382849E8</v>
      </c>
      <c r="Z1588" s="1">
        <v>7.2761299E7</v>
      </c>
      <c r="AA1588" s="1" t="s">
        <v>667</v>
      </c>
      <c r="AB1588" s="1">
        <v>56368.07</v>
      </c>
      <c r="AC1588" s="2">
        <v>41585.0</v>
      </c>
      <c r="AD1588" s="1">
        <v>1200.0</v>
      </c>
      <c r="AE1588" s="1" t="s">
        <v>647</v>
      </c>
      <c r="AF1588" s="1" t="s">
        <v>3061</v>
      </c>
      <c r="AG1588" s="1" t="s">
        <v>712</v>
      </c>
      <c r="AH1588" s="1">
        <v>1.0</v>
      </c>
      <c r="AI1588" s="1">
        <v>2015.0</v>
      </c>
      <c r="AJ1588" s="1">
        <v>2014.0</v>
      </c>
      <c r="AK1588" s="1" t="s">
        <v>713</v>
      </c>
    </row>
    <row r="1589">
      <c r="A1589" s="1" t="s">
        <v>3048</v>
      </c>
      <c r="B1589" s="1" t="s">
        <v>3048</v>
      </c>
      <c r="C1589" s="1" t="s">
        <v>645</v>
      </c>
      <c r="E1589" s="1">
        <v>4.58254144E8</v>
      </c>
      <c r="F1589" s="2">
        <v>41564.0</v>
      </c>
      <c r="G1589" s="1" t="s">
        <v>710</v>
      </c>
      <c r="I1589" s="1" t="s">
        <v>710</v>
      </c>
      <c r="L1589" s="1" t="s">
        <v>647</v>
      </c>
      <c r="M1589" s="1">
        <v>1200.0</v>
      </c>
      <c r="N1589" s="1" t="s">
        <v>647</v>
      </c>
      <c r="O1589" s="1">
        <v>5.5374645E7</v>
      </c>
      <c r="P1589" s="1" t="s">
        <v>3062</v>
      </c>
      <c r="R1589" s="1" t="s">
        <v>3063</v>
      </c>
      <c r="S1589" s="1" t="s">
        <v>44</v>
      </c>
      <c r="T1589" s="1" t="s">
        <v>45</v>
      </c>
      <c r="U1589" s="1">
        <v>4.8234393E8</v>
      </c>
      <c r="W1589" s="1" t="s">
        <v>44</v>
      </c>
      <c r="X1589" s="1" t="s">
        <v>45</v>
      </c>
      <c r="Y1589" s="1">
        <v>4.8234393E8</v>
      </c>
      <c r="AB1589" s="1">
        <v>25652.37</v>
      </c>
      <c r="AC1589" s="2">
        <v>41564.0</v>
      </c>
      <c r="AD1589" s="1">
        <v>1200.0</v>
      </c>
      <c r="AE1589" s="1" t="s">
        <v>647</v>
      </c>
      <c r="AF1589" s="1" t="s">
        <v>3064</v>
      </c>
      <c r="AG1589" s="1" t="s">
        <v>712</v>
      </c>
      <c r="AH1589" s="1">
        <v>1.0</v>
      </c>
      <c r="AI1589" s="1">
        <v>2015.0</v>
      </c>
      <c r="AJ1589" s="1">
        <v>2014.0</v>
      </c>
      <c r="AK1589" s="1" t="s">
        <v>713</v>
      </c>
    </row>
    <row r="1590">
      <c r="A1590" s="1" t="s">
        <v>3048</v>
      </c>
      <c r="B1590" s="1" t="s">
        <v>3048</v>
      </c>
      <c r="C1590" s="1" t="s">
        <v>645</v>
      </c>
      <c r="E1590" s="1">
        <v>4.58254144E8</v>
      </c>
      <c r="F1590" s="2">
        <v>41564.0</v>
      </c>
      <c r="G1590" s="1" t="s">
        <v>710</v>
      </c>
      <c r="I1590" s="1" t="s">
        <v>710</v>
      </c>
      <c r="L1590" s="1" t="s">
        <v>647</v>
      </c>
      <c r="M1590" s="1">
        <v>1200.0</v>
      </c>
      <c r="N1590" s="1" t="s">
        <v>647</v>
      </c>
      <c r="O1590" s="1">
        <v>7.3832607E7</v>
      </c>
      <c r="P1590" s="1" t="s">
        <v>482</v>
      </c>
      <c r="R1590" s="1" t="s">
        <v>483</v>
      </c>
      <c r="S1590" s="1" t="s">
        <v>44</v>
      </c>
      <c r="T1590" s="1" t="s">
        <v>45</v>
      </c>
      <c r="U1590" s="1">
        <v>4.82074288E8</v>
      </c>
      <c r="W1590" s="1" t="s">
        <v>44</v>
      </c>
      <c r="X1590" s="1" t="s">
        <v>45</v>
      </c>
      <c r="Y1590" s="1">
        <v>4.82074288E8</v>
      </c>
      <c r="AB1590" s="1">
        <v>408418.08</v>
      </c>
      <c r="AC1590" s="2">
        <v>41564.0</v>
      </c>
      <c r="AD1590" s="1">
        <v>1200.0</v>
      </c>
      <c r="AE1590" s="1" t="s">
        <v>647</v>
      </c>
      <c r="AF1590" s="1" t="s">
        <v>3065</v>
      </c>
      <c r="AG1590" s="1" t="s">
        <v>712</v>
      </c>
      <c r="AH1590" s="1">
        <v>1.0</v>
      </c>
      <c r="AI1590" s="1">
        <v>2015.0</v>
      </c>
      <c r="AJ1590" s="1">
        <v>2014.0</v>
      </c>
      <c r="AK1590" s="1" t="s">
        <v>713</v>
      </c>
    </row>
    <row r="1591">
      <c r="A1591" s="1" t="s">
        <v>2995</v>
      </c>
      <c r="B1591" s="1" t="s">
        <v>2995</v>
      </c>
      <c r="C1591" s="1" t="s">
        <v>194</v>
      </c>
      <c r="E1591" s="1">
        <v>5.11731456E8</v>
      </c>
      <c r="F1591" s="2">
        <v>41758.0</v>
      </c>
      <c r="G1591" s="1" t="s">
        <v>1168</v>
      </c>
      <c r="I1591" s="1" t="s">
        <v>1168</v>
      </c>
      <c r="L1591" s="1" t="s">
        <v>194</v>
      </c>
      <c r="M1591" s="1">
        <v>9100.0</v>
      </c>
      <c r="N1591" s="1" t="s">
        <v>194</v>
      </c>
      <c r="O1591" s="1">
        <v>8.32093392E8</v>
      </c>
      <c r="P1591" s="1" t="s">
        <v>769</v>
      </c>
      <c r="R1591" s="1" t="s">
        <v>770</v>
      </c>
      <c r="S1591" s="1" t="s">
        <v>44</v>
      </c>
      <c r="T1591" s="1" t="s">
        <v>45</v>
      </c>
      <c r="U1591" s="1">
        <v>4.82354205E8</v>
      </c>
      <c r="W1591" s="1" t="s">
        <v>44</v>
      </c>
      <c r="X1591" s="1" t="s">
        <v>45</v>
      </c>
      <c r="Y1591" s="1">
        <v>4.82354205E8</v>
      </c>
      <c r="AB1591" s="1">
        <v>152127.0</v>
      </c>
      <c r="AC1591" s="2">
        <v>41758.0</v>
      </c>
      <c r="AD1591" s="1">
        <v>9100.0</v>
      </c>
      <c r="AE1591" s="1" t="s">
        <v>194</v>
      </c>
      <c r="AF1591" s="1" t="s">
        <v>3066</v>
      </c>
      <c r="AG1591" s="1" t="s">
        <v>1170</v>
      </c>
      <c r="AH1591" s="1">
        <v>1.0</v>
      </c>
      <c r="AI1591" s="1">
        <v>2015.0</v>
      </c>
      <c r="AJ1591" s="1">
        <v>2014.0</v>
      </c>
      <c r="AK1591" s="1" t="s">
        <v>1171</v>
      </c>
    </row>
    <row r="1592">
      <c r="A1592" s="1" t="s">
        <v>3048</v>
      </c>
      <c r="B1592" s="1" t="s">
        <v>3048</v>
      </c>
      <c r="C1592" s="1" t="s">
        <v>645</v>
      </c>
      <c r="E1592" s="1">
        <v>4.58254144E8</v>
      </c>
      <c r="F1592" s="2">
        <v>41585.0</v>
      </c>
      <c r="G1592" s="1" t="s">
        <v>710</v>
      </c>
      <c r="I1592" s="1" t="s">
        <v>710</v>
      </c>
      <c r="L1592" s="1" t="s">
        <v>647</v>
      </c>
      <c r="M1592" s="1">
        <v>1200.0</v>
      </c>
      <c r="N1592" s="1" t="s">
        <v>647</v>
      </c>
      <c r="O1592" s="1">
        <v>7.94990296E8</v>
      </c>
      <c r="P1592" s="1" t="s">
        <v>601</v>
      </c>
      <c r="R1592" s="1" t="s">
        <v>602</v>
      </c>
      <c r="S1592" s="1" t="s">
        <v>44</v>
      </c>
      <c r="T1592" s="1" t="s">
        <v>45</v>
      </c>
      <c r="U1592" s="1">
        <v>4.82032827E8</v>
      </c>
      <c r="W1592" s="1" t="s">
        <v>603</v>
      </c>
      <c r="X1592" s="1" t="s">
        <v>45</v>
      </c>
      <c r="Y1592" s="1">
        <v>4.82032827E8</v>
      </c>
      <c r="AB1592" s="1">
        <v>126447.45</v>
      </c>
      <c r="AC1592" s="2">
        <v>41585.0</v>
      </c>
      <c r="AD1592" s="1">
        <v>1200.0</v>
      </c>
      <c r="AE1592" s="1" t="s">
        <v>647</v>
      </c>
      <c r="AF1592" s="1" t="s">
        <v>3067</v>
      </c>
      <c r="AG1592" s="1" t="s">
        <v>712</v>
      </c>
      <c r="AH1592" s="1">
        <v>1.0</v>
      </c>
      <c r="AI1592" s="1">
        <v>2015.0</v>
      </c>
      <c r="AJ1592" s="1">
        <v>2014.0</v>
      </c>
      <c r="AK1592" s="1" t="s">
        <v>713</v>
      </c>
    </row>
    <row r="1593">
      <c r="A1593" s="1" t="s">
        <v>3048</v>
      </c>
      <c r="B1593" s="1" t="s">
        <v>3048</v>
      </c>
      <c r="C1593" s="1" t="s">
        <v>645</v>
      </c>
      <c r="E1593" s="1">
        <v>4.58254144E8</v>
      </c>
      <c r="F1593" s="2">
        <v>41585.0</v>
      </c>
      <c r="G1593" s="1" t="s">
        <v>710</v>
      </c>
      <c r="I1593" s="1" t="s">
        <v>710</v>
      </c>
      <c r="L1593" s="1" t="s">
        <v>647</v>
      </c>
      <c r="M1593" s="1">
        <v>1200.0</v>
      </c>
      <c r="N1593" s="1" t="s">
        <v>647</v>
      </c>
      <c r="O1593" s="1">
        <v>3.9866801E7</v>
      </c>
      <c r="P1593" s="1" t="s">
        <v>612</v>
      </c>
      <c r="R1593" s="1" t="s">
        <v>613</v>
      </c>
      <c r="S1593" s="1" t="s">
        <v>44</v>
      </c>
      <c r="T1593" s="1" t="s">
        <v>45</v>
      </c>
      <c r="U1593" s="1">
        <v>4.8212E8</v>
      </c>
      <c r="W1593" s="1" t="s">
        <v>607</v>
      </c>
      <c r="X1593" s="1" t="s">
        <v>45</v>
      </c>
      <c r="Y1593" s="1">
        <v>4.82120012E8</v>
      </c>
      <c r="Z1593" s="1">
        <v>3.9866801E7</v>
      </c>
      <c r="AA1593" s="1" t="s">
        <v>612</v>
      </c>
      <c r="AB1593" s="1">
        <v>1158504.08</v>
      </c>
      <c r="AC1593" s="2">
        <v>41585.0</v>
      </c>
      <c r="AD1593" s="1">
        <v>1200.0</v>
      </c>
      <c r="AE1593" s="1" t="s">
        <v>647</v>
      </c>
      <c r="AF1593" s="1" t="s">
        <v>3068</v>
      </c>
      <c r="AG1593" s="1" t="s">
        <v>712</v>
      </c>
      <c r="AH1593" s="1">
        <v>1.0</v>
      </c>
      <c r="AI1593" s="1">
        <v>2015.0</v>
      </c>
      <c r="AJ1593" s="1">
        <v>2014.0</v>
      </c>
      <c r="AK1593" s="1" t="s">
        <v>713</v>
      </c>
    </row>
    <row r="1594">
      <c r="A1594" s="1" t="s">
        <v>3048</v>
      </c>
      <c r="B1594" s="1" t="s">
        <v>3048</v>
      </c>
      <c r="C1594" s="1" t="s">
        <v>645</v>
      </c>
      <c r="E1594" s="1">
        <v>4.58254144E8</v>
      </c>
      <c r="F1594" s="2">
        <v>41613.0</v>
      </c>
      <c r="G1594" s="1" t="s">
        <v>710</v>
      </c>
      <c r="I1594" s="1" t="s">
        <v>710</v>
      </c>
      <c r="L1594" s="1" t="s">
        <v>647</v>
      </c>
      <c r="M1594" s="1">
        <v>1200.0</v>
      </c>
      <c r="N1594" s="1" t="s">
        <v>647</v>
      </c>
      <c r="O1594" s="1">
        <v>7.6340843E7</v>
      </c>
      <c r="P1594" s="1" t="s">
        <v>461</v>
      </c>
      <c r="R1594" s="1" t="s">
        <v>1599</v>
      </c>
      <c r="S1594" s="1" t="s">
        <v>44</v>
      </c>
      <c r="T1594" s="1" t="s">
        <v>45</v>
      </c>
      <c r="U1594" s="1">
        <v>4.8202301E8</v>
      </c>
      <c r="W1594" s="1" t="s">
        <v>44</v>
      </c>
      <c r="X1594" s="1" t="s">
        <v>45</v>
      </c>
      <c r="Y1594" s="1">
        <v>4.82023096E8</v>
      </c>
      <c r="Z1594" s="1">
        <v>7.6340843E7</v>
      </c>
      <c r="AA1594" s="1" t="s">
        <v>461</v>
      </c>
      <c r="AB1594" s="1">
        <v>1638650.15</v>
      </c>
      <c r="AC1594" s="2">
        <v>41613.0</v>
      </c>
      <c r="AD1594" s="1">
        <v>1200.0</v>
      </c>
      <c r="AE1594" s="1" t="s">
        <v>647</v>
      </c>
      <c r="AF1594" s="1" t="s">
        <v>3069</v>
      </c>
      <c r="AG1594" s="1" t="s">
        <v>712</v>
      </c>
      <c r="AH1594" s="1">
        <v>1.0</v>
      </c>
      <c r="AI1594" s="1">
        <v>2015.0</v>
      </c>
      <c r="AJ1594" s="1">
        <v>2014.0</v>
      </c>
      <c r="AK1594" s="1" t="s">
        <v>713</v>
      </c>
    </row>
    <row r="1595">
      <c r="A1595" s="1" t="s">
        <v>3048</v>
      </c>
      <c r="B1595" s="1" t="s">
        <v>3048</v>
      </c>
      <c r="C1595" s="1" t="s">
        <v>645</v>
      </c>
      <c r="E1595" s="1">
        <v>4.58254144E8</v>
      </c>
      <c r="F1595" s="2">
        <v>41592.0</v>
      </c>
      <c r="G1595" s="1" t="s">
        <v>710</v>
      </c>
      <c r="I1595" s="1" t="s">
        <v>710</v>
      </c>
      <c r="L1595" s="1" t="s">
        <v>647</v>
      </c>
      <c r="M1595" s="1">
        <v>1200.0</v>
      </c>
      <c r="N1595" s="1" t="s">
        <v>647</v>
      </c>
      <c r="O1595" s="1">
        <v>8.5464519E7</v>
      </c>
      <c r="P1595" s="1" t="s">
        <v>704</v>
      </c>
      <c r="Q1595" s="1" t="s">
        <v>705</v>
      </c>
      <c r="R1595" s="1" t="s">
        <v>706</v>
      </c>
      <c r="S1595" s="1" t="s">
        <v>44</v>
      </c>
      <c r="T1595" s="1" t="s">
        <v>45</v>
      </c>
      <c r="U1595" s="1">
        <v>4.82012015E8</v>
      </c>
      <c r="W1595" s="1" t="s">
        <v>44</v>
      </c>
      <c r="X1595" s="1" t="s">
        <v>45</v>
      </c>
      <c r="Y1595" s="1">
        <v>4.82192044E8</v>
      </c>
      <c r="AB1595" s="1">
        <v>113431.59</v>
      </c>
      <c r="AC1595" s="2">
        <v>41592.0</v>
      </c>
      <c r="AD1595" s="1">
        <v>1200.0</v>
      </c>
      <c r="AE1595" s="1" t="s">
        <v>647</v>
      </c>
      <c r="AF1595" s="1" t="s">
        <v>3070</v>
      </c>
      <c r="AG1595" s="1" t="s">
        <v>712</v>
      </c>
      <c r="AH1595" s="1">
        <v>1.0</v>
      </c>
      <c r="AI1595" s="1">
        <v>2015.0</v>
      </c>
      <c r="AJ1595" s="1">
        <v>2014.0</v>
      </c>
      <c r="AK1595" s="1" t="s">
        <v>713</v>
      </c>
    </row>
    <row r="1596">
      <c r="A1596" s="1" t="s">
        <v>3048</v>
      </c>
      <c r="B1596" s="1" t="s">
        <v>3048</v>
      </c>
      <c r="C1596" s="1" t="s">
        <v>645</v>
      </c>
      <c r="E1596" s="1">
        <v>4.58254144E8</v>
      </c>
      <c r="F1596" s="2">
        <v>41564.0</v>
      </c>
      <c r="G1596" s="1" t="s">
        <v>710</v>
      </c>
      <c r="I1596" s="1" t="s">
        <v>710</v>
      </c>
      <c r="L1596" s="1" t="s">
        <v>647</v>
      </c>
      <c r="M1596" s="1">
        <v>1200.0</v>
      </c>
      <c r="N1596" s="1" t="s">
        <v>647</v>
      </c>
      <c r="O1596" s="1">
        <v>2115245.0</v>
      </c>
      <c r="P1596" s="1" t="s">
        <v>3071</v>
      </c>
      <c r="R1596" s="1" t="s">
        <v>3072</v>
      </c>
      <c r="S1596" s="1" t="s">
        <v>44</v>
      </c>
      <c r="T1596" s="1" t="s">
        <v>45</v>
      </c>
      <c r="U1596" s="1">
        <v>4.82353545E8</v>
      </c>
      <c r="W1596" s="1" t="s">
        <v>133</v>
      </c>
      <c r="X1596" s="1" t="s">
        <v>45</v>
      </c>
      <c r="Y1596" s="1">
        <v>4.8075E8</v>
      </c>
      <c r="AB1596" s="1">
        <v>28664.81</v>
      </c>
      <c r="AC1596" s="2">
        <v>41564.0</v>
      </c>
      <c r="AD1596" s="1">
        <v>1200.0</v>
      </c>
      <c r="AE1596" s="1" t="s">
        <v>647</v>
      </c>
      <c r="AF1596" s="1" t="s">
        <v>3073</v>
      </c>
      <c r="AG1596" s="1" t="s">
        <v>712</v>
      </c>
      <c r="AH1596" s="1">
        <v>1.0</v>
      </c>
      <c r="AI1596" s="1">
        <v>2015.0</v>
      </c>
      <c r="AJ1596" s="1">
        <v>2014.0</v>
      </c>
      <c r="AK1596" s="1" t="s">
        <v>713</v>
      </c>
    </row>
    <row r="1597">
      <c r="A1597" s="1" t="s">
        <v>3048</v>
      </c>
      <c r="B1597" s="1" t="s">
        <v>3048</v>
      </c>
      <c r="C1597" s="1" t="s">
        <v>645</v>
      </c>
      <c r="E1597" s="1">
        <v>4.58254144E8</v>
      </c>
      <c r="F1597" s="2">
        <v>41550.0</v>
      </c>
      <c r="G1597" s="1" t="s">
        <v>710</v>
      </c>
      <c r="I1597" s="1" t="s">
        <v>710</v>
      </c>
      <c r="L1597" s="1" t="s">
        <v>647</v>
      </c>
      <c r="M1597" s="1">
        <v>1200.0</v>
      </c>
      <c r="N1597" s="1" t="s">
        <v>647</v>
      </c>
      <c r="O1597" s="1">
        <v>8.59589231E8</v>
      </c>
      <c r="P1597" s="1" t="s">
        <v>901</v>
      </c>
      <c r="R1597" s="1" t="s">
        <v>902</v>
      </c>
      <c r="S1597" s="1" t="s">
        <v>44</v>
      </c>
      <c r="T1597" s="1" t="s">
        <v>45</v>
      </c>
      <c r="U1597" s="1">
        <v>4.82391326E8</v>
      </c>
      <c r="W1597" s="1" t="s">
        <v>903</v>
      </c>
      <c r="X1597" s="1" t="s">
        <v>45</v>
      </c>
      <c r="Y1597" s="1">
        <v>4.82391326E8</v>
      </c>
      <c r="AB1597" s="1">
        <v>78141.94</v>
      </c>
      <c r="AC1597" s="2">
        <v>41550.0</v>
      </c>
      <c r="AD1597" s="1">
        <v>1200.0</v>
      </c>
      <c r="AE1597" s="1" t="s">
        <v>647</v>
      </c>
      <c r="AF1597" s="1" t="s">
        <v>3074</v>
      </c>
      <c r="AG1597" s="1" t="s">
        <v>712</v>
      </c>
      <c r="AH1597" s="1">
        <v>1.0</v>
      </c>
      <c r="AI1597" s="1">
        <v>2015.0</v>
      </c>
      <c r="AJ1597" s="1">
        <v>2014.0</v>
      </c>
      <c r="AK1597" s="1" t="s">
        <v>713</v>
      </c>
    </row>
    <row r="1598">
      <c r="A1598" s="1" t="s">
        <v>3048</v>
      </c>
      <c r="B1598" s="1" t="s">
        <v>3048</v>
      </c>
      <c r="C1598" s="1" t="s">
        <v>645</v>
      </c>
      <c r="E1598" s="1">
        <v>4.58254144E8</v>
      </c>
      <c r="F1598" s="2">
        <v>41585.0</v>
      </c>
      <c r="G1598" s="1" t="s">
        <v>710</v>
      </c>
      <c r="I1598" s="1" t="s">
        <v>710</v>
      </c>
      <c r="L1598" s="1" t="s">
        <v>647</v>
      </c>
      <c r="M1598" s="1">
        <v>1200.0</v>
      </c>
      <c r="N1598" s="1" t="s">
        <v>647</v>
      </c>
      <c r="O1598" s="1">
        <v>7.8465647E7</v>
      </c>
      <c r="P1598" s="1" t="s">
        <v>1176</v>
      </c>
      <c r="R1598" s="1" t="s">
        <v>1178</v>
      </c>
      <c r="S1598" s="1" t="s">
        <v>44</v>
      </c>
      <c r="T1598" s="1" t="s">
        <v>45</v>
      </c>
      <c r="U1598" s="1">
        <v>4.82281142E8</v>
      </c>
      <c r="W1598" s="1" t="s">
        <v>44</v>
      </c>
      <c r="X1598" s="1" t="s">
        <v>45</v>
      </c>
      <c r="Y1598" s="1">
        <v>4.82281142E8</v>
      </c>
      <c r="AB1598" s="1">
        <v>53903.58</v>
      </c>
      <c r="AC1598" s="2">
        <v>41585.0</v>
      </c>
      <c r="AD1598" s="1">
        <v>1200.0</v>
      </c>
      <c r="AE1598" s="1" t="s">
        <v>647</v>
      </c>
      <c r="AF1598" s="1" t="s">
        <v>3075</v>
      </c>
      <c r="AG1598" s="1" t="s">
        <v>712</v>
      </c>
      <c r="AH1598" s="1">
        <v>1.0</v>
      </c>
      <c r="AI1598" s="1">
        <v>2015.0</v>
      </c>
      <c r="AJ1598" s="1">
        <v>2014.0</v>
      </c>
      <c r="AK1598" s="1" t="s">
        <v>713</v>
      </c>
    </row>
    <row r="1599">
      <c r="A1599" s="1" t="s">
        <v>2995</v>
      </c>
      <c r="B1599" s="1" t="s">
        <v>2995</v>
      </c>
      <c r="C1599" s="1" t="s">
        <v>194</v>
      </c>
      <c r="E1599" s="1">
        <v>5.11731456E8</v>
      </c>
      <c r="F1599" s="2">
        <v>41793.0</v>
      </c>
      <c r="G1599" s="1" t="s">
        <v>1168</v>
      </c>
      <c r="I1599" s="1" t="s">
        <v>1168</v>
      </c>
      <c r="L1599" s="1" t="s">
        <v>194</v>
      </c>
      <c r="M1599" s="1">
        <v>9100.0</v>
      </c>
      <c r="N1599" s="1" t="s">
        <v>194</v>
      </c>
      <c r="O1599" s="1">
        <v>8.00475803E8</v>
      </c>
      <c r="P1599" s="1" t="s">
        <v>1670</v>
      </c>
      <c r="R1599" s="1" t="s">
        <v>1671</v>
      </c>
      <c r="S1599" s="1" t="s">
        <v>44</v>
      </c>
      <c r="T1599" s="1" t="s">
        <v>45</v>
      </c>
      <c r="U1599" s="1">
        <v>4.82152667E8</v>
      </c>
      <c r="W1599" s="1" t="s">
        <v>46</v>
      </c>
      <c r="X1599" s="1" t="s">
        <v>45</v>
      </c>
      <c r="Y1599" s="1">
        <v>4.82152667E8</v>
      </c>
      <c r="AB1599" s="1">
        <v>319006.0</v>
      </c>
      <c r="AC1599" s="2">
        <v>41793.0</v>
      </c>
      <c r="AD1599" s="1">
        <v>9100.0</v>
      </c>
      <c r="AE1599" s="1" t="s">
        <v>194</v>
      </c>
      <c r="AF1599" s="1" t="s">
        <v>3076</v>
      </c>
      <c r="AG1599" s="1" t="s">
        <v>3000</v>
      </c>
      <c r="AH1599" s="1">
        <v>1.0</v>
      </c>
      <c r="AI1599" s="1">
        <v>2015.0</v>
      </c>
      <c r="AJ1599" s="1">
        <v>2014.0</v>
      </c>
      <c r="AK1599" s="1" t="s">
        <v>1171</v>
      </c>
    </row>
    <row r="1600">
      <c r="A1600" s="1" t="s">
        <v>3048</v>
      </c>
      <c r="B1600" s="1" t="s">
        <v>3048</v>
      </c>
      <c r="C1600" s="1" t="s">
        <v>645</v>
      </c>
      <c r="E1600" s="1">
        <v>4.58254144E8</v>
      </c>
      <c r="F1600" s="2">
        <v>41578.0</v>
      </c>
      <c r="G1600" s="1" t="s">
        <v>710</v>
      </c>
      <c r="I1600" s="1" t="s">
        <v>710</v>
      </c>
      <c r="L1600" s="1" t="s">
        <v>647</v>
      </c>
      <c r="M1600" s="1">
        <v>1200.0</v>
      </c>
      <c r="N1600" s="1" t="s">
        <v>647</v>
      </c>
      <c r="O1600" s="1">
        <v>9.65349769E8</v>
      </c>
      <c r="P1600" s="1" t="s">
        <v>465</v>
      </c>
      <c r="Q1600" s="1" t="s">
        <v>466</v>
      </c>
      <c r="R1600" s="1" t="s">
        <v>467</v>
      </c>
      <c r="S1600" s="1" t="s">
        <v>44</v>
      </c>
      <c r="T1600" s="1" t="s">
        <v>45</v>
      </c>
      <c r="U1600" s="1">
        <v>4.8202322E8</v>
      </c>
      <c r="W1600" s="1" t="s">
        <v>44</v>
      </c>
      <c r="X1600" s="1" t="s">
        <v>45</v>
      </c>
      <c r="Y1600" s="1">
        <v>4.8202322E8</v>
      </c>
      <c r="Z1600" s="1">
        <v>1.6338926E8</v>
      </c>
      <c r="AA1600" s="1" t="s">
        <v>465</v>
      </c>
      <c r="AB1600" s="1">
        <v>241258.37</v>
      </c>
      <c r="AC1600" s="2">
        <v>41578.0</v>
      </c>
      <c r="AD1600" s="1">
        <v>1200.0</v>
      </c>
      <c r="AE1600" s="1" t="s">
        <v>647</v>
      </c>
      <c r="AF1600" s="1" t="s">
        <v>3077</v>
      </c>
      <c r="AG1600" s="1" t="s">
        <v>712</v>
      </c>
      <c r="AH1600" s="1">
        <v>1.0</v>
      </c>
      <c r="AI1600" s="1">
        <v>2015.0</v>
      </c>
      <c r="AJ1600" s="1">
        <v>2014.0</v>
      </c>
      <c r="AK1600" s="1" t="s">
        <v>713</v>
      </c>
    </row>
    <row r="1601">
      <c r="A1601" s="1" t="s">
        <v>3048</v>
      </c>
      <c r="B1601" s="1" t="s">
        <v>3048</v>
      </c>
      <c r="C1601" s="1" t="s">
        <v>645</v>
      </c>
      <c r="E1601" s="1">
        <v>4.58254144E8</v>
      </c>
      <c r="F1601" s="2">
        <v>41557.0</v>
      </c>
      <c r="G1601" s="1" t="s">
        <v>710</v>
      </c>
      <c r="I1601" s="1" t="s">
        <v>710</v>
      </c>
      <c r="L1601" s="1" t="s">
        <v>647</v>
      </c>
      <c r="M1601" s="1">
        <v>1200.0</v>
      </c>
      <c r="N1601" s="1" t="s">
        <v>647</v>
      </c>
      <c r="O1601" s="1">
        <v>7.97527715E8</v>
      </c>
      <c r="P1601" s="1" t="s">
        <v>567</v>
      </c>
      <c r="R1601" s="1" t="s">
        <v>568</v>
      </c>
      <c r="S1601" s="1" t="s">
        <v>44</v>
      </c>
      <c r="T1601" s="1" t="s">
        <v>45</v>
      </c>
      <c r="U1601" s="1">
        <v>4.82123134E8</v>
      </c>
      <c r="W1601" s="1" t="s">
        <v>498</v>
      </c>
      <c r="X1601" s="1" t="s">
        <v>45</v>
      </c>
      <c r="Y1601" s="1">
        <v>4.82123134E8</v>
      </c>
      <c r="Z1601" s="1">
        <v>9.60742484E8</v>
      </c>
      <c r="AB1601" s="1">
        <v>189526.97</v>
      </c>
      <c r="AC1601" s="2">
        <v>41557.0</v>
      </c>
      <c r="AD1601" s="1">
        <v>1200.0</v>
      </c>
      <c r="AE1601" s="1" t="s">
        <v>647</v>
      </c>
      <c r="AF1601" s="1" t="s">
        <v>3078</v>
      </c>
      <c r="AG1601" s="1" t="s">
        <v>712</v>
      </c>
      <c r="AH1601" s="1">
        <v>1.0</v>
      </c>
      <c r="AI1601" s="1">
        <v>2015.0</v>
      </c>
      <c r="AJ1601" s="1">
        <v>2014.0</v>
      </c>
      <c r="AK1601" s="1" t="s">
        <v>713</v>
      </c>
    </row>
    <row r="1602">
      <c r="A1602" s="1" t="s">
        <v>2995</v>
      </c>
      <c r="B1602" s="1" t="s">
        <v>2995</v>
      </c>
      <c r="C1602" s="1" t="s">
        <v>194</v>
      </c>
      <c r="E1602" s="1">
        <v>5.11731456E8</v>
      </c>
      <c r="F1602" s="2">
        <v>41806.0</v>
      </c>
      <c r="G1602" s="1" t="s">
        <v>1168</v>
      </c>
      <c r="I1602" s="1" t="s">
        <v>1168</v>
      </c>
      <c r="L1602" s="1" t="s">
        <v>194</v>
      </c>
      <c r="M1602" s="1">
        <v>9100.0</v>
      </c>
      <c r="N1602" s="1" t="s">
        <v>194</v>
      </c>
      <c r="O1602" s="1">
        <v>4.2136734E7</v>
      </c>
      <c r="P1602" s="1" t="s">
        <v>557</v>
      </c>
      <c r="R1602" s="1" t="s">
        <v>558</v>
      </c>
      <c r="S1602" s="1" t="s">
        <v>44</v>
      </c>
      <c r="T1602" s="1" t="s">
        <v>45</v>
      </c>
      <c r="U1602" s="1">
        <v>4.82082204E8</v>
      </c>
      <c r="W1602" s="1" t="s">
        <v>44</v>
      </c>
      <c r="X1602" s="1" t="s">
        <v>45</v>
      </c>
      <c r="Y1602" s="1">
        <v>4.82082204E8</v>
      </c>
      <c r="AB1602" s="1">
        <v>391961.0</v>
      </c>
      <c r="AC1602" s="2">
        <v>41806.0</v>
      </c>
      <c r="AD1602" s="1">
        <v>9100.0</v>
      </c>
      <c r="AE1602" s="1" t="s">
        <v>194</v>
      </c>
      <c r="AF1602" s="1" t="s">
        <v>3079</v>
      </c>
      <c r="AG1602" s="1" t="s">
        <v>1170</v>
      </c>
      <c r="AH1602" s="1">
        <v>1.0</v>
      </c>
      <c r="AI1602" s="1">
        <v>2015.0</v>
      </c>
      <c r="AJ1602" s="1">
        <v>2014.0</v>
      </c>
      <c r="AK1602" s="1" t="s">
        <v>1171</v>
      </c>
    </row>
    <row r="1603">
      <c r="A1603" s="1" t="s">
        <v>3048</v>
      </c>
      <c r="B1603" s="1" t="s">
        <v>3048</v>
      </c>
      <c r="C1603" s="1" t="s">
        <v>645</v>
      </c>
      <c r="E1603" s="1">
        <v>4.58254144E8</v>
      </c>
      <c r="F1603" s="2">
        <v>41599.0</v>
      </c>
      <c r="G1603" s="1" t="s">
        <v>710</v>
      </c>
      <c r="I1603" s="1" t="s">
        <v>710</v>
      </c>
      <c r="L1603" s="1" t="s">
        <v>647</v>
      </c>
      <c r="M1603" s="1">
        <v>1200.0</v>
      </c>
      <c r="N1603" s="1" t="s">
        <v>647</v>
      </c>
      <c r="O1603" s="1">
        <v>7.93697942E8</v>
      </c>
      <c r="P1603" s="1" t="s">
        <v>459</v>
      </c>
      <c r="R1603" s="1" t="s">
        <v>460</v>
      </c>
      <c r="S1603" s="1" t="s">
        <v>44</v>
      </c>
      <c r="T1603" s="1" t="s">
        <v>45</v>
      </c>
      <c r="U1603" s="1">
        <v>4.82141601E8</v>
      </c>
      <c r="W1603" s="1" t="s">
        <v>44</v>
      </c>
      <c r="X1603" s="1" t="s">
        <v>45</v>
      </c>
      <c r="Y1603" s="1">
        <v>4.82141601E8</v>
      </c>
      <c r="Z1603" s="1">
        <v>7.6340843E7</v>
      </c>
      <c r="AA1603" s="1" t="s">
        <v>461</v>
      </c>
      <c r="AB1603" s="1">
        <v>50513.7</v>
      </c>
      <c r="AC1603" s="2">
        <v>41599.0</v>
      </c>
      <c r="AD1603" s="1">
        <v>1200.0</v>
      </c>
      <c r="AE1603" s="1" t="s">
        <v>647</v>
      </c>
      <c r="AF1603" s="1" t="s">
        <v>3080</v>
      </c>
      <c r="AG1603" s="1" t="s">
        <v>712</v>
      </c>
      <c r="AH1603" s="1">
        <v>1.0</v>
      </c>
      <c r="AI1603" s="1">
        <v>2015.0</v>
      </c>
      <c r="AJ1603" s="1">
        <v>2014.0</v>
      </c>
      <c r="AK1603" s="1" t="s">
        <v>713</v>
      </c>
    </row>
    <row r="1604">
      <c r="A1604" s="1" t="s">
        <v>2995</v>
      </c>
      <c r="B1604" s="1" t="s">
        <v>2995</v>
      </c>
      <c r="C1604" s="1" t="s">
        <v>194</v>
      </c>
      <c r="E1604" s="1">
        <v>5.11731456E8</v>
      </c>
      <c r="F1604" s="2">
        <v>41740.0</v>
      </c>
      <c r="G1604" s="1" t="s">
        <v>1168</v>
      </c>
      <c r="I1604" s="1" t="s">
        <v>1168</v>
      </c>
      <c r="L1604" s="1" t="s">
        <v>194</v>
      </c>
      <c r="M1604" s="1">
        <v>9100.0</v>
      </c>
      <c r="N1604" s="1" t="s">
        <v>194</v>
      </c>
      <c r="O1604" s="1">
        <v>7.8465647E7</v>
      </c>
      <c r="P1604" s="1" t="s">
        <v>1176</v>
      </c>
      <c r="R1604" s="1" t="s">
        <v>1178</v>
      </c>
      <c r="S1604" s="1" t="s">
        <v>44</v>
      </c>
      <c r="T1604" s="1" t="s">
        <v>45</v>
      </c>
      <c r="U1604" s="1">
        <v>4.82281142E8</v>
      </c>
      <c r="W1604" s="1" t="s">
        <v>44</v>
      </c>
      <c r="X1604" s="1" t="s">
        <v>45</v>
      </c>
      <c r="Y1604" s="1">
        <v>4.82281142E8</v>
      </c>
      <c r="AB1604" s="1">
        <v>181509.0</v>
      </c>
      <c r="AC1604" s="2">
        <v>41740.0</v>
      </c>
      <c r="AD1604" s="1">
        <v>9100.0</v>
      </c>
      <c r="AE1604" s="1" t="s">
        <v>194</v>
      </c>
      <c r="AF1604" s="1" t="s">
        <v>3081</v>
      </c>
      <c r="AG1604" s="1" t="s">
        <v>1170</v>
      </c>
      <c r="AH1604" s="1">
        <v>1.0</v>
      </c>
      <c r="AI1604" s="1">
        <v>2015.0</v>
      </c>
      <c r="AJ1604" s="1">
        <v>2014.0</v>
      </c>
      <c r="AK1604" s="1" t="s">
        <v>1171</v>
      </c>
    </row>
    <row r="1605">
      <c r="A1605" s="1" t="s">
        <v>2995</v>
      </c>
      <c r="B1605" s="1" t="s">
        <v>2995</v>
      </c>
      <c r="C1605" s="1" t="s">
        <v>194</v>
      </c>
      <c r="E1605" s="1">
        <v>5.11731456E8</v>
      </c>
      <c r="F1605" s="2">
        <v>41774.0</v>
      </c>
      <c r="G1605" s="1" t="s">
        <v>1168</v>
      </c>
      <c r="I1605" s="1" t="s">
        <v>1168</v>
      </c>
      <c r="L1605" s="1" t="s">
        <v>194</v>
      </c>
      <c r="M1605" s="1">
        <v>9100.0</v>
      </c>
      <c r="N1605" s="1" t="s">
        <v>194</v>
      </c>
      <c r="O1605" s="1">
        <v>7.0381949E7</v>
      </c>
      <c r="P1605" s="1" t="s">
        <v>605</v>
      </c>
      <c r="R1605" s="1" t="s">
        <v>606</v>
      </c>
      <c r="S1605" s="1" t="s">
        <v>44</v>
      </c>
      <c r="T1605" s="1" t="s">
        <v>45</v>
      </c>
      <c r="U1605" s="1">
        <v>4.82123033E8</v>
      </c>
      <c r="W1605" s="1" t="s">
        <v>607</v>
      </c>
      <c r="X1605" s="1" t="s">
        <v>45</v>
      </c>
      <c r="Y1605" s="1">
        <v>4.82123033E8</v>
      </c>
      <c r="AB1605" s="1">
        <v>358751.0</v>
      </c>
      <c r="AC1605" s="2">
        <v>41774.0</v>
      </c>
      <c r="AD1605" s="1">
        <v>9100.0</v>
      </c>
      <c r="AE1605" s="1" t="s">
        <v>194</v>
      </c>
      <c r="AF1605" s="1" t="s">
        <v>3082</v>
      </c>
      <c r="AG1605" s="1" t="s">
        <v>3000</v>
      </c>
      <c r="AH1605" s="1">
        <v>1.0</v>
      </c>
      <c r="AI1605" s="1">
        <v>2015.0</v>
      </c>
      <c r="AJ1605" s="1">
        <v>2014.0</v>
      </c>
      <c r="AK1605" s="1" t="s">
        <v>1171</v>
      </c>
    </row>
    <row r="1606">
      <c r="A1606" s="1" t="s">
        <v>3048</v>
      </c>
      <c r="B1606" s="1" t="s">
        <v>3048</v>
      </c>
      <c r="C1606" s="1" t="s">
        <v>645</v>
      </c>
      <c r="E1606" s="1">
        <v>4.58254144E8</v>
      </c>
      <c r="F1606" s="2">
        <v>41753.0</v>
      </c>
      <c r="G1606" s="1" t="s">
        <v>710</v>
      </c>
      <c r="I1606" s="1" t="s">
        <v>710</v>
      </c>
      <c r="L1606" s="1" t="s">
        <v>647</v>
      </c>
      <c r="M1606" s="1">
        <v>1200.0</v>
      </c>
      <c r="N1606" s="1" t="s">
        <v>647</v>
      </c>
      <c r="O1606" s="1">
        <v>2.0830303E7</v>
      </c>
      <c r="P1606" s="1" t="s">
        <v>424</v>
      </c>
      <c r="Q1606" s="1" t="s">
        <v>425</v>
      </c>
      <c r="R1606" s="1" t="s">
        <v>426</v>
      </c>
      <c r="S1606" s="1" t="s">
        <v>44</v>
      </c>
      <c r="T1606" s="1" t="s">
        <v>45</v>
      </c>
      <c r="U1606" s="1">
        <v>4.82012002E8</v>
      </c>
      <c r="W1606" s="1" t="s">
        <v>44</v>
      </c>
      <c r="X1606" s="1" t="s">
        <v>45</v>
      </c>
      <c r="Y1606" s="1">
        <v>4.82022012E8</v>
      </c>
      <c r="Z1606" s="1">
        <v>2.0830303E7</v>
      </c>
      <c r="AA1606" s="1" t="s">
        <v>424</v>
      </c>
      <c r="AB1606" s="1">
        <v>643713.18</v>
      </c>
      <c r="AC1606" s="2">
        <v>41753.0</v>
      </c>
      <c r="AD1606" s="1">
        <v>1200.0</v>
      </c>
      <c r="AE1606" s="1" t="s">
        <v>647</v>
      </c>
      <c r="AF1606" s="1" t="s">
        <v>3083</v>
      </c>
      <c r="AG1606" s="1" t="s">
        <v>712</v>
      </c>
      <c r="AH1606" s="1">
        <v>1.0</v>
      </c>
      <c r="AI1606" s="1">
        <v>2015.0</v>
      </c>
      <c r="AJ1606" s="1">
        <v>2014.0</v>
      </c>
      <c r="AK1606" s="1" t="s">
        <v>713</v>
      </c>
    </row>
    <row r="1607">
      <c r="A1607" s="1" t="s">
        <v>2995</v>
      </c>
      <c r="B1607" s="1" t="s">
        <v>2995</v>
      </c>
      <c r="C1607" s="1" t="s">
        <v>194</v>
      </c>
      <c r="E1607" s="1">
        <v>5.11731456E8</v>
      </c>
      <c r="F1607" s="2">
        <v>41740.0</v>
      </c>
      <c r="G1607" s="1" t="s">
        <v>1168</v>
      </c>
      <c r="I1607" s="1" t="s">
        <v>1168</v>
      </c>
      <c r="L1607" s="1" t="s">
        <v>194</v>
      </c>
      <c r="M1607" s="1">
        <v>9100.0</v>
      </c>
      <c r="N1607" s="1" t="s">
        <v>194</v>
      </c>
      <c r="O1607" s="1">
        <v>7.8736952E7</v>
      </c>
      <c r="P1607" s="1" t="s">
        <v>3084</v>
      </c>
      <c r="R1607" s="1" t="s">
        <v>3085</v>
      </c>
      <c r="S1607" s="1" t="s">
        <v>44</v>
      </c>
      <c r="T1607" s="1" t="s">
        <v>45</v>
      </c>
      <c r="U1607" s="1">
        <v>4.82263485E8</v>
      </c>
      <c r="W1607" s="1" t="s">
        <v>3086</v>
      </c>
      <c r="X1607" s="1" t="s">
        <v>45</v>
      </c>
      <c r="Y1607" s="1">
        <v>4.81803356E8</v>
      </c>
      <c r="Z1607" s="1">
        <v>9434185.0</v>
      </c>
      <c r="AB1607" s="1">
        <v>57094.0</v>
      </c>
      <c r="AC1607" s="2">
        <v>41740.0</v>
      </c>
      <c r="AD1607" s="1">
        <v>9100.0</v>
      </c>
      <c r="AE1607" s="1" t="s">
        <v>194</v>
      </c>
      <c r="AF1607" s="1" t="s">
        <v>3087</v>
      </c>
      <c r="AG1607" s="1" t="s">
        <v>1170</v>
      </c>
      <c r="AH1607" s="1">
        <v>1.0</v>
      </c>
      <c r="AI1607" s="1">
        <v>2015.0</v>
      </c>
      <c r="AJ1607" s="1">
        <v>2014.0</v>
      </c>
      <c r="AK1607" s="1" t="s">
        <v>1171</v>
      </c>
    </row>
    <row r="1608">
      <c r="A1608" s="1" t="s">
        <v>2995</v>
      </c>
      <c r="B1608" s="1" t="s">
        <v>2995</v>
      </c>
      <c r="C1608" s="1" t="s">
        <v>194</v>
      </c>
      <c r="E1608" s="1">
        <v>5.11731456E8</v>
      </c>
      <c r="F1608" s="2">
        <v>41733.0</v>
      </c>
      <c r="G1608" s="1" t="s">
        <v>1168</v>
      </c>
      <c r="I1608" s="1" t="s">
        <v>1168</v>
      </c>
      <c r="L1608" s="1" t="s">
        <v>194</v>
      </c>
      <c r="M1608" s="1">
        <v>9100.0</v>
      </c>
      <c r="N1608" s="1" t="s">
        <v>194</v>
      </c>
      <c r="O1608" s="1">
        <v>7.6340843E7</v>
      </c>
      <c r="P1608" s="1" t="s">
        <v>461</v>
      </c>
      <c r="R1608" s="1" t="s">
        <v>1599</v>
      </c>
      <c r="S1608" s="1" t="s">
        <v>44</v>
      </c>
      <c r="T1608" s="1" t="s">
        <v>45</v>
      </c>
      <c r="U1608" s="1">
        <v>4.8202301E8</v>
      </c>
      <c r="W1608" s="1" t="s">
        <v>44</v>
      </c>
      <c r="X1608" s="1" t="s">
        <v>45</v>
      </c>
      <c r="Y1608" s="1">
        <v>4.82023096E8</v>
      </c>
      <c r="Z1608" s="1">
        <v>7.6340843E7</v>
      </c>
      <c r="AA1608" s="1" t="s">
        <v>461</v>
      </c>
      <c r="AB1608" s="1">
        <v>315578.0</v>
      </c>
      <c r="AC1608" s="2">
        <v>41733.0</v>
      </c>
      <c r="AD1608" s="1">
        <v>9100.0</v>
      </c>
      <c r="AE1608" s="1" t="s">
        <v>194</v>
      </c>
      <c r="AF1608" s="1" t="s">
        <v>3088</v>
      </c>
      <c r="AG1608" s="1" t="s">
        <v>1170</v>
      </c>
      <c r="AH1608" s="1">
        <v>1.0</v>
      </c>
      <c r="AI1608" s="1">
        <v>2015.0</v>
      </c>
      <c r="AJ1608" s="1">
        <v>2014.0</v>
      </c>
      <c r="AK1608" s="1" t="s">
        <v>1171</v>
      </c>
    </row>
    <row r="1609">
      <c r="A1609" s="1" t="s">
        <v>3048</v>
      </c>
      <c r="B1609" s="1" t="s">
        <v>3048</v>
      </c>
      <c r="C1609" s="1" t="s">
        <v>645</v>
      </c>
      <c r="E1609" s="1">
        <v>4.58254144E8</v>
      </c>
      <c r="F1609" s="2">
        <v>41557.0</v>
      </c>
      <c r="G1609" s="1" t="s">
        <v>710</v>
      </c>
      <c r="I1609" s="1" t="s">
        <v>710</v>
      </c>
      <c r="L1609" s="1" t="s">
        <v>647</v>
      </c>
      <c r="M1609" s="1">
        <v>1200.0</v>
      </c>
      <c r="N1609" s="1" t="s">
        <v>647</v>
      </c>
      <c r="O1609" s="1">
        <v>8.30649195E8</v>
      </c>
      <c r="P1609" s="1" t="s">
        <v>545</v>
      </c>
      <c r="R1609" s="1" t="s">
        <v>547</v>
      </c>
      <c r="S1609" s="1" t="s">
        <v>44</v>
      </c>
      <c r="T1609" s="1" t="s">
        <v>45</v>
      </c>
      <c r="U1609" s="1">
        <v>4.82071E8</v>
      </c>
      <c r="W1609" s="1" t="s">
        <v>44</v>
      </c>
      <c r="X1609" s="1" t="s">
        <v>45</v>
      </c>
      <c r="Y1609" s="1">
        <v>4.82071E8</v>
      </c>
      <c r="AB1609" s="1">
        <v>427493.11</v>
      </c>
      <c r="AC1609" s="2">
        <v>41557.0</v>
      </c>
      <c r="AD1609" s="1">
        <v>1200.0</v>
      </c>
      <c r="AE1609" s="1" t="s">
        <v>647</v>
      </c>
      <c r="AF1609" s="1" t="s">
        <v>3089</v>
      </c>
      <c r="AG1609" s="1" t="s">
        <v>712</v>
      </c>
      <c r="AH1609" s="1">
        <v>1.0</v>
      </c>
      <c r="AI1609" s="1">
        <v>2015.0</v>
      </c>
      <c r="AJ1609" s="1">
        <v>2014.0</v>
      </c>
      <c r="AK1609" s="1" t="s">
        <v>713</v>
      </c>
    </row>
    <row r="1610">
      <c r="A1610" s="1" t="s">
        <v>3048</v>
      </c>
      <c r="B1610" s="1" t="s">
        <v>3048</v>
      </c>
      <c r="C1610" s="1" t="s">
        <v>645</v>
      </c>
      <c r="E1610" s="1">
        <v>4.58254144E8</v>
      </c>
      <c r="F1610" s="2">
        <v>41564.0</v>
      </c>
      <c r="G1610" s="1" t="s">
        <v>710</v>
      </c>
      <c r="I1610" s="1" t="s">
        <v>710</v>
      </c>
      <c r="L1610" s="1" t="s">
        <v>647</v>
      </c>
      <c r="M1610" s="1">
        <v>1200.0</v>
      </c>
      <c r="N1610" s="1" t="s">
        <v>647</v>
      </c>
      <c r="O1610" s="1">
        <v>1.47777952E8</v>
      </c>
      <c r="P1610" s="1" t="s">
        <v>459</v>
      </c>
      <c r="Q1610" s="1" t="s">
        <v>626</v>
      </c>
      <c r="R1610" s="1" t="s">
        <v>627</v>
      </c>
      <c r="S1610" s="1" t="s">
        <v>44</v>
      </c>
      <c r="T1610" s="1" t="s">
        <v>45</v>
      </c>
      <c r="U1610" s="1">
        <v>4.82072112E8</v>
      </c>
      <c r="W1610" s="1" t="s">
        <v>44</v>
      </c>
      <c r="X1610" s="1" t="s">
        <v>45</v>
      </c>
      <c r="Y1610" s="1">
        <v>4.82072112E8</v>
      </c>
      <c r="Z1610" s="1">
        <v>7.6340843E7</v>
      </c>
      <c r="AA1610" s="1" t="s">
        <v>461</v>
      </c>
      <c r="AB1610" s="1">
        <v>326679.67</v>
      </c>
      <c r="AC1610" s="2">
        <v>41564.0</v>
      </c>
      <c r="AD1610" s="1">
        <v>1200.0</v>
      </c>
      <c r="AE1610" s="1" t="s">
        <v>647</v>
      </c>
      <c r="AF1610" s="1" t="s">
        <v>3090</v>
      </c>
      <c r="AG1610" s="1" t="s">
        <v>712</v>
      </c>
      <c r="AH1610" s="1">
        <v>1.0</v>
      </c>
      <c r="AI1610" s="1">
        <v>2015.0</v>
      </c>
      <c r="AJ1610" s="1">
        <v>2014.0</v>
      </c>
      <c r="AK1610" s="1" t="s">
        <v>713</v>
      </c>
    </row>
    <row r="1611">
      <c r="A1611" s="1" t="s">
        <v>3048</v>
      </c>
      <c r="B1611" s="1" t="s">
        <v>3048</v>
      </c>
      <c r="C1611" s="1" t="s">
        <v>645</v>
      </c>
      <c r="E1611" s="1">
        <v>4.58254144E8</v>
      </c>
      <c r="F1611" s="2">
        <v>41683.0</v>
      </c>
      <c r="G1611" s="1" t="s">
        <v>710</v>
      </c>
      <c r="I1611" s="1" t="s">
        <v>710</v>
      </c>
      <c r="L1611" s="1" t="s">
        <v>647</v>
      </c>
      <c r="M1611" s="1">
        <v>1200.0</v>
      </c>
      <c r="N1611" s="1" t="s">
        <v>647</v>
      </c>
      <c r="O1611" s="1">
        <v>8.4297738E7</v>
      </c>
      <c r="P1611" s="1" t="s">
        <v>3091</v>
      </c>
      <c r="Q1611" s="1" t="s">
        <v>3092</v>
      </c>
      <c r="R1611" s="1" t="s">
        <v>3093</v>
      </c>
      <c r="S1611" s="1" t="s">
        <v>44</v>
      </c>
      <c r="T1611" s="1" t="s">
        <v>45</v>
      </c>
      <c r="U1611" s="1">
        <v>4.8207341E8</v>
      </c>
      <c r="W1611" s="1" t="s">
        <v>44</v>
      </c>
      <c r="X1611" s="1" t="s">
        <v>45</v>
      </c>
      <c r="Y1611" s="1">
        <v>4.8207341E8</v>
      </c>
      <c r="Z1611" s="1">
        <v>8.4297738E7</v>
      </c>
      <c r="AA1611" s="1" t="s">
        <v>3091</v>
      </c>
      <c r="AB1611" s="1">
        <v>480879.68</v>
      </c>
      <c r="AC1611" s="2">
        <v>41683.0</v>
      </c>
      <c r="AD1611" s="1">
        <v>1200.0</v>
      </c>
      <c r="AE1611" s="1" t="s">
        <v>647</v>
      </c>
      <c r="AF1611" s="1" t="s">
        <v>3094</v>
      </c>
      <c r="AG1611" s="1" t="s">
        <v>712</v>
      </c>
      <c r="AH1611" s="1">
        <v>1.0</v>
      </c>
      <c r="AI1611" s="1">
        <v>2015.0</v>
      </c>
      <c r="AJ1611" s="1">
        <v>2014.0</v>
      </c>
      <c r="AK1611" s="1" t="s">
        <v>713</v>
      </c>
    </row>
    <row r="1612">
      <c r="A1612" s="1" t="s">
        <v>2995</v>
      </c>
      <c r="B1612" s="1" t="s">
        <v>2995</v>
      </c>
      <c r="C1612" s="1" t="s">
        <v>194</v>
      </c>
      <c r="E1612" s="1">
        <v>5.11731456E8</v>
      </c>
      <c r="F1612" s="2">
        <v>41641.0</v>
      </c>
      <c r="G1612" s="1" t="s">
        <v>1168</v>
      </c>
      <c r="I1612" s="1" t="s">
        <v>1168</v>
      </c>
      <c r="L1612" s="1" t="s">
        <v>194</v>
      </c>
      <c r="M1612" s="1">
        <v>9100.0</v>
      </c>
      <c r="N1612" s="1" t="s">
        <v>194</v>
      </c>
      <c r="O1612" s="1">
        <v>7.94990296E8</v>
      </c>
      <c r="P1612" s="1" t="s">
        <v>601</v>
      </c>
      <c r="R1612" s="1" t="s">
        <v>602</v>
      </c>
      <c r="S1612" s="1" t="s">
        <v>44</v>
      </c>
      <c r="T1612" s="1" t="s">
        <v>45</v>
      </c>
      <c r="U1612" s="1">
        <v>4.82032827E8</v>
      </c>
      <c r="W1612" s="1" t="s">
        <v>603</v>
      </c>
      <c r="X1612" s="1" t="s">
        <v>45</v>
      </c>
      <c r="Y1612" s="1">
        <v>4.82032827E8</v>
      </c>
      <c r="AB1612" s="1">
        <v>248227.0</v>
      </c>
      <c r="AC1612" s="2">
        <v>41641.0</v>
      </c>
      <c r="AD1612" s="1">
        <v>9100.0</v>
      </c>
      <c r="AE1612" s="1" t="s">
        <v>194</v>
      </c>
      <c r="AF1612" s="1" t="s">
        <v>3095</v>
      </c>
      <c r="AG1612" s="1" t="s">
        <v>1170</v>
      </c>
      <c r="AH1612" s="1">
        <v>1.0</v>
      </c>
      <c r="AI1612" s="1">
        <v>2015.0</v>
      </c>
      <c r="AJ1612" s="1">
        <v>2014.0</v>
      </c>
      <c r="AK1612" s="1" t="s">
        <v>1171</v>
      </c>
    </row>
    <row r="1613">
      <c r="A1613" s="1" t="s">
        <v>2995</v>
      </c>
      <c r="B1613" s="1" t="s">
        <v>2995</v>
      </c>
      <c r="C1613" s="1" t="s">
        <v>194</v>
      </c>
      <c r="E1613" s="1">
        <v>5.11731456E8</v>
      </c>
      <c r="F1613" s="2">
        <v>41725.0</v>
      </c>
      <c r="G1613" s="1" t="s">
        <v>1168</v>
      </c>
      <c r="I1613" s="1" t="s">
        <v>1168</v>
      </c>
      <c r="L1613" s="1" t="s">
        <v>194</v>
      </c>
      <c r="M1613" s="1">
        <v>9100.0</v>
      </c>
      <c r="N1613" s="1" t="s">
        <v>194</v>
      </c>
      <c r="O1613" s="1">
        <v>9.62378779E8</v>
      </c>
      <c r="P1613" s="1" t="s">
        <v>478</v>
      </c>
      <c r="R1613" s="1" t="s">
        <v>479</v>
      </c>
      <c r="S1613" s="1" t="s">
        <v>44</v>
      </c>
      <c r="T1613" s="1" t="s">
        <v>45</v>
      </c>
      <c r="U1613" s="1">
        <v>4.82342225E8</v>
      </c>
      <c r="W1613" s="1" t="s">
        <v>44</v>
      </c>
      <c r="X1613" s="1" t="s">
        <v>45</v>
      </c>
      <c r="Y1613" s="1">
        <v>4.82342225E8</v>
      </c>
      <c r="AB1613" s="1">
        <v>835781.0</v>
      </c>
      <c r="AC1613" s="2">
        <v>41725.0</v>
      </c>
      <c r="AD1613" s="1">
        <v>9100.0</v>
      </c>
      <c r="AE1613" s="1" t="s">
        <v>194</v>
      </c>
      <c r="AF1613" s="1" t="s">
        <v>3096</v>
      </c>
      <c r="AG1613" s="1" t="s">
        <v>1170</v>
      </c>
      <c r="AH1613" s="1">
        <v>1.0</v>
      </c>
      <c r="AI1613" s="1">
        <v>2015.0</v>
      </c>
      <c r="AJ1613" s="1">
        <v>2014.0</v>
      </c>
      <c r="AK1613" s="1" t="s">
        <v>1171</v>
      </c>
    </row>
    <row r="1614">
      <c r="A1614" s="1" t="s">
        <v>2995</v>
      </c>
      <c r="B1614" s="1" t="s">
        <v>2995</v>
      </c>
      <c r="C1614" s="1" t="s">
        <v>194</v>
      </c>
      <c r="E1614" s="1">
        <v>5.11731456E8</v>
      </c>
      <c r="F1614" s="2">
        <v>41705.0</v>
      </c>
      <c r="G1614" s="1" t="s">
        <v>1168</v>
      </c>
      <c r="I1614" s="1" t="s">
        <v>1168</v>
      </c>
      <c r="L1614" s="1" t="s">
        <v>194</v>
      </c>
      <c r="M1614" s="1">
        <v>9100.0</v>
      </c>
      <c r="N1614" s="1" t="s">
        <v>194</v>
      </c>
      <c r="O1614" s="1">
        <v>9.0912429E7</v>
      </c>
      <c r="P1614" s="1" t="s">
        <v>521</v>
      </c>
      <c r="R1614" s="1" t="s">
        <v>522</v>
      </c>
      <c r="S1614" s="1" t="s">
        <v>44</v>
      </c>
      <c r="T1614" s="1" t="s">
        <v>45</v>
      </c>
      <c r="U1614" s="1">
        <v>4.82233314E8</v>
      </c>
      <c r="W1614" s="1" t="s">
        <v>44</v>
      </c>
      <c r="X1614" s="1" t="s">
        <v>45</v>
      </c>
      <c r="Y1614" s="1">
        <v>4.82233314E8</v>
      </c>
      <c r="AB1614" s="1">
        <v>639502.0</v>
      </c>
      <c r="AC1614" s="2">
        <v>41705.0</v>
      </c>
      <c r="AD1614" s="1">
        <v>9100.0</v>
      </c>
      <c r="AE1614" s="1" t="s">
        <v>194</v>
      </c>
      <c r="AF1614" s="1" t="s">
        <v>3097</v>
      </c>
      <c r="AG1614" s="1" t="s">
        <v>1170</v>
      </c>
      <c r="AH1614" s="1">
        <v>1.0</v>
      </c>
      <c r="AI1614" s="1">
        <v>2015.0</v>
      </c>
      <c r="AJ1614" s="1">
        <v>2014.0</v>
      </c>
      <c r="AK1614" s="1" t="s">
        <v>1171</v>
      </c>
    </row>
    <row r="1615">
      <c r="A1615" s="1" t="s">
        <v>3048</v>
      </c>
      <c r="B1615" s="1" t="s">
        <v>3048</v>
      </c>
      <c r="C1615" s="1" t="s">
        <v>645</v>
      </c>
      <c r="E1615" s="1">
        <v>4.58254144E8</v>
      </c>
      <c r="F1615" s="2">
        <v>41557.0</v>
      </c>
      <c r="G1615" s="1" t="s">
        <v>710</v>
      </c>
      <c r="I1615" s="1" t="s">
        <v>710</v>
      </c>
      <c r="L1615" s="1" t="s">
        <v>647</v>
      </c>
      <c r="M1615" s="1">
        <v>1200.0</v>
      </c>
      <c r="N1615" s="1" t="s">
        <v>647</v>
      </c>
      <c r="O1615" s="1">
        <v>8.30649195E8</v>
      </c>
      <c r="P1615" s="1" t="s">
        <v>545</v>
      </c>
      <c r="R1615" s="1" t="s">
        <v>547</v>
      </c>
      <c r="S1615" s="1" t="s">
        <v>44</v>
      </c>
      <c r="T1615" s="1" t="s">
        <v>45</v>
      </c>
      <c r="U1615" s="1">
        <v>4.82071E8</v>
      </c>
      <c r="W1615" s="1" t="s">
        <v>44</v>
      </c>
      <c r="X1615" s="1" t="s">
        <v>45</v>
      </c>
      <c r="Y1615" s="1">
        <v>4.82071E8</v>
      </c>
      <c r="AB1615" s="1">
        <v>158986.07</v>
      </c>
      <c r="AC1615" s="2">
        <v>41557.0</v>
      </c>
      <c r="AD1615" s="1">
        <v>1200.0</v>
      </c>
      <c r="AE1615" s="1" t="s">
        <v>647</v>
      </c>
      <c r="AF1615" s="1" t="s">
        <v>3098</v>
      </c>
      <c r="AG1615" s="1" t="s">
        <v>712</v>
      </c>
      <c r="AH1615" s="1">
        <v>1.0</v>
      </c>
      <c r="AI1615" s="1">
        <v>2015.0</v>
      </c>
      <c r="AJ1615" s="1">
        <v>2014.0</v>
      </c>
      <c r="AK1615" s="1" t="s">
        <v>713</v>
      </c>
    </row>
    <row r="1616">
      <c r="A1616" s="1" t="s">
        <v>2995</v>
      </c>
      <c r="B1616" s="1" t="s">
        <v>2995</v>
      </c>
      <c r="C1616" s="1" t="s">
        <v>194</v>
      </c>
      <c r="E1616" s="1">
        <v>5.11731456E8</v>
      </c>
      <c r="F1616" s="2">
        <v>41669.0</v>
      </c>
      <c r="G1616" s="1" t="s">
        <v>1168</v>
      </c>
      <c r="I1616" s="1" t="s">
        <v>1168</v>
      </c>
      <c r="L1616" s="1" t="s">
        <v>194</v>
      </c>
      <c r="M1616" s="1">
        <v>9100.0</v>
      </c>
      <c r="N1616" s="1" t="s">
        <v>194</v>
      </c>
      <c r="O1616" s="1">
        <v>8.25304442E8</v>
      </c>
      <c r="P1616" s="1" t="s">
        <v>829</v>
      </c>
      <c r="R1616" s="1" t="s">
        <v>830</v>
      </c>
      <c r="S1616" s="1" t="s">
        <v>44</v>
      </c>
      <c r="T1616" s="1" t="s">
        <v>45</v>
      </c>
      <c r="U1616" s="1">
        <v>4.82351762E8</v>
      </c>
      <c r="W1616" s="1" t="s">
        <v>44</v>
      </c>
      <c r="X1616" s="1" t="s">
        <v>45</v>
      </c>
      <c r="Y1616" s="1">
        <v>4.82351762E8</v>
      </c>
      <c r="AB1616" s="1">
        <v>115411.0</v>
      </c>
      <c r="AC1616" s="2">
        <v>41669.0</v>
      </c>
      <c r="AD1616" s="1">
        <v>9100.0</v>
      </c>
      <c r="AE1616" s="1" t="s">
        <v>194</v>
      </c>
      <c r="AF1616" s="1" t="s">
        <v>3099</v>
      </c>
      <c r="AG1616" s="1" t="s">
        <v>1170</v>
      </c>
      <c r="AH1616" s="1">
        <v>1.0</v>
      </c>
      <c r="AI1616" s="1">
        <v>2015.0</v>
      </c>
      <c r="AJ1616" s="1">
        <v>2014.0</v>
      </c>
      <c r="AK1616" s="1" t="s">
        <v>1171</v>
      </c>
    </row>
    <row r="1617">
      <c r="A1617" s="1" t="s">
        <v>2995</v>
      </c>
      <c r="B1617" s="1" t="s">
        <v>2995</v>
      </c>
      <c r="C1617" s="1" t="s">
        <v>194</v>
      </c>
      <c r="E1617" s="1">
        <v>5.11731456E8</v>
      </c>
      <c r="F1617" s="2">
        <v>41752.0</v>
      </c>
      <c r="G1617" s="1" t="s">
        <v>1168</v>
      </c>
      <c r="I1617" s="1" t="s">
        <v>1168</v>
      </c>
      <c r="L1617" s="1" t="s">
        <v>194</v>
      </c>
      <c r="M1617" s="1">
        <v>9100.0</v>
      </c>
      <c r="N1617" s="1" t="s">
        <v>194</v>
      </c>
      <c r="O1617" s="1">
        <v>9.63121426E8</v>
      </c>
      <c r="P1617" s="1" t="s">
        <v>490</v>
      </c>
      <c r="R1617" s="1" t="s">
        <v>491</v>
      </c>
      <c r="S1617" s="1" t="s">
        <v>44</v>
      </c>
      <c r="T1617" s="1" t="s">
        <v>45</v>
      </c>
      <c r="U1617" s="1">
        <v>4.82233051E8</v>
      </c>
      <c r="W1617" s="1" t="s">
        <v>46</v>
      </c>
      <c r="X1617" s="1" t="s">
        <v>45</v>
      </c>
      <c r="Y1617" s="1">
        <v>4.82233051E8</v>
      </c>
      <c r="AB1617" s="1">
        <v>496355.0</v>
      </c>
      <c r="AC1617" s="2">
        <v>41752.0</v>
      </c>
      <c r="AD1617" s="1">
        <v>9100.0</v>
      </c>
      <c r="AE1617" s="1" t="s">
        <v>194</v>
      </c>
      <c r="AF1617" s="1" t="s">
        <v>3100</v>
      </c>
      <c r="AG1617" s="1" t="s">
        <v>1170</v>
      </c>
      <c r="AH1617" s="1">
        <v>1.0</v>
      </c>
      <c r="AI1617" s="1">
        <v>2015.0</v>
      </c>
      <c r="AJ1617" s="1">
        <v>2014.0</v>
      </c>
      <c r="AK1617" s="1" t="s">
        <v>1171</v>
      </c>
    </row>
    <row r="1618">
      <c r="A1618" s="1" t="s">
        <v>3048</v>
      </c>
      <c r="B1618" s="1" t="s">
        <v>3048</v>
      </c>
      <c r="C1618" s="1" t="s">
        <v>645</v>
      </c>
      <c r="E1618" s="1">
        <v>4.58254144E8</v>
      </c>
      <c r="F1618" s="2">
        <v>41564.0</v>
      </c>
      <c r="G1618" s="1" t="s">
        <v>710</v>
      </c>
      <c r="I1618" s="1" t="s">
        <v>710</v>
      </c>
      <c r="L1618" s="1" t="s">
        <v>647</v>
      </c>
      <c r="M1618" s="1">
        <v>1200.0</v>
      </c>
      <c r="N1618" s="1" t="s">
        <v>647</v>
      </c>
      <c r="O1618" s="1">
        <v>3.9866801E7</v>
      </c>
      <c r="P1618" s="1" t="s">
        <v>612</v>
      </c>
      <c r="R1618" s="1" t="s">
        <v>613</v>
      </c>
      <c r="S1618" s="1" t="s">
        <v>44</v>
      </c>
      <c r="T1618" s="1" t="s">
        <v>45</v>
      </c>
      <c r="U1618" s="1">
        <v>4.8212E8</v>
      </c>
      <c r="W1618" s="1" t="s">
        <v>607</v>
      </c>
      <c r="X1618" s="1" t="s">
        <v>45</v>
      </c>
      <c r="Y1618" s="1">
        <v>4.82120012E8</v>
      </c>
      <c r="Z1618" s="1">
        <v>3.9866801E7</v>
      </c>
      <c r="AA1618" s="1" t="s">
        <v>612</v>
      </c>
      <c r="AB1618" s="1">
        <v>42636.0</v>
      </c>
      <c r="AC1618" s="2">
        <v>41564.0</v>
      </c>
      <c r="AD1618" s="1">
        <v>1200.0</v>
      </c>
      <c r="AE1618" s="1" t="s">
        <v>647</v>
      </c>
      <c r="AF1618" s="1" t="s">
        <v>3101</v>
      </c>
      <c r="AG1618" s="1" t="s">
        <v>712</v>
      </c>
      <c r="AH1618" s="1">
        <v>1.0</v>
      </c>
      <c r="AI1618" s="1">
        <v>2015.0</v>
      </c>
      <c r="AJ1618" s="1">
        <v>2014.0</v>
      </c>
      <c r="AK1618" s="1" t="s">
        <v>713</v>
      </c>
    </row>
    <row r="1619">
      <c r="A1619" s="1" t="s">
        <v>3048</v>
      </c>
      <c r="B1619" s="1" t="s">
        <v>3048</v>
      </c>
      <c r="C1619" s="1" t="s">
        <v>645</v>
      </c>
      <c r="E1619" s="1">
        <v>4.58254144E8</v>
      </c>
      <c r="F1619" s="2">
        <v>41557.0</v>
      </c>
      <c r="G1619" s="1" t="s">
        <v>710</v>
      </c>
      <c r="I1619" s="1" t="s">
        <v>710</v>
      </c>
      <c r="L1619" s="1" t="s">
        <v>647</v>
      </c>
      <c r="M1619" s="1">
        <v>1200.0</v>
      </c>
      <c r="N1619" s="1" t="s">
        <v>647</v>
      </c>
      <c r="O1619" s="1">
        <v>1.9859285E7</v>
      </c>
      <c r="P1619" s="1" t="s">
        <v>1172</v>
      </c>
      <c r="R1619" s="1" t="s">
        <v>1173</v>
      </c>
      <c r="S1619" s="1" t="s">
        <v>44</v>
      </c>
      <c r="T1619" s="1" t="s">
        <v>45</v>
      </c>
      <c r="U1619" s="1">
        <v>4.82191263E8</v>
      </c>
      <c r="W1619" s="1" t="s">
        <v>44</v>
      </c>
      <c r="X1619" s="1" t="s">
        <v>45</v>
      </c>
      <c r="Y1619" s="1">
        <v>4.82191263E8</v>
      </c>
      <c r="AB1619" s="1">
        <v>52438.67</v>
      </c>
      <c r="AC1619" s="2">
        <v>41557.0</v>
      </c>
      <c r="AD1619" s="1">
        <v>1200.0</v>
      </c>
      <c r="AE1619" s="1" t="s">
        <v>647</v>
      </c>
      <c r="AF1619" s="1" t="s">
        <v>3102</v>
      </c>
      <c r="AG1619" s="1" t="s">
        <v>712</v>
      </c>
      <c r="AH1619" s="1">
        <v>1.0</v>
      </c>
      <c r="AI1619" s="1">
        <v>2015.0</v>
      </c>
      <c r="AJ1619" s="1">
        <v>2014.0</v>
      </c>
      <c r="AK1619" s="1" t="s">
        <v>713</v>
      </c>
    </row>
    <row r="1620">
      <c r="A1620" s="1" t="s">
        <v>2995</v>
      </c>
      <c r="B1620" s="1" t="s">
        <v>2995</v>
      </c>
      <c r="C1620" s="1" t="s">
        <v>194</v>
      </c>
      <c r="E1620" s="1">
        <v>5.11731456E8</v>
      </c>
      <c r="F1620" s="2">
        <v>41625.0</v>
      </c>
      <c r="G1620" s="1" t="s">
        <v>1168</v>
      </c>
      <c r="I1620" s="1" t="s">
        <v>1168</v>
      </c>
      <c r="L1620" s="1" t="s">
        <v>194</v>
      </c>
      <c r="M1620" s="1">
        <v>9100.0</v>
      </c>
      <c r="N1620" s="1" t="s">
        <v>194</v>
      </c>
      <c r="O1620" s="1">
        <v>7.97531279E8</v>
      </c>
      <c r="P1620" s="1" t="s">
        <v>496</v>
      </c>
      <c r="R1620" s="1" t="s">
        <v>497</v>
      </c>
      <c r="S1620" s="1" t="s">
        <v>44</v>
      </c>
      <c r="T1620" s="1" t="s">
        <v>45</v>
      </c>
      <c r="U1620" s="1">
        <v>4.82123323E8</v>
      </c>
      <c r="W1620" s="1" t="s">
        <v>498</v>
      </c>
      <c r="X1620" s="1" t="s">
        <v>45</v>
      </c>
      <c r="Y1620" s="1">
        <v>4.82123323E8</v>
      </c>
      <c r="AB1620" s="1">
        <v>562029.0</v>
      </c>
      <c r="AC1620" s="2">
        <v>41625.0</v>
      </c>
      <c r="AD1620" s="1">
        <v>9100.0</v>
      </c>
      <c r="AE1620" s="1" t="s">
        <v>194</v>
      </c>
      <c r="AF1620" s="1" t="s">
        <v>3103</v>
      </c>
      <c r="AG1620" s="1" t="s">
        <v>1170</v>
      </c>
      <c r="AH1620" s="1">
        <v>1.0</v>
      </c>
      <c r="AI1620" s="1">
        <v>2015.0</v>
      </c>
      <c r="AJ1620" s="1">
        <v>2014.0</v>
      </c>
      <c r="AK1620" s="1" t="s">
        <v>1171</v>
      </c>
    </row>
    <row r="1621">
      <c r="A1621" s="1" t="s">
        <v>2995</v>
      </c>
      <c r="B1621" s="1" t="s">
        <v>2995</v>
      </c>
      <c r="C1621" s="1" t="s">
        <v>194</v>
      </c>
      <c r="E1621" s="1">
        <v>5.11731456E8</v>
      </c>
      <c r="F1621" s="2">
        <v>41704.0</v>
      </c>
      <c r="G1621" s="1" t="s">
        <v>1168</v>
      </c>
      <c r="I1621" s="1" t="s">
        <v>1168</v>
      </c>
      <c r="L1621" s="1" t="s">
        <v>194</v>
      </c>
      <c r="M1621" s="1">
        <v>9100.0</v>
      </c>
      <c r="N1621" s="1" t="s">
        <v>194</v>
      </c>
      <c r="O1621" s="1">
        <v>1.47552186E8</v>
      </c>
      <c r="P1621" s="1" t="s">
        <v>822</v>
      </c>
      <c r="R1621" s="1" t="s">
        <v>823</v>
      </c>
      <c r="S1621" s="1" t="s">
        <v>44</v>
      </c>
      <c r="T1621" s="1" t="s">
        <v>45</v>
      </c>
      <c r="U1621" s="1">
        <v>4.82191857E8</v>
      </c>
      <c r="W1621" s="1" t="s">
        <v>44</v>
      </c>
      <c r="X1621" s="1" t="s">
        <v>45</v>
      </c>
      <c r="Y1621" s="1">
        <v>4.82191857E8</v>
      </c>
      <c r="AB1621" s="1">
        <v>206683.0</v>
      </c>
      <c r="AC1621" s="2">
        <v>41704.0</v>
      </c>
      <c r="AD1621" s="1">
        <v>9100.0</v>
      </c>
      <c r="AE1621" s="1" t="s">
        <v>194</v>
      </c>
      <c r="AF1621" s="1" t="s">
        <v>3104</v>
      </c>
      <c r="AG1621" s="1" t="s">
        <v>1170</v>
      </c>
      <c r="AH1621" s="1">
        <v>1.0</v>
      </c>
      <c r="AI1621" s="1">
        <v>2015.0</v>
      </c>
      <c r="AJ1621" s="1">
        <v>2014.0</v>
      </c>
      <c r="AK1621" s="1" t="s">
        <v>1171</v>
      </c>
    </row>
    <row r="1622">
      <c r="A1622" s="1" t="s">
        <v>3048</v>
      </c>
      <c r="B1622" s="1" t="s">
        <v>3048</v>
      </c>
      <c r="C1622" s="1" t="s">
        <v>645</v>
      </c>
      <c r="E1622" s="1">
        <v>4.58254144E8</v>
      </c>
      <c r="F1622" s="2">
        <v>41557.0</v>
      </c>
      <c r="G1622" s="1" t="s">
        <v>710</v>
      </c>
      <c r="I1622" s="1" t="s">
        <v>710</v>
      </c>
      <c r="L1622" s="1" t="s">
        <v>647</v>
      </c>
      <c r="M1622" s="1">
        <v>1200.0</v>
      </c>
      <c r="N1622" s="1" t="s">
        <v>647</v>
      </c>
      <c r="O1622" s="1">
        <v>1.17726252E8</v>
      </c>
      <c r="P1622" s="1" t="s">
        <v>512</v>
      </c>
      <c r="R1622" s="1" t="s">
        <v>513</v>
      </c>
      <c r="S1622" s="1" t="s">
        <v>44</v>
      </c>
      <c r="T1622" s="1" t="s">
        <v>45</v>
      </c>
      <c r="U1622" s="1">
        <v>4.82193259E8</v>
      </c>
      <c r="W1622" s="1" t="s">
        <v>44</v>
      </c>
      <c r="X1622" s="1" t="s">
        <v>45</v>
      </c>
      <c r="Y1622" s="1">
        <v>4.82193259E8</v>
      </c>
      <c r="AB1622" s="1">
        <v>811816.86</v>
      </c>
      <c r="AC1622" s="2">
        <v>41557.0</v>
      </c>
      <c r="AD1622" s="1">
        <v>1200.0</v>
      </c>
      <c r="AE1622" s="1" t="s">
        <v>647</v>
      </c>
      <c r="AF1622" s="1" t="s">
        <v>3105</v>
      </c>
      <c r="AG1622" s="1" t="s">
        <v>712</v>
      </c>
      <c r="AH1622" s="1">
        <v>1.0</v>
      </c>
      <c r="AI1622" s="1">
        <v>2015.0</v>
      </c>
      <c r="AJ1622" s="1">
        <v>2014.0</v>
      </c>
      <c r="AK1622" s="1" t="s">
        <v>713</v>
      </c>
    </row>
    <row r="1623">
      <c r="A1623" s="1" t="s">
        <v>3048</v>
      </c>
      <c r="B1623" s="1" t="s">
        <v>3048</v>
      </c>
      <c r="C1623" s="1" t="s">
        <v>645</v>
      </c>
      <c r="E1623" s="1">
        <v>4.58254144E8</v>
      </c>
      <c r="F1623" s="2">
        <v>41557.0</v>
      </c>
      <c r="G1623" s="1" t="s">
        <v>710</v>
      </c>
      <c r="I1623" s="1" t="s">
        <v>710</v>
      </c>
      <c r="L1623" s="1" t="s">
        <v>647</v>
      </c>
      <c r="M1623" s="1">
        <v>1200.0</v>
      </c>
      <c r="N1623" s="1" t="s">
        <v>647</v>
      </c>
      <c r="O1623" s="1">
        <v>1.68568132E8</v>
      </c>
      <c r="P1623" s="1" t="s">
        <v>588</v>
      </c>
      <c r="R1623" s="1" t="s">
        <v>589</v>
      </c>
      <c r="S1623" s="1" t="s">
        <v>44</v>
      </c>
      <c r="T1623" s="1" t="s">
        <v>45</v>
      </c>
      <c r="U1623" s="1">
        <v>4.82143323E8</v>
      </c>
      <c r="W1623" s="1" t="s">
        <v>44</v>
      </c>
      <c r="X1623" s="1" t="s">
        <v>45</v>
      </c>
      <c r="Y1623" s="1">
        <v>4.82143323E8</v>
      </c>
      <c r="Z1623" s="1">
        <v>9.60742484E8</v>
      </c>
      <c r="AB1623" s="1">
        <v>193358.95</v>
      </c>
      <c r="AC1623" s="2">
        <v>41557.0</v>
      </c>
      <c r="AD1623" s="1">
        <v>1200.0</v>
      </c>
      <c r="AE1623" s="1" t="s">
        <v>647</v>
      </c>
      <c r="AF1623" s="1" t="s">
        <v>3106</v>
      </c>
      <c r="AG1623" s="1" t="s">
        <v>712</v>
      </c>
      <c r="AH1623" s="1">
        <v>1.0</v>
      </c>
      <c r="AI1623" s="1">
        <v>2015.0</v>
      </c>
      <c r="AJ1623" s="1">
        <v>2014.0</v>
      </c>
      <c r="AK1623" s="1" t="s">
        <v>713</v>
      </c>
    </row>
    <row r="1624">
      <c r="A1624" s="1" t="s">
        <v>3048</v>
      </c>
      <c r="B1624" s="1" t="s">
        <v>3048</v>
      </c>
      <c r="C1624" s="1" t="s">
        <v>645</v>
      </c>
      <c r="E1624" s="1">
        <v>4.58254144E8</v>
      </c>
      <c r="F1624" s="2">
        <v>41550.0</v>
      </c>
      <c r="G1624" s="1" t="s">
        <v>710</v>
      </c>
      <c r="I1624" s="1" t="s">
        <v>710</v>
      </c>
      <c r="L1624" s="1" t="s">
        <v>647</v>
      </c>
      <c r="M1624" s="1">
        <v>1200.0</v>
      </c>
      <c r="N1624" s="1" t="s">
        <v>647</v>
      </c>
      <c r="O1624" s="1">
        <v>6.02722873E8</v>
      </c>
      <c r="P1624" s="1" t="s">
        <v>839</v>
      </c>
      <c r="R1624" s="1" t="s">
        <v>840</v>
      </c>
      <c r="S1624" s="1" t="s">
        <v>44</v>
      </c>
      <c r="T1624" s="1" t="s">
        <v>45</v>
      </c>
      <c r="U1624" s="1">
        <v>4.82381157E8</v>
      </c>
      <c r="W1624" s="1" t="s">
        <v>44</v>
      </c>
      <c r="X1624" s="1" t="s">
        <v>45</v>
      </c>
      <c r="Y1624" s="1">
        <v>4.82381157E8</v>
      </c>
      <c r="AB1624" s="1">
        <v>43631.48</v>
      </c>
      <c r="AC1624" s="2">
        <v>41550.0</v>
      </c>
      <c r="AD1624" s="1">
        <v>1200.0</v>
      </c>
      <c r="AE1624" s="1" t="s">
        <v>647</v>
      </c>
      <c r="AF1624" s="1" t="s">
        <v>3107</v>
      </c>
      <c r="AG1624" s="1" t="s">
        <v>712</v>
      </c>
      <c r="AH1624" s="1">
        <v>1.0</v>
      </c>
      <c r="AI1624" s="1">
        <v>2015.0</v>
      </c>
      <c r="AJ1624" s="1">
        <v>2014.0</v>
      </c>
      <c r="AK1624" s="1" t="s">
        <v>713</v>
      </c>
    </row>
    <row r="1625">
      <c r="A1625" s="1" t="s">
        <v>3048</v>
      </c>
      <c r="B1625" s="1" t="s">
        <v>3048</v>
      </c>
      <c r="C1625" s="1" t="s">
        <v>645</v>
      </c>
      <c r="E1625" s="1">
        <v>4.58254144E8</v>
      </c>
      <c r="F1625" s="2">
        <v>41613.0</v>
      </c>
      <c r="G1625" s="1" t="s">
        <v>710</v>
      </c>
      <c r="I1625" s="1" t="s">
        <v>710</v>
      </c>
      <c r="L1625" s="1" t="s">
        <v>647</v>
      </c>
      <c r="M1625" s="1">
        <v>1200.0</v>
      </c>
      <c r="N1625" s="1" t="s">
        <v>647</v>
      </c>
      <c r="O1625" s="1">
        <v>5.667795E7</v>
      </c>
      <c r="P1625" s="1" t="s">
        <v>3108</v>
      </c>
      <c r="R1625" s="1" t="s">
        <v>3109</v>
      </c>
      <c r="S1625" s="1" t="s">
        <v>44</v>
      </c>
      <c r="T1625" s="1" t="s">
        <v>45</v>
      </c>
      <c r="U1625" s="1">
        <v>4.82061134E8</v>
      </c>
      <c r="W1625" s="1" t="s">
        <v>44</v>
      </c>
      <c r="X1625" s="1" t="s">
        <v>45</v>
      </c>
      <c r="Y1625" s="1">
        <v>4.82231612E8</v>
      </c>
      <c r="AB1625" s="1">
        <v>31213.66</v>
      </c>
      <c r="AC1625" s="2">
        <v>41613.0</v>
      </c>
      <c r="AD1625" s="1">
        <v>1200.0</v>
      </c>
      <c r="AE1625" s="1" t="s">
        <v>647</v>
      </c>
      <c r="AF1625" s="1" t="s">
        <v>3110</v>
      </c>
      <c r="AG1625" s="1" t="s">
        <v>712</v>
      </c>
      <c r="AH1625" s="1">
        <v>1.0</v>
      </c>
      <c r="AI1625" s="1">
        <v>2015.0</v>
      </c>
      <c r="AJ1625" s="1">
        <v>2014.0</v>
      </c>
      <c r="AK1625" s="1" t="s">
        <v>713</v>
      </c>
    </row>
    <row r="1626">
      <c r="A1626" s="1" t="s">
        <v>3048</v>
      </c>
      <c r="B1626" s="1" t="s">
        <v>3048</v>
      </c>
      <c r="C1626" s="1" t="s">
        <v>645</v>
      </c>
      <c r="E1626" s="1">
        <v>4.58254144E8</v>
      </c>
      <c r="F1626" s="2">
        <v>41585.0</v>
      </c>
      <c r="G1626" s="1" t="s">
        <v>710</v>
      </c>
      <c r="I1626" s="1" t="s">
        <v>710</v>
      </c>
      <c r="L1626" s="1" t="s">
        <v>647</v>
      </c>
      <c r="M1626" s="1">
        <v>1200.0</v>
      </c>
      <c r="N1626" s="1" t="s">
        <v>647</v>
      </c>
      <c r="O1626" s="1">
        <v>3.9866801E7</v>
      </c>
      <c r="P1626" s="1" t="s">
        <v>612</v>
      </c>
      <c r="R1626" s="1" t="s">
        <v>613</v>
      </c>
      <c r="S1626" s="1" t="s">
        <v>44</v>
      </c>
      <c r="T1626" s="1" t="s">
        <v>45</v>
      </c>
      <c r="U1626" s="1">
        <v>4.8212E8</v>
      </c>
      <c r="W1626" s="1" t="s">
        <v>607</v>
      </c>
      <c r="X1626" s="1" t="s">
        <v>45</v>
      </c>
      <c r="Y1626" s="1">
        <v>4.82120012E8</v>
      </c>
      <c r="Z1626" s="1">
        <v>3.9866801E7</v>
      </c>
      <c r="AA1626" s="1" t="s">
        <v>612</v>
      </c>
      <c r="AB1626" s="1">
        <v>711882.97</v>
      </c>
      <c r="AC1626" s="2">
        <v>41585.0</v>
      </c>
      <c r="AD1626" s="1">
        <v>1200.0</v>
      </c>
      <c r="AE1626" s="1" t="s">
        <v>647</v>
      </c>
      <c r="AF1626" s="1" t="s">
        <v>3111</v>
      </c>
      <c r="AG1626" s="1" t="s">
        <v>712</v>
      </c>
      <c r="AH1626" s="1">
        <v>1.0</v>
      </c>
      <c r="AI1626" s="1">
        <v>2015.0</v>
      </c>
      <c r="AJ1626" s="1">
        <v>2014.0</v>
      </c>
      <c r="AK1626" s="1" t="s">
        <v>713</v>
      </c>
    </row>
    <row r="1627">
      <c r="A1627" s="1" t="s">
        <v>3048</v>
      </c>
      <c r="B1627" s="1" t="s">
        <v>3048</v>
      </c>
      <c r="C1627" s="1" t="s">
        <v>645</v>
      </c>
      <c r="E1627" s="1">
        <v>4.58254144E8</v>
      </c>
      <c r="F1627" s="2">
        <v>41578.0</v>
      </c>
      <c r="G1627" s="1" t="s">
        <v>710</v>
      </c>
      <c r="I1627" s="1" t="s">
        <v>710</v>
      </c>
      <c r="L1627" s="1" t="s">
        <v>647</v>
      </c>
      <c r="M1627" s="1">
        <v>1200.0</v>
      </c>
      <c r="N1627" s="1" t="s">
        <v>647</v>
      </c>
      <c r="O1627" s="1">
        <v>7.97531295E8</v>
      </c>
      <c r="P1627" s="1" t="s">
        <v>582</v>
      </c>
      <c r="R1627" s="1" t="s">
        <v>583</v>
      </c>
      <c r="S1627" s="1" t="s">
        <v>44</v>
      </c>
      <c r="T1627" s="1" t="s">
        <v>45</v>
      </c>
      <c r="U1627" s="1">
        <v>4.82123452E8</v>
      </c>
      <c r="W1627" s="1" t="s">
        <v>44</v>
      </c>
      <c r="X1627" s="1" t="s">
        <v>45</v>
      </c>
      <c r="Y1627" s="1">
        <v>4.82123452E8</v>
      </c>
      <c r="AB1627" s="1">
        <v>69506.77</v>
      </c>
      <c r="AC1627" s="2">
        <v>41578.0</v>
      </c>
      <c r="AD1627" s="1">
        <v>1200.0</v>
      </c>
      <c r="AE1627" s="1" t="s">
        <v>647</v>
      </c>
      <c r="AF1627" s="1" t="s">
        <v>3112</v>
      </c>
      <c r="AG1627" s="1" t="s">
        <v>712</v>
      </c>
      <c r="AH1627" s="1">
        <v>1.0</v>
      </c>
      <c r="AI1627" s="1">
        <v>2015.0</v>
      </c>
      <c r="AJ1627" s="1">
        <v>2014.0</v>
      </c>
      <c r="AK1627" s="1" t="s">
        <v>713</v>
      </c>
    </row>
    <row r="1628">
      <c r="A1628" s="1" t="s">
        <v>3048</v>
      </c>
      <c r="B1628" s="1" t="s">
        <v>3048</v>
      </c>
      <c r="C1628" s="1" t="s">
        <v>645</v>
      </c>
      <c r="E1628" s="1">
        <v>4.58254144E8</v>
      </c>
      <c r="F1628" s="2">
        <v>41578.0</v>
      </c>
      <c r="G1628" s="1" t="s">
        <v>710</v>
      </c>
      <c r="I1628" s="1" t="s">
        <v>710</v>
      </c>
      <c r="L1628" s="1" t="s">
        <v>647</v>
      </c>
      <c r="M1628" s="1">
        <v>1200.0</v>
      </c>
      <c r="N1628" s="1" t="s">
        <v>647</v>
      </c>
      <c r="O1628" s="1">
        <v>1.22483279E8</v>
      </c>
      <c r="P1628" s="1" t="s">
        <v>3113</v>
      </c>
      <c r="R1628" s="1" t="s">
        <v>3114</v>
      </c>
      <c r="S1628" s="1" t="s">
        <v>44</v>
      </c>
      <c r="T1628" s="1" t="s">
        <v>45</v>
      </c>
      <c r="U1628" s="1">
        <v>4.82072529E8</v>
      </c>
      <c r="W1628" s="1" t="s">
        <v>44</v>
      </c>
      <c r="X1628" s="1" t="s">
        <v>45</v>
      </c>
      <c r="Y1628" s="1">
        <v>4.82072529E8</v>
      </c>
      <c r="AB1628" s="1">
        <v>27835.58</v>
      </c>
      <c r="AC1628" s="2">
        <v>41578.0</v>
      </c>
      <c r="AD1628" s="1">
        <v>1200.0</v>
      </c>
      <c r="AE1628" s="1" t="s">
        <v>647</v>
      </c>
      <c r="AF1628" s="1" t="s">
        <v>3115</v>
      </c>
      <c r="AG1628" s="1" t="s">
        <v>712</v>
      </c>
      <c r="AH1628" s="1">
        <v>1.0</v>
      </c>
      <c r="AI1628" s="1">
        <v>2015.0</v>
      </c>
      <c r="AJ1628" s="1">
        <v>2014.0</v>
      </c>
      <c r="AK1628" s="1" t="s">
        <v>713</v>
      </c>
    </row>
    <row r="1629">
      <c r="A1629" s="1" t="s">
        <v>3048</v>
      </c>
      <c r="B1629" s="1" t="s">
        <v>3048</v>
      </c>
      <c r="C1629" s="1" t="s">
        <v>645</v>
      </c>
      <c r="E1629" s="1">
        <v>4.58254144E8</v>
      </c>
      <c r="F1629" s="2">
        <v>41550.0</v>
      </c>
      <c r="G1629" s="1" t="s">
        <v>710</v>
      </c>
      <c r="I1629" s="1" t="s">
        <v>710</v>
      </c>
      <c r="L1629" s="1" t="s">
        <v>647</v>
      </c>
      <c r="M1629" s="1">
        <v>1200.0</v>
      </c>
      <c r="N1629" s="1" t="s">
        <v>647</v>
      </c>
      <c r="O1629" s="1">
        <v>9.48021373E8</v>
      </c>
      <c r="P1629" s="1" t="s">
        <v>501</v>
      </c>
      <c r="R1629" s="1" t="s">
        <v>502</v>
      </c>
      <c r="S1629" s="1" t="s">
        <v>44</v>
      </c>
      <c r="T1629" s="1" t="s">
        <v>45</v>
      </c>
      <c r="U1629" s="1">
        <v>4.82072901E8</v>
      </c>
      <c r="W1629" s="1" t="s">
        <v>44</v>
      </c>
      <c r="X1629" s="1" t="s">
        <v>45</v>
      </c>
      <c r="Y1629" s="1">
        <v>4.82072901E8</v>
      </c>
      <c r="AB1629" s="1">
        <v>161502.76</v>
      </c>
      <c r="AC1629" s="2">
        <v>41550.0</v>
      </c>
      <c r="AD1629" s="1">
        <v>1200.0</v>
      </c>
      <c r="AE1629" s="1" t="s">
        <v>647</v>
      </c>
      <c r="AF1629" s="1" t="s">
        <v>3116</v>
      </c>
      <c r="AG1629" s="1" t="s">
        <v>712</v>
      </c>
      <c r="AH1629" s="1">
        <v>1.0</v>
      </c>
      <c r="AI1629" s="1">
        <v>2015.0</v>
      </c>
      <c r="AJ1629" s="1">
        <v>2014.0</v>
      </c>
      <c r="AK1629" s="1" t="s">
        <v>713</v>
      </c>
    </row>
    <row r="1630">
      <c r="A1630" s="1" t="s">
        <v>3048</v>
      </c>
      <c r="B1630" s="1" t="s">
        <v>3048</v>
      </c>
      <c r="C1630" s="1" t="s">
        <v>645</v>
      </c>
      <c r="E1630" s="1">
        <v>4.58254144E8</v>
      </c>
      <c r="F1630" s="2">
        <v>41543.0</v>
      </c>
      <c r="G1630" s="1" t="s">
        <v>710</v>
      </c>
      <c r="I1630" s="1" t="s">
        <v>710</v>
      </c>
      <c r="L1630" s="1" t="s">
        <v>647</v>
      </c>
      <c r="M1630" s="1">
        <v>1200.0</v>
      </c>
      <c r="N1630" s="1" t="s">
        <v>647</v>
      </c>
      <c r="O1630" s="1">
        <v>8.8751375E7</v>
      </c>
      <c r="P1630" s="1" t="s">
        <v>3117</v>
      </c>
      <c r="Q1630" s="1" t="s">
        <v>3118</v>
      </c>
      <c r="R1630" s="1" t="s">
        <v>3119</v>
      </c>
      <c r="S1630" s="1" t="s">
        <v>44</v>
      </c>
      <c r="T1630" s="1" t="s">
        <v>45</v>
      </c>
      <c r="U1630" s="1">
        <v>4.82082215E8</v>
      </c>
      <c r="W1630" s="1" t="s">
        <v>44</v>
      </c>
      <c r="X1630" s="1" t="s">
        <v>45</v>
      </c>
      <c r="Y1630" s="1">
        <v>4.82082215E8</v>
      </c>
      <c r="Z1630" s="1">
        <v>8.8751375E7</v>
      </c>
      <c r="AA1630" s="1" t="s">
        <v>3117</v>
      </c>
      <c r="AB1630" s="1">
        <v>25294.6</v>
      </c>
      <c r="AC1630" s="2">
        <v>41543.0</v>
      </c>
      <c r="AD1630" s="1">
        <v>1200.0</v>
      </c>
      <c r="AE1630" s="1" t="s">
        <v>647</v>
      </c>
      <c r="AF1630" s="1" t="s">
        <v>3120</v>
      </c>
      <c r="AG1630" s="1" t="s">
        <v>712</v>
      </c>
      <c r="AH1630" s="1">
        <v>1.0</v>
      </c>
      <c r="AI1630" s="1">
        <v>2015.0</v>
      </c>
      <c r="AJ1630" s="1">
        <v>2013.0</v>
      </c>
      <c r="AK1630" s="1" t="s">
        <v>713</v>
      </c>
    </row>
    <row r="1631">
      <c r="A1631" s="1" t="s">
        <v>3048</v>
      </c>
      <c r="B1631" s="1" t="s">
        <v>3048</v>
      </c>
      <c r="C1631" s="1" t="s">
        <v>645</v>
      </c>
      <c r="E1631" s="1">
        <v>4.58254144E8</v>
      </c>
      <c r="F1631" s="2">
        <v>41557.0</v>
      </c>
      <c r="G1631" s="1" t="s">
        <v>710</v>
      </c>
      <c r="I1631" s="1" t="s">
        <v>710</v>
      </c>
      <c r="L1631" s="1" t="s">
        <v>647</v>
      </c>
      <c r="M1631" s="1">
        <v>1200.0</v>
      </c>
      <c r="N1631" s="1" t="s">
        <v>647</v>
      </c>
      <c r="O1631" s="1">
        <v>1.6389763E8</v>
      </c>
      <c r="P1631" s="1" t="s">
        <v>843</v>
      </c>
      <c r="Q1631" s="1" t="s">
        <v>844</v>
      </c>
      <c r="R1631" s="1" t="s">
        <v>845</v>
      </c>
      <c r="S1631" s="1" t="s">
        <v>44</v>
      </c>
      <c r="T1631" s="1" t="s">
        <v>45</v>
      </c>
      <c r="U1631" s="1">
        <v>4.82383647E8</v>
      </c>
      <c r="W1631" s="1" t="s">
        <v>46</v>
      </c>
      <c r="X1631" s="1" t="s">
        <v>45</v>
      </c>
      <c r="Y1631" s="1">
        <v>4.82383647E8</v>
      </c>
      <c r="Z1631" s="1">
        <v>1.6389763E8</v>
      </c>
      <c r="AA1631" s="1" t="s">
        <v>843</v>
      </c>
      <c r="AB1631" s="1">
        <v>149521.15</v>
      </c>
      <c r="AC1631" s="2">
        <v>41557.0</v>
      </c>
      <c r="AD1631" s="1">
        <v>1200.0</v>
      </c>
      <c r="AE1631" s="1" t="s">
        <v>647</v>
      </c>
      <c r="AF1631" s="1" t="s">
        <v>3121</v>
      </c>
      <c r="AG1631" s="1" t="s">
        <v>712</v>
      </c>
      <c r="AH1631" s="1">
        <v>1.0</v>
      </c>
      <c r="AI1631" s="1">
        <v>2015.0</v>
      </c>
      <c r="AJ1631" s="1">
        <v>2014.0</v>
      </c>
      <c r="AK1631" s="1" t="s">
        <v>713</v>
      </c>
    </row>
    <row r="1632">
      <c r="A1632" s="1" t="s">
        <v>3048</v>
      </c>
      <c r="B1632" s="1" t="s">
        <v>3048</v>
      </c>
      <c r="C1632" s="1" t="s">
        <v>645</v>
      </c>
      <c r="E1632" s="1">
        <v>4.58254144E8</v>
      </c>
      <c r="F1632" s="2">
        <v>41557.0</v>
      </c>
      <c r="G1632" s="1" t="s">
        <v>710</v>
      </c>
      <c r="I1632" s="1" t="s">
        <v>710</v>
      </c>
      <c r="L1632" s="1" t="s">
        <v>647</v>
      </c>
      <c r="M1632" s="1">
        <v>1200.0</v>
      </c>
      <c r="N1632" s="1" t="s">
        <v>647</v>
      </c>
      <c r="O1632" s="1">
        <v>9.65703361E8</v>
      </c>
      <c r="P1632" s="1" t="s">
        <v>3122</v>
      </c>
      <c r="R1632" s="1" t="s">
        <v>3123</v>
      </c>
      <c r="S1632" s="1" t="s">
        <v>44</v>
      </c>
      <c r="T1632" s="1" t="s">
        <v>45</v>
      </c>
      <c r="U1632" s="1">
        <v>4.82052444E8</v>
      </c>
      <c r="W1632" s="1" t="s">
        <v>44</v>
      </c>
      <c r="X1632" s="1" t="s">
        <v>45</v>
      </c>
      <c r="Y1632" s="1">
        <v>4.82052444E8</v>
      </c>
      <c r="AB1632" s="1">
        <v>31886.82</v>
      </c>
      <c r="AC1632" s="2">
        <v>41557.0</v>
      </c>
      <c r="AD1632" s="1">
        <v>1200.0</v>
      </c>
      <c r="AE1632" s="1" t="s">
        <v>647</v>
      </c>
      <c r="AF1632" s="1" t="s">
        <v>3124</v>
      </c>
      <c r="AG1632" s="1" t="s">
        <v>712</v>
      </c>
      <c r="AH1632" s="1">
        <v>1.0</v>
      </c>
      <c r="AI1632" s="1">
        <v>2015.0</v>
      </c>
      <c r="AJ1632" s="1">
        <v>2014.0</v>
      </c>
      <c r="AK1632" s="1" t="s">
        <v>713</v>
      </c>
    </row>
    <row r="1633">
      <c r="A1633" s="1" t="s">
        <v>3048</v>
      </c>
      <c r="B1633" s="1" t="s">
        <v>3048</v>
      </c>
      <c r="C1633" s="1" t="s">
        <v>645</v>
      </c>
      <c r="E1633" s="1">
        <v>4.58254144E8</v>
      </c>
      <c r="F1633" s="2">
        <v>41564.0</v>
      </c>
      <c r="G1633" s="1" t="s">
        <v>710</v>
      </c>
      <c r="I1633" s="1" t="s">
        <v>710</v>
      </c>
      <c r="L1633" s="1" t="s">
        <v>647</v>
      </c>
      <c r="M1633" s="1">
        <v>1200.0</v>
      </c>
      <c r="N1633" s="1" t="s">
        <v>647</v>
      </c>
      <c r="O1633" s="1">
        <v>1.36900474E8</v>
      </c>
      <c r="P1633" s="1" t="s">
        <v>930</v>
      </c>
      <c r="R1633" s="1" t="s">
        <v>931</v>
      </c>
      <c r="S1633" s="1" t="s">
        <v>44</v>
      </c>
      <c r="T1633" s="1" t="s">
        <v>45</v>
      </c>
      <c r="U1633" s="1">
        <v>4.82281222E8</v>
      </c>
      <c r="W1633" s="1" t="s">
        <v>44</v>
      </c>
      <c r="X1633" s="1" t="s">
        <v>45</v>
      </c>
      <c r="Y1633" s="1">
        <v>4.82281222E8</v>
      </c>
      <c r="AB1633" s="1">
        <v>28957.85</v>
      </c>
      <c r="AC1633" s="2">
        <v>41564.0</v>
      </c>
      <c r="AD1633" s="1">
        <v>1200.0</v>
      </c>
      <c r="AE1633" s="1" t="s">
        <v>647</v>
      </c>
      <c r="AF1633" s="1" t="s">
        <v>3125</v>
      </c>
      <c r="AG1633" s="1" t="s">
        <v>712</v>
      </c>
      <c r="AH1633" s="1">
        <v>1.0</v>
      </c>
      <c r="AI1633" s="1">
        <v>2015.0</v>
      </c>
      <c r="AJ1633" s="1">
        <v>2014.0</v>
      </c>
      <c r="AK1633" s="1" t="s">
        <v>713</v>
      </c>
    </row>
    <row r="1634">
      <c r="A1634" s="1" t="s">
        <v>3048</v>
      </c>
      <c r="B1634" s="1" t="s">
        <v>3048</v>
      </c>
      <c r="C1634" s="1" t="s">
        <v>645</v>
      </c>
      <c r="E1634" s="1">
        <v>4.58254144E8</v>
      </c>
      <c r="F1634" s="2">
        <v>41557.0</v>
      </c>
      <c r="G1634" s="1" t="s">
        <v>710</v>
      </c>
      <c r="I1634" s="1" t="s">
        <v>710</v>
      </c>
      <c r="L1634" s="1" t="s">
        <v>647</v>
      </c>
      <c r="M1634" s="1">
        <v>1200.0</v>
      </c>
      <c r="N1634" s="1" t="s">
        <v>647</v>
      </c>
      <c r="O1634" s="1">
        <v>5.56265135E8</v>
      </c>
      <c r="P1634" s="1" t="s">
        <v>954</v>
      </c>
      <c r="R1634" s="1" t="s">
        <v>955</v>
      </c>
      <c r="S1634" s="1" t="s">
        <v>44</v>
      </c>
      <c r="T1634" s="1" t="s">
        <v>45</v>
      </c>
      <c r="U1634" s="1">
        <v>4.82192756E8</v>
      </c>
      <c r="W1634" s="1" t="s">
        <v>44</v>
      </c>
      <c r="X1634" s="1" t="s">
        <v>45</v>
      </c>
      <c r="Y1634" s="1">
        <v>4.82192756E8</v>
      </c>
      <c r="AB1634" s="1">
        <v>52415.97</v>
      </c>
      <c r="AC1634" s="2">
        <v>41557.0</v>
      </c>
      <c r="AD1634" s="1">
        <v>1200.0</v>
      </c>
      <c r="AE1634" s="1" t="s">
        <v>647</v>
      </c>
      <c r="AF1634" s="1" t="s">
        <v>3126</v>
      </c>
      <c r="AG1634" s="1" t="s">
        <v>712</v>
      </c>
      <c r="AH1634" s="1">
        <v>1.0</v>
      </c>
      <c r="AI1634" s="1">
        <v>2015.0</v>
      </c>
      <c r="AJ1634" s="1">
        <v>2014.0</v>
      </c>
      <c r="AK1634" s="1" t="s">
        <v>713</v>
      </c>
    </row>
    <row r="1635">
      <c r="A1635" s="1" t="s">
        <v>3048</v>
      </c>
      <c r="B1635" s="1" t="s">
        <v>3048</v>
      </c>
      <c r="C1635" s="1" t="s">
        <v>645</v>
      </c>
      <c r="E1635" s="1">
        <v>4.58254144E8</v>
      </c>
      <c r="F1635" s="2">
        <v>41564.0</v>
      </c>
      <c r="G1635" s="1" t="s">
        <v>710</v>
      </c>
      <c r="I1635" s="1" t="s">
        <v>710</v>
      </c>
      <c r="L1635" s="1" t="s">
        <v>647</v>
      </c>
      <c r="M1635" s="1">
        <v>1200.0</v>
      </c>
      <c r="N1635" s="1" t="s">
        <v>647</v>
      </c>
      <c r="O1635" s="1">
        <v>8.29630537E8</v>
      </c>
      <c r="P1635" s="1" t="s">
        <v>531</v>
      </c>
      <c r="Q1635" s="1" t="s">
        <v>532</v>
      </c>
      <c r="R1635" s="1" t="s">
        <v>533</v>
      </c>
      <c r="S1635" s="1" t="s">
        <v>44</v>
      </c>
      <c r="T1635" s="1" t="s">
        <v>45</v>
      </c>
      <c r="U1635" s="1">
        <v>4.8219181E8</v>
      </c>
      <c r="W1635" s="1" t="s">
        <v>44</v>
      </c>
      <c r="X1635" s="1" t="s">
        <v>45</v>
      </c>
      <c r="Y1635" s="1">
        <v>4.8219181E8</v>
      </c>
      <c r="AB1635" s="1">
        <v>255618.36</v>
      </c>
      <c r="AC1635" s="2">
        <v>41564.0</v>
      </c>
      <c r="AD1635" s="1">
        <v>1200.0</v>
      </c>
      <c r="AE1635" s="1" t="s">
        <v>647</v>
      </c>
      <c r="AF1635" s="1" t="s">
        <v>3127</v>
      </c>
      <c r="AG1635" s="1" t="s">
        <v>712</v>
      </c>
      <c r="AH1635" s="1">
        <v>1.0</v>
      </c>
      <c r="AI1635" s="1">
        <v>2015.0</v>
      </c>
      <c r="AJ1635" s="1">
        <v>2014.0</v>
      </c>
      <c r="AK1635" s="1" t="s">
        <v>713</v>
      </c>
    </row>
    <row r="1636">
      <c r="A1636" s="1" t="s">
        <v>3048</v>
      </c>
      <c r="B1636" s="1" t="s">
        <v>3048</v>
      </c>
      <c r="C1636" s="1" t="s">
        <v>645</v>
      </c>
      <c r="E1636" s="1">
        <v>4.58254144E8</v>
      </c>
      <c r="F1636" s="2">
        <v>41683.0</v>
      </c>
      <c r="G1636" s="1" t="s">
        <v>710</v>
      </c>
      <c r="I1636" s="1" t="s">
        <v>710</v>
      </c>
      <c r="L1636" s="1" t="s">
        <v>647</v>
      </c>
      <c r="M1636" s="1">
        <v>1200.0</v>
      </c>
      <c r="N1636" s="1" t="s">
        <v>647</v>
      </c>
      <c r="O1636" s="1">
        <v>7.6340843E7</v>
      </c>
      <c r="P1636" s="1" t="s">
        <v>461</v>
      </c>
      <c r="R1636" s="1" t="s">
        <v>1599</v>
      </c>
      <c r="S1636" s="1" t="s">
        <v>44</v>
      </c>
      <c r="T1636" s="1" t="s">
        <v>45</v>
      </c>
      <c r="U1636" s="1">
        <v>4.8202301E8</v>
      </c>
      <c r="W1636" s="1" t="s">
        <v>44</v>
      </c>
      <c r="X1636" s="1" t="s">
        <v>45</v>
      </c>
      <c r="Y1636" s="1">
        <v>4.82023096E8</v>
      </c>
      <c r="Z1636" s="1">
        <v>7.6340843E7</v>
      </c>
      <c r="AA1636" s="1" t="s">
        <v>461</v>
      </c>
      <c r="AB1636" s="1">
        <v>1312392.14</v>
      </c>
      <c r="AC1636" s="2">
        <v>41683.0</v>
      </c>
      <c r="AD1636" s="1">
        <v>1200.0</v>
      </c>
      <c r="AE1636" s="1" t="s">
        <v>647</v>
      </c>
      <c r="AF1636" s="1" t="s">
        <v>3128</v>
      </c>
      <c r="AG1636" s="1" t="s">
        <v>712</v>
      </c>
      <c r="AH1636" s="1">
        <v>1.0</v>
      </c>
      <c r="AI1636" s="1">
        <v>2015.0</v>
      </c>
      <c r="AJ1636" s="1">
        <v>2014.0</v>
      </c>
      <c r="AK1636" s="1" t="s">
        <v>713</v>
      </c>
    </row>
    <row r="1637">
      <c r="A1637" s="1" t="s">
        <v>3048</v>
      </c>
      <c r="B1637" s="1" t="s">
        <v>3048</v>
      </c>
      <c r="C1637" s="1" t="s">
        <v>645</v>
      </c>
      <c r="E1637" s="1">
        <v>4.58254144E8</v>
      </c>
      <c r="F1637" s="2">
        <v>41585.0</v>
      </c>
      <c r="G1637" s="1" t="s">
        <v>710</v>
      </c>
      <c r="I1637" s="1" t="s">
        <v>710</v>
      </c>
      <c r="L1637" s="1" t="s">
        <v>647</v>
      </c>
      <c r="M1637" s="1">
        <v>1200.0</v>
      </c>
      <c r="N1637" s="1" t="s">
        <v>647</v>
      </c>
      <c r="O1637" s="1">
        <v>8.76992343E8</v>
      </c>
      <c r="P1637" s="1" t="s">
        <v>550</v>
      </c>
      <c r="R1637" s="1" t="s">
        <v>551</v>
      </c>
      <c r="S1637" s="1" t="s">
        <v>44</v>
      </c>
      <c r="T1637" s="1" t="s">
        <v>45</v>
      </c>
      <c r="U1637" s="1">
        <v>4.82102451E8</v>
      </c>
      <c r="W1637" s="1" t="s">
        <v>44</v>
      </c>
      <c r="X1637" s="1" t="s">
        <v>45</v>
      </c>
      <c r="Y1637" s="1">
        <v>4.82102451E8</v>
      </c>
      <c r="AB1637" s="1">
        <v>322254.92</v>
      </c>
      <c r="AC1637" s="2">
        <v>41585.0</v>
      </c>
      <c r="AD1637" s="1">
        <v>1200.0</v>
      </c>
      <c r="AE1637" s="1" t="s">
        <v>647</v>
      </c>
      <c r="AF1637" s="1" t="s">
        <v>3129</v>
      </c>
      <c r="AG1637" s="1" t="s">
        <v>712</v>
      </c>
      <c r="AH1637" s="1">
        <v>1.0</v>
      </c>
      <c r="AI1637" s="1">
        <v>2015.0</v>
      </c>
      <c r="AJ1637" s="1">
        <v>2014.0</v>
      </c>
      <c r="AK1637" s="1" t="s">
        <v>713</v>
      </c>
    </row>
    <row r="1638">
      <c r="A1638" s="1" t="s">
        <v>3048</v>
      </c>
      <c r="B1638" s="1" t="s">
        <v>3048</v>
      </c>
      <c r="C1638" s="1" t="s">
        <v>645</v>
      </c>
      <c r="E1638" s="1">
        <v>4.58254144E8</v>
      </c>
      <c r="F1638" s="2">
        <v>41564.0</v>
      </c>
      <c r="G1638" s="1" t="s">
        <v>710</v>
      </c>
      <c r="I1638" s="1" t="s">
        <v>710</v>
      </c>
      <c r="L1638" s="1" t="s">
        <v>647</v>
      </c>
      <c r="M1638" s="1">
        <v>1200.0</v>
      </c>
      <c r="N1638" s="1" t="s">
        <v>647</v>
      </c>
      <c r="O1638" s="1">
        <v>1.52892667E8</v>
      </c>
      <c r="P1638" s="1" t="s">
        <v>638</v>
      </c>
      <c r="R1638" s="1" t="s">
        <v>639</v>
      </c>
      <c r="S1638" s="1" t="s">
        <v>44</v>
      </c>
      <c r="T1638" s="1" t="s">
        <v>45</v>
      </c>
      <c r="U1638" s="1">
        <v>4.82343358E8</v>
      </c>
      <c r="W1638" s="1" t="s">
        <v>46</v>
      </c>
      <c r="X1638" s="1" t="s">
        <v>45</v>
      </c>
      <c r="Y1638" s="1">
        <v>4.82343358E8</v>
      </c>
      <c r="AB1638" s="1">
        <v>28713.52</v>
      </c>
      <c r="AC1638" s="2">
        <v>41564.0</v>
      </c>
      <c r="AD1638" s="1">
        <v>1200.0</v>
      </c>
      <c r="AE1638" s="1" t="s">
        <v>647</v>
      </c>
      <c r="AF1638" s="1" t="s">
        <v>3130</v>
      </c>
      <c r="AG1638" s="1" t="s">
        <v>712</v>
      </c>
      <c r="AH1638" s="1">
        <v>1.0</v>
      </c>
      <c r="AI1638" s="1">
        <v>2015.0</v>
      </c>
      <c r="AJ1638" s="1">
        <v>2014.0</v>
      </c>
      <c r="AK1638" s="1" t="s">
        <v>713</v>
      </c>
    </row>
    <row r="1639">
      <c r="A1639" s="1" t="s">
        <v>3048</v>
      </c>
      <c r="B1639" s="1" t="s">
        <v>3048</v>
      </c>
      <c r="C1639" s="1" t="s">
        <v>645</v>
      </c>
      <c r="E1639" s="1">
        <v>4.58254144E8</v>
      </c>
      <c r="F1639" s="2">
        <v>41466.0</v>
      </c>
      <c r="G1639" s="1" t="s">
        <v>710</v>
      </c>
      <c r="I1639" s="1" t="s">
        <v>710</v>
      </c>
      <c r="L1639" s="1" t="s">
        <v>647</v>
      </c>
      <c r="M1639" s="1">
        <v>1200.0</v>
      </c>
      <c r="N1639" s="1" t="s">
        <v>647</v>
      </c>
      <c r="O1639" s="1">
        <v>8.7299367E8</v>
      </c>
      <c r="P1639" s="1" t="s">
        <v>888</v>
      </c>
      <c r="R1639" s="1" t="s">
        <v>889</v>
      </c>
      <c r="S1639" s="1" t="s">
        <v>44</v>
      </c>
      <c r="T1639" s="1" t="s">
        <v>45</v>
      </c>
      <c r="U1639" s="1">
        <v>4.82051136E8</v>
      </c>
      <c r="W1639" s="1" t="s">
        <v>44</v>
      </c>
      <c r="X1639" s="1" t="s">
        <v>45</v>
      </c>
      <c r="Y1639" s="1">
        <v>4.82051136E8</v>
      </c>
      <c r="AB1639" s="1">
        <v>64924.24</v>
      </c>
      <c r="AC1639" s="2">
        <v>41466.0</v>
      </c>
      <c r="AD1639" s="1">
        <v>1200.0</v>
      </c>
      <c r="AE1639" s="1" t="s">
        <v>647</v>
      </c>
      <c r="AF1639" s="1" t="s">
        <v>3131</v>
      </c>
      <c r="AG1639" s="1" t="s">
        <v>712</v>
      </c>
      <c r="AH1639" s="1">
        <v>1.0</v>
      </c>
      <c r="AI1639" s="1">
        <v>2015.0</v>
      </c>
      <c r="AJ1639" s="1">
        <v>2013.0</v>
      </c>
      <c r="AK1639" s="1" t="s">
        <v>713</v>
      </c>
    </row>
    <row r="1640">
      <c r="A1640" s="1" t="s">
        <v>3048</v>
      </c>
      <c r="B1640" s="1" t="s">
        <v>3048</v>
      </c>
      <c r="C1640" s="1" t="s">
        <v>645</v>
      </c>
      <c r="E1640" s="1">
        <v>4.58254144E8</v>
      </c>
      <c r="F1640" s="2">
        <v>41557.0</v>
      </c>
      <c r="G1640" s="1" t="s">
        <v>710</v>
      </c>
      <c r="I1640" s="1" t="s">
        <v>710</v>
      </c>
      <c r="L1640" s="1" t="s">
        <v>647</v>
      </c>
      <c r="M1640" s="1">
        <v>1200.0</v>
      </c>
      <c r="N1640" s="1" t="s">
        <v>647</v>
      </c>
      <c r="O1640" s="1">
        <v>1.96632496E8</v>
      </c>
      <c r="P1640" s="1" t="s">
        <v>715</v>
      </c>
      <c r="R1640" s="1" t="s">
        <v>716</v>
      </c>
      <c r="S1640" s="1" t="s">
        <v>44</v>
      </c>
      <c r="T1640" s="1" t="s">
        <v>45</v>
      </c>
      <c r="U1640" s="1">
        <v>4.82162058E8</v>
      </c>
      <c r="W1640" s="1" t="s">
        <v>44</v>
      </c>
      <c r="X1640" s="1" t="s">
        <v>45</v>
      </c>
      <c r="Y1640" s="1">
        <v>4.82162058E8</v>
      </c>
      <c r="AB1640" s="1">
        <v>26124.41</v>
      </c>
      <c r="AC1640" s="2">
        <v>41557.0</v>
      </c>
      <c r="AD1640" s="1">
        <v>1200.0</v>
      </c>
      <c r="AE1640" s="1" t="s">
        <v>647</v>
      </c>
      <c r="AF1640" s="1" t="s">
        <v>3132</v>
      </c>
      <c r="AG1640" s="1" t="s">
        <v>712</v>
      </c>
      <c r="AH1640" s="1">
        <v>1.0</v>
      </c>
      <c r="AI1640" s="1">
        <v>2015.0</v>
      </c>
      <c r="AJ1640" s="1">
        <v>2014.0</v>
      </c>
      <c r="AK1640" s="1" t="s">
        <v>713</v>
      </c>
    </row>
    <row r="1641">
      <c r="A1641" s="1" t="s">
        <v>3048</v>
      </c>
      <c r="B1641" s="1" t="s">
        <v>3048</v>
      </c>
      <c r="C1641" s="1" t="s">
        <v>645</v>
      </c>
      <c r="E1641" s="1">
        <v>4.58254144E8</v>
      </c>
      <c r="F1641" s="2">
        <v>41557.0</v>
      </c>
      <c r="G1641" s="1" t="s">
        <v>710</v>
      </c>
      <c r="I1641" s="1" t="s">
        <v>710</v>
      </c>
      <c r="L1641" s="1" t="s">
        <v>647</v>
      </c>
      <c r="M1641" s="1">
        <v>1200.0</v>
      </c>
      <c r="N1641" s="1" t="s">
        <v>647</v>
      </c>
      <c r="O1641" s="1">
        <v>7.97527715E8</v>
      </c>
      <c r="P1641" s="1" t="s">
        <v>567</v>
      </c>
      <c r="R1641" s="1" t="s">
        <v>568</v>
      </c>
      <c r="S1641" s="1" t="s">
        <v>44</v>
      </c>
      <c r="T1641" s="1" t="s">
        <v>45</v>
      </c>
      <c r="U1641" s="1">
        <v>4.82123134E8</v>
      </c>
      <c r="W1641" s="1" t="s">
        <v>498</v>
      </c>
      <c r="X1641" s="1" t="s">
        <v>45</v>
      </c>
      <c r="Y1641" s="1">
        <v>4.82123134E8</v>
      </c>
      <c r="Z1641" s="1">
        <v>9.60742484E8</v>
      </c>
      <c r="AB1641" s="1">
        <v>26712.99</v>
      </c>
      <c r="AC1641" s="2">
        <v>41557.0</v>
      </c>
      <c r="AD1641" s="1">
        <v>1200.0</v>
      </c>
      <c r="AE1641" s="1" t="s">
        <v>647</v>
      </c>
      <c r="AF1641" s="1" t="s">
        <v>3133</v>
      </c>
      <c r="AG1641" s="1" t="s">
        <v>712</v>
      </c>
      <c r="AH1641" s="1">
        <v>1.0</v>
      </c>
      <c r="AI1641" s="1">
        <v>2015.0</v>
      </c>
      <c r="AJ1641" s="1">
        <v>2014.0</v>
      </c>
      <c r="AK1641" s="1" t="s">
        <v>713</v>
      </c>
    </row>
    <row r="1642">
      <c r="A1642" s="1" t="s">
        <v>3048</v>
      </c>
      <c r="B1642" s="1" t="s">
        <v>3048</v>
      </c>
      <c r="C1642" s="1" t="s">
        <v>645</v>
      </c>
      <c r="E1642" s="1">
        <v>4.58254144E8</v>
      </c>
      <c r="F1642" s="2">
        <v>41550.0</v>
      </c>
      <c r="G1642" s="1" t="s">
        <v>710</v>
      </c>
      <c r="I1642" s="1" t="s">
        <v>710</v>
      </c>
      <c r="L1642" s="1" t="s">
        <v>647</v>
      </c>
      <c r="M1642" s="1">
        <v>1200.0</v>
      </c>
      <c r="N1642" s="1" t="s">
        <v>647</v>
      </c>
      <c r="O1642" s="1">
        <v>1.4934485E8</v>
      </c>
      <c r="P1642" s="1" t="s">
        <v>3134</v>
      </c>
      <c r="R1642" s="1" t="s">
        <v>3135</v>
      </c>
      <c r="S1642" s="1" t="s">
        <v>44</v>
      </c>
      <c r="T1642" s="1" t="s">
        <v>45</v>
      </c>
      <c r="U1642" s="1">
        <v>4.82282726E8</v>
      </c>
      <c r="W1642" s="1" t="s">
        <v>44</v>
      </c>
      <c r="X1642" s="1" t="s">
        <v>45</v>
      </c>
      <c r="Y1642" s="1">
        <v>4.82282726E8</v>
      </c>
      <c r="AB1642" s="1">
        <v>26143.58</v>
      </c>
      <c r="AC1642" s="2">
        <v>41550.0</v>
      </c>
      <c r="AD1642" s="1">
        <v>1200.0</v>
      </c>
      <c r="AE1642" s="1" t="s">
        <v>647</v>
      </c>
      <c r="AF1642" s="1" t="s">
        <v>3136</v>
      </c>
      <c r="AG1642" s="1" t="s">
        <v>712</v>
      </c>
      <c r="AH1642" s="1">
        <v>1.0</v>
      </c>
      <c r="AI1642" s="1">
        <v>2015.0</v>
      </c>
      <c r="AJ1642" s="1">
        <v>2014.0</v>
      </c>
      <c r="AK1642" s="1" t="s">
        <v>713</v>
      </c>
    </row>
    <row r="1643">
      <c r="A1643" s="1" t="s">
        <v>3048</v>
      </c>
      <c r="B1643" s="1" t="s">
        <v>3048</v>
      </c>
      <c r="C1643" s="1" t="s">
        <v>645</v>
      </c>
      <c r="E1643" s="1">
        <v>4.58254144E8</v>
      </c>
      <c r="F1643" s="2">
        <v>41550.0</v>
      </c>
      <c r="G1643" s="1" t="s">
        <v>710</v>
      </c>
      <c r="I1643" s="1" t="s">
        <v>710</v>
      </c>
      <c r="L1643" s="1" t="s">
        <v>647</v>
      </c>
      <c r="M1643" s="1">
        <v>1200.0</v>
      </c>
      <c r="N1643" s="1" t="s">
        <v>647</v>
      </c>
      <c r="O1643" s="1">
        <v>7.8498569E7</v>
      </c>
      <c r="P1643" s="1" t="s">
        <v>1184</v>
      </c>
      <c r="R1643" s="1" t="s">
        <v>506</v>
      </c>
      <c r="S1643" s="1" t="s">
        <v>44</v>
      </c>
      <c r="T1643" s="1" t="s">
        <v>45</v>
      </c>
      <c r="U1643" s="1">
        <v>4.82123572E8</v>
      </c>
      <c r="W1643" s="1" t="s">
        <v>498</v>
      </c>
      <c r="X1643" s="1" t="s">
        <v>45</v>
      </c>
      <c r="Y1643" s="1">
        <v>4.82123572E8</v>
      </c>
      <c r="AB1643" s="1">
        <v>36201.39</v>
      </c>
      <c r="AC1643" s="2">
        <v>41550.0</v>
      </c>
      <c r="AD1643" s="1">
        <v>1200.0</v>
      </c>
      <c r="AE1643" s="1" t="s">
        <v>647</v>
      </c>
      <c r="AF1643" s="1" t="s">
        <v>3137</v>
      </c>
      <c r="AG1643" s="1" t="s">
        <v>712</v>
      </c>
      <c r="AH1643" s="1">
        <v>1.0</v>
      </c>
      <c r="AI1643" s="1">
        <v>2015.0</v>
      </c>
      <c r="AJ1643" s="1">
        <v>2014.0</v>
      </c>
      <c r="AK1643" s="1" t="s">
        <v>713</v>
      </c>
    </row>
    <row r="1644">
      <c r="A1644" s="1" t="s">
        <v>3048</v>
      </c>
      <c r="B1644" s="1" t="s">
        <v>3048</v>
      </c>
      <c r="C1644" s="1" t="s">
        <v>645</v>
      </c>
      <c r="E1644" s="1">
        <v>4.58254144E8</v>
      </c>
      <c r="F1644" s="2">
        <v>41550.0</v>
      </c>
      <c r="G1644" s="1" t="s">
        <v>710</v>
      </c>
      <c r="I1644" s="1" t="s">
        <v>710</v>
      </c>
      <c r="L1644" s="1" t="s">
        <v>647</v>
      </c>
      <c r="M1644" s="1">
        <v>1200.0</v>
      </c>
      <c r="N1644" s="1" t="s">
        <v>647</v>
      </c>
      <c r="O1644" s="1">
        <v>1.36396822E8</v>
      </c>
      <c r="P1644" s="1" t="s">
        <v>947</v>
      </c>
      <c r="R1644" s="1" t="s">
        <v>948</v>
      </c>
      <c r="S1644" s="1" t="s">
        <v>44</v>
      </c>
      <c r="T1644" s="1" t="s">
        <v>45</v>
      </c>
      <c r="U1644" s="1">
        <v>4.82191902E8</v>
      </c>
      <c r="W1644" s="1" t="s">
        <v>44</v>
      </c>
      <c r="X1644" s="1" t="s">
        <v>45</v>
      </c>
      <c r="Y1644" s="1">
        <v>4.82191902E8</v>
      </c>
      <c r="AB1644" s="1">
        <v>51126.47</v>
      </c>
      <c r="AC1644" s="2">
        <v>41550.0</v>
      </c>
      <c r="AD1644" s="1">
        <v>1200.0</v>
      </c>
      <c r="AE1644" s="1" t="s">
        <v>647</v>
      </c>
      <c r="AF1644" s="1" t="s">
        <v>3138</v>
      </c>
      <c r="AG1644" s="1" t="s">
        <v>712</v>
      </c>
      <c r="AH1644" s="1">
        <v>1.0</v>
      </c>
      <c r="AI1644" s="1">
        <v>2015.0</v>
      </c>
      <c r="AJ1644" s="1">
        <v>2014.0</v>
      </c>
      <c r="AK1644" s="1" t="s">
        <v>713</v>
      </c>
    </row>
    <row r="1645">
      <c r="A1645" s="1" t="s">
        <v>3048</v>
      </c>
      <c r="B1645" s="1" t="s">
        <v>3048</v>
      </c>
      <c r="C1645" s="1" t="s">
        <v>645</v>
      </c>
      <c r="E1645" s="1">
        <v>4.58254144E8</v>
      </c>
      <c r="F1645" s="2">
        <v>41564.0</v>
      </c>
      <c r="G1645" s="1" t="s">
        <v>710</v>
      </c>
      <c r="I1645" s="1" t="s">
        <v>710</v>
      </c>
      <c r="L1645" s="1" t="s">
        <v>647</v>
      </c>
      <c r="M1645" s="1">
        <v>1200.0</v>
      </c>
      <c r="N1645" s="1" t="s">
        <v>647</v>
      </c>
      <c r="O1645" s="1">
        <v>1.6388758E7</v>
      </c>
      <c r="P1645" s="1" t="s">
        <v>3139</v>
      </c>
      <c r="Q1645" s="1" t="s">
        <v>3140</v>
      </c>
      <c r="R1645" s="1" t="s">
        <v>281</v>
      </c>
      <c r="S1645" s="1" t="s">
        <v>44</v>
      </c>
      <c r="T1645" s="1" t="s">
        <v>45</v>
      </c>
      <c r="U1645" s="1">
        <v>4.82033277E8</v>
      </c>
      <c r="W1645" s="1" t="s">
        <v>603</v>
      </c>
      <c r="X1645" s="1" t="s">
        <v>45</v>
      </c>
      <c r="Y1645" s="1">
        <v>4.82033277E8</v>
      </c>
      <c r="AB1645" s="1">
        <v>29005.46</v>
      </c>
      <c r="AC1645" s="2">
        <v>41564.0</v>
      </c>
      <c r="AD1645" s="1">
        <v>1200.0</v>
      </c>
      <c r="AE1645" s="1" t="s">
        <v>647</v>
      </c>
      <c r="AF1645" s="1" t="s">
        <v>3141</v>
      </c>
      <c r="AG1645" s="1" t="s">
        <v>712</v>
      </c>
      <c r="AH1645" s="1">
        <v>1.0</v>
      </c>
      <c r="AI1645" s="1">
        <v>2015.0</v>
      </c>
      <c r="AJ1645" s="1">
        <v>2014.0</v>
      </c>
      <c r="AK1645" s="1" t="s">
        <v>713</v>
      </c>
    </row>
    <row r="1646">
      <c r="A1646" s="1" t="s">
        <v>3048</v>
      </c>
      <c r="B1646" s="1" t="s">
        <v>3048</v>
      </c>
      <c r="C1646" s="1" t="s">
        <v>645</v>
      </c>
      <c r="E1646" s="1">
        <v>4.58254144E8</v>
      </c>
      <c r="F1646" s="2">
        <v>41557.0</v>
      </c>
      <c r="G1646" s="1" t="s">
        <v>710</v>
      </c>
      <c r="I1646" s="1" t="s">
        <v>710</v>
      </c>
      <c r="L1646" s="1" t="s">
        <v>647</v>
      </c>
      <c r="M1646" s="1">
        <v>1200.0</v>
      </c>
      <c r="N1646" s="1" t="s">
        <v>647</v>
      </c>
      <c r="O1646" s="1">
        <v>5.3529803E7</v>
      </c>
      <c r="P1646" s="1" t="s">
        <v>950</v>
      </c>
      <c r="R1646" s="1" t="s">
        <v>951</v>
      </c>
      <c r="S1646" s="1" t="s">
        <v>44</v>
      </c>
      <c r="T1646" s="1" t="s">
        <v>45</v>
      </c>
      <c r="U1646" s="1">
        <v>4.82241518E8</v>
      </c>
      <c r="W1646" s="1" t="s">
        <v>46</v>
      </c>
      <c r="X1646" s="1" t="s">
        <v>45</v>
      </c>
      <c r="Y1646" s="1">
        <v>4.82241518E8</v>
      </c>
      <c r="AB1646" s="1">
        <v>43496.96</v>
      </c>
      <c r="AC1646" s="2">
        <v>41557.0</v>
      </c>
      <c r="AD1646" s="1">
        <v>1200.0</v>
      </c>
      <c r="AE1646" s="1" t="s">
        <v>647</v>
      </c>
      <c r="AF1646" s="1" t="s">
        <v>3142</v>
      </c>
      <c r="AG1646" s="1" t="s">
        <v>712</v>
      </c>
      <c r="AH1646" s="1">
        <v>1.0</v>
      </c>
      <c r="AI1646" s="1">
        <v>2015.0</v>
      </c>
      <c r="AJ1646" s="1">
        <v>2014.0</v>
      </c>
      <c r="AK1646" s="1" t="s">
        <v>713</v>
      </c>
    </row>
    <row r="1647">
      <c r="A1647" s="1" t="s">
        <v>3048</v>
      </c>
      <c r="B1647" s="1" t="s">
        <v>3048</v>
      </c>
      <c r="C1647" s="1" t="s">
        <v>645</v>
      </c>
      <c r="E1647" s="1">
        <v>4.58254144E8</v>
      </c>
      <c r="F1647" s="2">
        <v>41550.0</v>
      </c>
      <c r="G1647" s="1" t="s">
        <v>710</v>
      </c>
      <c r="I1647" s="1" t="s">
        <v>710</v>
      </c>
      <c r="L1647" s="1" t="s">
        <v>647</v>
      </c>
      <c r="M1647" s="1">
        <v>1200.0</v>
      </c>
      <c r="N1647" s="1" t="s">
        <v>647</v>
      </c>
      <c r="O1647" s="1">
        <v>9.60752871E8</v>
      </c>
      <c r="P1647" s="1" t="s">
        <v>793</v>
      </c>
      <c r="R1647" s="1" t="s">
        <v>794</v>
      </c>
      <c r="S1647" s="1" t="s">
        <v>44</v>
      </c>
      <c r="T1647" s="1" t="s">
        <v>45</v>
      </c>
      <c r="U1647" s="1">
        <v>4.82272749E8</v>
      </c>
      <c r="W1647" s="1" t="s">
        <v>44</v>
      </c>
      <c r="X1647" s="1" t="s">
        <v>45</v>
      </c>
      <c r="Y1647" s="1">
        <v>4.82272749E8</v>
      </c>
      <c r="AB1647" s="1">
        <v>28401.4</v>
      </c>
      <c r="AC1647" s="2">
        <v>41550.0</v>
      </c>
      <c r="AD1647" s="1">
        <v>1200.0</v>
      </c>
      <c r="AE1647" s="1" t="s">
        <v>647</v>
      </c>
      <c r="AF1647" s="1" t="s">
        <v>3143</v>
      </c>
      <c r="AG1647" s="1" t="s">
        <v>712</v>
      </c>
      <c r="AH1647" s="1">
        <v>1.0</v>
      </c>
      <c r="AI1647" s="1">
        <v>2015.0</v>
      </c>
      <c r="AJ1647" s="1">
        <v>2014.0</v>
      </c>
      <c r="AK1647" s="1" t="s">
        <v>713</v>
      </c>
    </row>
    <row r="1648">
      <c r="A1648" s="1" t="s">
        <v>3048</v>
      </c>
      <c r="B1648" s="1" t="s">
        <v>3048</v>
      </c>
      <c r="C1648" s="1" t="s">
        <v>645</v>
      </c>
      <c r="E1648" s="1">
        <v>4.58254144E8</v>
      </c>
      <c r="F1648" s="2">
        <v>41571.0</v>
      </c>
      <c r="G1648" s="1" t="s">
        <v>710</v>
      </c>
      <c r="I1648" s="1" t="s">
        <v>710</v>
      </c>
      <c r="L1648" s="1" t="s">
        <v>647</v>
      </c>
      <c r="M1648" s="1">
        <v>1200.0</v>
      </c>
      <c r="N1648" s="1" t="s">
        <v>647</v>
      </c>
      <c r="O1648" s="1">
        <v>2.2561935E7</v>
      </c>
      <c r="P1648" s="1" t="s">
        <v>2631</v>
      </c>
      <c r="R1648" s="1" t="s">
        <v>2632</v>
      </c>
      <c r="S1648" s="1" t="s">
        <v>44</v>
      </c>
      <c r="T1648" s="1" t="s">
        <v>45</v>
      </c>
      <c r="U1648" s="1">
        <v>4.8238E8</v>
      </c>
      <c r="W1648" s="1" t="s">
        <v>44</v>
      </c>
      <c r="X1648" s="1" t="s">
        <v>45</v>
      </c>
      <c r="Y1648" s="1">
        <v>4.82382124E8</v>
      </c>
      <c r="AB1648" s="1">
        <v>164335.93</v>
      </c>
      <c r="AC1648" s="2">
        <v>41571.0</v>
      </c>
      <c r="AD1648" s="1">
        <v>1200.0</v>
      </c>
      <c r="AE1648" s="1" t="s">
        <v>647</v>
      </c>
      <c r="AF1648" s="1" t="s">
        <v>3144</v>
      </c>
      <c r="AG1648" s="1" t="s">
        <v>712</v>
      </c>
      <c r="AH1648" s="1">
        <v>1.0</v>
      </c>
      <c r="AI1648" s="1">
        <v>2015.0</v>
      </c>
      <c r="AJ1648" s="1">
        <v>2014.0</v>
      </c>
      <c r="AK1648" s="1" t="s">
        <v>713</v>
      </c>
    </row>
    <row r="1649">
      <c r="A1649" s="1" t="s">
        <v>3048</v>
      </c>
      <c r="B1649" s="1" t="s">
        <v>3048</v>
      </c>
      <c r="C1649" s="1" t="s">
        <v>645</v>
      </c>
      <c r="E1649" s="1">
        <v>4.58254144E8</v>
      </c>
      <c r="F1649" s="2">
        <v>41550.0</v>
      </c>
      <c r="G1649" s="1" t="s">
        <v>710</v>
      </c>
      <c r="I1649" s="1" t="s">
        <v>710</v>
      </c>
      <c r="L1649" s="1" t="s">
        <v>647</v>
      </c>
      <c r="M1649" s="1">
        <v>1200.0</v>
      </c>
      <c r="N1649" s="1" t="s">
        <v>647</v>
      </c>
      <c r="O1649" s="1">
        <v>9.6910162E8</v>
      </c>
      <c r="P1649" s="1" t="s">
        <v>579</v>
      </c>
      <c r="R1649" s="1" t="s">
        <v>580</v>
      </c>
      <c r="S1649" s="1" t="s">
        <v>44</v>
      </c>
      <c r="T1649" s="1" t="s">
        <v>45</v>
      </c>
      <c r="U1649" s="1">
        <v>4.82283905E8</v>
      </c>
      <c r="W1649" s="1" t="s">
        <v>287</v>
      </c>
      <c r="X1649" s="1" t="s">
        <v>45</v>
      </c>
      <c r="Y1649" s="1">
        <v>4.82283905E8</v>
      </c>
      <c r="AB1649" s="1">
        <v>109613.83</v>
      </c>
      <c r="AC1649" s="2">
        <v>41550.0</v>
      </c>
      <c r="AD1649" s="1">
        <v>1200.0</v>
      </c>
      <c r="AE1649" s="1" t="s">
        <v>647</v>
      </c>
      <c r="AF1649" s="1" t="s">
        <v>3145</v>
      </c>
      <c r="AG1649" s="1" t="s">
        <v>712</v>
      </c>
      <c r="AH1649" s="1">
        <v>1.0</v>
      </c>
      <c r="AI1649" s="1">
        <v>2015.0</v>
      </c>
      <c r="AJ1649" s="1">
        <v>2014.0</v>
      </c>
      <c r="AK1649" s="1" t="s">
        <v>713</v>
      </c>
    </row>
    <row r="1650">
      <c r="A1650" s="1" t="s">
        <v>3048</v>
      </c>
      <c r="B1650" s="1" t="s">
        <v>3048</v>
      </c>
      <c r="C1650" s="1" t="s">
        <v>645</v>
      </c>
      <c r="E1650" s="1">
        <v>4.58254144E8</v>
      </c>
      <c r="F1650" s="2">
        <v>41557.0</v>
      </c>
      <c r="G1650" s="1" t="s">
        <v>710</v>
      </c>
      <c r="I1650" s="1" t="s">
        <v>710</v>
      </c>
      <c r="L1650" s="1" t="s">
        <v>647</v>
      </c>
      <c r="M1650" s="1">
        <v>1200.0</v>
      </c>
      <c r="N1650" s="1" t="s">
        <v>647</v>
      </c>
      <c r="O1650" s="1">
        <v>1.38064923E8</v>
      </c>
      <c r="P1650" s="1" t="s">
        <v>585</v>
      </c>
      <c r="R1650" s="1" t="s">
        <v>586</v>
      </c>
      <c r="S1650" s="1" t="s">
        <v>44</v>
      </c>
      <c r="T1650" s="1" t="s">
        <v>45</v>
      </c>
      <c r="U1650" s="1">
        <v>4.82152861E8</v>
      </c>
      <c r="W1650" s="1" t="s">
        <v>44</v>
      </c>
      <c r="X1650" s="1" t="s">
        <v>45</v>
      </c>
      <c r="Y1650" s="1">
        <v>4.82152861E8</v>
      </c>
      <c r="Z1650" s="1">
        <v>9.60742484E8</v>
      </c>
      <c r="AB1650" s="1">
        <v>100737.71</v>
      </c>
      <c r="AC1650" s="2">
        <v>41557.0</v>
      </c>
      <c r="AD1650" s="1">
        <v>1200.0</v>
      </c>
      <c r="AE1650" s="1" t="s">
        <v>647</v>
      </c>
      <c r="AF1650" s="1" t="s">
        <v>3146</v>
      </c>
      <c r="AG1650" s="1" t="s">
        <v>712</v>
      </c>
      <c r="AH1650" s="1">
        <v>1.0</v>
      </c>
      <c r="AI1650" s="1">
        <v>2015.0</v>
      </c>
      <c r="AJ1650" s="1">
        <v>2014.0</v>
      </c>
      <c r="AK1650" s="1" t="s">
        <v>713</v>
      </c>
    </row>
    <row r="1651">
      <c r="A1651" s="1" t="s">
        <v>3048</v>
      </c>
      <c r="B1651" s="1" t="s">
        <v>3048</v>
      </c>
      <c r="C1651" s="1" t="s">
        <v>645</v>
      </c>
      <c r="E1651" s="1">
        <v>4.58254144E8</v>
      </c>
      <c r="F1651" s="2">
        <v>41564.0</v>
      </c>
      <c r="G1651" s="1" t="s">
        <v>710</v>
      </c>
      <c r="I1651" s="1" t="s">
        <v>710</v>
      </c>
      <c r="L1651" s="1" t="s">
        <v>647</v>
      </c>
      <c r="M1651" s="1">
        <v>1200.0</v>
      </c>
      <c r="N1651" s="1" t="s">
        <v>647</v>
      </c>
      <c r="O1651" s="1">
        <v>8.01337023E8</v>
      </c>
      <c r="P1651" s="1" t="s">
        <v>731</v>
      </c>
      <c r="Q1651" s="1" t="s">
        <v>732</v>
      </c>
      <c r="R1651" s="1" t="s">
        <v>733</v>
      </c>
      <c r="S1651" s="1" t="s">
        <v>44</v>
      </c>
      <c r="T1651" s="1" t="s">
        <v>45</v>
      </c>
      <c r="U1651" s="1">
        <v>4.82342968E8</v>
      </c>
      <c r="W1651" s="1" t="s">
        <v>44</v>
      </c>
      <c r="X1651" s="1" t="s">
        <v>45</v>
      </c>
      <c r="Y1651" s="1">
        <v>4.82342968E8</v>
      </c>
      <c r="Z1651" s="1">
        <v>8.01337023E8</v>
      </c>
      <c r="AA1651" s="1" t="s">
        <v>731</v>
      </c>
      <c r="AB1651" s="1">
        <v>117892.63</v>
      </c>
      <c r="AC1651" s="2">
        <v>41564.0</v>
      </c>
      <c r="AD1651" s="1">
        <v>1200.0</v>
      </c>
      <c r="AE1651" s="1" t="s">
        <v>647</v>
      </c>
      <c r="AF1651" s="1" t="s">
        <v>3147</v>
      </c>
      <c r="AG1651" s="1" t="s">
        <v>712</v>
      </c>
      <c r="AH1651" s="1">
        <v>1.0</v>
      </c>
      <c r="AI1651" s="1">
        <v>2015.0</v>
      </c>
      <c r="AJ1651" s="1">
        <v>2014.0</v>
      </c>
      <c r="AK1651" s="1" t="s">
        <v>713</v>
      </c>
    </row>
    <row r="1652">
      <c r="A1652" s="1" t="s">
        <v>3048</v>
      </c>
      <c r="B1652" s="1" t="s">
        <v>3048</v>
      </c>
      <c r="C1652" s="1" t="s">
        <v>645</v>
      </c>
      <c r="E1652" s="1">
        <v>4.58254144E8</v>
      </c>
      <c r="F1652" s="2">
        <v>41557.0</v>
      </c>
      <c r="G1652" s="1" t="s">
        <v>710</v>
      </c>
      <c r="I1652" s="1" t="s">
        <v>710</v>
      </c>
      <c r="L1652" s="1" t="s">
        <v>647</v>
      </c>
      <c r="M1652" s="1">
        <v>1200.0</v>
      </c>
      <c r="N1652" s="1" t="s">
        <v>647</v>
      </c>
      <c r="O1652" s="1">
        <v>1.95837232E8</v>
      </c>
      <c r="P1652" s="1" t="s">
        <v>785</v>
      </c>
      <c r="Q1652" s="1" t="s">
        <v>786</v>
      </c>
      <c r="R1652" s="1" t="s">
        <v>787</v>
      </c>
      <c r="S1652" s="1" t="s">
        <v>44</v>
      </c>
      <c r="T1652" s="1" t="s">
        <v>45</v>
      </c>
      <c r="U1652" s="1">
        <v>4.82242358E8</v>
      </c>
      <c r="W1652" s="1" t="s">
        <v>44</v>
      </c>
      <c r="X1652" s="1" t="s">
        <v>45</v>
      </c>
      <c r="Y1652" s="1">
        <v>4.82152667E8</v>
      </c>
      <c r="Z1652" s="1">
        <v>1.95837232E8</v>
      </c>
      <c r="AA1652" s="1" t="s">
        <v>785</v>
      </c>
      <c r="AB1652" s="1">
        <v>25908.26</v>
      </c>
      <c r="AC1652" s="2">
        <v>41557.0</v>
      </c>
      <c r="AD1652" s="1">
        <v>1200.0</v>
      </c>
      <c r="AE1652" s="1" t="s">
        <v>647</v>
      </c>
      <c r="AF1652" s="1" t="s">
        <v>3148</v>
      </c>
      <c r="AG1652" s="1" t="s">
        <v>712</v>
      </c>
      <c r="AH1652" s="1">
        <v>1.0</v>
      </c>
      <c r="AI1652" s="1">
        <v>2015.0</v>
      </c>
      <c r="AJ1652" s="1">
        <v>2014.0</v>
      </c>
      <c r="AK1652" s="1" t="s">
        <v>713</v>
      </c>
    </row>
    <row r="1653">
      <c r="A1653" s="1" t="s">
        <v>3048</v>
      </c>
      <c r="B1653" s="1" t="s">
        <v>3048</v>
      </c>
      <c r="C1653" s="1" t="s">
        <v>645</v>
      </c>
      <c r="E1653" s="1">
        <v>4.58254144E8</v>
      </c>
      <c r="F1653" s="2">
        <v>41564.0</v>
      </c>
      <c r="G1653" s="1" t="s">
        <v>710</v>
      </c>
      <c r="I1653" s="1" t="s">
        <v>710</v>
      </c>
      <c r="L1653" s="1" t="s">
        <v>647</v>
      </c>
      <c r="M1653" s="1">
        <v>1200.0</v>
      </c>
      <c r="N1653" s="1" t="s">
        <v>647</v>
      </c>
      <c r="O1653" s="1">
        <v>7.8776131E7</v>
      </c>
      <c r="P1653" s="1" t="s">
        <v>3149</v>
      </c>
      <c r="R1653" s="1" t="s">
        <v>3150</v>
      </c>
      <c r="S1653" s="1" t="s">
        <v>44</v>
      </c>
      <c r="T1653" s="1" t="s">
        <v>45</v>
      </c>
      <c r="U1653" s="1">
        <v>4.82281775E8</v>
      </c>
      <c r="W1653" s="1" t="s">
        <v>44</v>
      </c>
      <c r="X1653" s="1" t="s">
        <v>45</v>
      </c>
      <c r="Y1653" s="1">
        <v>4.82281775E8</v>
      </c>
      <c r="AB1653" s="1">
        <v>44230.94</v>
      </c>
      <c r="AC1653" s="2">
        <v>41564.0</v>
      </c>
      <c r="AD1653" s="1">
        <v>1200.0</v>
      </c>
      <c r="AE1653" s="1" t="s">
        <v>647</v>
      </c>
      <c r="AF1653" s="1" t="s">
        <v>3151</v>
      </c>
      <c r="AG1653" s="1" t="s">
        <v>712</v>
      </c>
      <c r="AH1653" s="1">
        <v>1.0</v>
      </c>
      <c r="AI1653" s="1">
        <v>2015.0</v>
      </c>
      <c r="AJ1653" s="1">
        <v>2014.0</v>
      </c>
      <c r="AK1653" s="1" t="s">
        <v>713</v>
      </c>
    </row>
    <row r="1654">
      <c r="A1654" s="1" t="s">
        <v>3048</v>
      </c>
      <c r="B1654" s="1" t="s">
        <v>3048</v>
      </c>
      <c r="C1654" s="1" t="s">
        <v>645</v>
      </c>
      <c r="E1654" s="1">
        <v>4.58254144E8</v>
      </c>
      <c r="F1654" s="2">
        <v>41585.0</v>
      </c>
      <c r="G1654" s="1" t="s">
        <v>710</v>
      </c>
      <c r="I1654" s="1" t="s">
        <v>710</v>
      </c>
      <c r="L1654" s="1" t="s">
        <v>647</v>
      </c>
      <c r="M1654" s="1">
        <v>1200.0</v>
      </c>
      <c r="N1654" s="1" t="s">
        <v>647</v>
      </c>
      <c r="O1654" s="1">
        <v>9.63121426E8</v>
      </c>
      <c r="P1654" s="1" t="s">
        <v>490</v>
      </c>
      <c r="R1654" s="1" t="s">
        <v>491</v>
      </c>
      <c r="S1654" s="1" t="s">
        <v>44</v>
      </c>
      <c r="T1654" s="1" t="s">
        <v>45</v>
      </c>
      <c r="U1654" s="1">
        <v>4.82233051E8</v>
      </c>
      <c r="W1654" s="1" t="s">
        <v>46</v>
      </c>
      <c r="X1654" s="1" t="s">
        <v>45</v>
      </c>
      <c r="Y1654" s="1">
        <v>4.82233051E8</v>
      </c>
      <c r="AB1654" s="1">
        <v>164930.71</v>
      </c>
      <c r="AC1654" s="2">
        <v>41585.0</v>
      </c>
      <c r="AD1654" s="1">
        <v>1200.0</v>
      </c>
      <c r="AE1654" s="1" t="s">
        <v>647</v>
      </c>
      <c r="AF1654" s="1" t="s">
        <v>3152</v>
      </c>
      <c r="AG1654" s="1" t="s">
        <v>712</v>
      </c>
      <c r="AH1654" s="1">
        <v>1.0</v>
      </c>
      <c r="AI1654" s="1">
        <v>2015.0</v>
      </c>
      <c r="AJ1654" s="1">
        <v>2014.0</v>
      </c>
      <c r="AK1654" s="1" t="s">
        <v>713</v>
      </c>
    </row>
    <row r="1655">
      <c r="A1655" s="1" t="s">
        <v>3048</v>
      </c>
      <c r="B1655" s="1" t="s">
        <v>3048</v>
      </c>
      <c r="C1655" s="1" t="s">
        <v>645</v>
      </c>
      <c r="E1655" s="1">
        <v>4.58254144E8</v>
      </c>
      <c r="F1655" s="2">
        <v>41515.0</v>
      </c>
      <c r="G1655" s="1" t="s">
        <v>710</v>
      </c>
      <c r="I1655" s="1" t="s">
        <v>710</v>
      </c>
      <c r="L1655" s="1" t="s">
        <v>647</v>
      </c>
      <c r="M1655" s="1">
        <v>1200.0</v>
      </c>
      <c r="N1655" s="1" t="s">
        <v>647</v>
      </c>
      <c r="O1655" s="1">
        <v>7.3134884E7</v>
      </c>
      <c r="P1655" s="1" t="s">
        <v>1796</v>
      </c>
      <c r="R1655" s="1" t="s">
        <v>1855</v>
      </c>
      <c r="S1655" s="1" t="s">
        <v>44</v>
      </c>
      <c r="T1655" s="1" t="s">
        <v>45</v>
      </c>
      <c r="U1655" s="1">
        <v>48226.0</v>
      </c>
      <c r="W1655" s="1" t="s">
        <v>3153</v>
      </c>
      <c r="X1655" s="1" t="s">
        <v>45</v>
      </c>
      <c r="Y1655" s="1">
        <v>4.8184E8</v>
      </c>
      <c r="Z1655" s="1">
        <v>7.3134884E7</v>
      </c>
      <c r="AA1655" s="1" t="s">
        <v>1796</v>
      </c>
      <c r="AB1655" s="1">
        <v>86510.14</v>
      </c>
      <c r="AC1655" s="2">
        <v>41515.0</v>
      </c>
      <c r="AD1655" s="1">
        <v>1200.0</v>
      </c>
      <c r="AE1655" s="1" t="s">
        <v>647</v>
      </c>
      <c r="AF1655" s="1" t="s">
        <v>3154</v>
      </c>
      <c r="AG1655" s="1" t="s">
        <v>712</v>
      </c>
      <c r="AH1655" s="1">
        <v>1.0</v>
      </c>
      <c r="AI1655" s="1">
        <v>2015.0</v>
      </c>
      <c r="AJ1655" s="1">
        <v>2013.0</v>
      </c>
      <c r="AK1655" s="1" t="s">
        <v>713</v>
      </c>
    </row>
    <row r="1656">
      <c r="A1656" s="1" t="s">
        <v>3048</v>
      </c>
      <c r="B1656" s="1" t="s">
        <v>3048</v>
      </c>
      <c r="C1656" s="1" t="s">
        <v>645</v>
      </c>
      <c r="E1656" s="1">
        <v>4.58254144E8</v>
      </c>
      <c r="F1656" s="2">
        <v>41585.0</v>
      </c>
      <c r="G1656" s="1" t="s">
        <v>710</v>
      </c>
      <c r="I1656" s="1" t="s">
        <v>710</v>
      </c>
      <c r="L1656" s="1" t="s">
        <v>647</v>
      </c>
      <c r="M1656" s="1">
        <v>1200.0</v>
      </c>
      <c r="N1656" s="1" t="s">
        <v>647</v>
      </c>
      <c r="O1656" s="1">
        <v>7.8465647E7</v>
      </c>
      <c r="P1656" s="1" t="s">
        <v>1176</v>
      </c>
      <c r="R1656" s="1" t="s">
        <v>1178</v>
      </c>
      <c r="S1656" s="1" t="s">
        <v>44</v>
      </c>
      <c r="T1656" s="1" t="s">
        <v>45</v>
      </c>
      <c r="U1656" s="1">
        <v>4.82281142E8</v>
      </c>
      <c r="W1656" s="1" t="s">
        <v>44</v>
      </c>
      <c r="X1656" s="1" t="s">
        <v>45</v>
      </c>
      <c r="Y1656" s="1">
        <v>4.82281142E8</v>
      </c>
      <c r="AB1656" s="1">
        <v>31698.67</v>
      </c>
      <c r="AC1656" s="2">
        <v>41585.0</v>
      </c>
      <c r="AD1656" s="1">
        <v>1200.0</v>
      </c>
      <c r="AE1656" s="1" t="s">
        <v>647</v>
      </c>
      <c r="AF1656" s="1" t="s">
        <v>3155</v>
      </c>
      <c r="AG1656" s="1" t="s">
        <v>712</v>
      </c>
      <c r="AH1656" s="1">
        <v>1.0</v>
      </c>
      <c r="AI1656" s="1">
        <v>2015.0</v>
      </c>
      <c r="AJ1656" s="1">
        <v>2014.0</v>
      </c>
      <c r="AK1656" s="1" t="s">
        <v>713</v>
      </c>
    </row>
    <row r="1657">
      <c r="A1657" s="1" t="s">
        <v>3048</v>
      </c>
      <c r="B1657" s="1" t="s">
        <v>3048</v>
      </c>
      <c r="C1657" s="1" t="s">
        <v>645</v>
      </c>
      <c r="E1657" s="1">
        <v>4.58254144E8</v>
      </c>
      <c r="F1657" s="2">
        <v>41578.0</v>
      </c>
      <c r="G1657" s="1" t="s">
        <v>710</v>
      </c>
      <c r="I1657" s="1" t="s">
        <v>710</v>
      </c>
      <c r="L1657" s="1" t="s">
        <v>647</v>
      </c>
      <c r="M1657" s="1">
        <v>1200.0</v>
      </c>
      <c r="N1657" s="1" t="s">
        <v>647</v>
      </c>
      <c r="O1657" s="1">
        <v>8.29503312E8</v>
      </c>
      <c r="P1657" s="1" t="s">
        <v>622</v>
      </c>
      <c r="R1657" s="1" t="s">
        <v>623</v>
      </c>
      <c r="S1657" s="1" t="s">
        <v>44</v>
      </c>
      <c r="T1657" s="1" t="s">
        <v>45</v>
      </c>
      <c r="U1657" s="1">
        <v>4.82035715E8</v>
      </c>
      <c r="W1657" s="1" t="s">
        <v>603</v>
      </c>
      <c r="X1657" s="1" t="s">
        <v>45</v>
      </c>
      <c r="Y1657" s="1">
        <v>4.82035715E8</v>
      </c>
      <c r="AB1657" s="1">
        <v>165045.96</v>
      </c>
      <c r="AC1657" s="2">
        <v>41578.0</v>
      </c>
      <c r="AD1657" s="1">
        <v>1200.0</v>
      </c>
      <c r="AE1657" s="1" t="s">
        <v>647</v>
      </c>
      <c r="AF1657" s="1" t="s">
        <v>3156</v>
      </c>
      <c r="AG1657" s="1" t="s">
        <v>712</v>
      </c>
      <c r="AH1657" s="1">
        <v>1.0</v>
      </c>
      <c r="AI1657" s="1">
        <v>2015.0</v>
      </c>
      <c r="AJ1657" s="1">
        <v>2014.0</v>
      </c>
      <c r="AK1657" s="1" t="s">
        <v>713</v>
      </c>
    </row>
    <row r="1658">
      <c r="A1658" s="1" t="s">
        <v>3157</v>
      </c>
      <c r="B1658" s="1" t="s">
        <v>3157</v>
      </c>
      <c r="C1658" s="1" t="s">
        <v>645</v>
      </c>
      <c r="E1658" s="1">
        <v>855545.0</v>
      </c>
      <c r="F1658" s="2">
        <v>41977.0</v>
      </c>
      <c r="G1658" s="1" t="s">
        <v>754</v>
      </c>
      <c r="I1658" s="1" t="s">
        <v>754</v>
      </c>
      <c r="L1658" s="1" t="s">
        <v>647</v>
      </c>
      <c r="M1658" s="1">
        <v>1200.0</v>
      </c>
      <c r="N1658" s="1" t="s">
        <v>647</v>
      </c>
      <c r="O1658" s="1">
        <v>7.6340843E7</v>
      </c>
      <c r="P1658" s="1" t="s">
        <v>461</v>
      </c>
      <c r="R1658" s="1" t="s">
        <v>1599</v>
      </c>
      <c r="S1658" s="1" t="s">
        <v>44</v>
      </c>
      <c r="T1658" s="1" t="s">
        <v>45</v>
      </c>
      <c r="U1658" s="1">
        <v>4.8202301E8</v>
      </c>
      <c r="W1658" s="1" t="s">
        <v>44</v>
      </c>
      <c r="X1658" s="1" t="s">
        <v>45</v>
      </c>
      <c r="Y1658" s="1">
        <v>4.82023096E8</v>
      </c>
      <c r="Z1658" s="1">
        <v>7.6340843E7</v>
      </c>
      <c r="AA1658" s="1" t="s">
        <v>461</v>
      </c>
      <c r="AB1658" s="1">
        <v>172587.95</v>
      </c>
      <c r="AC1658" s="2">
        <v>41977.0</v>
      </c>
      <c r="AD1658" s="1">
        <v>1200.0</v>
      </c>
      <c r="AE1658" s="1" t="s">
        <v>647</v>
      </c>
      <c r="AF1658" s="1" t="s">
        <v>3158</v>
      </c>
      <c r="AG1658" s="1" t="s">
        <v>712</v>
      </c>
      <c r="AH1658" s="1">
        <v>1.0</v>
      </c>
      <c r="AI1658" s="1">
        <v>2015.0</v>
      </c>
      <c r="AJ1658" s="1">
        <v>2015.0</v>
      </c>
      <c r="AK1658" s="1" t="s">
        <v>757</v>
      </c>
    </row>
    <row r="1659">
      <c r="A1659" s="1" t="s">
        <v>3048</v>
      </c>
      <c r="B1659" s="1" t="s">
        <v>3048</v>
      </c>
      <c r="C1659" s="1" t="s">
        <v>645</v>
      </c>
      <c r="E1659" s="1">
        <v>4.58254144E8</v>
      </c>
      <c r="F1659" s="2">
        <v>41550.0</v>
      </c>
      <c r="G1659" s="1" t="s">
        <v>710</v>
      </c>
      <c r="I1659" s="1" t="s">
        <v>710</v>
      </c>
      <c r="L1659" s="1" t="s">
        <v>647</v>
      </c>
      <c r="M1659" s="1">
        <v>1200.0</v>
      </c>
      <c r="N1659" s="1" t="s">
        <v>647</v>
      </c>
      <c r="O1659" s="1">
        <v>1.95837232E8</v>
      </c>
      <c r="P1659" s="1" t="s">
        <v>785</v>
      </c>
      <c r="Q1659" s="1" t="s">
        <v>786</v>
      </c>
      <c r="R1659" s="1" t="s">
        <v>787</v>
      </c>
      <c r="S1659" s="1" t="s">
        <v>44</v>
      </c>
      <c r="T1659" s="1" t="s">
        <v>45</v>
      </c>
      <c r="U1659" s="1">
        <v>4.82242358E8</v>
      </c>
      <c r="W1659" s="1" t="s">
        <v>44</v>
      </c>
      <c r="X1659" s="1" t="s">
        <v>45</v>
      </c>
      <c r="Y1659" s="1">
        <v>4.82152667E8</v>
      </c>
      <c r="Z1659" s="1">
        <v>1.95837232E8</v>
      </c>
      <c r="AA1659" s="1" t="s">
        <v>785</v>
      </c>
      <c r="AB1659" s="1">
        <v>38392.58</v>
      </c>
      <c r="AC1659" s="2">
        <v>41550.0</v>
      </c>
      <c r="AD1659" s="1">
        <v>1200.0</v>
      </c>
      <c r="AE1659" s="1" t="s">
        <v>647</v>
      </c>
      <c r="AF1659" s="1" t="s">
        <v>3159</v>
      </c>
      <c r="AG1659" s="1" t="s">
        <v>712</v>
      </c>
      <c r="AH1659" s="1">
        <v>1.0</v>
      </c>
      <c r="AI1659" s="1">
        <v>2015.0</v>
      </c>
      <c r="AJ1659" s="1">
        <v>2014.0</v>
      </c>
      <c r="AK1659" s="1" t="s">
        <v>713</v>
      </c>
    </row>
    <row r="1660">
      <c r="A1660" s="1" t="s">
        <v>2995</v>
      </c>
      <c r="B1660" s="1" t="s">
        <v>2995</v>
      </c>
      <c r="C1660" s="1" t="s">
        <v>194</v>
      </c>
      <c r="E1660" s="1">
        <v>5.11731456E8</v>
      </c>
      <c r="F1660" s="2">
        <v>41691.0</v>
      </c>
      <c r="G1660" s="1" t="s">
        <v>1168</v>
      </c>
      <c r="I1660" s="1" t="s">
        <v>1168</v>
      </c>
      <c r="L1660" s="1" t="s">
        <v>194</v>
      </c>
      <c r="M1660" s="1">
        <v>9100.0</v>
      </c>
      <c r="N1660" s="1" t="s">
        <v>194</v>
      </c>
      <c r="O1660" s="1">
        <v>7.3832607E7</v>
      </c>
      <c r="P1660" s="1" t="s">
        <v>482</v>
      </c>
      <c r="R1660" s="1" t="s">
        <v>483</v>
      </c>
      <c r="S1660" s="1" t="s">
        <v>44</v>
      </c>
      <c r="T1660" s="1" t="s">
        <v>45</v>
      </c>
      <c r="U1660" s="1">
        <v>4.82074288E8</v>
      </c>
      <c r="W1660" s="1" t="s">
        <v>44</v>
      </c>
      <c r="X1660" s="1" t="s">
        <v>45</v>
      </c>
      <c r="Y1660" s="1">
        <v>4.82074288E8</v>
      </c>
      <c r="AB1660" s="1">
        <v>1139003.0</v>
      </c>
      <c r="AC1660" s="2">
        <v>41691.0</v>
      </c>
      <c r="AD1660" s="1">
        <v>9100.0</v>
      </c>
      <c r="AE1660" s="1" t="s">
        <v>194</v>
      </c>
      <c r="AF1660" s="1" t="s">
        <v>3160</v>
      </c>
      <c r="AG1660" s="1" t="s">
        <v>1170</v>
      </c>
      <c r="AH1660" s="1">
        <v>1.0</v>
      </c>
      <c r="AI1660" s="1">
        <v>2015.0</v>
      </c>
      <c r="AJ1660" s="1">
        <v>2014.0</v>
      </c>
      <c r="AK1660" s="1" t="s">
        <v>1171</v>
      </c>
    </row>
    <row r="1661">
      <c r="A1661" s="1" t="s">
        <v>2995</v>
      </c>
      <c r="B1661" s="1" t="s">
        <v>2995</v>
      </c>
      <c r="C1661" s="1" t="s">
        <v>194</v>
      </c>
      <c r="E1661" s="1">
        <v>5.11731456E8</v>
      </c>
      <c r="F1661" s="2">
        <v>41739.0</v>
      </c>
      <c r="G1661" s="1" t="s">
        <v>1168</v>
      </c>
      <c r="I1661" s="1" t="s">
        <v>1168</v>
      </c>
      <c r="L1661" s="1" t="s">
        <v>194</v>
      </c>
      <c r="M1661" s="1">
        <v>9100.0</v>
      </c>
      <c r="N1661" s="1" t="s">
        <v>194</v>
      </c>
      <c r="O1661" s="1">
        <v>8.29630537E8</v>
      </c>
      <c r="P1661" s="1" t="s">
        <v>531</v>
      </c>
      <c r="Q1661" s="1" t="s">
        <v>532</v>
      </c>
      <c r="R1661" s="1" t="s">
        <v>533</v>
      </c>
      <c r="S1661" s="1" t="s">
        <v>44</v>
      </c>
      <c r="T1661" s="1" t="s">
        <v>45</v>
      </c>
      <c r="U1661" s="1">
        <v>4.8219181E8</v>
      </c>
      <c r="W1661" s="1" t="s">
        <v>44</v>
      </c>
      <c r="X1661" s="1" t="s">
        <v>45</v>
      </c>
      <c r="Y1661" s="1">
        <v>4.8219181E8</v>
      </c>
      <c r="AB1661" s="1">
        <v>645355.0</v>
      </c>
      <c r="AC1661" s="2">
        <v>41739.0</v>
      </c>
      <c r="AD1661" s="1">
        <v>9100.0</v>
      </c>
      <c r="AE1661" s="1" t="s">
        <v>194</v>
      </c>
      <c r="AF1661" s="1" t="s">
        <v>3161</v>
      </c>
      <c r="AG1661" s="1" t="s">
        <v>1170</v>
      </c>
      <c r="AH1661" s="1">
        <v>1.0</v>
      </c>
      <c r="AI1661" s="1">
        <v>2015.0</v>
      </c>
      <c r="AJ1661" s="1">
        <v>2014.0</v>
      </c>
      <c r="AK1661" s="1" t="s">
        <v>1171</v>
      </c>
    </row>
    <row r="1662">
      <c r="A1662" s="1" t="s">
        <v>3048</v>
      </c>
      <c r="B1662" s="1" t="s">
        <v>3048</v>
      </c>
      <c r="C1662" s="1" t="s">
        <v>645</v>
      </c>
      <c r="E1662" s="1">
        <v>4.58254144E8</v>
      </c>
      <c r="F1662" s="2">
        <v>41571.0</v>
      </c>
      <c r="G1662" s="1" t="s">
        <v>710</v>
      </c>
      <c r="I1662" s="1" t="s">
        <v>710</v>
      </c>
      <c r="L1662" s="1" t="s">
        <v>647</v>
      </c>
      <c r="M1662" s="1">
        <v>1200.0</v>
      </c>
      <c r="N1662" s="1" t="s">
        <v>647</v>
      </c>
      <c r="O1662" s="1">
        <v>9.62104118E8</v>
      </c>
      <c r="P1662" s="1" t="s">
        <v>634</v>
      </c>
      <c r="R1662" s="1" t="s">
        <v>635</v>
      </c>
      <c r="S1662" s="1" t="s">
        <v>44</v>
      </c>
      <c r="T1662" s="1" t="s">
        <v>45</v>
      </c>
      <c r="U1662" s="1">
        <v>4.82351111E8</v>
      </c>
      <c r="W1662" s="1" t="s">
        <v>46</v>
      </c>
      <c r="X1662" s="1" t="s">
        <v>45</v>
      </c>
      <c r="Y1662" s="1">
        <v>4.82351111E8</v>
      </c>
      <c r="AB1662" s="1">
        <v>140301.47</v>
      </c>
      <c r="AC1662" s="2">
        <v>41571.0</v>
      </c>
      <c r="AD1662" s="1">
        <v>1200.0</v>
      </c>
      <c r="AE1662" s="1" t="s">
        <v>647</v>
      </c>
      <c r="AF1662" s="1" t="s">
        <v>3162</v>
      </c>
      <c r="AG1662" s="1" t="s">
        <v>712</v>
      </c>
      <c r="AH1662" s="1">
        <v>1.0</v>
      </c>
      <c r="AI1662" s="1">
        <v>2015.0</v>
      </c>
      <c r="AJ1662" s="1">
        <v>2014.0</v>
      </c>
      <c r="AK1662" s="1" t="s">
        <v>713</v>
      </c>
    </row>
    <row r="1663">
      <c r="A1663" s="1" t="s">
        <v>3048</v>
      </c>
      <c r="B1663" s="1" t="s">
        <v>3048</v>
      </c>
      <c r="C1663" s="1" t="s">
        <v>645</v>
      </c>
      <c r="E1663" s="1">
        <v>4.58254144E8</v>
      </c>
      <c r="F1663" s="2">
        <v>41585.0</v>
      </c>
      <c r="G1663" s="1" t="s">
        <v>710</v>
      </c>
      <c r="I1663" s="1" t="s">
        <v>710</v>
      </c>
      <c r="L1663" s="1" t="s">
        <v>647</v>
      </c>
      <c r="M1663" s="1">
        <v>1200.0</v>
      </c>
      <c r="N1663" s="1" t="s">
        <v>647</v>
      </c>
      <c r="O1663" s="1">
        <v>8.76992343E8</v>
      </c>
      <c r="P1663" s="1" t="s">
        <v>550</v>
      </c>
      <c r="R1663" s="1" t="s">
        <v>551</v>
      </c>
      <c r="S1663" s="1" t="s">
        <v>44</v>
      </c>
      <c r="T1663" s="1" t="s">
        <v>45</v>
      </c>
      <c r="U1663" s="1">
        <v>4.82102451E8</v>
      </c>
      <c r="W1663" s="1" t="s">
        <v>44</v>
      </c>
      <c r="X1663" s="1" t="s">
        <v>45</v>
      </c>
      <c r="Y1663" s="1">
        <v>4.82102451E8</v>
      </c>
      <c r="AB1663" s="1">
        <v>32901.89</v>
      </c>
      <c r="AC1663" s="2">
        <v>41585.0</v>
      </c>
      <c r="AD1663" s="1">
        <v>1200.0</v>
      </c>
      <c r="AE1663" s="1" t="s">
        <v>647</v>
      </c>
      <c r="AF1663" s="1" t="s">
        <v>3163</v>
      </c>
      <c r="AG1663" s="1" t="s">
        <v>712</v>
      </c>
      <c r="AH1663" s="1">
        <v>1.0</v>
      </c>
      <c r="AI1663" s="1">
        <v>2015.0</v>
      </c>
      <c r="AJ1663" s="1">
        <v>2014.0</v>
      </c>
      <c r="AK1663" s="1" t="s">
        <v>713</v>
      </c>
    </row>
    <row r="1664">
      <c r="A1664" s="1" t="s">
        <v>3048</v>
      </c>
      <c r="B1664" s="1" t="s">
        <v>3048</v>
      </c>
      <c r="C1664" s="1" t="s">
        <v>645</v>
      </c>
      <c r="E1664" s="1">
        <v>4.58254144E8</v>
      </c>
      <c r="F1664" s="2">
        <v>41564.0</v>
      </c>
      <c r="G1664" s="1" t="s">
        <v>710</v>
      </c>
      <c r="I1664" s="1" t="s">
        <v>710</v>
      </c>
      <c r="L1664" s="1" t="s">
        <v>647</v>
      </c>
      <c r="M1664" s="1">
        <v>1200.0</v>
      </c>
      <c r="N1664" s="1" t="s">
        <v>647</v>
      </c>
      <c r="O1664" s="1">
        <v>9.62949843E8</v>
      </c>
      <c r="P1664" s="1" t="s">
        <v>619</v>
      </c>
      <c r="R1664" s="1" t="s">
        <v>620</v>
      </c>
      <c r="S1664" s="1" t="s">
        <v>44</v>
      </c>
      <c r="T1664" s="1" t="s">
        <v>45</v>
      </c>
      <c r="U1664" s="1">
        <v>4.82042306E8</v>
      </c>
      <c r="W1664" s="1" t="s">
        <v>44</v>
      </c>
      <c r="X1664" s="1" t="s">
        <v>45</v>
      </c>
      <c r="Y1664" s="1">
        <v>4.82042306E8</v>
      </c>
      <c r="AB1664" s="1">
        <v>355661.39</v>
      </c>
      <c r="AC1664" s="2">
        <v>41564.0</v>
      </c>
      <c r="AD1664" s="1">
        <v>1200.0</v>
      </c>
      <c r="AE1664" s="1" t="s">
        <v>647</v>
      </c>
      <c r="AF1664" s="1" t="s">
        <v>3164</v>
      </c>
      <c r="AG1664" s="1" t="s">
        <v>712</v>
      </c>
      <c r="AH1664" s="1">
        <v>1.0</v>
      </c>
      <c r="AI1664" s="1">
        <v>2015.0</v>
      </c>
      <c r="AJ1664" s="1">
        <v>2014.0</v>
      </c>
      <c r="AK1664" s="1" t="s">
        <v>713</v>
      </c>
    </row>
    <row r="1665">
      <c r="A1665" s="1" t="s">
        <v>3048</v>
      </c>
      <c r="B1665" s="1" t="s">
        <v>3048</v>
      </c>
      <c r="C1665" s="1" t="s">
        <v>645</v>
      </c>
      <c r="E1665" s="1">
        <v>4.58254144E8</v>
      </c>
      <c r="F1665" s="2">
        <v>41473.0</v>
      </c>
      <c r="G1665" s="1" t="s">
        <v>710</v>
      </c>
      <c r="I1665" s="1" t="s">
        <v>710</v>
      </c>
      <c r="L1665" s="1" t="s">
        <v>647</v>
      </c>
      <c r="M1665" s="1">
        <v>1200.0</v>
      </c>
      <c r="N1665" s="1" t="s">
        <v>647</v>
      </c>
      <c r="O1665" s="1">
        <v>7.94990296E8</v>
      </c>
      <c r="P1665" s="1" t="s">
        <v>601</v>
      </c>
      <c r="R1665" s="1" t="s">
        <v>602</v>
      </c>
      <c r="S1665" s="1" t="s">
        <v>44</v>
      </c>
      <c r="T1665" s="1" t="s">
        <v>45</v>
      </c>
      <c r="U1665" s="1">
        <v>4.82032827E8</v>
      </c>
      <c r="W1665" s="1" t="s">
        <v>603</v>
      </c>
      <c r="X1665" s="1" t="s">
        <v>45</v>
      </c>
      <c r="Y1665" s="1">
        <v>4.82032827E8</v>
      </c>
      <c r="AB1665" s="1">
        <v>48986.63</v>
      </c>
      <c r="AC1665" s="2">
        <v>41473.0</v>
      </c>
      <c r="AD1665" s="1">
        <v>1200.0</v>
      </c>
      <c r="AE1665" s="1" t="s">
        <v>647</v>
      </c>
      <c r="AF1665" s="1" t="s">
        <v>3165</v>
      </c>
      <c r="AG1665" s="1" t="s">
        <v>712</v>
      </c>
      <c r="AH1665" s="1">
        <v>1.0</v>
      </c>
      <c r="AI1665" s="1">
        <v>2015.0</v>
      </c>
      <c r="AJ1665" s="1">
        <v>2013.0</v>
      </c>
      <c r="AK1665" s="1" t="s">
        <v>713</v>
      </c>
    </row>
    <row r="1666">
      <c r="A1666" s="1" t="s">
        <v>3048</v>
      </c>
      <c r="B1666" s="1" t="s">
        <v>3048</v>
      </c>
      <c r="C1666" s="1" t="s">
        <v>645</v>
      </c>
      <c r="E1666" s="1">
        <v>4.58254144E8</v>
      </c>
      <c r="F1666" s="2">
        <v>41557.0</v>
      </c>
      <c r="G1666" s="1" t="s">
        <v>710</v>
      </c>
      <c r="I1666" s="1" t="s">
        <v>710</v>
      </c>
      <c r="L1666" s="1" t="s">
        <v>647</v>
      </c>
      <c r="M1666" s="1">
        <v>1200.0</v>
      </c>
      <c r="N1666" s="1" t="s">
        <v>647</v>
      </c>
      <c r="O1666" s="1">
        <v>8.0463354E7</v>
      </c>
      <c r="P1666" s="1" t="s">
        <v>518</v>
      </c>
      <c r="R1666" s="1" t="s">
        <v>519</v>
      </c>
      <c r="S1666" s="1" t="s">
        <v>44</v>
      </c>
      <c r="T1666" s="1" t="s">
        <v>45</v>
      </c>
      <c r="U1666" s="1">
        <v>4.82102105E8</v>
      </c>
      <c r="W1666" s="1" t="s">
        <v>44</v>
      </c>
      <c r="X1666" s="1" t="s">
        <v>45</v>
      </c>
      <c r="Y1666" s="1">
        <v>4.82102105E8</v>
      </c>
      <c r="Z1666" s="1">
        <v>8.0463354E7</v>
      </c>
      <c r="AA1666" s="1" t="s">
        <v>518</v>
      </c>
      <c r="AB1666" s="1">
        <v>220714.67</v>
      </c>
      <c r="AC1666" s="2">
        <v>41557.0</v>
      </c>
      <c r="AD1666" s="1">
        <v>1200.0</v>
      </c>
      <c r="AE1666" s="1" t="s">
        <v>647</v>
      </c>
      <c r="AF1666" s="1" t="s">
        <v>3166</v>
      </c>
      <c r="AG1666" s="1" t="s">
        <v>712</v>
      </c>
      <c r="AH1666" s="1">
        <v>1.0</v>
      </c>
      <c r="AI1666" s="1">
        <v>2015.0</v>
      </c>
      <c r="AJ1666" s="1">
        <v>2014.0</v>
      </c>
      <c r="AK1666" s="1" t="s">
        <v>713</v>
      </c>
    </row>
    <row r="1667">
      <c r="A1667" s="1" t="s">
        <v>3048</v>
      </c>
      <c r="B1667" s="1" t="s">
        <v>3048</v>
      </c>
      <c r="C1667" s="1" t="s">
        <v>645</v>
      </c>
      <c r="E1667" s="1">
        <v>4.58254144E8</v>
      </c>
      <c r="F1667" s="2">
        <v>41550.0</v>
      </c>
      <c r="G1667" s="1" t="s">
        <v>710</v>
      </c>
      <c r="I1667" s="1" t="s">
        <v>710</v>
      </c>
      <c r="L1667" s="1" t="s">
        <v>647</v>
      </c>
      <c r="M1667" s="1">
        <v>1200.0</v>
      </c>
      <c r="N1667" s="1" t="s">
        <v>647</v>
      </c>
      <c r="O1667" s="1">
        <v>2.5773859E7</v>
      </c>
      <c r="P1667" s="1" t="s">
        <v>872</v>
      </c>
      <c r="R1667" s="1" t="s">
        <v>873</v>
      </c>
      <c r="S1667" s="1" t="s">
        <v>44</v>
      </c>
      <c r="T1667" s="1" t="s">
        <v>45</v>
      </c>
      <c r="U1667" s="1">
        <v>4.82042042E8</v>
      </c>
      <c r="W1667" s="1" t="s">
        <v>44</v>
      </c>
      <c r="X1667" s="1" t="s">
        <v>45</v>
      </c>
      <c r="Y1667" s="1">
        <v>4.82042042E8</v>
      </c>
      <c r="AB1667" s="1">
        <v>315244.3</v>
      </c>
      <c r="AC1667" s="2">
        <v>41550.0</v>
      </c>
      <c r="AD1667" s="1">
        <v>1200.0</v>
      </c>
      <c r="AE1667" s="1" t="s">
        <v>647</v>
      </c>
      <c r="AF1667" s="1" t="s">
        <v>3167</v>
      </c>
      <c r="AG1667" s="1" t="s">
        <v>712</v>
      </c>
      <c r="AH1667" s="1">
        <v>1.0</v>
      </c>
      <c r="AI1667" s="1">
        <v>2015.0</v>
      </c>
      <c r="AJ1667" s="1">
        <v>2014.0</v>
      </c>
      <c r="AK1667" s="1" t="s">
        <v>713</v>
      </c>
    </row>
    <row r="1668">
      <c r="A1668" s="1" t="s">
        <v>2995</v>
      </c>
      <c r="B1668" s="1" t="s">
        <v>2995</v>
      </c>
      <c r="C1668" s="1" t="s">
        <v>194</v>
      </c>
      <c r="E1668" s="1">
        <v>5.11731456E8</v>
      </c>
      <c r="F1668" s="2">
        <v>41684.0</v>
      </c>
      <c r="G1668" s="1" t="s">
        <v>1168</v>
      </c>
      <c r="I1668" s="1" t="s">
        <v>1168</v>
      </c>
      <c r="L1668" s="1" t="s">
        <v>194</v>
      </c>
      <c r="M1668" s="1">
        <v>9100.0</v>
      </c>
      <c r="N1668" s="1" t="s">
        <v>194</v>
      </c>
      <c r="O1668" s="1">
        <v>8.31014068E8</v>
      </c>
      <c r="P1668" s="1" t="s">
        <v>515</v>
      </c>
      <c r="R1668" s="1" t="s">
        <v>516</v>
      </c>
      <c r="S1668" s="1" t="s">
        <v>44</v>
      </c>
      <c r="T1668" s="1" t="s">
        <v>45</v>
      </c>
      <c r="U1668" s="1">
        <v>4.82283685E8</v>
      </c>
      <c r="W1668" s="1" t="s">
        <v>46</v>
      </c>
      <c r="X1668" s="1" t="s">
        <v>45</v>
      </c>
      <c r="Y1668" s="1">
        <v>4.82283685E8</v>
      </c>
      <c r="Z1668" s="1">
        <v>9.60742484E8</v>
      </c>
      <c r="AB1668" s="1">
        <v>543718.0</v>
      </c>
      <c r="AC1668" s="2">
        <v>41684.0</v>
      </c>
      <c r="AD1668" s="1">
        <v>9100.0</v>
      </c>
      <c r="AE1668" s="1" t="s">
        <v>194</v>
      </c>
      <c r="AF1668" s="1" t="s">
        <v>3168</v>
      </c>
      <c r="AG1668" s="1" t="s">
        <v>1170</v>
      </c>
      <c r="AH1668" s="1">
        <v>1.0</v>
      </c>
      <c r="AI1668" s="1">
        <v>2015.0</v>
      </c>
      <c r="AJ1668" s="1">
        <v>2014.0</v>
      </c>
      <c r="AK1668" s="1" t="s">
        <v>1171</v>
      </c>
    </row>
    <row r="1669">
      <c r="A1669" s="1" t="s">
        <v>3048</v>
      </c>
      <c r="B1669" s="1" t="s">
        <v>3048</v>
      </c>
      <c r="C1669" s="1" t="s">
        <v>645</v>
      </c>
      <c r="E1669" s="1">
        <v>4.58254144E8</v>
      </c>
      <c r="F1669" s="2">
        <v>41557.0</v>
      </c>
      <c r="G1669" s="1" t="s">
        <v>710</v>
      </c>
      <c r="I1669" s="1" t="s">
        <v>710</v>
      </c>
      <c r="L1669" s="1" t="s">
        <v>647</v>
      </c>
      <c r="M1669" s="1">
        <v>1200.0</v>
      </c>
      <c r="N1669" s="1" t="s">
        <v>647</v>
      </c>
      <c r="O1669" s="1">
        <v>7.93697355E8</v>
      </c>
      <c r="P1669" s="1" t="s">
        <v>691</v>
      </c>
      <c r="Q1669" s="1" t="s">
        <v>1194</v>
      </c>
      <c r="R1669" s="1" t="s">
        <v>692</v>
      </c>
      <c r="S1669" s="1" t="s">
        <v>44</v>
      </c>
      <c r="T1669" s="1" t="s">
        <v>45</v>
      </c>
      <c r="U1669" s="1">
        <v>4.82111554E8</v>
      </c>
      <c r="W1669" s="1" t="s">
        <v>44</v>
      </c>
      <c r="X1669" s="1" t="s">
        <v>45</v>
      </c>
      <c r="Y1669" s="1">
        <v>4.82111552E8</v>
      </c>
      <c r="AB1669" s="1">
        <v>307774.79</v>
      </c>
      <c r="AC1669" s="2">
        <v>41557.0</v>
      </c>
      <c r="AD1669" s="1">
        <v>1200.0</v>
      </c>
      <c r="AE1669" s="1" t="s">
        <v>647</v>
      </c>
      <c r="AF1669" s="1" t="s">
        <v>3169</v>
      </c>
      <c r="AG1669" s="1" t="s">
        <v>712</v>
      </c>
      <c r="AH1669" s="1">
        <v>1.0</v>
      </c>
      <c r="AI1669" s="1">
        <v>2015.0</v>
      </c>
      <c r="AJ1669" s="1">
        <v>2014.0</v>
      </c>
      <c r="AK1669" s="1" t="s">
        <v>713</v>
      </c>
    </row>
    <row r="1670">
      <c r="A1670" s="1" t="s">
        <v>2995</v>
      </c>
      <c r="B1670" s="1" t="s">
        <v>2995</v>
      </c>
      <c r="C1670" s="1" t="s">
        <v>194</v>
      </c>
      <c r="E1670" s="1">
        <v>5.11731456E8</v>
      </c>
      <c r="F1670" s="2">
        <v>41682.0</v>
      </c>
      <c r="G1670" s="1" t="s">
        <v>1168</v>
      </c>
      <c r="I1670" s="1" t="s">
        <v>1168</v>
      </c>
      <c r="L1670" s="1" t="s">
        <v>194</v>
      </c>
      <c r="M1670" s="1">
        <v>9100.0</v>
      </c>
      <c r="N1670" s="1" t="s">
        <v>194</v>
      </c>
      <c r="O1670" s="1">
        <v>8.29503312E8</v>
      </c>
      <c r="P1670" s="1" t="s">
        <v>622</v>
      </c>
      <c r="R1670" s="1" t="s">
        <v>623</v>
      </c>
      <c r="S1670" s="1" t="s">
        <v>44</v>
      </c>
      <c r="T1670" s="1" t="s">
        <v>45</v>
      </c>
      <c r="U1670" s="1">
        <v>4.82035715E8</v>
      </c>
      <c r="W1670" s="1" t="s">
        <v>603</v>
      </c>
      <c r="X1670" s="1" t="s">
        <v>45</v>
      </c>
      <c r="Y1670" s="1">
        <v>4.82035715E8</v>
      </c>
      <c r="AB1670" s="1">
        <v>466890.0</v>
      </c>
      <c r="AC1670" s="2">
        <v>41682.0</v>
      </c>
      <c r="AD1670" s="1">
        <v>9100.0</v>
      </c>
      <c r="AE1670" s="1" t="s">
        <v>194</v>
      </c>
      <c r="AF1670" s="1" t="s">
        <v>3170</v>
      </c>
      <c r="AG1670" s="1" t="s">
        <v>1170</v>
      </c>
      <c r="AH1670" s="1">
        <v>1.0</v>
      </c>
      <c r="AI1670" s="1">
        <v>2015.0</v>
      </c>
      <c r="AJ1670" s="1">
        <v>2014.0</v>
      </c>
      <c r="AK1670" s="1" t="s">
        <v>1171</v>
      </c>
    </row>
    <row r="1671">
      <c r="A1671" s="1" t="s">
        <v>3048</v>
      </c>
      <c r="B1671" s="1" t="s">
        <v>3048</v>
      </c>
      <c r="C1671" s="1" t="s">
        <v>645</v>
      </c>
      <c r="E1671" s="1">
        <v>4.58254144E8</v>
      </c>
      <c r="F1671" s="2">
        <v>41578.0</v>
      </c>
      <c r="G1671" s="1" t="s">
        <v>710</v>
      </c>
      <c r="I1671" s="1" t="s">
        <v>710</v>
      </c>
      <c r="L1671" s="1" t="s">
        <v>647</v>
      </c>
      <c r="M1671" s="1">
        <v>1200.0</v>
      </c>
      <c r="N1671" s="1" t="s">
        <v>647</v>
      </c>
      <c r="O1671" s="1">
        <v>7.97531279E8</v>
      </c>
      <c r="P1671" s="1" t="s">
        <v>496</v>
      </c>
      <c r="R1671" s="1" t="s">
        <v>497</v>
      </c>
      <c r="S1671" s="1" t="s">
        <v>44</v>
      </c>
      <c r="T1671" s="1" t="s">
        <v>45</v>
      </c>
      <c r="U1671" s="1">
        <v>4.82123323E8</v>
      </c>
      <c r="W1671" s="1" t="s">
        <v>498</v>
      </c>
      <c r="X1671" s="1" t="s">
        <v>45</v>
      </c>
      <c r="Y1671" s="1">
        <v>4.82123323E8</v>
      </c>
      <c r="AB1671" s="1">
        <v>103969.88</v>
      </c>
      <c r="AC1671" s="2">
        <v>41578.0</v>
      </c>
      <c r="AD1671" s="1">
        <v>1200.0</v>
      </c>
      <c r="AE1671" s="1" t="s">
        <v>647</v>
      </c>
      <c r="AF1671" s="1" t="s">
        <v>3171</v>
      </c>
      <c r="AG1671" s="1" t="s">
        <v>712</v>
      </c>
      <c r="AH1671" s="1">
        <v>1.0</v>
      </c>
      <c r="AI1671" s="1">
        <v>2015.0</v>
      </c>
      <c r="AJ1671" s="1">
        <v>2014.0</v>
      </c>
      <c r="AK1671" s="1" t="s">
        <v>713</v>
      </c>
    </row>
    <row r="1672">
      <c r="A1672" s="1" t="s">
        <v>2995</v>
      </c>
      <c r="B1672" s="1" t="s">
        <v>2995</v>
      </c>
      <c r="C1672" s="1" t="s">
        <v>194</v>
      </c>
      <c r="E1672" s="1">
        <v>5.11731456E8</v>
      </c>
      <c r="F1672" s="2">
        <v>41739.0</v>
      </c>
      <c r="G1672" s="1" t="s">
        <v>1168</v>
      </c>
      <c r="I1672" s="1" t="s">
        <v>1168</v>
      </c>
      <c r="L1672" s="1" t="s">
        <v>194</v>
      </c>
      <c r="M1672" s="1">
        <v>9100.0</v>
      </c>
      <c r="N1672" s="1" t="s">
        <v>194</v>
      </c>
      <c r="O1672" s="1">
        <v>7.8577051E7</v>
      </c>
      <c r="P1672" s="1" t="s">
        <v>1680</v>
      </c>
      <c r="R1672" s="1" t="s">
        <v>1681</v>
      </c>
      <c r="S1672" s="1" t="s">
        <v>44</v>
      </c>
      <c r="T1672" s="1" t="s">
        <v>45</v>
      </c>
      <c r="U1672" s="1">
        <v>4.82211457E8</v>
      </c>
      <c r="W1672" s="1" t="s">
        <v>46</v>
      </c>
      <c r="X1672" s="1" t="s">
        <v>45</v>
      </c>
      <c r="Y1672" s="1">
        <v>4.82211457E8</v>
      </c>
      <c r="AB1672" s="1">
        <v>516048.0</v>
      </c>
      <c r="AC1672" s="2">
        <v>41739.0</v>
      </c>
      <c r="AD1672" s="1">
        <v>9100.0</v>
      </c>
      <c r="AE1672" s="1" t="s">
        <v>194</v>
      </c>
      <c r="AF1672" s="1" t="s">
        <v>3172</v>
      </c>
      <c r="AG1672" s="1" t="s">
        <v>3000</v>
      </c>
      <c r="AH1672" s="1">
        <v>1.0</v>
      </c>
      <c r="AI1672" s="1">
        <v>2015.0</v>
      </c>
      <c r="AJ1672" s="1">
        <v>2014.0</v>
      </c>
      <c r="AK1672" s="1" t="s">
        <v>1171</v>
      </c>
    </row>
    <row r="1673">
      <c r="A1673" s="1" t="s">
        <v>3048</v>
      </c>
      <c r="B1673" s="1" t="s">
        <v>3048</v>
      </c>
      <c r="C1673" s="1" t="s">
        <v>645</v>
      </c>
      <c r="E1673" s="1">
        <v>4.58254144E8</v>
      </c>
      <c r="F1673" s="2">
        <v>41557.0</v>
      </c>
      <c r="G1673" s="1" t="s">
        <v>710</v>
      </c>
      <c r="I1673" s="1" t="s">
        <v>710</v>
      </c>
      <c r="L1673" s="1" t="s">
        <v>647</v>
      </c>
      <c r="M1673" s="1">
        <v>1200.0</v>
      </c>
      <c r="N1673" s="1" t="s">
        <v>647</v>
      </c>
      <c r="O1673" s="1">
        <v>1.68568132E8</v>
      </c>
      <c r="P1673" s="1" t="s">
        <v>588</v>
      </c>
      <c r="R1673" s="1" t="s">
        <v>589</v>
      </c>
      <c r="S1673" s="1" t="s">
        <v>44</v>
      </c>
      <c r="T1673" s="1" t="s">
        <v>45</v>
      </c>
      <c r="U1673" s="1">
        <v>4.82143323E8</v>
      </c>
      <c r="W1673" s="1" t="s">
        <v>44</v>
      </c>
      <c r="X1673" s="1" t="s">
        <v>45</v>
      </c>
      <c r="Y1673" s="1">
        <v>4.82143323E8</v>
      </c>
      <c r="Z1673" s="1">
        <v>9.60742484E8</v>
      </c>
      <c r="AB1673" s="1">
        <v>27951.49</v>
      </c>
      <c r="AC1673" s="2">
        <v>41557.0</v>
      </c>
      <c r="AD1673" s="1">
        <v>1200.0</v>
      </c>
      <c r="AE1673" s="1" t="s">
        <v>647</v>
      </c>
      <c r="AF1673" s="1" t="s">
        <v>3173</v>
      </c>
      <c r="AG1673" s="1" t="s">
        <v>712</v>
      </c>
      <c r="AH1673" s="1">
        <v>1.0</v>
      </c>
      <c r="AI1673" s="1">
        <v>2015.0</v>
      </c>
      <c r="AJ1673" s="1">
        <v>2014.0</v>
      </c>
      <c r="AK1673" s="1" t="s">
        <v>713</v>
      </c>
    </row>
    <row r="1674">
      <c r="A1674" s="1" t="s">
        <v>2995</v>
      </c>
      <c r="B1674" s="1" t="s">
        <v>2995</v>
      </c>
      <c r="C1674" s="1" t="s">
        <v>194</v>
      </c>
      <c r="E1674" s="1">
        <v>5.11731456E8</v>
      </c>
      <c r="F1674" s="2">
        <v>41682.0</v>
      </c>
      <c r="G1674" s="1" t="s">
        <v>1168</v>
      </c>
      <c r="I1674" s="1" t="s">
        <v>1168</v>
      </c>
      <c r="L1674" s="1" t="s">
        <v>194</v>
      </c>
      <c r="M1674" s="1">
        <v>9100.0</v>
      </c>
      <c r="N1674" s="1" t="s">
        <v>194</v>
      </c>
      <c r="O1674" s="1">
        <v>8.30792151E8</v>
      </c>
      <c r="P1674" s="1" t="s">
        <v>594</v>
      </c>
      <c r="R1674" s="1" t="s">
        <v>596</v>
      </c>
      <c r="S1674" s="1" t="s">
        <v>44</v>
      </c>
      <c r="T1674" s="1" t="s">
        <v>45</v>
      </c>
      <c r="U1674" s="1">
        <v>4.82382356E8</v>
      </c>
      <c r="W1674" s="1" t="s">
        <v>44</v>
      </c>
      <c r="X1674" s="1" t="s">
        <v>45</v>
      </c>
      <c r="Y1674" s="1">
        <v>4.82382356E8</v>
      </c>
      <c r="Z1674" s="1">
        <v>9.60742484E8</v>
      </c>
      <c r="AB1674" s="1">
        <v>549571.0</v>
      </c>
      <c r="AC1674" s="2">
        <v>41682.0</v>
      </c>
      <c r="AD1674" s="1">
        <v>9100.0</v>
      </c>
      <c r="AE1674" s="1" t="s">
        <v>194</v>
      </c>
      <c r="AF1674" s="1" t="s">
        <v>3174</v>
      </c>
      <c r="AG1674" s="1" t="s">
        <v>1170</v>
      </c>
      <c r="AH1674" s="1">
        <v>1.0</v>
      </c>
      <c r="AI1674" s="1">
        <v>2015.0</v>
      </c>
      <c r="AJ1674" s="1">
        <v>2014.0</v>
      </c>
      <c r="AK1674" s="1" t="s">
        <v>1171</v>
      </c>
    </row>
    <row r="1675">
      <c r="A1675" s="1" t="s">
        <v>3048</v>
      </c>
      <c r="B1675" s="1" t="s">
        <v>3048</v>
      </c>
      <c r="C1675" s="1" t="s">
        <v>645</v>
      </c>
      <c r="E1675" s="1">
        <v>4.58254144E8</v>
      </c>
      <c r="F1675" s="2">
        <v>41620.0</v>
      </c>
      <c r="G1675" s="1" t="s">
        <v>710</v>
      </c>
      <c r="I1675" s="1" t="s">
        <v>710</v>
      </c>
      <c r="L1675" s="1" t="s">
        <v>647</v>
      </c>
      <c r="M1675" s="1">
        <v>1200.0</v>
      </c>
      <c r="N1675" s="1" t="s">
        <v>647</v>
      </c>
      <c r="O1675" s="1">
        <v>3.0098093E7</v>
      </c>
      <c r="P1675" s="1" t="s">
        <v>816</v>
      </c>
      <c r="R1675" s="1" t="s">
        <v>817</v>
      </c>
      <c r="S1675" s="1" t="s">
        <v>44</v>
      </c>
      <c r="T1675" s="1" t="s">
        <v>45</v>
      </c>
      <c r="U1675" s="1">
        <v>4.82243226E8</v>
      </c>
      <c r="W1675" s="1" t="s">
        <v>44</v>
      </c>
      <c r="X1675" s="1" t="s">
        <v>45</v>
      </c>
      <c r="Y1675" s="1">
        <v>4.82243226E8</v>
      </c>
      <c r="AB1675" s="1">
        <v>51948.82</v>
      </c>
      <c r="AC1675" s="2">
        <v>41620.0</v>
      </c>
      <c r="AD1675" s="1">
        <v>1200.0</v>
      </c>
      <c r="AE1675" s="1" t="s">
        <v>647</v>
      </c>
      <c r="AF1675" s="1" t="s">
        <v>3175</v>
      </c>
      <c r="AG1675" s="1" t="s">
        <v>712</v>
      </c>
      <c r="AH1675" s="1">
        <v>1.0</v>
      </c>
      <c r="AI1675" s="1">
        <v>2015.0</v>
      </c>
      <c r="AJ1675" s="1">
        <v>2014.0</v>
      </c>
      <c r="AK1675" s="1" t="s">
        <v>713</v>
      </c>
    </row>
    <row r="1676">
      <c r="A1676" s="1" t="s">
        <v>3048</v>
      </c>
      <c r="B1676" s="1" t="s">
        <v>3048</v>
      </c>
      <c r="C1676" s="1" t="s">
        <v>645</v>
      </c>
      <c r="E1676" s="1">
        <v>4.58254144E8</v>
      </c>
      <c r="F1676" s="2">
        <v>41571.0</v>
      </c>
      <c r="G1676" s="1" t="s">
        <v>710</v>
      </c>
      <c r="I1676" s="1" t="s">
        <v>710</v>
      </c>
      <c r="L1676" s="1" t="s">
        <v>647</v>
      </c>
      <c r="M1676" s="1">
        <v>1200.0</v>
      </c>
      <c r="N1676" s="1" t="s">
        <v>647</v>
      </c>
      <c r="O1676" s="1">
        <v>1.52807538E8</v>
      </c>
      <c r="P1676" s="1" t="s">
        <v>591</v>
      </c>
      <c r="R1676" s="1" t="s">
        <v>592</v>
      </c>
      <c r="S1676" s="1" t="s">
        <v>44</v>
      </c>
      <c r="T1676" s="1" t="s">
        <v>45</v>
      </c>
      <c r="U1676" s="1">
        <v>4.82191161E8</v>
      </c>
      <c r="W1676" s="1" t="s">
        <v>44</v>
      </c>
      <c r="X1676" s="1" t="s">
        <v>45</v>
      </c>
      <c r="Y1676" s="1">
        <v>4.82191161E8</v>
      </c>
      <c r="AB1676" s="1">
        <v>100821.86</v>
      </c>
      <c r="AC1676" s="2">
        <v>41571.0</v>
      </c>
      <c r="AD1676" s="1">
        <v>1200.0</v>
      </c>
      <c r="AE1676" s="1" t="s">
        <v>647</v>
      </c>
      <c r="AF1676" s="1" t="s">
        <v>3176</v>
      </c>
      <c r="AG1676" s="1" t="s">
        <v>712</v>
      </c>
      <c r="AH1676" s="1">
        <v>1.0</v>
      </c>
      <c r="AI1676" s="1">
        <v>2015.0</v>
      </c>
      <c r="AJ1676" s="1">
        <v>2014.0</v>
      </c>
      <c r="AK1676" s="1" t="s">
        <v>713</v>
      </c>
    </row>
    <row r="1677">
      <c r="A1677" s="1" t="s">
        <v>3048</v>
      </c>
      <c r="B1677" s="1" t="s">
        <v>3048</v>
      </c>
      <c r="C1677" s="1" t="s">
        <v>645</v>
      </c>
      <c r="E1677" s="1">
        <v>4.58254144E8</v>
      </c>
      <c r="F1677" s="2">
        <v>41550.0</v>
      </c>
      <c r="G1677" s="1" t="s">
        <v>710</v>
      </c>
      <c r="I1677" s="1" t="s">
        <v>710</v>
      </c>
      <c r="L1677" s="1" t="s">
        <v>647</v>
      </c>
      <c r="M1677" s="1">
        <v>1200.0</v>
      </c>
      <c r="N1677" s="1" t="s">
        <v>647</v>
      </c>
      <c r="O1677" s="1">
        <v>7.0381949E7</v>
      </c>
      <c r="P1677" s="1" t="s">
        <v>605</v>
      </c>
      <c r="R1677" s="1" t="s">
        <v>606</v>
      </c>
      <c r="S1677" s="1" t="s">
        <v>44</v>
      </c>
      <c r="T1677" s="1" t="s">
        <v>45</v>
      </c>
      <c r="U1677" s="1">
        <v>4.82123033E8</v>
      </c>
      <c r="W1677" s="1" t="s">
        <v>607</v>
      </c>
      <c r="X1677" s="1" t="s">
        <v>45</v>
      </c>
      <c r="Y1677" s="1">
        <v>4.82123033E8</v>
      </c>
      <c r="AB1677" s="1">
        <v>31216.45</v>
      </c>
      <c r="AC1677" s="2">
        <v>41550.0</v>
      </c>
      <c r="AD1677" s="1">
        <v>1200.0</v>
      </c>
      <c r="AE1677" s="1" t="s">
        <v>647</v>
      </c>
      <c r="AF1677" s="1" t="s">
        <v>3177</v>
      </c>
      <c r="AG1677" s="1" t="s">
        <v>712</v>
      </c>
      <c r="AH1677" s="1">
        <v>1.0</v>
      </c>
      <c r="AI1677" s="1">
        <v>2015.0</v>
      </c>
      <c r="AJ1677" s="1">
        <v>2014.0</v>
      </c>
      <c r="AK1677" s="1" t="s">
        <v>713</v>
      </c>
    </row>
    <row r="1678">
      <c r="A1678" s="1" t="s">
        <v>3048</v>
      </c>
      <c r="B1678" s="1" t="s">
        <v>3048</v>
      </c>
      <c r="C1678" s="1" t="s">
        <v>645</v>
      </c>
      <c r="E1678" s="1">
        <v>4.58254144E8</v>
      </c>
      <c r="F1678" s="2">
        <v>41620.0</v>
      </c>
      <c r="G1678" s="1" t="s">
        <v>710</v>
      </c>
      <c r="I1678" s="1" t="s">
        <v>710</v>
      </c>
      <c r="L1678" s="1" t="s">
        <v>647</v>
      </c>
      <c r="M1678" s="1">
        <v>1200.0</v>
      </c>
      <c r="N1678" s="1" t="s">
        <v>647</v>
      </c>
      <c r="O1678" s="1">
        <v>5.57263386E8</v>
      </c>
      <c r="P1678" s="1" t="s">
        <v>727</v>
      </c>
      <c r="R1678" s="1" t="s">
        <v>728</v>
      </c>
      <c r="S1678" s="1" t="s">
        <v>44</v>
      </c>
      <c r="T1678" s="1" t="s">
        <v>45</v>
      </c>
      <c r="U1678" s="1">
        <v>4.82231703E8</v>
      </c>
      <c r="W1678" s="1" t="s">
        <v>44</v>
      </c>
      <c r="X1678" s="1" t="s">
        <v>45</v>
      </c>
      <c r="Y1678" s="1">
        <v>4.82231703E8</v>
      </c>
      <c r="AB1678" s="1">
        <v>56810.31</v>
      </c>
      <c r="AC1678" s="2">
        <v>41620.0</v>
      </c>
      <c r="AD1678" s="1">
        <v>1200.0</v>
      </c>
      <c r="AE1678" s="1" t="s">
        <v>647</v>
      </c>
      <c r="AF1678" s="1" t="s">
        <v>3178</v>
      </c>
      <c r="AG1678" s="1" t="s">
        <v>712</v>
      </c>
      <c r="AH1678" s="1">
        <v>1.0</v>
      </c>
      <c r="AI1678" s="1">
        <v>2015.0</v>
      </c>
      <c r="AJ1678" s="1">
        <v>2014.0</v>
      </c>
      <c r="AK1678" s="1" t="s">
        <v>713</v>
      </c>
    </row>
    <row r="1679">
      <c r="A1679" s="1" t="s">
        <v>3048</v>
      </c>
      <c r="B1679" s="1" t="s">
        <v>3048</v>
      </c>
      <c r="C1679" s="1" t="s">
        <v>645</v>
      </c>
      <c r="E1679" s="1">
        <v>4.58254144E8</v>
      </c>
      <c r="F1679" s="2">
        <v>41578.0</v>
      </c>
      <c r="G1679" s="1" t="s">
        <v>710</v>
      </c>
      <c r="I1679" s="1" t="s">
        <v>710</v>
      </c>
      <c r="L1679" s="1" t="s">
        <v>647</v>
      </c>
      <c r="M1679" s="1">
        <v>1200.0</v>
      </c>
      <c r="N1679" s="1" t="s">
        <v>647</v>
      </c>
      <c r="O1679" s="1">
        <v>7.97531295E8</v>
      </c>
      <c r="P1679" s="1" t="s">
        <v>582</v>
      </c>
      <c r="R1679" s="1" t="s">
        <v>583</v>
      </c>
      <c r="S1679" s="1" t="s">
        <v>44</v>
      </c>
      <c r="T1679" s="1" t="s">
        <v>45</v>
      </c>
      <c r="U1679" s="1">
        <v>4.82123452E8</v>
      </c>
      <c r="W1679" s="1" t="s">
        <v>44</v>
      </c>
      <c r="X1679" s="1" t="s">
        <v>45</v>
      </c>
      <c r="Y1679" s="1">
        <v>4.82123452E8</v>
      </c>
      <c r="AB1679" s="1">
        <v>160039.18</v>
      </c>
      <c r="AC1679" s="2">
        <v>41578.0</v>
      </c>
      <c r="AD1679" s="1">
        <v>1200.0</v>
      </c>
      <c r="AE1679" s="1" t="s">
        <v>647</v>
      </c>
      <c r="AF1679" s="1" t="s">
        <v>3179</v>
      </c>
      <c r="AG1679" s="1" t="s">
        <v>712</v>
      </c>
      <c r="AH1679" s="1">
        <v>1.0</v>
      </c>
      <c r="AI1679" s="1">
        <v>2015.0</v>
      </c>
      <c r="AJ1679" s="1">
        <v>2014.0</v>
      </c>
      <c r="AK1679" s="1" t="s">
        <v>713</v>
      </c>
    </row>
    <row r="1680">
      <c r="A1680" s="1" t="s">
        <v>3048</v>
      </c>
      <c r="B1680" s="1" t="s">
        <v>3048</v>
      </c>
      <c r="C1680" s="1" t="s">
        <v>645</v>
      </c>
      <c r="E1680" s="1">
        <v>4.58254144E8</v>
      </c>
      <c r="F1680" s="2">
        <v>41564.0</v>
      </c>
      <c r="G1680" s="1" t="s">
        <v>710</v>
      </c>
      <c r="I1680" s="1" t="s">
        <v>710</v>
      </c>
      <c r="L1680" s="1" t="s">
        <v>647</v>
      </c>
      <c r="M1680" s="1">
        <v>1200.0</v>
      </c>
      <c r="N1680" s="1" t="s">
        <v>647</v>
      </c>
      <c r="O1680" s="1">
        <v>5.2874042E7</v>
      </c>
      <c r="P1680" s="1" t="s">
        <v>538</v>
      </c>
      <c r="R1680" s="1" t="s">
        <v>539</v>
      </c>
      <c r="S1680" s="1" t="s">
        <v>44</v>
      </c>
      <c r="T1680" s="1" t="s">
        <v>45</v>
      </c>
      <c r="U1680" s="1">
        <v>4.82091524E8</v>
      </c>
      <c r="W1680" s="1" t="s">
        <v>44</v>
      </c>
      <c r="X1680" s="1" t="s">
        <v>45</v>
      </c>
      <c r="Y1680" s="1">
        <v>4.82091524E8</v>
      </c>
      <c r="AB1680" s="1">
        <v>127471.44</v>
      </c>
      <c r="AC1680" s="2">
        <v>41564.0</v>
      </c>
      <c r="AD1680" s="1">
        <v>1200.0</v>
      </c>
      <c r="AE1680" s="1" t="s">
        <v>647</v>
      </c>
      <c r="AF1680" s="1" t="s">
        <v>3180</v>
      </c>
      <c r="AG1680" s="1" t="s">
        <v>712</v>
      </c>
      <c r="AH1680" s="1">
        <v>1.0</v>
      </c>
      <c r="AI1680" s="1">
        <v>2015.0</v>
      </c>
      <c r="AJ1680" s="1">
        <v>2014.0</v>
      </c>
      <c r="AK1680" s="1" t="s">
        <v>713</v>
      </c>
    </row>
    <row r="1681">
      <c r="A1681" s="1" t="s">
        <v>3048</v>
      </c>
      <c r="B1681" s="1" t="s">
        <v>3048</v>
      </c>
      <c r="C1681" s="1" t="s">
        <v>645</v>
      </c>
      <c r="E1681" s="1">
        <v>4.58254144E8</v>
      </c>
      <c r="F1681" s="2">
        <v>41557.0</v>
      </c>
      <c r="G1681" s="1" t="s">
        <v>710</v>
      </c>
      <c r="I1681" s="1" t="s">
        <v>710</v>
      </c>
      <c r="L1681" s="1" t="s">
        <v>647</v>
      </c>
      <c r="M1681" s="1">
        <v>1200.0</v>
      </c>
      <c r="N1681" s="1" t="s">
        <v>647</v>
      </c>
      <c r="O1681" s="1">
        <v>3537326.0</v>
      </c>
      <c r="P1681" s="1" t="s">
        <v>560</v>
      </c>
      <c r="R1681" s="1" t="s">
        <v>561</v>
      </c>
      <c r="S1681" s="1" t="s">
        <v>44</v>
      </c>
      <c r="T1681" s="1" t="s">
        <v>45</v>
      </c>
      <c r="U1681" s="1">
        <v>4.8212177E8</v>
      </c>
      <c r="W1681" s="1" t="s">
        <v>498</v>
      </c>
      <c r="X1681" s="1" t="s">
        <v>45</v>
      </c>
      <c r="Y1681" s="1">
        <v>4.82121754E8</v>
      </c>
      <c r="Z1681" s="1">
        <v>3537326.0</v>
      </c>
      <c r="AA1681" s="1" t="s">
        <v>560</v>
      </c>
      <c r="AB1681" s="1">
        <v>34595.68</v>
      </c>
      <c r="AC1681" s="2">
        <v>41557.0</v>
      </c>
      <c r="AD1681" s="1">
        <v>1200.0</v>
      </c>
      <c r="AE1681" s="1" t="s">
        <v>647</v>
      </c>
      <c r="AF1681" s="1" t="s">
        <v>3181</v>
      </c>
      <c r="AG1681" s="1" t="s">
        <v>712</v>
      </c>
      <c r="AH1681" s="1">
        <v>1.0</v>
      </c>
      <c r="AI1681" s="1">
        <v>2015.0</v>
      </c>
      <c r="AJ1681" s="1">
        <v>2014.0</v>
      </c>
      <c r="AK1681" s="1" t="s">
        <v>713</v>
      </c>
    </row>
    <row r="1682">
      <c r="A1682" s="1" t="s">
        <v>3048</v>
      </c>
      <c r="B1682" s="1" t="s">
        <v>3048</v>
      </c>
      <c r="C1682" s="1" t="s">
        <v>645</v>
      </c>
      <c r="E1682" s="1">
        <v>4.58254144E8</v>
      </c>
      <c r="F1682" s="2">
        <v>41592.0</v>
      </c>
      <c r="G1682" s="1" t="s">
        <v>710</v>
      </c>
      <c r="I1682" s="1" t="s">
        <v>710</v>
      </c>
      <c r="L1682" s="1" t="s">
        <v>647</v>
      </c>
      <c r="M1682" s="1">
        <v>1200.0</v>
      </c>
      <c r="N1682" s="1" t="s">
        <v>647</v>
      </c>
      <c r="O1682" s="1">
        <v>1.6338926E8</v>
      </c>
      <c r="P1682" s="1" t="s">
        <v>465</v>
      </c>
      <c r="Q1682" s="1" t="s">
        <v>598</v>
      </c>
      <c r="R1682" s="1" t="s">
        <v>599</v>
      </c>
      <c r="S1682" s="1" t="s">
        <v>44</v>
      </c>
      <c r="T1682" s="1" t="s">
        <v>45</v>
      </c>
      <c r="U1682" s="1">
        <v>4.82023457E8</v>
      </c>
      <c r="W1682" s="1" t="s">
        <v>44</v>
      </c>
      <c r="X1682" s="1" t="s">
        <v>45</v>
      </c>
      <c r="Y1682" s="1">
        <v>4.82023457E8</v>
      </c>
      <c r="Z1682" s="1">
        <v>1.6338926E8</v>
      </c>
      <c r="AA1682" s="1" t="s">
        <v>465</v>
      </c>
      <c r="AB1682" s="1">
        <v>57868.7</v>
      </c>
      <c r="AC1682" s="2">
        <v>41592.0</v>
      </c>
      <c r="AD1682" s="1">
        <v>1200.0</v>
      </c>
      <c r="AE1682" s="1" t="s">
        <v>647</v>
      </c>
      <c r="AF1682" s="1" t="s">
        <v>3182</v>
      </c>
      <c r="AG1682" s="1" t="s">
        <v>712</v>
      </c>
      <c r="AH1682" s="1">
        <v>1.0</v>
      </c>
      <c r="AI1682" s="1">
        <v>2015.0</v>
      </c>
      <c r="AJ1682" s="1">
        <v>2014.0</v>
      </c>
      <c r="AK1682" s="1" t="s">
        <v>713</v>
      </c>
    </row>
    <row r="1683">
      <c r="A1683" s="1" t="s">
        <v>3048</v>
      </c>
      <c r="B1683" s="1" t="s">
        <v>3048</v>
      </c>
      <c r="C1683" s="1" t="s">
        <v>645</v>
      </c>
      <c r="E1683" s="1">
        <v>4.58254144E8</v>
      </c>
      <c r="F1683" s="2">
        <v>41557.0</v>
      </c>
      <c r="G1683" s="1" t="s">
        <v>710</v>
      </c>
      <c r="I1683" s="1" t="s">
        <v>710</v>
      </c>
      <c r="L1683" s="1" t="s">
        <v>647</v>
      </c>
      <c r="M1683" s="1">
        <v>1200.0</v>
      </c>
      <c r="N1683" s="1" t="s">
        <v>647</v>
      </c>
      <c r="O1683" s="1">
        <v>8.30792151E8</v>
      </c>
      <c r="P1683" s="1" t="s">
        <v>594</v>
      </c>
      <c r="R1683" s="1" t="s">
        <v>596</v>
      </c>
      <c r="S1683" s="1" t="s">
        <v>44</v>
      </c>
      <c r="T1683" s="1" t="s">
        <v>45</v>
      </c>
      <c r="U1683" s="1">
        <v>4.82382356E8</v>
      </c>
      <c r="W1683" s="1" t="s">
        <v>44</v>
      </c>
      <c r="X1683" s="1" t="s">
        <v>45</v>
      </c>
      <c r="Y1683" s="1">
        <v>4.82382356E8</v>
      </c>
      <c r="Z1683" s="1">
        <v>9.60742484E8</v>
      </c>
      <c r="AB1683" s="1">
        <v>45581.54</v>
      </c>
      <c r="AC1683" s="2">
        <v>41557.0</v>
      </c>
      <c r="AD1683" s="1">
        <v>1200.0</v>
      </c>
      <c r="AE1683" s="1" t="s">
        <v>647</v>
      </c>
      <c r="AF1683" s="1" t="s">
        <v>3183</v>
      </c>
      <c r="AG1683" s="1" t="s">
        <v>712</v>
      </c>
      <c r="AH1683" s="1">
        <v>1.0</v>
      </c>
      <c r="AI1683" s="1">
        <v>2015.0</v>
      </c>
      <c r="AJ1683" s="1">
        <v>2014.0</v>
      </c>
      <c r="AK1683" s="1" t="s">
        <v>713</v>
      </c>
    </row>
    <row r="1684">
      <c r="A1684" s="1" t="s">
        <v>3048</v>
      </c>
      <c r="B1684" s="1" t="s">
        <v>3048</v>
      </c>
      <c r="C1684" s="1" t="s">
        <v>645</v>
      </c>
      <c r="E1684" s="1">
        <v>4.58254144E8</v>
      </c>
      <c r="F1684" s="2">
        <v>41564.0</v>
      </c>
      <c r="G1684" s="1" t="s">
        <v>710</v>
      </c>
      <c r="I1684" s="1" t="s">
        <v>710</v>
      </c>
      <c r="L1684" s="1" t="s">
        <v>647</v>
      </c>
      <c r="M1684" s="1">
        <v>1200.0</v>
      </c>
      <c r="N1684" s="1" t="s">
        <v>647</v>
      </c>
      <c r="O1684" s="1">
        <v>1.56386349E8</v>
      </c>
      <c r="P1684" s="1" t="s">
        <v>766</v>
      </c>
      <c r="R1684" s="1" t="s">
        <v>767</v>
      </c>
      <c r="S1684" s="1" t="s">
        <v>44</v>
      </c>
      <c r="T1684" s="1" t="s">
        <v>45</v>
      </c>
      <c r="U1684" s="1">
        <v>4.82273027E8</v>
      </c>
      <c r="W1684" s="1" t="s">
        <v>44</v>
      </c>
      <c r="X1684" s="1" t="s">
        <v>45</v>
      </c>
      <c r="Y1684" s="1">
        <v>4.82273027E8</v>
      </c>
      <c r="AB1684" s="1">
        <v>62419.94</v>
      </c>
      <c r="AC1684" s="2">
        <v>41564.0</v>
      </c>
      <c r="AD1684" s="1">
        <v>1200.0</v>
      </c>
      <c r="AE1684" s="1" t="s">
        <v>647</v>
      </c>
      <c r="AF1684" s="1" t="s">
        <v>3184</v>
      </c>
      <c r="AG1684" s="1" t="s">
        <v>712</v>
      </c>
      <c r="AH1684" s="1">
        <v>1.0</v>
      </c>
      <c r="AI1684" s="1">
        <v>2015.0</v>
      </c>
      <c r="AJ1684" s="1">
        <v>2014.0</v>
      </c>
      <c r="AK1684" s="1" t="s">
        <v>713</v>
      </c>
    </row>
    <row r="1685">
      <c r="A1685" s="1" t="s">
        <v>3048</v>
      </c>
      <c r="B1685" s="1" t="s">
        <v>3048</v>
      </c>
      <c r="C1685" s="1" t="s">
        <v>645</v>
      </c>
      <c r="E1685" s="1">
        <v>4.58254144E8</v>
      </c>
      <c r="F1685" s="2">
        <v>41557.0</v>
      </c>
      <c r="G1685" s="1" t="s">
        <v>710</v>
      </c>
      <c r="I1685" s="1" t="s">
        <v>710</v>
      </c>
      <c r="L1685" s="1" t="s">
        <v>647</v>
      </c>
      <c r="M1685" s="1">
        <v>1200.0</v>
      </c>
      <c r="N1685" s="1" t="s">
        <v>647</v>
      </c>
      <c r="O1685" s="1">
        <v>9.62378779E8</v>
      </c>
      <c r="P1685" s="1" t="s">
        <v>478</v>
      </c>
      <c r="R1685" s="1" t="s">
        <v>479</v>
      </c>
      <c r="S1685" s="1" t="s">
        <v>44</v>
      </c>
      <c r="T1685" s="1" t="s">
        <v>45</v>
      </c>
      <c r="U1685" s="1">
        <v>4.82342225E8</v>
      </c>
      <c r="W1685" s="1" t="s">
        <v>44</v>
      </c>
      <c r="X1685" s="1" t="s">
        <v>45</v>
      </c>
      <c r="Y1685" s="1">
        <v>4.82342225E8</v>
      </c>
      <c r="AB1685" s="1">
        <v>81623.0</v>
      </c>
      <c r="AC1685" s="2">
        <v>41557.0</v>
      </c>
      <c r="AD1685" s="1">
        <v>1200.0</v>
      </c>
      <c r="AE1685" s="1" t="s">
        <v>647</v>
      </c>
      <c r="AF1685" s="1" t="s">
        <v>3185</v>
      </c>
      <c r="AG1685" s="1" t="s">
        <v>712</v>
      </c>
      <c r="AH1685" s="1">
        <v>1.0</v>
      </c>
      <c r="AI1685" s="1">
        <v>2015.0</v>
      </c>
      <c r="AJ1685" s="1">
        <v>2014.0</v>
      </c>
      <c r="AK1685" s="1" t="s">
        <v>713</v>
      </c>
    </row>
    <row r="1686">
      <c r="A1686" s="1" t="s">
        <v>3048</v>
      </c>
      <c r="B1686" s="1" t="s">
        <v>3048</v>
      </c>
      <c r="C1686" s="1" t="s">
        <v>645</v>
      </c>
      <c r="E1686" s="1">
        <v>4.58254144E8</v>
      </c>
      <c r="F1686" s="2">
        <v>41627.0</v>
      </c>
      <c r="G1686" s="1" t="s">
        <v>710</v>
      </c>
      <c r="I1686" s="1" t="s">
        <v>710</v>
      </c>
      <c r="L1686" s="1" t="s">
        <v>647</v>
      </c>
      <c r="M1686" s="1">
        <v>1200.0</v>
      </c>
      <c r="N1686" s="1" t="s">
        <v>647</v>
      </c>
      <c r="O1686" s="1">
        <v>7.6340843E7</v>
      </c>
      <c r="P1686" s="1" t="s">
        <v>461</v>
      </c>
      <c r="R1686" s="1" t="s">
        <v>1599</v>
      </c>
      <c r="S1686" s="1" t="s">
        <v>44</v>
      </c>
      <c r="T1686" s="1" t="s">
        <v>45</v>
      </c>
      <c r="U1686" s="1">
        <v>4.8202301E8</v>
      </c>
      <c r="W1686" s="1" t="s">
        <v>44</v>
      </c>
      <c r="X1686" s="1" t="s">
        <v>45</v>
      </c>
      <c r="Y1686" s="1">
        <v>4.82023096E8</v>
      </c>
      <c r="Z1686" s="1">
        <v>7.6340843E7</v>
      </c>
      <c r="AA1686" s="1" t="s">
        <v>461</v>
      </c>
      <c r="AB1686" s="3">
        <v>1.133100653E7</v>
      </c>
      <c r="AC1686" s="2">
        <v>41627.0</v>
      </c>
      <c r="AD1686" s="1">
        <v>1200.0</v>
      </c>
      <c r="AE1686" s="1" t="s">
        <v>647</v>
      </c>
      <c r="AF1686" s="1" t="s">
        <v>3186</v>
      </c>
      <c r="AG1686" s="1" t="s">
        <v>712</v>
      </c>
      <c r="AH1686" s="1">
        <v>1.0</v>
      </c>
      <c r="AI1686" s="1">
        <v>2015.0</v>
      </c>
      <c r="AJ1686" s="1">
        <v>2014.0</v>
      </c>
      <c r="AK1686" s="1" t="s">
        <v>713</v>
      </c>
    </row>
    <row r="1687">
      <c r="A1687" s="1" t="s">
        <v>3048</v>
      </c>
      <c r="B1687" s="1" t="s">
        <v>3048</v>
      </c>
      <c r="C1687" s="1" t="s">
        <v>645</v>
      </c>
      <c r="E1687" s="1">
        <v>4.58254144E8</v>
      </c>
      <c r="F1687" s="2">
        <v>41571.0</v>
      </c>
      <c r="G1687" s="1" t="s">
        <v>710</v>
      </c>
      <c r="I1687" s="1" t="s">
        <v>710</v>
      </c>
      <c r="L1687" s="1" t="s">
        <v>647</v>
      </c>
      <c r="M1687" s="1">
        <v>1200.0</v>
      </c>
      <c r="N1687" s="1" t="s">
        <v>647</v>
      </c>
      <c r="O1687" s="1">
        <v>8.38496842E8</v>
      </c>
      <c r="P1687" s="1" t="s">
        <v>810</v>
      </c>
      <c r="R1687" s="1" t="s">
        <v>811</v>
      </c>
      <c r="S1687" s="1" t="s">
        <v>44</v>
      </c>
      <c r="T1687" s="1" t="s">
        <v>45</v>
      </c>
      <c r="U1687" s="1">
        <v>4.82231359E8</v>
      </c>
      <c r="W1687" s="1" t="s">
        <v>44</v>
      </c>
      <c r="X1687" s="1" t="s">
        <v>45</v>
      </c>
      <c r="Y1687" s="1">
        <v>4.82231359E8</v>
      </c>
      <c r="Z1687" s="1">
        <v>8.38496842E8</v>
      </c>
      <c r="AA1687" s="1" t="s">
        <v>810</v>
      </c>
      <c r="AB1687" s="1">
        <v>304256.78</v>
      </c>
      <c r="AC1687" s="2">
        <v>41571.0</v>
      </c>
      <c r="AD1687" s="1">
        <v>1200.0</v>
      </c>
      <c r="AE1687" s="1" t="s">
        <v>647</v>
      </c>
      <c r="AF1687" s="1" t="s">
        <v>3187</v>
      </c>
      <c r="AG1687" s="1" t="s">
        <v>712</v>
      </c>
      <c r="AH1687" s="1">
        <v>1.0</v>
      </c>
      <c r="AI1687" s="1">
        <v>2015.0</v>
      </c>
      <c r="AJ1687" s="1">
        <v>2014.0</v>
      </c>
      <c r="AK1687" s="1" t="s">
        <v>713</v>
      </c>
    </row>
    <row r="1688">
      <c r="A1688" s="1" t="s">
        <v>3048</v>
      </c>
      <c r="B1688" s="1" t="s">
        <v>3048</v>
      </c>
      <c r="C1688" s="1" t="s">
        <v>645</v>
      </c>
      <c r="E1688" s="1">
        <v>4.58254144E8</v>
      </c>
      <c r="F1688" s="2">
        <v>41564.0</v>
      </c>
      <c r="G1688" s="1" t="s">
        <v>710</v>
      </c>
      <c r="I1688" s="1" t="s">
        <v>710</v>
      </c>
      <c r="L1688" s="1" t="s">
        <v>647</v>
      </c>
      <c r="M1688" s="1">
        <v>1200.0</v>
      </c>
      <c r="N1688" s="1" t="s">
        <v>647</v>
      </c>
      <c r="O1688" s="1">
        <v>1.52892667E8</v>
      </c>
      <c r="P1688" s="1" t="s">
        <v>638</v>
      </c>
      <c r="R1688" s="1" t="s">
        <v>639</v>
      </c>
      <c r="S1688" s="1" t="s">
        <v>44</v>
      </c>
      <c r="T1688" s="1" t="s">
        <v>45</v>
      </c>
      <c r="U1688" s="1">
        <v>4.82343358E8</v>
      </c>
      <c r="W1688" s="1" t="s">
        <v>46</v>
      </c>
      <c r="X1688" s="1" t="s">
        <v>45</v>
      </c>
      <c r="Y1688" s="1">
        <v>4.82343358E8</v>
      </c>
      <c r="AB1688" s="1">
        <v>160458.99</v>
      </c>
      <c r="AC1688" s="2">
        <v>41564.0</v>
      </c>
      <c r="AD1688" s="1">
        <v>1200.0</v>
      </c>
      <c r="AE1688" s="1" t="s">
        <v>647</v>
      </c>
      <c r="AF1688" s="1" t="s">
        <v>3188</v>
      </c>
      <c r="AG1688" s="1" t="s">
        <v>712</v>
      </c>
      <c r="AH1688" s="1">
        <v>1.0</v>
      </c>
      <c r="AI1688" s="1">
        <v>2015.0</v>
      </c>
      <c r="AJ1688" s="1">
        <v>2014.0</v>
      </c>
      <c r="AK1688" s="1" t="s">
        <v>713</v>
      </c>
    </row>
    <row r="1689">
      <c r="A1689" s="1" t="s">
        <v>3048</v>
      </c>
      <c r="B1689" s="1" t="s">
        <v>3048</v>
      </c>
      <c r="C1689" s="1" t="s">
        <v>645</v>
      </c>
      <c r="E1689" s="1">
        <v>4.58254144E8</v>
      </c>
      <c r="F1689" s="2">
        <v>41571.0</v>
      </c>
      <c r="G1689" s="1" t="s">
        <v>710</v>
      </c>
      <c r="I1689" s="1" t="s">
        <v>710</v>
      </c>
      <c r="L1689" s="1" t="s">
        <v>647</v>
      </c>
      <c r="M1689" s="1">
        <v>1200.0</v>
      </c>
      <c r="N1689" s="1" t="s">
        <v>647</v>
      </c>
      <c r="O1689" s="1">
        <v>8.37565279E8</v>
      </c>
      <c r="P1689" s="1" t="s">
        <v>3189</v>
      </c>
      <c r="R1689" s="1" t="s">
        <v>3190</v>
      </c>
      <c r="S1689" s="1" t="s">
        <v>44</v>
      </c>
      <c r="T1689" s="1" t="s">
        <v>45</v>
      </c>
      <c r="U1689" s="1">
        <v>4.82041457E8</v>
      </c>
      <c r="W1689" s="1" t="s">
        <v>44</v>
      </c>
      <c r="X1689" s="1" t="s">
        <v>45</v>
      </c>
      <c r="Y1689" s="1">
        <v>4.82041457E8</v>
      </c>
      <c r="AB1689" s="1">
        <v>41069.87</v>
      </c>
      <c r="AC1689" s="2">
        <v>41571.0</v>
      </c>
      <c r="AD1689" s="1">
        <v>1200.0</v>
      </c>
      <c r="AE1689" s="1" t="s">
        <v>647</v>
      </c>
      <c r="AF1689" s="1" t="s">
        <v>3191</v>
      </c>
      <c r="AG1689" s="1" t="s">
        <v>712</v>
      </c>
      <c r="AH1689" s="1">
        <v>1.0</v>
      </c>
      <c r="AI1689" s="1">
        <v>2015.0</v>
      </c>
      <c r="AJ1689" s="1">
        <v>2014.0</v>
      </c>
      <c r="AK1689" s="1" t="s">
        <v>713</v>
      </c>
    </row>
    <row r="1690">
      <c r="A1690" s="1" t="s">
        <v>3048</v>
      </c>
      <c r="B1690" s="1" t="s">
        <v>3048</v>
      </c>
      <c r="C1690" s="1" t="s">
        <v>645</v>
      </c>
      <c r="E1690" s="1">
        <v>4.58254144E8</v>
      </c>
      <c r="F1690" s="2">
        <v>41564.0</v>
      </c>
      <c r="G1690" s="1" t="s">
        <v>710</v>
      </c>
      <c r="I1690" s="1" t="s">
        <v>710</v>
      </c>
      <c r="L1690" s="1" t="s">
        <v>647</v>
      </c>
      <c r="M1690" s="1">
        <v>1200.0</v>
      </c>
      <c r="N1690" s="1" t="s">
        <v>647</v>
      </c>
      <c r="O1690" s="1">
        <v>4.2136734E7</v>
      </c>
      <c r="P1690" s="1" t="s">
        <v>557</v>
      </c>
      <c r="R1690" s="1" t="s">
        <v>558</v>
      </c>
      <c r="S1690" s="1" t="s">
        <v>44</v>
      </c>
      <c r="T1690" s="1" t="s">
        <v>45</v>
      </c>
      <c r="U1690" s="1">
        <v>4.82082204E8</v>
      </c>
      <c r="W1690" s="1" t="s">
        <v>44</v>
      </c>
      <c r="X1690" s="1" t="s">
        <v>45</v>
      </c>
      <c r="Y1690" s="1">
        <v>4.82082204E8</v>
      </c>
      <c r="AB1690" s="1">
        <v>173440.61</v>
      </c>
      <c r="AC1690" s="2">
        <v>41564.0</v>
      </c>
      <c r="AD1690" s="1">
        <v>1200.0</v>
      </c>
      <c r="AE1690" s="1" t="s">
        <v>647</v>
      </c>
      <c r="AF1690" s="1" t="s">
        <v>3192</v>
      </c>
      <c r="AG1690" s="1" t="s">
        <v>712</v>
      </c>
      <c r="AH1690" s="1">
        <v>1.0</v>
      </c>
      <c r="AI1690" s="1">
        <v>2015.0</v>
      </c>
      <c r="AJ1690" s="1">
        <v>2014.0</v>
      </c>
      <c r="AK1690" s="1" t="s">
        <v>713</v>
      </c>
    </row>
    <row r="1691">
      <c r="A1691" s="1" t="s">
        <v>3048</v>
      </c>
      <c r="B1691" s="1" t="s">
        <v>3048</v>
      </c>
      <c r="C1691" s="1" t="s">
        <v>645</v>
      </c>
      <c r="E1691" s="1">
        <v>4.58254144E8</v>
      </c>
      <c r="F1691" s="2">
        <v>41564.0</v>
      </c>
      <c r="G1691" s="1" t="s">
        <v>710</v>
      </c>
      <c r="I1691" s="1" t="s">
        <v>710</v>
      </c>
      <c r="L1691" s="1" t="s">
        <v>647</v>
      </c>
      <c r="M1691" s="1">
        <v>1200.0</v>
      </c>
      <c r="N1691" s="1" t="s">
        <v>647</v>
      </c>
      <c r="O1691" s="1">
        <v>6.6707493E7</v>
      </c>
      <c r="P1691" s="1" t="s">
        <v>541</v>
      </c>
      <c r="R1691" s="1" t="s">
        <v>542</v>
      </c>
      <c r="S1691" s="1" t="s">
        <v>44</v>
      </c>
      <c r="T1691" s="1" t="s">
        <v>45</v>
      </c>
      <c r="U1691" s="1">
        <v>4.8210252E8</v>
      </c>
      <c r="W1691" s="1" t="s">
        <v>44</v>
      </c>
      <c r="X1691" s="1" t="s">
        <v>45</v>
      </c>
      <c r="Y1691" s="1">
        <v>4.8210252E8</v>
      </c>
      <c r="AB1691" s="1">
        <v>217555.64</v>
      </c>
      <c r="AC1691" s="2">
        <v>41564.0</v>
      </c>
      <c r="AD1691" s="1">
        <v>1200.0</v>
      </c>
      <c r="AE1691" s="1" t="s">
        <v>647</v>
      </c>
      <c r="AF1691" s="1" t="s">
        <v>3193</v>
      </c>
      <c r="AG1691" s="1" t="s">
        <v>712</v>
      </c>
      <c r="AH1691" s="1">
        <v>1.0</v>
      </c>
      <c r="AI1691" s="1">
        <v>2015.0</v>
      </c>
      <c r="AJ1691" s="1">
        <v>2014.0</v>
      </c>
      <c r="AK1691" s="1" t="s">
        <v>713</v>
      </c>
    </row>
    <row r="1692">
      <c r="A1692" s="1" t="s">
        <v>1280</v>
      </c>
      <c r="B1692" s="1" t="s">
        <v>1280</v>
      </c>
      <c r="C1692" s="1" t="s">
        <v>1281</v>
      </c>
      <c r="E1692" s="1">
        <v>6000000.0</v>
      </c>
      <c r="F1692" s="2">
        <v>41883.0</v>
      </c>
      <c r="G1692" s="1" t="s">
        <v>1282</v>
      </c>
      <c r="I1692" s="1" t="s">
        <v>1282</v>
      </c>
      <c r="L1692" s="1" t="s">
        <v>1281</v>
      </c>
      <c r="M1692" s="1">
        <v>9577.0</v>
      </c>
      <c r="N1692" s="1" t="s">
        <v>1281</v>
      </c>
      <c r="O1692" s="1">
        <v>1.5900083E8</v>
      </c>
      <c r="P1692" s="1" t="s">
        <v>1292</v>
      </c>
      <c r="R1692" s="1" t="s">
        <v>1293</v>
      </c>
      <c r="S1692" s="1" t="s">
        <v>44</v>
      </c>
      <c r="T1692" s="1" t="s">
        <v>45</v>
      </c>
      <c r="U1692" s="1">
        <v>4.82022715E8</v>
      </c>
      <c r="W1692" s="1" t="s">
        <v>46</v>
      </c>
      <c r="X1692" s="1" t="s">
        <v>45</v>
      </c>
      <c r="Y1692" s="1">
        <v>4.82022715E8</v>
      </c>
      <c r="AB1692" s="1">
        <v>168707.0</v>
      </c>
      <c r="AC1692" s="2">
        <v>41883.0</v>
      </c>
      <c r="AD1692" s="1">
        <v>9577.0</v>
      </c>
      <c r="AE1692" s="1" t="s">
        <v>1281</v>
      </c>
      <c r="AF1692" s="1">
        <v>2.0</v>
      </c>
      <c r="AG1692" s="1" t="s">
        <v>1294</v>
      </c>
      <c r="AH1692" s="1">
        <v>12.0</v>
      </c>
      <c r="AI1692" s="1">
        <v>2014.0</v>
      </c>
      <c r="AJ1692" s="1">
        <v>2014.0</v>
      </c>
      <c r="AK1692" s="1" t="s">
        <v>1284</v>
      </c>
    </row>
    <row r="1693">
      <c r="A1693" s="1" t="s">
        <v>3048</v>
      </c>
      <c r="B1693" s="1" t="s">
        <v>3048</v>
      </c>
      <c r="C1693" s="1" t="s">
        <v>645</v>
      </c>
      <c r="E1693" s="1">
        <v>4.58254144E8</v>
      </c>
      <c r="F1693" s="2">
        <v>41585.0</v>
      </c>
      <c r="G1693" s="1" t="s">
        <v>710</v>
      </c>
      <c r="I1693" s="1" t="s">
        <v>710</v>
      </c>
      <c r="L1693" s="1" t="s">
        <v>647</v>
      </c>
      <c r="M1693" s="1">
        <v>1200.0</v>
      </c>
      <c r="N1693" s="1" t="s">
        <v>647</v>
      </c>
      <c r="O1693" s="1">
        <v>6533863.0</v>
      </c>
      <c r="P1693" s="1" t="s">
        <v>3194</v>
      </c>
      <c r="Q1693" s="1" t="s">
        <v>3195</v>
      </c>
      <c r="R1693" s="1" t="s">
        <v>3196</v>
      </c>
      <c r="S1693" s="1" t="s">
        <v>44</v>
      </c>
      <c r="T1693" s="1" t="s">
        <v>45</v>
      </c>
      <c r="U1693" s="1">
        <v>4.82261894E8</v>
      </c>
      <c r="W1693" s="1" t="s">
        <v>3197</v>
      </c>
      <c r="X1693" s="1" t="s">
        <v>45</v>
      </c>
      <c r="Y1693" s="1">
        <v>4.81339647E8</v>
      </c>
      <c r="Z1693" s="1">
        <v>6533863.0</v>
      </c>
      <c r="AB1693" s="1">
        <v>94549.99</v>
      </c>
      <c r="AC1693" s="2">
        <v>41585.0</v>
      </c>
      <c r="AD1693" s="1">
        <v>1200.0</v>
      </c>
      <c r="AE1693" s="1" t="s">
        <v>647</v>
      </c>
      <c r="AF1693" s="1" t="s">
        <v>3198</v>
      </c>
      <c r="AG1693" s="1" t="s">
        <v>712</v>
      </c>
      <c r="AH1693" s="1">
        <v>1.0</v>
      </c>
      <c r="AI1693" s="1">
        <v>2015.0</v>
      </c>
      <c r="AJ1693" s="1">
        <v>2014.0</v>
      </c>
      <c r="AK1693" s="1" t="s">
        <v>713</v>
      </c>
    </row>
    <row r="1694">
      <c r="A1694" s="1" t="s">
        <v>3048</v>
      </c>
      <c r="B1694" s="1" t="s">
        <v>3048</v>
      </c>
      <c r="C1694" s="1" t="s">
        <v>645</v>
      </c>
      <c r="E1694" s="1">
        <v>4.58254144E8</v>
      </c>
      <c r="F1694" s="2">
        <v>41592.0</v>
      </c>
      <c r="G1694" s="1" t="s">
        <v>710</v>
      </c>
      <c r="I1694" s="1" t="s">
        <v>710</v>
      </c>
      <c r="L1694" s="1" t="s">
        <v>647</v>
      </c>
      <c r="M1694" s="1">
        <v>1200.0</v>
      </c>
      <c r="N1694" s="1" t="s">
        <v>647</v>
      </c>
      <c r="O1694" s="1">
        <v>1.6338926E8</v>
      </c>
      <c r="P1694" s="1" t="s">
        <v>465</v>
      </c>
      <c r="Q1694" s="1" t="s">
        <v>598</v>
      </c>
      <c r="R1694" s="1" t="s">
        <v>599</v>
      </c>
      <c r="S1694" s="1" t="s">
        <v>44</v>
      </c>
      <c r="T1694" s="1" t="s">
        <v>45</v>
      </c>
      <c r="U1694" s="1">
        <v>4.82023457E8</v>
      </c>
      <c r="W1694" s="1" t="s">
        <v>44</v>
      </c>
      <c r="X1694" s="1" t="s">
        <v>45</v>
      </c>
      <c r="Y1694" s="1">
        <v>4.82023457E8</v>
      </c>
      <c r="Z1694" s="1">
        <v>1.6338926E8</v>
      </c>
      <c r="AA1694" s="1" t="s">
        <v>465</v>
      </c>
      <c r="AB1694" s="1">
        <v>461523.1</v>
      </c>
      <c r="AC1694" s="2">
        <v>41592.0</v>
      </c>
      <c r="AD1694" s="1">
        <v>1200.0</v>
      </c>
      <c r="AE1694" s="1" t="s">
        <v>647</v>
      </c>
      <c r="AF1694" s="1" t="s">
        <v>3199</v>
      </c>
      <c r="AG1694" s="1" t="s">
        <v>712</v>
      </c>
      <c r="AH1694" s="1">
        <v>1.0</v>
      </c>
      <c r="AI1694" s="1">
        <v>2015.0</v>
      </c>
      <c r="AJ1694" s="1">
        <v>2014.0</v>
      </c>
      <c r="AK1694" s="1" t="s">
        <v>713</v>
      </c>
    </row>
    <row r="1695">
      <c r="A1695" s="1" t="s">
        <v>3048</v>
      </c>
      <c r="B1695" s="1" t="s">
        <v>3048</v>
      </c>
      <c r="C1695" s="1" t="s">
        <v>645</v>
      </c>
      <c r="E1695" s="1">
        <v>4.58254144E8</v>
      </c>
      <c r="F1695" s="2">
        <v>41585.0</v>
      </c>
      <c r="G1695" s="1" t="s">
        <v>710</v>
      </c>
      <c r="I1695" s="1" t="s">
        <v>710</v>
      </c>
      <c r="L1695" s="1" t="s">
        <v>647</v>
      </c>
      <c r="M1695" s="1">
        <v>1200.0</v>
      </c>
      <c r="N1695" s="1" t="s">
        <v>647</v>
      </c>
      <c r="O1695" s="1">
        <v>9.62949843E8</v>
      </c>
      <c r="P1695" s="1" t="s">
        <v>619</v>
      </c>
      <c r="R1695" s="1" t="s">
        <v>620</v>
      </c>
      <c r="S1695" s="1" t="s">
        <v>44</v>
      </c>
      <c r="T1695" s="1" t="s">
        <v>45</v>
      </c>
      <c r="U1695" s="1">
        <v>4.82042306E8</v>
      </c>
      <c r="W1695" s="1" t="s">
        <v>44</v>
      </c>
      <c r="X1695" s="1" t="s">
        <v>45</v>
      </c>
      <c r="Y1695" s="1">
        <v>4.82042306E8</v>
      </c>
      <c r="AB1695" s="1">
        <v>46214.06</v>
      </c>
      <c r="AC1695" s="2">
        <v>41585.0</v>
      </c>
      <c r="AD1695" s="1">
        <v>1200.0</v>
      </c>
      <c r="AE1695" s="1" t="s">
        <v>647</v>
      </c>
      <c r="AF1695" s="1" t="s">
        <v>3200</v>
      </c>
      <c r="AG1695" s="1" t="s">
        <v>712</v>
      </c>
      <c r="AH1695" s="1">
        <v>1.0</v>
      </c>
      <c r="AI1695" s="1">
        <v>2015.0</v>
      </c>
      <c r="AJ1695" s="1">
        <v>2014.0</v>
      </c>
      <c r="AK1695" s="1" t="s">
        <v>713</v>
      </c>
    </row>
    <row r="1696">
      <c r="A1696" s="1" t="s">
        <v>3048</v>
      </c>
      <c r="B1696" s="1" t="s">
        <v>3048</v>
      </c>
      <c r="C1696" s="1" t="s">
        <v>645</v>
      </c>
      <c r="E1696" s="1">
        <v>4.58254144E8</v>
      </c>
      <c r="F1696" s="2">
        <v>41564.0</v>
      </c>
      <c r="G1696" s="1" t="s">
        <v>710</v>
      </c>
      <c r="I1696" s="1" t="s">
        <v>710</v>
      </c>
      <c r="L1696" s="1" t="s">
        <v>647</v>
      </c>
      <c r="M1696" s="1">
        <v>1200.0</v>
      </c>
      <c r="N1696" s="1" t="s">
        <v>647</v>
      </c>
      <c r="O1696" s="1">
        <v>6.6707493E7</v>
      </c>
      <c r="P1696" s="1" t="s">
        <v>541</v>
      </c>
      <c r="R1696" s="1" t="s">
        <v>542</v>
      </c>
      <c r="S1696" s="1" t="s">
        <v>44</v>
      </c>
      <c r="T1696" s="1" t="s">
        <v>45</v>
      </c>
      <c r="U1696" s="1">
        <v>4.8210252E8</v>
      </c>
      <c r="W1696" s="1" t="s">
        <v>44</v>
      </c>
      <c r="X1696" s="1" t="s">
        <v>45</v>
      </c>
      <c r="Y1696" s="1">
        <v>4.8210252E8</v>
      </c>
      <c r="AB1696" s="1">
        <v>29996.32</v>
      </c>
      <c r="AC1696" s="2">
        <v>41564.0</v>
      </c>
      <c r="AD1696" s="1">
        <v>1200.0</v>
      </c>
      <c r="AE1696" s="1" t="s">
        <v>647</v>
      </c>
      <c r="AF1696" s="1" t="s">
        <v>3201</v>
      </c>
      <c r="AG1696" s="1" t="s">
        <v>712</v>
      </c>
      <c r="AH1696" s="1">
        <v>1.0</v>
      </c>
      <c r="AI1696" s="1">
        <v>2015.0</v>
      </c>
      <c r="AJ1696" s="1">
        <v>2014.0</v>
      </c>
      <c r="AK1696" s="1" t="s">
        <v>713</v>
      </c>
    </row>
    <row r="1697">
      <c r="A1697" s="1" t="s">
        <v>3048</v>
      </c>
      <c r="B1697" s="1" t="s">
        <v>3048</v>
      </c>
      <c r="C1697" s="1" t="s">
        <v>645</v>
      </c>
      <c r="E1697" s="1">
        <v>4.58254144E8</v>
      </c>
      <c r="F1697" s="2">
        <v>41550.0</v>
      </c>
      <c r="G1697" s="1" t="s">
        <v>710</v>
      </c>
      <c r="I1697" s="1" t="s">
        <v>710</v>
      </c>
      <c r="L1697" s="1" t="s">
        <v>647</v>
      </c>
      <c r="M1697" s="1">
        <v>1200.0</v>
      </c>
      <c r="N1697" s="1" t="s">
        <v>647</v>
      </c>
      <c r="O1697" s="1">
        <v>7.0381949E7</v>
      </c>
      <c r="P1697" s="1" t="s">
        <v>605</v>
      </c>
      <c r="R1697" s="1" t="s">
        <v>606</v>
      </c>
      <c r="S1697" s="1" t="s">
        <v>44</v>
      </c>
      <c r="T1697" s="1" t="s">
        <v>45</v>
      </c>
      <c r="U1697" s="1">
        <v>4.82123033E8</v>
      </c>
      <c r="W1697" s="1" t="s">
        <v>607</v>
      </c>
      <c r="X1697" s="1" t="s">
        <v>45</v>
      </c>
      <c r="Y1697" s="1">
        <v>4.82123033E8</v>
      </c>
      <c r="AB1697" s="1">
        <v>121087.84</v>
      </c>
      <c r="AC1697" s="2">
        <v>41550.0</v>
      </c>
      <c r="AD1697" s="1">
        <v>1200.0</v>
      </c>
      <c r="AE1697" s="1" t="s">
        <v>647</v>
      </c>
      <c r="AF1697" s="1" t="s">
        <v>3202</v>
      </c>
      <c r="AG1697" s="1" t="s">
        <v>712</v>
      </c>
      <c r="AH1697" s="1">
        <v>1.0</v>
      </c>
      <c r="AI1697" s="1">
        <v>2015.0</v>
      </c>
      <c r="AJ1697" s="1">
        <v>2014.0</v>
      </c>
      <c r="AK1697" s="1" t="s">
        <v>713</v>
      </c>
    </row>
    <row r="1698">
      <c r="A1698" s="1" t="s">
        <v>3048</v>
      </c>
      <c r="B1698" s="1" t="s">
        <v>3048</v>
      </c>
      <c r="C1698" s="1" t="s">
        <v>645</v>
      </c>
      <c r="E1698" s="1">
        <v>4.58254144E8</v>
      </c>
      <c r="F1698" s="2">
        <v>41571.0</v>
      </c>
      <c r="G1698" s="1" t="s">
        <v>710</v>
      </c>
      <c r="I1698" s="1" t="s">
        <v>710</v>
      </c>
      <c r="L1698" s="1" t="s">
        <v>647</v>
      </c>
      <c r="M1698" s="1">
        <v>1200.0</v>
      </c>
      <c r="N1698" s="1" t="s">
        <v>647</v>
      </c>
      <c r="O1698" s="1">
        <v>1.01550176E8</v>
      </c>
      <c r="P1698" s="1" t="s">
        <v>719</v>
      </c>
      <c r="R1698" s="1" t="s">
        <v>720</v>
      </c>
      <c r="S1698" s="1" t="s">
        <v>44</v>
      </c>
      <c r="T1698" s="1" t="s">
        <v>45</v>
      </c>
      <c r="U1698" s="1">
        <v>4.82132731E8</v>
      </c>
      <c r="W1698" s="1" t="s">
        <v>44</v>
      </c>
      <c r="X1698" s="1" t="s">
        <v>45</v>
      </c>
      <c r="Y1698" s="1">
        <v>4.82132731E8</v>
      </c>
      <c r="Z1698" s="1">
        <v>1.01550176E8</v>
      </c>
      <c r="AA1698" s="1" t="s">
        <v>719</v>
      </c>
      <c r="AB1698" s="1">
        <v>277256.57</v>
      </c>
      <c r="AC1698" s="2">
        <v>41571.0</v>
      </c>
      <c r="AD1698" s="1">
        <v>1200.0</v>
      </c>
      <c r="AE1698" s="1" t="s">
        <v>647</v>
      </c>
      <c r="AF1698" s="1" t="s">
        <v>3203</v>
      </c>
      <c r="AG1698" s="1" t="s">
        <v>712</v>
      </c>
      <c r="AH1698" s="1">
        <v>1.0</v>
      </c>
      <c r="AI1698" s="1">
        <v>2015.0</v>
      </c>
      <c r="AJ1698" s="1">
        <v>2014.0</v>
      </c>
      <c r="AK1698" s="1" t="s">
        <v>713</v>
      </c>
    </row>
    <row r="1699">
      <c r="A1699" s="1" t="s">
        <v>3048</v>
      </c>
      <c r="B1699" s="1" t="s">
        <v>3048</v>
      </c>
      <c r="C1699" s="1" t="s">
        <v>645</v>
      </c>
      <c r="E1699" s="1">
        <v>4.58254144E8</v>
      </c>
      <c r="F1699" s="2">
        <v>41585.0</v>
      </c>
      <c r="G1699" s="1" t="s">
        <v>710</v>
      </c>
      <c r="I1699" s="1" t="s">
        <v>710</v>
      </c>
      <c r="L1699" s="1" t="s">
        <v>647</v>
      </c>
      <c r="M1699" s="1">
        <v>1200.0</v>
      </c>
      <c r="N1699" s="1" t="s">
        <v>647</v>
      </c>
      <c r="O1699" s="1">
        <v>9.26909602E8</v>
      </c>
      <c r="P1699" s="1" t="s">
        <v>897</v>
      </c>
      <c r="R1699" s="1" t="s">
        <v>898</v>
      </c>
      <c r="S1699" s="1" t="s">
        <v>44</v>
      </c>
      <c r="T1699" s="1" t="s">
        <v>45</v>
      </c>
      <c r="U1699" s="1">
        <v>4.82283509E8</v>
      </c>
      <c r="W1699" s="1" t="s">
        <v>44</v>
      </c>
      <c r="X1699" s="1" t="s">
        <v>45</v>
      </c>
      <c r="Y1699" s="1">
        <v>4.82283509E8</v>
      </c>
      <c r="AB1699" s="1">
        <v>38007.32</v>
      </c>
      <c r="AC1699" s="2">
        <v>41585.0</v>
      </c>
      <c r="AD1699" s="1">
        <v>1200.0</v>
      </c>
      <c r="AE1699" s="1" t="s">
        <v>647</v>
      </c>
      <c r="AF1699" s="1" t="s">
        <v>3204</v>
      </c>
      <c r="AG1699" s="1" t="s">
        <v>712</v>
      </c>
      <c r="AH1699" s="1">
        <v>1.0</v>
      </c>
      <c r="AI1699" s="1">
        <v>2015.0</v>
      </c>
      <c r="AJ1699" s="1">
        <v>2014.0</v>
      </c>
      <c r="AK1699" s="1" t="s">
        <v>713</v>
      </c>
    </row>
    <row r="1700">
      <c r="A1700" s="1" t="s">
        <v>3048</v>
      </c>
      <c r="B1700" s="1" t="s">
        <v>3048</v>
      </c>
      <c r="C1700" s="1" t="s">
        <v>645</v>
      </c>
      <c r="E1700" s="1">
        <v>4.58254144E8</v>
      </c>
      <c r="F1700" s="2">
        <v>41564.0</v>
      </c>
      <c r="G1700" s="1" t="s">
        <v>710</v>
      </c>
      <c r="I1700" s="1" t="s">
        <v>710</v>
      </c>
      <c r="L1700" s="1" t="s">
        <v>647</v>
      </c>
      <c r="M1700" s="1">
        <v>1200.0</v>
      </c>
      <c r="N1700" s="1" t="s">
        <v>647</v>
      </c>
      <c r="O1700" s="1">
        <v>1.6388758E7</v>
      </c>
      <c r="P1700" s="1" t="s">
        <v>3139</v>
      </c>
      <c r="Q1700" s="1" t="s">
        <v>3140</v>
      </c>
      <c r="R1700" s="1" t="s">
        <v>281</v>
      </c>
      <c r="S1700" s="1" t="s">
        <v>44</v>
      </c>
      <c r="T1700" s="1" t="s">
        <v>45</v>
      </c>
      <c r="U1700" s="1">
        <v>4.82033277E8</v>
      </c>
      <c r="W1700" s="1" t="s">
        <v>603</v>
      </c>
      <c r="X1700" s="1" t="s">
        <v>45</v>
      </c>
      <c r="Y1700" s="1">
        <v>4.82033277E8</v>
      </c>
      <c r="AB1700" s="1">
        <v>95443.11</v>
      </c>
      <c r="AC1700" s="2">
        <v>41564.0</v>
      </c>
      <c r="AD1700" s="1">
        <v>1200.0</v>
      </c>
      <c r="AE1700" s="1" t="s">
        <v>647</v>
      </c>
      <c r="AF1700" s="1" t="s">
        <v>3205</v>
      </c>
      <c r="AG1700" s="1" t="s">
        <v>712</v>
      </c>
      <c r="AH1700" s="1">
        <v>1.0</v>
      </c>
      <c r="AI1700" s="1">
        <v>2015.0</v>
      </c>
      <c r="AJ1700" s="1">
        <v>2014.0</v>
      </c>
      <c r="AK1700" s="1" t="s">
        <v>713</v>
      </c>
    </row>
    <row r="1701">
      <c r="A1701" s="1" t="s">
        <v>3048</v>
      </c>
      <c r="B1701" s="1" t="s">
        <v>3048</v>
      </c>
      <c r="C1701" s="1" t="s">
        <v>645</v>
      </c>
      <c r="E1701" s="1">
        <v>4.58254144E8</v>
      </c>
      <c r="F1701" s="2">
        <v>41592.0</v>
      </c>
      <c r="G1701" s="1" t="s">
        <v>710</v>
      </c>
      <c r="I1701" s="1" t="s">
        <v>710</v>
      </c>
      <c r="L1701" s="1" t="s">
        <v>647</v>
      </c>
      <c r="M1701" s="1">
        <v>1200.0</v>
      </c>
      <c r="N1701" s="1" t="s">
        <v>647</v>
      </c>
      <c r="O1701" s="1">
        <v>7.8634042E7</v>
      </c>
      <c r="P1701" s="1" t="s">
        <v>2998</v>
      </c>
      <c r="R1701" s="1" t="s">
        <v>475</v>
      </c>
      <c r="S1701" s="1" t="s">
        <v>44</v>
      </c>
      <c r="T1701" s="1" t="s">
        <v>45</v>
      </c>
      <c r="U1701" s="1">
        <v>4.82133744E8</v>
      </c>
      <c r="W1701" s="1" t="s">
        <v>46</v>
      </c>
      <c r="X1701" s="1" t="s">
        <v>45</v>
      </c>
      <c r="Y1701" s="1">
        <v>4.82133744E8</v>
      </c>
      <c r="AB1701" s="1">
        <v>162168.61</v>
      </c>
      <c r="AC1701" s="2">
        <v>41592.0</v>
      </c>
      <c r="AD1701" s="1">
        <v>1200.0</v>
      </c>
      <c r="AE1701" s="1" t="s">
        <v>647</v>
      </c>
      <c r="AF1701" s="1" t="s">
        <v>3206</v>
      </c>
      <c r="AG1701" s="1" t="s">
        <v>712</v>
      </c>
      <c r="AH1701" s="1">
        <v>1.0</v>
      </c>
      <c r="AI1701" s="1">
        <v>2015.0</v>
      </c>
      <c r="AJ1701" s="1">
        <v>2014.0</v>
      </c>
      <c r="AK1701" s="1" t="s">
        <v>713</v>
      </c>
    </row>
    <row r="1702">
      <c r="A1702" s="1" t="s">
        <v>3048</v>
      </c>
      <c r="B1702" s="1" t="s">
        <v>3048</v>
      </c>
      <c r="C1702" s="1" t="s">
        <v>645</v>
      </c>
      <c r="E1702" s="1">
        <v>4.58254144E8</v>
      </c>
      <c r="F1702" s="2">
        <v>41592.0</v>
      </c>
      <c r="G1702" s="1" t="s">
        <v>710</v>
      </c>
      <c r="I1702" s="1" t="s">
        <v>710</v>
      </c>
      <c r="L1702" s="1" t="s">
        <v>647</v>
      </c>
      <c r="M1702" s="1">
        <v>1200.0</v>
      </c>
      <c r="N1702" s="1" t="s">
        <v>647</v>
      </c>
      <c r="O1702" s="1">
        <v>8.3082572E8</v>
      </c>
      <c r="P1702" s="1" t="s">
        <v>465</v>
      </c>
      <c r="Q1702" s="1" t="s">
        <v>554</v>
      </c>
      <c r="R1702" s="1" t="s">
        <v>555</v>
      </c>
      <c r="S1702" s="1" t="s">
        <v>44</v>
      </c>
      <c r="T1702" s="1" t="s">
        <v>45</v>
      </c>
      <c r="U1702" s="1">
        <v>4.82024061E8</v>
      </c>
      <c r="W1702" s="1" t="s">
        <v>44</v>
      </c>
      <c r="X1702" s="1" t="s">
        <v>45</v>
      </c>
      <c r="Y1702" s="1">
        <v>4.82023457E8</v>
      </c>
      <c r="Z1702" s="1">
        <v>1.6338926E8</v>
      </c>
      <c r="AA1702" s="1" t="s">
        <v>465</v>
      </c>
      <c r="AB1702" s="1">
        <v>133692.1</v>
      </c>
      <c r="AC1702" s="2">
        <v>41592.0</v>
      </c>
      <c r="AD1702" s="1">
        <v>1200.0</v>
      </c>
      <c r="AE1702" s="1" t="s">
        <v>647</v>
      </c>
      <c r="AF1702" s="1" t="s">
        <v>3207</v>
      </c>
      <c r="AG1702" s="1" t="s">
        <v>712</v>
      </c>
      <c r="AH1702" s="1">
        <v>1.0</v>
      </c>
      <c r="AI1702" s="1">
        <v>2015.0</v>
      </c>
      <c r="AJ1702" s="1">
        <v>2014.0</v>
      </c>
      <c r="AK1702" s="1" t="s">
        <v>713</v>
      </c>
    </row>
    <row r="1703">
      <c r="A1703" s="1" t="s">
        <v>3048</v>
      </c>
      <c r="B1703" s="1" t="s">
        <v>3048</v>
      </c>
      <c r="C1703" s="1" t="s">
        <v>645</v>
      </c>
      <c r="E1703" s="1">
        <v>4.58254144E8</v>
      </c>
      <c r="F1703" s="2">
        <v>41564.0</v>
      </c>
      <c r="G1703" s="1" t="s">
        <v>710</v>
      </c>
      <c r="I1703" s="1" t="s">
        <v>710</v>
      </c>
      <c r="L1703" s="1" t="s">
        <v>647</v>
      </c>
      <c r="M1703" s="1">
        <v>1200.0</v>
      </c>
      <c r="N1703" s="1" t="s">
        <v>647</v>
      </c>
      <c r="O1703" s="1">
        <v>4.2136734E7</v>
      </c>
      <c r="P1703" s="1" t="s">
        <v>557</v>
      </c>
      <c r="R1703" s="1" t="s">
        <v>558</v>
      </c>
      <c r="S1703" s="1" t="s">
        <v>44</v>
      </c>
      <c r="T1703" s="1" t="s">
        <v>45</v>
      </c>
      <c r="U1703" s="1">
        <v>4.82082204E8</v>
      </c>
      <c r="W1703" s="1" t="s">
        <v>44</v>
      </c>
      <c r="X1703" s="1" t="s">
        <v>45</v>
      </c>
      <c r="Y1703" s="1">
        <v>4.82082204E8</v>
      </c>
      <c r="AB1703" s="1">
        <v>56220.28</v>
      </c>
      <c r="AC1703" s="2">
        <v>41564.0</v>
      </c>
      <c r="AD1703" s="1">
        <v>1200.0</v>
      </c>
      <c r="AE1703" s="1" t="s">
        <v>647</v>
      </c>
      <c r="AF1703" s="1" t="s">
        <v>3208</v>
      </c>
      <c r="AG1703" s="1" t="s">
        <v>712</v>
      </c>
      <c r="AH1703" s="1">
        <v>1.0</v>
      </c>
      <c r="AI1703" s="1">
        <v>2015.0</v>
      </c>
      <c r="AJ1703" s="1">
        <v>2014.0</v>
      </c>
      <c r="AK1703" s="1" t="s">
        <v>713</v>
      </c>
    </row>
    <row r="1704">
      <c r="A1704" s="1" t="s">
        <v>3048</v>
      </c>
      <c r="B1704" s="1" t="s">
        <v>3048</v>
      </c>
      <c r="C1704" s="1" t="s">
        <v>645</v>
      </c>
      <c r="E1704" s="1">
        <v>4.58254144E8</v>
      </c>
      <c r="F1704" s="2">
        <v>41557.0</v>
      </c>
      <c r="G1704" s="1" t="s">
        <v>710</v>
      </c>
      <c r="I1704" s="1" t="s">
        <v>710</v>
      </c>
      <c r="L1704" s="1" t="s">
        <v>647</v>
      </c>
      <c r="M1704" s="1">
        <v>1200.0</v>
      </c>
      <c r="N1704" s="1" t="s">
        <v>647</v>
      </c>
      <c r="O1704" s="1">
        <v>3.7602699E7</v>
      </c>
      <c r="P1704" s="1" t="s">
        <v>535</v>
      </c>
      <c r="R1704" s="1" t="s">
        <v>536</v>
      </c>
      <c r="S1704" s="1" t="s">
        <v>44</v>
      </c>
      <c r="T1704" s="1" t="s">
        <v>45</v>
      </c>
      <c r="U1704" s="1">
        <v>4.82052545E8</v>
      </c>
      <c r="W1704" s="1" t="s">
        <v>46</v>
      </c>
      <c r="X1704" s="1" t="s">
        <v>45</v>
      </c>
      <c r="Y1704" s="1">
        <v>4.82052545E8</v>
      </c>
      <c r="AB1704" s="1">
        <v>219230.19</v>
      </c>
      <c r="AC1704" s="2">
        <v>41557.0</v>
      </c>
      <c r="AD1704" s="1">
        <v>1200.0</v>
      </c>
      <c r="AE1704" s="1" t="s">
        <v>647</v>
      </c>
      <c r="AF1704" s="1" t="s">
        <v>3209</v>
      </c>
      <c r="AG1704" s="1" t="s">
        <v>712</v>
      </c>
      <c r="AH1704" s="1">
        <v>1.0</v>
      </c>
      <c r="AI1704" s="1">
        <v>2015.0</v>
      </c>
      <c r="AJ1704" s="1">
        <v>2014.0</v>
      </c>
      <c r="AK1704" s="1" t="s">
        <v>713</v>
      </c>
    </row>
    <row r="1705">
      <c r="A1705" s="1" t="s">
        <v>3048</v>
      </c>
      <c r="B1705" s="1" t="s">
        <v>3048</v>
      </c>
      <c r="C1705" s="1" t="s">
        <v>645</v>
      </c>
      <c r="E1705" s="1">
        <v>4.58254144E8</v>
      </c>
      <c r="F1705" s="2">
        <v>41557.0</v>
      </c>
      <c r="G1705" s="1" t="s">
        <v>710</v>
      </c>
      <c r="I1705" s="1" t="s">
        <v>710</v>
      </c>
      <c r="L1705" s="1" t="s">
        <v>647</v>
      </c>
      <c r="M1705" s="1">
        <v>1200.0</v>
      </c>
      <c r="N1705" s="1" t="s">
        <v>647</v>
      </c>
      <c r="O1705" s="1">
        <v>1.23577707E8</v>
      </c>
      <c r="P1705" s="1" t="s">
        <v>563</v>
      </c>
      <c r="R1705" s="1" t="s">
        <v>565</v>
      </c>
      <c r="S1705" s="1" t="s">
        <v>44</v>
      </c>
      <c r="T1705" s="1" t="s">
        <v>45</v>
      </c>
      <c r="U1705" s="1">
        <v>4.8228333E8</v>
      </c>
      <c r="W1705" s="1" t="s">
        <v>44</v>
      </c>
      <c r="X1705" s="1" t="s">
        <v>45</v>
      </c>
      <c r="Y1705" s="1">
        <v>4.82283396E8</v>
      </c>
      <c r="Z1705" s="1">
        <v>9.60742484E8</v>
      </c>
      <c r="AB1705" s="1">
        <v>272006.24</v>
      </c>
      <c r="AC1705" s="2">
        <v>41557.0</v>
      </c>
      <c r="AD1705" s="1">
        <v>1200.0</v>
      </c>
      <c r="AE1705" s="1" t="s">
        <v>647</v>
      </c>
      <c r="AF1705" s="1" t="s">
        <v>3210</v>
      </c>
      <c r="AG1705" s="1" t="s">
        <v>712</v>
      </c>
      <c r="AH1705" s="1">
        <v>1.0</v>
      </c>
      <c r="AI1705" s="1">
        <v>2015.0</v>
      </c>
      <c r="AJ1705" s="1">
        <v>2014.0</v>
      </c>
      <c r="AK1705" s="1" t="s">
        <v>713</v>
      </c>
    </row>
    <row r="1706">
      <c r="A1706" s="1" t="s">
        <v>3048</v>
      </c>
      <c r="B1706" s="1" t="s">
        <v>3048</v>
      </c>
      <c r="C1706" s="1" t="s">
        <v>645</v>
      </c>
      <c r="E1706" s="1">
        <v>4.58254144E8</v>
      </c>
      <c r="F1706" s="2">
        <v>41557.0</v>
      </c>
      <c r="G1706" s="1" t="s">
        <v>710</v>
      </c>
      <c r="I1706" s="1" t="s">
        <v>710</v>
      </c>
      <c r="L1706" s="1" t="s">
        <v>647</v>
      </c>
      <c r="M1706" s="1">
        <v>1200.0</v>
      </c>
      <c r="N1706" s="1" t="s">
        <v>647</v>
      </c>
      <c r="O1706" s="1">
        <v>3.7602699E7</v>
      </c>
      <c r="P1706" s="1" t="s">
        <v>535</v>
      </c>
      <c r="R1706" s="1" t="s">
        <v>536</v>
      </c>
      <c r="S1706" s="1" t="s">
        <v>44</v>
      </c>
      <c r="T1706" s="1" t="s">
        <v>45</v>
      </c>
      <c r="U1706" s="1">
        <v>4.82052545E8</v>
      </c>
      <c r="W1706" s="1" t="s">
        <v>46</v>
      </c>
      <c r="X1706" s="1" t="s">
        <v>45</v>
      </c>
      <c r="Y1706" s="1">
        <v>4.82052545E8</v>
      </c>
      <c r="AB1706" s="1">
        <v>108283.48</v>
      </c>
      <c r="AC1706" s="2">
        <v>41557.0</v>
      </c>
      <c r="AD1706" s="1">
        <v>1200.0</v>
      </c>
      <c r="AE1706" s="1" t="s">
        <v>647</v>
      </c>
      <c r="AF1706" s="1" t="s">
        <v>3211</v>
      </c>
      <c r="AG1706" s="1" t="s">
        <v>712</v>
      </c>
      <c r="AH1706" s="1">
        <v>1.0</v>
      </c>
      <c r="AI1706" s="1">
        <v>2015.0</v>
      </c>
      <c r="AJ1706" s="1">
        <v>2014.0</v>
      </c>
      <c r="AK1706" s="1" t="s">
        <v>713</v>
      </c>
    </row>
    <row r="1707">
      <c r="A1707" s="1" t="s">
        <v>3048</v>
      </c>
      <c r="B1707" s="1" t="s">
        <v>3048</v>
      </c>
      <c r="C1707" s="1" t="s">
        <v>645</v>
      </c>
      <c r="E1707" s="1">
        <v>4.58254144E8</v>
      </c>
      <c r="F1707" s="2">
        <v>41564.0</v>
      </c>
      <c r="G1707" s="1" t="s">
        <v>710</v>
      </c>
      <c r="I1707" s="1" t="s">
        <v>710</v>
      </c>
      <c r="L1707" s="1" t="s">
        <v>647</v>
      </c>
      <c r="M1707" s="1">
        <v>1200.0</v>
      </c>
      <c r="N1707" s="1" t="s">
        <v>647</v>
      </c>
      <c r="O1707" s="1">
        <v>9.62949843E8</v>
      </c>
      <c r="P1707" s="1" t="s">
        <v>619</v>
      </c>
      <c r="R1707" s="1" t="s">
        <v>620</v>
      </c>
      <c r="S1707" s="1" t="s">
        <v>44</v>
      </c>
      <c r="T1707" s="1" t="s">
        <v>45</v>
      </c>
      <c r="U1707" s="1">
        <v>4.82042306E8</v>
      </c>
      <c r="W1707" s="1" t="s">
        <v>44</v>
      </c>
      <c r="X1707" s="1" t="s">
        <v>45</v>
      </c>
      <c r="Y1707" s="1">
        <v>4.82042306E8</v>
      </c>
      <c r="AB1707" s="1">
        <v>27980.47</v>
      </c>
      <c r="AC1707" s="2">
        <v>41564.0</v>
      </c>
      <c r="AD1707" s="1">
        <v>1200.0</v>
      </c>
      <c r="AE1707" s="1" t="s">
        <v>647</v>
      </c>
      <c r="AF1707" s="1" t="s">
        <v>3212</v>
      </c>
      <c r="AG1707" s="1" t="s">
        <v>712</v>
      </c>
      <c r="AH1707" s="1">
        <v>1.0</v>
      </c>
      <c r="AI1707" s="1">
        <v>2015.0</v>
      </c>
      <c r="AJ1707" s="1">
        <v>2014.0</v>
      </c>
      <c r="AK1707" s="1" t="s">
        <v>713</v>
      </c>
    </row>
    <row r="1708">
      <c r="A1708" s="1" t="s">
        <v>3048</v>
      </c>
      <c r="B1708" s="1" t="s">
        <v>3048</v>
      </c>
      <c r="C1708" s="1" t="s">
        <v>645</v>
      </c>
      <c r="E1708" s="1">
        <v>4.58254144E8</v>
      </c>
      <c r="F1708" s="2">
        <v>41550.0</v>
      </c>
      <c r="G1708" s="1" t="s">
        <v>710</v>
      </c>
      <c r="I1708" s="1" t="s">
        <v>710</v>
      </c>
      <c r="L1708" s="1" t="s">
        <v>647</v>
      </c>
      <c r="M1708" s="1">
        <v>1200.0</v>
      </c>
      <c r="N1708" s="1" t="s">
        <v>647</v>
      </c>
      <c r="O1708" s="1">
        <v>6.07448487E8</v>
      </c>
      <c r="P1708" s="1" t="s">
        <v>938</v>
      </c>
      <c r="R1708" s="1" t="s">
        <v>939</v>
      </c>
      <c r="S1708" s="1" t="s">
        <v>44</v>
      </c>
      <c r="T1708" s="1" t="s">
        <v>45</v>
      </c>
      <c r="U1708" s="1">
        <v>4.82242829E8</v>
      </c>
      <c r="W1708" s="1" t="s">
        <v>44</v>
      </c>
      <c r="X1708" s="1" t="s">
        <v>45</v>
      </c>
      <c r="Y1708" s="1">
        <v>4.82242829E8</v>
      </c>
      <c r="Z1708" s="1">
        <v>6.07448487E8</v>
      </c>
      <c r="AB1708" s="1">
        <v>48263.78</v>
      </c>
      <c r="AC1708" s="2">
        <v>41550.0</v>
      </c>
      <c r="AD1708" s="1">
        <v>1200.0</v>
      </c>
      <c r="AE1708" s="1" t="s">
        <v>647</v>
      </c>
      <c r="AF1708" s="1" t="s">
        <v>3213</v>
      </c>
      <c r="AG1708" s="1" t="s">
        <v>712</v>
      </c>
      <c r="AH1708" s="1">
        <v>1.0</v>
      </c>
      <c r="AI1708" s="1">
        <v>2015.0</v>
      </c>
      <c r="AJ1708" s="1">
        <v>2014.0</v>
      </c>
      <c r="AK1708" s="1" t="s">
        <v>713</v>
      </c>
    </row>
    <row r="1709">
      <c r="A1709" s="1" t="s">
        <v>3048</v>
      </c>
      <c r="B1709" s="1" t="s">
        <v>3048</v>
      </c>
      <c r="C1709" s="1" t="s">
        <v>645</v>
      </c>
      <c r="E1709" s="1">
        <v>4.58254144E8</v>
      </c>
      <c r="F1709" s="2">
        <v>41473.0</v>
      </c>
      <c r="G1709" s="1" t="s">
        <v>710</v>
      </c>
      <c r="I1709" s="1" t="s">
        <v>710</v>
      </c>
      <c r="L1709" s="1" t="s">
        <v>647</v>
      </c>
      <c r="M1709" s="1">
        <v>1200.0</v>
      </c>
      <c r="N1709" s="1" t="s">
        <v>647</v>
      </c>
      <c r="O1709" s="1">
        <v>1.47552186E8</v>
      </c>
      <c r="P1709" s="1" t="s">
        <v>822</v>
      </c>
      <c r="R1709" s="1" t="s">
        <v>823</v>
      </c>
      <c r="S1709" s="1" t="s">
        <v>44</v>
      </c>
      <c r="T1709" s="1" t="s">
        <v>45</v>
      </c>
      <c r="U1709" s="1">
        <v>4.82191857E8</v>
      </c>
      <c r="W1709" s="1" t="s">
        <v>44</v>
      </c>
      <c r="X1709" s="1" t="s">
        <v>45</v>
      </c>
      <c r="Y1709" s="1">
        <v>4.82191857E8</v>
      </c>
      <c r="AB1709" s="1">
        <v>67608.11</v>
      </c>
      <c r="AC1709" s="2">
        <v>41473.0</v>
      </c>
      <c r="AD1709" s="1">
        <v>1200.0</v>
      </c>
      <c r="AE1709" s="1" t="s">
        <v>647</v>
      </c>
      <c r="AF1709" s="1" t="s">
        <v>3214</v>
      </c>
      <c r="AG1709" s="1" t="s">
        <v>712</v>
      </c>
      <c r="AH1709" s="1">
        <v>1.0</v>
      </c>
      <c r="AI1709" s="1">
        <v>2015.0</v>
      </c>
      <c r="AJ1709" s="1">
        <v>2013.0</v>
      </c>
      <c r="AK1709" s="1" t="s">
        <v>713</v>
      </c>
    </row>
    <row r="1710">
      <c r="A1710" s="1" t="s">
        <v>3048</v>
      </c>
      <c r="B1710" s="1" t="s">
        <v>3048</v>
      </c>
      <c r="C1710" s="1" t="s">
        <v>645</v>
      </c>
      <c r="E1710" s="1">
        <v>4.58254144E8</v>
      </c>
      <c r="F1710" s="2">
        <v>41571.0</v>
      </c>
      <c r="G1710" s="1" t="s">
        <v>710</v>
      </c>
      <c r="I1710" s="1" t="s">
        <v>710</v>
      </c>
      <c r="L1710" s="1" t="s">
        <v>647</v>
      </c>
      <c r="M1710" s="1">
        <v>1200.0</v>
      </c>
      <c r="N1710" s="1" t="s">
        <v>647</v>
      </c>
      <c r="O1710" s="1">
        <v>7.6340843E7</v>
      </c>
      <c r="P1710" s="1" t="s">
        <v>461</v>
      </c>
      <c r="R1710" s="1" t="s">
        <v>1599</v>
      </c>
      <c r="S1710" s="1" t="s">
        <v>44</v>
      </c>
      <c r="T1710" s="1" t="s">
        <v>45</v>
      </c>
      <c r="U1710" s="1">
        <v>4.8202301E8</v>
      </c>
      <c r="W1710" s="1" t="s">
        <v>44</v>
      </c>
      <c r="X1710" s="1" t="s">
        <v>45</v>
      </c>
      <c r="Y1710" s="1">
        <v>4.82023096E8</v>
      </c>
      <c r="Z1710" s="1">
        <v>7.6340843E7</v>
      </c>
      <c r="AA1710" s="1" t="s">
        <v>461</v>
      </c>
      <c r="AB1710" s="3">
        <v>2.313128377E7</v>
      </c>
      <c r="AC1710" s="2">
        <v>41571.0</v>
      </c>
      <c r="AD1710" s="1">
        <v>1200.0</v>
      </c>
      <c r="AE1710" s="1" t="s">
        <v>647</v>
      </c>
      <c r="AF1710" s="1" t="s">
        <v>3215</v>
      </c>
      <c r="AG1710" s="1" t="s">
        <v>712</v>
      </c>
      <c r="AH1710" s="1">
        <v>1.0</v>
      </c>
      <c r="AI1710" s="1">
        <v>2015.0</v>
      </c>
      <c r="AJ1710" s="1">
        <v>2014.0</v>
      </c>
      <c r="AK1710" s="1" t="s">
        <v>713</v>
      </c>
    </row>
    <row r="1711">
      <c r="A1711" s="1" t="s">
        <v>3048</v>
      </c>
      <c r="B1711" s="1" t="s">
        <v>3048</v>
      </c>
      <c r="C1711" s="1" t="s">
        <v>645</v>
      </c>
      <c r="E1711" s="1">
        <v>4.58254144E8</v>
      </c>
      <c r="F1711" s="2">
        <v>41550.0</v>
      </c>
      <c r="G1711" s="1" t="s">
        <v>710</v>
      </c>
      <c r="I1711" s="1" t="s">
        <v>710</v>
      </c>
      <c r="L1711" s="1" t="s">
        <v>647</v>
      </c>
      <c r="M1711" s="1">
        <v>1200.0</v>
      </c>
      <c r="N1711" s="1" t="s">
        <v>647</v>
      </c>
      <c r="O1711" s="1">
        <v>2.7504143E7</v>
      </c>
      <c r="P1711" s="1" t="s">
        <v>723</v>
      </c>
      <c r="R1711" s="1" t="s">
        <v>724</v>
      </c>
      <c r="S1711" s="1" t="s">
        <v>44</v>
      </c>
      <c r="T1711" s="1" t="s">
        <v>45</v>
      </c>
      <c r="U1711" s="1">
        <v>4.82211963E8</v>
      </c>
      <c r="W1711" s="1" t="s">
        <v>44</v>
      </c>
      <c r="X1711" s="1" t="s">
        <v>45</v>
      </c>
      <c r="Y1711" s="1">
        <v>4.82211963E8</v>
      </c>
      <c r="AB1711" s="1">
        <v>90261.32</v>
      </c>
      <c r="AC1711" s="2">
        <v>41550.0</v>
      </c>
      <c r="AD1711" s="1">
        <v>1200.0</v>
      </c>
      <c r="AE1711" s="1" t="s">
        <v>647</v>
      </c>
      <c r="AF1711" s="1" t="s">
        <v>3216</v>
      </c>
      <c r="AG1711" s="1" t="s">
        <v>712</v>
      </c>
      <c r="AH1711" s="1">
        <v>1.0</v>
      </c>
      <c r="AI1711" s="1">
        <v>2015.0</v>
      </c>
      <c r="AJ1711" s="1">
        <v>2014.0</v>
      </c>
      <c r="AK1711" s="1" t="s">
        <v>713</v>
      </c>
    </row>
    <row r="1712">
      <c r="A1712" s="1" t="s">
        <v>3048</v>
      </c>
      <c r="B1712" s="1" t="s">
        <v>3048</v>
      </c>
      <c r="C1712" s="1" t="s">
        <v>645</v>
      </c>
      <c r="E1712" s="1">
        <v>4.58254144E8</v>
      </c>
      <c r="F1712" s="2">
        <v>41564.0</v>
      </c>
      <c r="G1712" s="1" t="s">
        <v>710</v>
      </c>
      <c r="I1712" s="1" t="s">
        <v>710</v>
      </c>
      <c r="L1712" s="1" t="s">
        <v>647</v>
      </c>
      <c r="M1712" s="1">
        <v>1200.0</v>
      </c>
      <c r="N1712" s="1" t="s">
        <v>647</v>
      </c>
      <c r="O1712" s="1">
        <v>5.2874042E7</v>
      </c>
      <c r="P1712" s="1" t="s">
        <v>538</v>
      </c>
      <c r="R1712" s="1" t="s">
        <v>539</v>
      </c>
      <c r="S1712" s="1" t="s">
        <v>44</v>
      </c>
      <c r="T1712" s="1" t="s">
        <v>45</v>
      </c>
      <c r="U1712" s="1">
        <v>4.82091524E8</v>
      </c>
      <c r="W1712" s="1" t="s">
        <v>44</v>
      </c>
      <c r="X1712" s="1" t="s">
        <v>45</v>
      </c>
      <c r="Y1712" s="1">
        <v>4.82091524E8</v>
      </c>
      <c r="AB1712" s="1">
        <v>718980.4</v>
      </c>
      <c r="AC1712" s="2">
        <v>41564.0</v>
      </c>
      <c r="AD1712" s="1">
        <v>1200.0</v>
      </c>
      <c r="AE1712" s="1" t="s">
        <v>647</v>
      </c>
      <c r="AF1712" s="1" t="s">
        <v>3217</v>
      </c>
      <c r="AG1712" s="1" t="s">
        <v>712</v>
      </c>
      <c r="AH1712" s="1">
        <v>1.0</v>
      </c>
      <c r="AI1712" s="1">
        <v>2015.0</v>
      </c>
      <c r="AJ1712" s="1">
        <v>2014.0</v>
      </c>
      <c r="AK1712" s="1" t="s">
        <v>713</v>
      </c>
    </row>
    <row r="1713">
      <c r="A1713" s="1" t="s">
        <v>3048</v>
      </c>
      <c r="B1713" s="1" t="s">
        <v>3048</v>
      </c>
      <c r="C1713" s="1" t="s">
        <v>645</v>
      </c>
      <c r="E1713" s="1">
        <v>4.58254144E8</v>
      </c>
      <c r="F1713" s="2">
        <v>41571.0</v>
      </c>
      <c r="G1713" s="1" t="s">
        <v>710</v>
      </c>
      <c r="I1713" s="1" t="s">
        <v>710</v>
      </c>
      <c r="L1713" s="1" t="s">
        <v>647</v>
      </c>
      <c r="M1713" s="1">
        <v>1200.0</v>
      </c>
      <c r="N1713" s="1" t="s">
        <v>647</v>
      </c>
      <c r="O1713" s="1">
        <v>1.52807538E8</v>
      </c>
      <c r="P1713" s="1" t="s">
        <v>591</v>
      </c>
      <c r="R1713" s="1" t="s">
        <v>592</v>
      </c>
      <c r="S1713" s="1" t="s">
        <v>44</v>
      </c>
      <c r="T1713" s="1" t="s">
        <v>45</v>
      </c>
      <c r="U1713" s="1">
        <v>4.82191161E8</v>
      </c>
      <c r="W1713" s="1" t="s">
        <v>44</v>
      </c>
      <c r="X1713" s="1" t="s">
        <v>45</v>
      </c>
      <c r="Y1713" s="1">
        <v>4.82191161E8</v>
      </c>
      <c r="AB1713" s="1">
        <v>26561.89</v>
      </c>
      <c r="AC1713" s="2">
        <v>41571.0</v>
      </c>
      <c r="AD1713" s="1">
        <v>1200.0</v>
      </c>
      <c r="AE1713" s="1" t="s">
        <v>647</v>
      </c>
      <c r="AF1713" s="1" t="s">
        <v>3218</v>
      </c>
      <c r="AG1713" s="1" t="s">
        <v>712</v>
      </c>
      <c r="AH1713" s="1">
        <v>1.0</v>
      </c>
      <c r="AI1713" s="1">
        <v>2015.0</v>
      </c>
      <c r="AJ1713" s="1">
        <v>2014.0</v>
      </c>
      <c r="AK1713" s="1" t="s">
        <v>713</v>
      </c>
    </row>
    <row r="1714">
      <c r="A1714" s="1" t="s">
        <v>3048</v>
      </c>
      <c r="B1714" s="1" t="s">
        <v>3048</v>
      </c>
      <c r="C1714" s="1" t="s">
        <v>645</v>
      </c>
      <c r="E1714" s="1">
        <v>4.58254144E8</v>
      </c>
      <c r="F1714" s="2">
        <v>41683.0</v>
      </c>
      <c r="G1714" s="1" t="s">
        <v>710</v>
      </c>
      <c r="I1714" s="1" t="s">
        <v>710</v>
      </c>
      <c r="L1714" s="1" t="s">
        <v>647</v>
      </c>
      <c r="M1714" s="1">
        <v>1200.0</v>
      </c>
      <c r="N1714" s="1" t="s">
        <v>647</v>
      </c>
      <c r="O1714" s="1">
        <v>7.6340843E7</v>
      </c>
      <c r="P1714" s="1" t="s">
        <v>461</v>
      </c>
      <c r="R1714" s="1" t="s">
        <v>1599</v>
      </c>
      <c r="S1714" s="1" t="s">
        <v>44</v>
      </c>
      <c r="T1714" s="1" t="s">
        <v>45</v>
      </c>
      <c r="U1714" s="1">
        <v>4.8202301E8</v>
      </c>
      <c r="W1714" s="1" t="s">
        <v>44</v>
      </c>
      <c r="X1714" s="1" t="s">
        <v>45</v>
      </c>
      <c r="Y1714" s="1">
        <v>4.82023096E8</v>
      </c>
      <c r="Z1714" s="1">
        <v>7.6340843E7</v>
      </c>
      <c r="AA1714" s="1" t="s">
        <v>461</v>
      </c>
      <c r="AB1714" s="1">
        <v>135852.99</v>
      </c>
      <c r="AC1714" s="2">
        <v>41683.0</v>
      </c>
      <c r="AD1714" s="1">
        <v>1200.0</v>
      </c>
      <c r="AE1714" s="1" t="s">
        <v>647</v>
      </c>
      <c r="AF1714" s="1" t="s">
        <v>3219</v>
      </c>
      <c r="AG1714" s="1" t="s">
        <v>712</v>
      </c>
      <c r="AH1714" s="1">
        <v>1.0</v>
      </c>
      <c r="AI1714" s="1">
        <v>2015.0</v>
      </c>
      <c r="AJ1714" s="1">
        <v>2014.0</v>
      </c>
      <c r="AK1714" s="1" t="s">
        <v>713</v>
      </c>
    </row>
    <row r="1715">
      <c r="A1715" s="1" t="s">
        <v>3048</v>
      </c>
      <c r="B1715" s="1" t="s">
        <v>3048</v>
      </c>
      <c r="C1715" s="1" t="s">
        <v>645</v>
      </c>
      <c r="E1715" s="1">
        <v>4.58254144E8</v>
      </c>
      <c r="F1715" s="2">
        <v>41557.0</v>
      </c>
      <c r="G1715" s="1" t="s">
        <v>710</v>
      </c>
      <c r="I1715" s="1" t="s">
        <v>710</v>
      </c>
      <c r="L1715" s="1" t="s">
        <v>647</v>
      </c>
      <c r="M1715" s="1">
        <v>1200.0</v>
      </c>
      <c r="N1715" s="1" t="s">
        <v>647</v>
      </c>
      <c r="O1715" s="1">
        <v>2.5773859E7</v>
      </c>
      <c r="P1715" s="1" t="s">
        <v>872</v>
      </c>
      <c r="R1715" s="1" t="s">
        <v>873</v>
      </c>
      <c r="S1715" s="1" t="s">
        <v>44</v>
      </c>
      <c r="T1715" s="1" t="s">
        <v>45</v>
      </c>
      <c r="U1715" s="1">
        <v>4.82042042E8</v>
      </c>
      <c r="W1715" s="1" t="s">
        <v>44</v>
      </c>
      <c r="X1715" s="1" t="s">
        <v>45</v>
      </c>
      <c r="Y1715" s="1">
        <v>4.82042042E8</v>
      </c>
      <c r="AB1715" s="1">
        <v>174191.2</v>
      </c>
      <c r="AC1715" s="2">
        <v>41557.0</v>
      </c>
      <c r="AD1715" s="1">
        <v>1200.0</v>
      </c>
      <c r="AE1715" s="1" t="s">
        <v>647</v>
      </c>
      <c r="AF1715" s="1" t="s">
        <v>3220</v>
      </c>
      <c r="AG1715" s="1" t="s">
        <v>712</v>
      </c>
      <c r="AH1715" s="1">
        <v>1.0</v>
      </c>
      <c r="AI1715" s="1">
        <v>2015.0</v>
      </c>
      <c r="AJ1715" s="1">
        <v>2014.0</v>
      </c>
      <c r="AK1715" s="1" t="s">
        <v>713</v>
      </c>
    </row>
    <row r="1716">
      <c r="A1716" s="1" t="s">
        <v>3221</v>
      </c>
      <c r="B1716" s="1" t="s">
        <v>3221</v>
      </c>
      <c r="C1716" s="1" t="s">
        <v>100</v>
      </c>
      <c r="E1716" s="1">
        <v>1.3294903E7</v>
      </c>
      <c r="F1716" s="2">
        <v>41764.0</v>
      </c>
      <c r="G1716" s="1" t="s">
        <v>332</v>
      </c>
      <c r="I1716" s="1" t="s">
        <v>332</v>
      </c>
      <c r="L1716" s="1" t="s">
        <v>102</v>
      </c>
      <c r="M1716" s="1">
        <v>8600.0</v>
      </c>
      <c r="N1716" s="1" t="s">
        <v>102</v>
      </c>
      <c r="O1716" s="1">
        <v>9.64523815E8</v>
      </c>
      <c r="P1716" s="1" t="s">
        <v>123</v>
      </c>
      <c r="Q1716" s="1" t="s">
        <v>124</v>
      </c>
      <c r="R1716" s="1" t="s">
        <v>125</v>
      </c>
      <c r="S1716" s="1" t="s">
        <v>44</v>
      </c>
      <c r="T1716" s="1" t="s">
        <v>45</v>
      </c>
      <c r="U1716" s="1">
        <v>4.82231227E8</v>
      </c>
      <c r="W1716" s="1" t="s">
        <v>46</v>
      </c>
      <c r="X1716" s="1" t="s">
        <v>45</v>
      </c>
      <c r="Y1716" s="1">
        <v>4.82231227E8</v>
      </c>
      <c r="AB1716" s="1">
        <v>736800.0</v>
      </c>
      <c r="AC1716" s="2">
        <v>41764.0</v>
      </c>
      <c r="AD1716" s="1">
        <v>8600.0</v>
      </c>
      <c r="AE1716" s="1" t="s">
        <v>102</v>
      </c>
      <c r="AF1716" s="1" t="s">
        <v>3222</v>
      </c>
      <c r="AG1716" s="1" t="s">
        <v>3223</v>
      </c>
      <c r="AH1716" s="1">
        <v>5.0</v>
      </c>
      <c r="AI1716" s="1">
        <v>2014.0</v>
      </c>
      <c r="AJ1716" s="1">
        <v>2014.0</v>
      </c>
      <c r="AK1716" s="1" t="s">
        <v>334</v>
      </c>
    </row>
    <row r="1717">
      <c r="A1717" s="1" t="s">
        <v>3048</v>
      </c>
      <c r="B1717" s="1" t="s">
        <v>3048</v>
      </c>
      <c r="C1717" s="1" t="s">
        <v>645</v>
      </c>
      <c r="E1717" s="1">
        <v>4.58254144E8</v>
      </c>
      <c r="F1717" s="2">
        <v>41557.0</v>
      </c>
      <c r="G1717" s="1" t="s">
        <v>710</v>
      </c>
      <c r="I1717" s="1" t="s">
        <v>710</v>
      </c>
      <c r="L1717" s="1" t="s">
        <v>647</v>
      </c>
      <c r="M1717" s="1">
        <v>1200.0</v>
      </c>
      <c r="N1717" s="1" t="s">
        <v>647</v>
      </c>
      <c r="O1717" s="1">
        <v>9.62378779E8</v>
      </c>
      <c r="P1717" s="1" t="s">
        <v>478</v>
      </c>
      <c r="R1717" s="1" t="s">
        <v>479</v>
      </c>
      <c r="S1717" s="1" t="s">
        <v>44</v>
      </c>
      <c r="T1717" s="1" t="s">
        <v>45</v>
      </c>
      <c r="U1717" s="1">
        <v>4.82342225E8</v>
      </c>
      <c r="W1717" s="1" t="s">
        <v>44</v>
      </c>
      <c r="X1717" s="1" t="s">
        <v>45</v>
      </c>
      <c r="Y1717" s="1">
        <v>4.82342225E8</v>
      </c>
      <c r="AB1717" s="1">
        <v>262280.37</v>
      </c>
      <c r="AC1717" s="2">
        <v>41557.0</v>
      </c>
      <c r="AD1717" s="1">
        <v>1200.0</v>
      </c>
      <c r="AE1717" s="1" t="s">
        <v>647</v>
      </c>
      <c r="AF1717" s="1" t="s">
        <v>3224</v>
      </c>
      <c r="AG1717" s="1" t="s">
        <v>712</v>
      </c>
      <c r="AH1717" s="1">
        <v>1.0</v>
      </c>
      <c r="AI1717" s="1">
        <v>2015.0</v>
      </c>
      <c r="AJ1717" s="1">
        <v>2014.0</v>
      </c>
      <c r="AK1717" s="1" t="s">
        <v>713</v>
      </c>
    </row>
    <row r="1718">
      <c r="A1718" s="1" t="s">
        <v>3048</v>
      </c>
      <c r="B1718" s="1" t="s">
        <v>3048</v>
      </c>
      <c r="C1718" s="1" t="s">
        <v>645</v>
      </c>
      <c r="E1718" s="1">
        <v>4.58254144E8</v>
      </c>
      <c r="F1718" s="2">
        <v>41578.0</v>
      </c>
      <c r="G1718" s="1" t="s">
        <v>710</v>
      </c>
      <c r="I1718" s="1" t="s">
        <v>710</v>
      </c>
      <c r="L1718" s="1" t="s">
        <v>647</v>
      </c>
      <c r="M1718" s="1">
        <v>1200.0</v>
      </c>
      <c r="N1718" s="1" t="s">
        <v>647</v>
      </c>
      <c r="O1718" s="1">
        <v>9.69821029E8</v>
      </c>
      <c r="P1718" s="1" t="s">
        <v>862</v>
      </c>
      <c r="R1718" s="1" t="s">
        <v>863</v>
      </c>
      <c r="S1718" s="1" t="s">
        <v>44</v>
      </c>
      <c r="T1718" s="1" t="s">
        <v>45</v>
      </c>
      <c r="U1718" s="1">
        <v>4.82042039E8</v>
      </c>
      <c r="W1718" s="1" t="s">
        <v>44</v>
      </c>
      <c r="X1718" s="1" t="s">
        <v>45</v>
      </c>
      <c r="Y1718" s="1">
        <v>4.82042039E8</v>
      </c>
      <c r="AB1718" s="1">
        <v>207657.45</v>
      </c>
      <c r="AC1718" s="2">
        <v>41578.0</v>
      </c>
      <c r="AD1718" s="1">
        <v>1200.0</v>
      </c>
      <c r="AE1718" s="1" t="s">
        <v>647</v>
      </c>
      <c r="AF1718" s="1" t="s">
        <v>3225</v>
      </c>
      <c r="AG1718" s="1" t="s">
        <v>712</v>
      </c>
      <c r="AH1718" s="1">
        <v>1.0</v>
      </c>
      <c r="AI1718" s="1">
        <v>2015.0</v>
      </c>
      <c r="AJ1718" s="1">
        <v>2014.0</v>
      </c>
      <c r="AK1718" s="1" t="s">
        <v>713</v>
      </c>
    </row>
    <row r="1719">
      <c r="A1719" s="1" t="s">
        <v>3048</v>
      </c>
      <c r="B1719" s="1" t="s">
        <v>3048</v>
      </c>
      <c r="C1719" s="1" t="s">
        <v>645</v>
      </c>
      <c r="E1719" s="1">
        <v>4.58254144E8</v>
      </c>
      <c r="F1719" s="2">
        <v>41550.0</v>
      </c>
      <c r="G1719" s="1" t="s">
        <v>710</v>
      </c>
      <c r="I1719" s="1" t="s">
        <v>710</v>
      </c>
      <c r="L1719" s="1" t="s">
        <v>647</v>
      </c>
      <c r="M1719" s="1">
        <v>1200.0</v>
      </c>
      <c r="N1719" s="1" t="s">
        <v>647</v>
      </c>
      <c r="O1719" s="1">
        <v>1.10601841E8</v>
      </c>
      <c r="P1719" s="1" t="s">
        <v>915</v>
      </c>
      <c r="Q1719" s="1" t="s">
        <v>916</v>
      </c>
      <c r="R1719" s="1" t="s">
        <v>917</v>
      </c>
      <c r="S1719" s="1" t="s">
        <v>44</v>
      </c>
      <c r="T1719" s="1" t="s">
        <v>45</v>
      </c>
      <c r="U1719" s="1">
        <v>4.82283719E8</v>
      </c>
      <c r="W1719" s="1" t="s">
        <v>44</v>
      </c>
      <c r="X1719" s="1" t="s">
        <v>45</v>
      </c>
      <c r="Y1719" s="1">
        <v>4.82283719E8</v>
      </c>
      <c r="AB1719" s="1">
        <v>78093.35</v>
      </c>
      <c r="AC1719" s="2">
        <v>41550.0</v>
      </c>
      <c r="AD1719" s="1">
        <v>1200.0</v>
      </c>
      <c r="AE1719" s="1" t="s">
        <v>647</v>
      </c>
      <c r="AF1719" s="1" t="s">
        <v>3226</v>
      </c>
      <c r="AG1719" s="1" t="s">
        <v>712</v>
      </c>
      <c r="AH1719" s="1">
        <v>1.0</v>
      </c>
      <c r="AI1719" s="1">
        <v>2015.0</v>
      </c>
      <c r="AJ1719" s="1">
        <v>2014.0</v>
      </c>
      <c r="AK1719" s="1" t="s">
        <v>713</v>
      </c>
    </row>
    <row r="1720">
      <c r="A1720" s="1" t="s">
        <v>3048</v>
      </c>
      <c r="B1720" s="1" t="s">
        <v>3048</v>
      </c>
      <c r="C1720" s="1" t="s">
        <v>645</v>
      </c>
      <c r="E1720" s="1">
        <v>4.58254144E8</v>
      </c>
      <c r="F1720" s="2">
        <v>41557.0</v>
      </c>
      <c r="G1720" s="1" t="s">
        <v>710</v>
      </c>
      <c r="I1720" s="1" t="s">
        <v>710</v>
      </c>
      <c r="L1720" s="1" t="s">
        <v>647</v>
      </c>
      <c r="M1720" s="1">
        <v>1200.0</v>
      </c>
      <c r="N1720" s="1" t="s">
        <v>647</v>
      </c>
      <c r="O1720" s="1">
        <v>1.17726252E8</v>
      </c>
      <c r="P1720" s="1" t="s">
        <v>512</v>
      </c>
      <c r="R1720" s="1" t="s">
        <v>513</v>
      </c>
      <c r="S1720" s="1" t="s">
        <v>44</v>
      </c>
      <c r="T1720" s="1" t="s">
        <v>45</v>
      </c>
      <c r="U1720" s="1">
        <v>4.82193259E8</v>
      </c>
      <c r="W1720" s="1" t="s">
        <v>44</v>
      </c>
      <c r="X1720" s="1" t="s">
        <v>45</v>
      </c>
      <c r="Y1720" s="1">
        <v>4.82193259E8</v>
      </c>
      <c r="AB1720" s="1">
        <v>225752.92</v>
      </c>
      <c r="AC1720" s="2">
        <v>41557.0</v>
      </c>
      <c r="AD1720" s="1">
        <v>1200.0</v>
      </c>
      <c r="AE1720" s="1" t="s">
        <v>647</v>
      </c>
      <c r="AF1720" s="1" t="s">
        <v>3227</v>
      </c>
      <c r="AG1720" s="1" t="s">
        <v>712</v>
      </c>
      <c r="AH1720" s="1">
        <v>1.0</v>
      </c>
      <c r="AI1720" s="1">
        <v>2015.0</v>
      </c>
      <c r="AJ1720" s="1">
        <v>2014.0</v>
      </c>
      <c r="AK1720" s="1" t="s">
        <v>713</v>
      </c>
    </row>
    <row r="1721">
      <c r="A1721" s="1" t="s">
        <v>3048</v>
      </c>
      <c r="B1721" s="1" t="s">
        <v>3048</v>
      </c>
      <c r="C1721" s="1" t="s">
        <v>645</v>
      </c>
      <c r="E1721" s="1">
        <v>4.58254144E8</v>
      </c>
      <c r="F1721" s="2">
        <v>41557.0</v>
      </c>
      <c r="G1721" s="1" t="s">
        <v>710</v>
      </c>
      <c r="I1721" s="1" t="s">
        <v>710</v>
      </c>
      <c r="L1721" s="1" t="s">
        <v>647</v>
      </c>
      <c r="M1721" s="1">
        <v>1200.0</v>
      </c>
      <c r="N1721" s="1" t="s">
        <v>647</v>
      </c>
      <c r="O1721" s="1">
        <v>1.9366103E8</v>
      </c>
      <c r="P1721" s="1" t="s">
        <v>943</v>
      </c>
      <c r="Q1721" s="1" t="s">
        <v>944</v>
      </c>
      <c r="R1721" s="1" t="s">
        <v>945</v>
      </c>
      <c r="S1721" s="1" t="s">
        <v>44</v>
      </c>
      <c r="T1721" s="1" t="s">
        <v>45</v>
      </c>
      <c r="U1721" s="1">
        <v>4.82282283E8</v>
      </c>
      <c r="W1721" s="1" t="s">
        <v>44</v>
      </c>
      <c r="X1721" s="1" t="s">
        <v>45</v>
      </c>
      <c r="Y1721" s="1">
        <v>4.82282283E8</v>
      </c>
      <c r="AB1721" s="1">
        <v>31999.68</v>
      </c>
      <c r="AC1721" s="2">
        <v>41557.0</v>
      </c>
      <c r="AD1721" s="1">
        <v>1200.0</v>
      </c>
      <c r="AE1721" s="1" t="s">
        <v>647</v>
      </c>
      <c r="AF1721" s="1" t="s">
        <v>3228</v>
      </c>
      <c r="AG1721" s="1" t="s">
        <v>712</v>
      </c>
      <c r="AH1721" s="1">
        <v>1.0</v>
      </c>
      <c r="AI1721" s="1">
        <v>2015.0</v>
      </c>
      <c r="AJ1721" s="1">
        <v>2014.0</v>
      </c>
      <c r="AK1721" s="1" t="s">
        <v>713</v>
      </c>
    </row>
    <row r="1722">
      <c r="A1722" s="1" t="s">
        <v>3229</v>
      </c>
      <c r="B1722" s="1" t="s">
        <v>3229</v>
      </c>
      <c r="C1722" s="1" t="s">
        <v>188</v>
      </c>
      <c r="E1722" s="1">
        <v>1.3044689E7</v>
      </c>
      <c r="F1722" s="2">
        <v>42018.0</v>
      </c>
      <c r="G1722" s="1" t="s">
        <v>3230</v>
      </c>
      <c r="I1722" s="1" t="s">
        <v>3230</v>
      </c>
      <c r="L1722" s="1" t="s">
        <v>188</v>
      </c>
      <c r="M1722" s="1">
        <v>1900.0</v>
      </c>
      <c r="N1722" s="1" t="s">
        <v>188</v>
      </c>
      <c r="O1722" s="1">
        <v>6.9840817E7</v>
      </c>
      <c r="P1722" s="1" t="s">
        <v>131</v>
      </c>
      <c r="R1722" s="1" t="s">
        <v>132</v>
      </c>
      <c r="S1722" s="1" t="s">
        <v>44</v>
      </c>
      <c r="T1722" s="1" t="s">
        <v>45</v>
      </c>
      <c r="U1722" s="1">
        <v>4.8214261E8</v>
      </c>
      <c r="W1722" s="1" t="s">
        <v>46</v>
      </c>
      <c r="X1722" s="1" t="s">
        <v>45</v>
      </c>
      <c r="Y1722" s="1">
        <v>4.8214261E8</v>
      </c>
      <c r="Z1722" s="1">
        <v>6.9840817E7</v>
      </c>
      <c r="AA1722" s="1" t="s">
        <v>131</v>
      </c>
      <c r="AB1722" s="1">
        <v>406850.0</v>
      </c>
      <c r="AC1722" s="2">
        <v>42018.0</v>
      </c>
      <c r="AD1722" s="1">
        <v>1900.0</v>
      </c>
      <c r="AE1722" s="1" t="s">
        <v>188</v>
      </c>
      <c r="AF1722" s="1" t="s">
        <v>3231</v>
      </c>
      <c r="AG1722" s="1" t="s">
        <v>3232</v>
      </c>
      <c r="AH1722" s="1">
        <v>1.0</v>
      </c>
      <c r="AI1722" s="1">
        <v>2015.0</v>
      </c>
      <c r="AJ1722" s="1">
        <v>2015.0</v>
      </c>
      <c r="AK1722" s="1" t="s">
        <v>192</v>
      </c>
    </row>
    <row r="1723">
      <c r="A1723" s="1" t="s">
        <v>1280</v>
      </c>
      <c r="B1723" s="1" t="s">
        <v>1280</v>
      </c>
      <c r="C1723" s="1" t="s">
        <v>1281</v>
      </c>
      <c r="E1723" s="1">
        <v>6000000.0</v>
      </c>
      <c r="F1723" s="2">
        <v>41883.0</v>
      </c>
      <c r="G1723" s="1" t="s">
        <v>1282</v>
      </c>
      <c r="I1723" s="1" t="s">
        <v>1282</v>
      </c>
      <c r="L1723" s="1" t="s">
        <v>1281</v>
      </c>
      <c r="M1723" s="1">
        <v>9577.0</v>
      </c>
      <c r="N1723" s="1" t="s">
        <v>1281</v>
      </c>
      <c r="O1723" s="1">
        <v>7.6385699E7</v>
      </c>
      <c r="P1723" s="1" t="s">
        <v>106</v>
      </c>
      <c r="Q1723" s="1" t="s">
        <v>1005</v>
      </c>
      <c r="R1723" s="1" t="s">
        <v>1006</v>
      </c>
      <c r="S1723" s="1" t="s">
        <v>44</v>
      </c>
      <c r="T1723" s="1" t="s">
        <v>45</v>
      </c>
      <c r="U1723" s="1">
        <v>4.82092022E8</v>
      </c>
      <c r="W1723" s="1" t="s">
        <v>46</v>
      </c>
      <c r="X1723" s="1" t="s">
        <v>45</v>
      </c>
      <c r="Y1723" s="1">
        <v>4.82092022E8</v>
      </c>
      <c r="Z1723" s="1">
        <v>7.6385699E7</v>
      </c>
      <c r="AA1723" s="1" t="s">
        <v>106</v>
      </c>
      <c r="AB1723" s="1">
        <v>163335.0</v>
      </c>
      <c r="AC1723" s="2">
        <v>41883.0</v>
      </c>
      <c r="AD1723" s="1">
        <v>9577.0</v>
      </c>
      <c r="AE1723" s="1" t="s">
        <v>1281</v>
      </c>
      <c r="AF1723" s="1">
        <v>9.0</v>
      </c>
      <c r="AG1723" s="1" t="s">
        <v>1296</v>
      </c>
      <c r="AH1723" s="1">
        <v>12.0</v>
      </c>
      <c r="AI1723" s="1">
        <v>2014.0</v>
      </c>
      <c r="AJ1723" s="1">
        <v>2014.0</v>
      </c>
      <c r="AK1723" s="1" t="s">
        <v>1284</v>
      </c>
    </row>
    <row r="1724">
      <c r="A1724" s="1" t="s">
        <v>1280</v>
      </c>
      <c r="B1724" s="1" t="s">
        <v>1280</v>
      </c>
      <c r="C1724" s="1" t="s">
        <v>1281</v>
      </c>
      <c r="E1724" s="1">
        <v>6000000.0</v>
      </c>
      <c r="F1724" s="2">
        <v>41883.0</v>
      </c>
      <c r="G1724" s="1" t="s">
        <v>1282</v>
      </c>
      <c r="I1724" s="1" t="s">
        <v>1282</v>
      </c>
      <c r="L1724" s="1" t="s">
        <v>1281</v>
      </c>
      <c r="M1724" s="1">
        <v>9577.0</v>
      </c>
      <c r="N1724" s="1" t="s">
        <v>1281</v>
      </c>
      <c r="O1724" s="1">
        <v>1.49048154E8</v>
      </c>
      <c r="P1724" s="1" t="s">
        <v>1288</v>
      </c>
      <c r="R1724" s="1" t="s">
        <v>1289</v>
      </c>
      <c r="S1724" s="1" t="s">
        <v>44</v>
      </c>
      <c r="T1724" s="1" t="s">
        <v>45</v>
      </c>
      <c r="U1724" s="1">
        <v>4.82091434E8</v>
      </c>
      <c r="W1724" s="1" t="s">
        <v>46</v>
      </c>
      <c r="X1724" s="1" t="s">
        <v>45</v>
      </c>
      <c r="Y1724" s="1">
        <v>4.82091434E8</v>
      </c>
      <c r="AB1724" s="1">
        <v>112671.67</v>
      </c>
      <c r="AC1724" s="2">
        <v>41883.0</v>
      </c>
      <c r="AD1724" s="1">
        <v>9577.0</v>
      </c>
      <c r="AE1724" s="1" t="s">
        <v>1281</v>
      </c>
      <c r="AF1724" s="1">
        <v>5.0</v>
      </c>
      <c r="AG1724" s="1" t="s">
        <v>1290</v>
      </c>
      <c r="AH1724" s="1">
        <v>12.0</v>
      </c>
      <c r="AI1724" s="1">
        <v>2014.0</v>
      </c>
      <c r="AJ1724" s="1">
        <v>2014.0</v>
      </c>
      <c r="AK1724" s="1" t="s">
        <v>1284</v>
      </c>
    </row>
    <row r="1725">
      <c r="A1725" s="1" t="s">
        <v>3233</v>
      </c>
      <c r="B1725" s="1" t="s">
        <v>3233</v>
      </c>
      <c r="C1725" s="1" t="s">
        <v>38</v>
      </c>
      <c r="E1725" s="1">
        <v>785520.0</v>
      </c>
      <c r="F1725" s="2">
        <v>42020.0</v>
      </c>
      <c r="G1725" s="1" t="s">
        <v>3234</v>
      </c>
      <c r="I1725" s="1" t="s">
        <v>3234</v>
      </c>
      <c r="L1725" s="1" t="s">
        <v>40</v>
      </c>
      <c r="M1725" s="1">
        <v>7500.0</v>
      </c>
      <c r="N1725" s="1" t="s">
        <v>40</v>
      </c>
      <c r="O1725" s="1">
        <v>1962224.0</v>
      </c>
      <c r="P1725" s="1" t="s">
        <v>52</v>
      </c>
      <c r="R1725" s="1" t="s">
        <v>1885</v>
      </c>
      <c r="S1725" s="1" t="s">
        <v>44</v>
      </c>
      <c r="T1725" s="1" t="s">
        <v>45</v>
      </c>
      <c r="U1725" s="1">
        <v>4.82021347E8</v>
      </c>
      <c r="W1725" s="1" t="s">
        <v>46</v>
      </c>
      <c r="X1725" s="1" t="s">
        <v>45</v>
      </c>
      <c r="Y1725" s="1">
        <v>4.8202405E8</v>
      </c>
      <c r="Z1725" s="1">
        <v>1962224.0</v>
      </c>
      <c r="AA1725" s="1" t="s">
        <v>52</v>
      </c>
      <c r="AB1725" s="1">
        <v>34515.0</v>
      </c>
      <c r="AC1725" s="2">
        <v>42020.0</v>
      </c>
      <c r="AD1725" s="1">
        <v>7500.0</v>
      </c>
      <c r="AE1725" s="1" t="s">
        <v>40</v>
      </c>
      <c r="AF1725" s="1" t="s">
        <v>3235</v>
      </c>
      <c r="AG1725" s="1" t="s">
        <v>3234</v>
      </c>
      <c r="AH1725" s="1">
        <v>1.0</v>
      </c>
      <c r="AI1725" s="1">
        <v>2015.0</v>
      </c>
      <c r="AJ1725" s="1">
        <v>2015.0</v>
      </c>
      <c r="AK1725" s="1" t="s">
        <v>973</v>
      </c>
    </row>
    <row r="1726">
      <c r="A1726" s="1" t="s">
        <v>2995</v>
      </c>
      <c r="B1726" s="1" t="s">
        <v>2995</v>
      </c>
      <c r="C1726" s="1" t="s">
        <v>194</v>
      </c>
      <c r="E1726" s="1">
        <v>5.11731456E8</v>
      </c>
      <c r="F1726" s="2">
        <v>41871.0</v>
      </c>
      <c r="G1726" s="1" t="s">
        <v>1168</v>
      </c>
      <c r="I1726" s="1" t="s">
        <v>1168</v>
      </c>
      <c r="L1726" s="1" t="s">
        <v>194</v>
      </c>
      <c r="M1726" s="1">
        <v>9100.0</v>
      </c>
      <c r="N1726" s="1" t="s">
        <v>194</v>
      </c>
      <c r="O1726" s="1">
        <v>1.47777952E8</v>
      </c>
      <c r="P1726" s="1" t="s">
        <v>459</v>
      </c>
      <c r="Q1726" s="1" t="s">
        <v>626</v>
      </c>
      <c r="R1726" s="1" t="s">
        <v>627</v>
      </c>
      <c r="S1726" s="1" t="s">
        <v>44</v>
      </c>
      <c r="T1726" s="1" t="s">
        <v>45</v>
      </c>
      <c r="U1726" s="1">
        <v>4.82072112E8</v>
      </c>
      <c r="W1726" s="1" t="s">
        <v>44</v>
      </c>
      <c r="X1726" s="1" t="s">
        <v>45</v>
      </c>
      <c r="Y1726" s="1">
        <v>4.82072112E8</v>
      </c>
      <c r="Z1726" s="1">
        <v>7.6340843E7</v>
      </c>
      <c r="AA1726" s="1" t="s">
        <v>461</v>
      </c>
      <c r="AB1726" s="1">
        <v>429740.0</v>
      </c>
      <c r="AC1726" s="2">
        <v>41871.0</v>
      </c>
      <c r="AD1726" s="1">
        <v>9100.0</v>
      </c>
      <c r="AE1726" s="1" t="s">
        <v>194</v>
      </c>
      <c r="AF1726" s="1" t="s">
        <v>3236</v>
      </c>
      <c r="AG1726" s="1" t="s">
        <v>1170</v>
      </c>
      <c r="AH1726" s="1">
        <v>1.0</v>
      </c>
      <c r="AI1726" s="1">
        <v>2015.0</v>
      </c>
      <c r="AJ1726" s="1">
        <v>2014.0</v>
      </c>
      <c r="AK1726" s="1" t="s">
        <v>1171</v>
      </c>
    </row>
    <row r="1727">
      <c r="A1727" s="1" t="s">
        <v>2995</v>
      </c>
      <c r="B1727" s="1" t="s">
        <v>2995</v>
      </c>
      <c r="C1727" s="1" t="s">
        <v>194</v>
      </c>
      <c r="E1727" s="1">
        <v>5.11731456E8</v>
      </c>
      <c r="F1727" s="2">
        <v>41683.0</v>
      </c>
      <c r="G1727" s="1" t="s">
        <v>1168</v>
      </c>
      <c r="I1727" s="1" t="s">
        <v>1168</v>
      </c>
      <c r="L1727" s="1" t="s">
        <v>194</v>
      </c>
      <c r="M1727" s="1">
        <v>9100.0</v>
      </c>
      <c r="N1727" s="1" t="s">
        <v>194</v>
      </c>
      <c r="O1727" s="1">
        <v>1.98438892E8</v>
      </c>
      <c r="P1727" s="1" t="s">
        <v>505</v>
      </c>
      <c r="R1727" s="1" t="s">
        <v>506</v>
      </c>
      <c r="S1727" s="1" t="s">
        <v>44</v>
      </c>
      <c r="T1727" s="1" t="s">
        <v>45</v>
      </c>
      <c r="U1727" s="1">
        <v>4.82123572E8</v>
      </c>
      <c r="W1727" s="1" t="s">
        <v>498</v>
      </c>
      <c r="X1727" s="1" t="s">
        <v>45</v>
      </c>
      <c r="Y1727" s="1">
        <v>4.82123572E8</v>
      </c>
      <c r="Z1727" s="1">
        <v>1.98438892E8</v>
      </c>
      <c r="AA1727" s="1" t="s">
        <v>505</v>
      </c>
      <c r="AB1727" s="1">
        <v>446083.0</v>
      </c>
      <c r="AC1727" s="2">
        <v>41683.0</v>
      </c>
      <c r="AD1727" s="1">
        <v>9100.0</v>
      </c>
      <c r="AE1727" s="1" t="s">
        <v>194</v>
      </c>
      <c r="AF1727" s="1" t="s">
        <v>3237</v>
      </c>
      <c r="AG1727" s="1" t="s">
        <v>1170</v>
      </c>
      <c r="AH1727" s="1">
        <v>1.0</v>
      </c>
      <c r="AI1727" s="1">
        <v>2015.0</v>
      </c>
      <c r="AJ1727" s="1">
        <v>2014.0</v>
      </c>
      <c r="AK1727" s="1" t="s">
        <v>1171</v>
      </c>
    </row>
    <row r="1728">
      <c r="A1728" s="1" t="s">
        <v>2995</v>
      </c>
      <c r="B1728" s="1" t="s">
        <v>2995</v>
      </c>
      <c r="C1728" s="1" t="s">
        <v>194</v>
      </c>
      <c r="E1728" s="1">
        <v>5.11731456E8</v>
      </c>
      <c r="F1728" s="2">
        <v>41752.0</v>
      </c>
      <c r="G1728" s="1" t="s">
        <v>1168</v>
      </c>
      <c r="I1728" s="1" t="s">
        <v>1168</v>
      </c>
      <c r="L1728" s="1" t="s">
        <v>194</v>
      </c>
      <c r="M1728" s="1">
        <v>9100.0</v>
      </c>
      <c r="N1728" s="1" t="s">
        <v>194</v>
      </c>
      <c r="O1728" s="1">
        <v>7.93697355E8</v>
      </c>
      <c r="P1728" s="1" t="s">
        <v>691</v>
      </c>
      <c r="Q1728" s="1" t="s">
        <v>1194</v>
      </c>
      <c r="R1728" s="1" t="s">
        <v>692</v>
      </c>
      <c r="S1728" s="1" t="s">
        <v>44</v>
      </c>
      <c r="T1728" s="1" t="s">
        <v>45</v>
      </c>
      <c r="U1728" s="1">
        <v>4.82111554E8</v>
      </c>
      <c r="W1728" s="1" t="s">
        <v>44</v>
      </c>
      <c r="X1728" s="1" t="s">
        <v>45</v>
      </c>
      <c r="Y1728" s="1">
        <v>4.82111552E8</v>
      </c>
      <c r="AB1728" s="1">
        <v>589225.0</v>
      </c>
      <c r="AC1728" s="2">
        <v>41752.0</v>
      </c>
      <c r="AD1728" s="1">
        <v>9100.0</v>
      </c>
      <c r="AE1728" s="1" t="s">
        <v>194</v>
      </c>
      <c r="AF1728" s="1" t="s">
        <v>3238</v>
      </c>
      <c r="AG1728" s="1" t="s">
        <v>1170</v>
      </c>
      <c r="AH1728" s="1">
        <v>1.0</v>
      </c>
      <c r="AI1728" s="1">
        <v>2015.0</v>
      </c>
      <c r="AJ1728" s="1">
        <v>2014.0</v>
      </c>
      <c r="AK1728" s="1" t="s">
        <v>1171</v>
      </c>
    </row>
    <row r="1729">
      <c r="A1729" s="1" t="s">
        <v>2995</v>
      </c>
      <c r="B1729" s="1" t="s">
        <v>2995</v>
      </c>
      <c r="C1729" s="1" t="s">
        <v>194</v>
      </c>
      <c r="E1729" s="1">
        <v>5.11731456E8</v>
      </c>
      <c r="F1729" s="2">
        <v>41542.0</v>
      </c>
      <c r="G1729" s="1" t="s">
        <v>1168</v>
      </c>
      <c r="I1729" s="1" t="s">
        <v>1168</v>
      </c>
      <c r="L1729" s="1" t="s">
        <v>194</v>
      </c>
      <c r="M1729" s="1">
        <v>9100.0</v>
      </c>
      <c r="N1729" s="1" t="s">
        <v>194</v>
      </c>
      <c r="O1729" s="1">
        <v>7.8498569E7</v>
      </c>
      <c r="P1729" s="1" t="s">
        <v>1184</v>
      </c>
      <c r="R1729" s="1" t="s">
        <v>506</v>
      </c>
      <c r="S1729" s="1" t="s">
        <v>44</v>
      </c>
      <c r="T1729" s="1" t="s">
        <v>45</v>
      </c>
      <c r="U1729" s="1">
        <v>4.82123572E8</v>
      </c>
      <c r="W1729" s="1" t="s">
        <v>498</v>
      </c>
      <c r="X1729" s="1" t="s">
        <v>45</v>
      </c>
      <c r="Y1729" s="1">
        <v>4.82123572E8</v>
      </c>
      <c r="AB1729" s="1">
        <v>52384.0</v>
      </c>
      <c r="AC1729" s="2">
        <v>41542.0</v>
      </c>
      <c r="AD1729" s="1">
        <v>9100.0</v>
      </c>
      <c r="AE1729" s="1" t="s">
        <v>194</v>
      </c>
      <c r="AF1729" s="1" t="s">
        <v>3239</v>
      </c>
      <c r="AG1729" s="1" t="s">
        <v>1170</v>
      </c>
      <c r="AH1729" s="1">
        <v>1.0</v>
      </c>
      <c r="AI1729" s="1">
        <v>2015.0</v>
      </c>
      <c r="AJ1729" s="1">
        <v>2013.0</v>
      </c>
      <c r="AK1729" s="1" t="s">
        <v>1171</v>
      </c>
    </row>
    <row r="1730">
      <c r="A1730" s="1" t="s">
        <v>3048</v>
      </c>
      <c r="B1730" s="1" t="s">
        <v>3048</v>
      </c>
      <c r="C1730" s="1" t="s">
        <v>645</v>
      </c>
      <c r="E1730" s="1">
        <v>4.58254144E8</v>
      </c>
      <c r="F1730" s="2">
        <v>41564.0</v>
      </c>
      <c r="G1730" s="1" t="s">
        <v>710</v>
      </c>
      <c r="I1730" s="1" t="s">
        <v>710</v>
      </c>
      <c r="L1730" s="1" t="s">
        <v>647</v>
      </c>
      <c r="M1730" s="1">
        <v>1200.0</v>
      </c>
      <c r="N1730" s="1" t="s">
        <v>647</v>
      </c>
      <c r="O1730" s="1">
        <v>7.3832607E7</v>
      </c>
      <c r="P1730" s="1" t="s">
        <v>482</v>
      </c>
      <c r="R1730" s="1" t="s">
        <v>483</v>
      </c>
      <c r="S1730" s="1" t="s">
        <v>44</v>
      </c>
      <c r="T1730" s="1" t="s">
        <v>45</v>
      </c>
      <c r="U1730" s="1">
        <v>4.82074288E8</v>
      </c>
      <c r="W1730" s="1" t="s">
        <v>44</v>
      </c>
      <c r="X1730" s="1" t="s">
        <v>45</v>
      </c>
      <c r="Y1730" s="1">
        <v>4.82074288E8</v>
      </c>
      <c r="AB1730" s="1">
        <v>245523.95</v>
      </c>
      <c r="AC1730" s="2">
        <v>41564.0</v>
      </c>
      <c r="AD1730" s="1">
        <v>1200.0</v>
      </c>
      <c r="AE1730" s="1" t="s">
        <v>647</v>
      </c>
      <c r="AF1730" s="1" t="s">
        <v>3240</v>
      </c>
      <c r="AG1730" s="1" t="s">
        <v>712</v>
      </c>
      <c r="AH1730" s="1">
        <v>1.0</v>
      </c>
      <c r="AI1730" s="1">
        <v>2015.0</v>
      </c>
      <c r="AJ1730" s="1">
        <v>2014.0</v>
      </c>
      <c r="AK1730" s="1" t="s">
        <v>713</v>
      </c>
    </row>
    <row r="1731">
      <c r="A1731" s="1" t="s">
        <v>3048</v>
      </c>
      <c r="B1731" s="1" t="s">
        <v>3048</v>
      </c>
      <c r="C1731" s="1" t="s">
        <v>645</v>
      </c>
      <c r="E1731" s="1">
        <v>4.58254144E8</v>
      </c>
      <c r="F1731" s="2">
        <v>41893.0</v>
      </c>
      <c r="G1731" s="1" t="s">
        <v>710</v>
      </c>
      <c r="I1731" s="1" t="s">
        <v>710</v>
      </c>
      <c r="L1731" s="1" t="s">
        <v>647</v>
      </c>
      <c r="M1731" s="1">
        <v>1200.0</v>
      </c>
      <c r="N1731" s="1" t="s">
        <v>647</v>
      </c>
      <c r="O1731" s="1">
        <v>1.78318531E8</v>
      </c>
      <c r="P1731" s="1" t="s">
        <v>906</v>
      </c>
      <c r="R1731" s="1" t="s">
        <v>907</v>
      </c>
      <c r="S1731" s="1" t="s">
        <v>44</v>
      </c>
      <c r="T1731" s="1" t="s">
        <v>45</v>
      </c>
      <c r="U1731" s="1">
        <v>4.82351717E8</v>
      </c>
      <c r="W1731" s="1" t="s">
        <v>44</v>
      </c>
      <c r="X1731" s="1" t="s">
        <v>45</v>
      </c>
      <c r="Y1731" s="1">
        <v>4.82351717E8</v>
      </c>
      <c r="Z1731" s="1">
        <v>1.78318531E8</v>
      </c>
      <c r="AA1731" s="1" t="s">
        <v>906</v>
      </c>
      <c r="AB1731" s="1">
        <v>419044.54</v>
      </c>
      <c r="AC1731" s="2">
        <v>41893.0</v>
      </c>
      <c r="AD1731" s="1">
        <v>1200.0</v>
      </c>
      <c r="AE1731" s="1" t="s">
        <v>647</v>
      </c>
      <c r="AF1731" s="1" t="s">
        <v>3241</v>
      </c>
      <c r="AG1731" s="1" t="s">
        <v>712</v>
      </c>
      <c r="AH1731" s="1">
        <v>1.0</v>
      </c>
      <c r="AI1731" s="1">
        <v>2015.0</v>
      </c>
      <c r="AJ1731" s="1">
        <v>2014.0</v>
      </c>
      <c r="AK1731" s="1" t="s">
        <v>713</v>
      </c>
    </row>
    <row r="1732">
      <c r="A1732" s="1" t="s">
        <v>3048</v>
      </c>
      <c r="B1732" s="1" t="s">
        <v>3048</v>
      </c>
      <c r="C1732" s="1" t="s">
        <v>645</v>
      </c>
      <c r="E1732" s="1">
        <v>4.58254144E8</v>
      </c>
      <c r="F1732" s="2">
        <v>41585.0</v>
      </c>
      <c r="G1732" s="1" t="s">
        <v>710</v>
      </c>
      <c r="I1732" s="1" t="s">
        <v>710</v>
      </c>
      <c r="L1732" s="1" t="s">
        <v>647</v>
      </c>
      <c r="M1732" s="1">
        <v>1200.0</v>
      </c>
      <c r="N1732" s="1" t="s">
        <v>647</v>
      </c>
      <c r="O1732" s="1">
        <v>6533863.0</v>
      </c>
      <c r="P1732" s="1" t="s">
        <v>3194</v>
      </c>
      <c r="Q1732" s="1" t="s">
        <v>3195</v>
      </c>
      <c r="R1732" s="1" t="s">
        <v>3196</v>
      </c>
      <c r="S1732" s="1" t="s">
        <v>44</v>
      </c>
      <c r="T1732" s="1" t="s">
        <v>45</v>
      </c>
      <c r="U1732" s="1">
        <v>4.82261894E8</v>
      </c>
      <c r="W1732" s="1" t="s">
        <v>3197</v>
      </c>
      <c r="X1732" s="1" t="s">
        <v>45</v>
      </c>
      <c r="Y1732" s="1">
        <v>4.81339647E8</v>
      </c>
      <c r="Z1732" s="1">
        <v>6533863.0</v>
      </c>
      <c r="AB1732" s="1">
        <v>512250.38</v>
      </c>
      <c r="AC1732" s="2">
        <v>41585.0</v>
      </c>
      <c r="AD1732" s="1">
        <v>1200.0</v>
      </c>
      <c r="AE1732" s="1" t="s">
        <v>647</v>
      </c>
      <c r="AF1732" s="1" t="s">
        <v>3242</v>
      </c>
      <c r="AG1732" s="1" t="s">
        <v>712</v>
      </c>
      <c r="AH1732" s="1">
        <v>1.0</v>
      </c>
      <c r="AI1732" s="1">
        <v>2015.0</v>
      </c>
      <c r="AJ1732" s="1">
        <v>2014.0</v>
      </c>
      <c r="AK1732" s="1" t="s">
        <v>713</v>
      </c>
    </row>
    <row r="1733">
      <c r="A1733" s="1" t="s">
        <v>3048</v>
      </c>
      <c r="B1733" s="1" t="s">
        <v>3048</v>
      </c>
      <c r="C1733" s="1" t="s">
        <v>645</v>
      </c>
      <c r="E1733" s="1">
        <v>4.58254144E8</v>
      </c>
      <c r="F1733" s="2">
        <v>41592.0</v>
      </c>
      <c r="G1733" s="1" t="s">
        <v>710</v>
      </c>
      <c r="I1733" s="1" t="s">
        <v>710</v>
      </c>
      <c r="L1733" s="1" t="s">
        <v>647</v>
      </c>
      <c r="M1733" s="1">
        <v>1200.0</v>
      </c>
      <c r="N1733" s="1" t="s">
        <v>647</v>
      </c>
      <c r="O1733" s="1">
        <v>7.8634042E7</v>
      </c>
      <c r="P1733" s="1" t="s">
        <v>2998</v>
      </c>
      <c r="R1733" s="1" t="s">
        <v>475</v>
      </c>
      <c r="S1733" s="1" t="s">
        <v>44</v>
      </c>
      <c r="T1733" s="1" t="s">
        <v>45</v>
      </c>
      <c r="U1733" s="1">
        <v>4.82133744E8</v>
      </c>
      <c r="W1733" s="1" t="s">
        <v>46</v>
      </c>
      <c r="X1733" s="1" t="s">
        <v>45</v>
      </c>
      <c r="Y1733" s="1">
        <v>4.82133744E8</v>
      </c>
      <c r="AB1733" s="1">
        <v>63237.85</v>
      </c>
      <c r="AC1733" s="2">
        <v>41592.0</v>
      </c>
      <c r="AD1733" s="1">
        <v>1200.0</v>
      </c>
      <c r="AE1733" s="1" t="s">
        <v>647</v>
      </c>
      <c r="AF1733" s="1" t="s">
        <v>3243</v>
      </c>
      <c r="AG1733" s="1" t="s">
        <v>712</v>
      </c>
      <c r="AH1733" s="1">
        <v>1.0</v>
      </c>
      <c r="AI1733" s="1">
        <v>2015.0</v>
      </c>
      <c r="AJ1733" s="1">
        <v>2014.0</v>
      </c>
      <c r="AK1733" s="1" t="s">
        <v>713</v>
      </c>
    </row>
    <row r="1734">
      <c r="A1734" s="1" t="s">
        <v>3048</v>
      </c>
      <c r="B1734" s="1" t="s">
        <v>3048</v>
      </c>
      <c r="C1734" s="1" t="s">
        <v>645</v>
      </c>
      <c r="E1734" s="1">
        <v>4.58254144E8</v>
      </c>
      <c r="F1734" s="2">
        <v>41620.0</v>
      </c>
      <c r="G1734" s="1" t="s">
        <v>710</v>
      </c>
      <c r="I1734" s="1" t="s">
        <v>710</v>
      </c>
      <c r="L1734" s="1" t="s">
        <v>647</v>
      </c>
      <c r="M1734" s="1">
        <v>1200.0</v>
      </c>
      <c r="N1734" s="1" t="s">
        <v>647</v>
      </c>
      <c r="O1734" s="1">
        <v>7.3948895E7</v>
      </c>
      <c r="P1734" s="1" t="s">
        <v>847</v>
      </c>
      <c r="R1734" s="1" t="s">
        <v>848</v>
      </c>
      <c r="S1734" s="1" t="s">
        <v>44</v>
      </c>
      <c r="T1734" s="1" t="s">
        <v>45</v>
      </c>
      <c r="U1734" s="1">
        <v>4.82242003E8</v>
      </c>
      <c r="W1734" s="1" t="s">
        <v>44</v>
      </c>
      <c r="X1734" s="1" t="s">
        <v>45</v>
      </c>
      <c r="Y1734" s="1">
        <v>4.82242003E8</v>
      </c>
      <c r="AB1734" s="1">
        <v>33692.58</v>
      </c>
      <c r="AC1734" s="2">
        <v>41620.0</v>
      </c>
      <c r="AD1734" s="1">
        <v>1200.0</v>
      </c>
      <c r="AE1734" s="1" t="s">
        <v>647</v>
      </c>
      <c r="AF1734" s="1" t="s">
        <v>3244</v>
      </c>
      <c r="AG1734" s="1" t="s">
        <v>712</v>
      </c>
      <c r="AH1734" s="1">
        <v>1.0</v>
      </c>
      <c r="AI1734" s="1">
        <v>2015.0</v>
      </c>
      <c r="AJ1734" s="1">
        <v>2014.0</v>
      </c>
      <c r="AK1734" s="1" t="s">
        <v>713</v>
      </c>
    </row>
    <row r="1735">
      <c r="A1735" s="1" t="s">
        <v>3048</v>
      </c>
      <c r="B1735" s="1" t="s">
        <v>3048</v>
      </c>
      <c r="C1735" s="1" t="s">
        <v>645</v>
      </c>
      <c r="E1735" s="1">
        <v>4.58254144E8</v>
      </c>
      <c r="F1735" s="2">
        <v>41557.0</v>
      </c>
      <c r="G1735" s="1" t="s">
        <v>710</v>
      </c>
      <c r="I1735" s="1" t="s">
        <v>710</v>
      </c>
      <c r="L1735" s="1" t="s">
        <v>647</v>
      </c>
      <c r="M1735" s="1">
        <v>1200.0</v>
      </c>
      <c r="N1735" s="1" t="s">
        <v>647</v>
      </c>
      <c r="O1735" s="1">
        <v>3537326.0</v>
      </c>
      <c r="P1735" s="1" t="s">
        <v>560</v>
      </c>
      <c r="R1735" s="1" t="s">
        <v>561</v>
      </c>
      <c r="S1735" s="1" t="s">
        <v>44</v>
      </c>
      <c r="T1735" s="1" t="s">
        <v>45</v>
      </c>
      <c r="U1735" s="1">
        <v>4.8212177E8</v>
      </c>
      <c r="W1735" s="1" t="s">
        <v>498</v>
      </c>
      <c r="X1735" s="1" t="s">
        <v>45</v>
      </c>
      <c r="Y1735" s="1">
        <v>4.82121754E8</v>
      </c>
      <c r="Z1735" s="1">
        <v>3537326.0</v>
      </c>
      <c r="AA1735" s="1" t="s">
        <v>560</v>
      </c>
      <c r="AB1735" s="1">
        <v>99020.2</v>
      </c>
      <c r="AC1735" s="2">
        <v>41557.0</v>
      </c>
      <c r="AD1735" s="1">
        <v>1200.0</v>
      </c>
      <c r="AE1735" s="1" t="s">
        <v>647</v>
      </c>
      <c r="AF1735" s="1" t="s">
        <v>3245</v>
      </c>
      <c r="AG1735" s="1" t="s">
        <v>712</v>
      </c>
      <c r="AH1735" s="1">
        <v>1.0</v>
      </c>
      <c r="AI1735" s="1">
        <v>2015.0</v>
      </c>
      <c r="AJ1735" s="1">
        <v>2014.0</v>
      </c>
      <c r="AK1735" s="1" t="s">
        <v>713</v>
      </c>
    </row>
    <row r="1736">
      <c r="A1736" s="1" t="s">
        <v>3048</v>
      </c>
      <c r="B1736" s="1" t="s">
        <v>3048</v>
      </c>
      <c r="C1736" s="1" t="s">
        <v>645</v>
      </c>
      <c r="E1736" s="1">
        <v>4.58254144E8</v>
      </c>
      <c r="F1736" s="2">
        <v>41578.0</v>
      </c>
      <c r="G1736" s="1" t="s">
        <v>710</v>
      </c>
      <c r="I1736" s="1" t="s">
        <v>710</v>
      </c>
      <c r="L1736" s="1" t="s">
        <v>647</v>
      </c>
      <c r="M1736" s="1">
        <v>1200.0</v>
      </c>
      <c r="N1736" s="1" t="s">
        <v>647</v>
      </c>
      <c r="O1736" s="1">
        <v>7.97531279E8</v>
      </c>
      <c r="P1736" s="1" t="s">
        <v>496</v>
      </c>
      <c r="R1736" s="1" t="s">
        <v>497</v>
      </c>
      <c r="S1736" s="1" t="s">
        <v>44</v>
      </c>
      <c r="T1736" s="1" t="s">
        <v>45</v>
      </c>
      <c r="U1736" s="1">
        <v>4.82123323E8</v>
      </c>
      <c r="W1736" s="1" t="s">
        <v>498</v>
      </c>
      <c r="X1736" s="1" t="s">
        <v>45</v>
      </c>
      <c r="Y1736" s="1">
        <v>4.82123323E8</v>
      </c>
      <c r="AB1736" s="1">
        <v>322768.31</v>
      </c>
      <c r="AC1736" s="2">
        <v>41578.0</v>
      </c>
      <c r="AD1736" s="1">
        <v>1200.0</v>
      </c>
      <c r="AE1736" s="1" t="s">
        <v>647</v>
      </c>
      <c r="AF1736" s="1" t="s">
        <v>3246</v>
      </c>
      <c r="AG1736" s="1" t="s">
        <v>712</v>
      </c>
      <c r="AH1736" s="1">
        <v>1.0</v>
      </c>
      <c r="AI1736" s="1">
        <v>2015.0</v>
      </c>
      <c r="AJ1736" s="1">
        <v>2014.0</v>
      </c>
      <c r="AK1736" s="1" t="s">
        <v>713</v>
      </c>
    </row>
    <row r="1737">
      <c r="A1737" s="1" t="s">
        <v>3048</v>
      </c>
      <c r="B1737" s="1" t="s">
        <v>3048</v>
      </c>
      <c r="C1737" s="1" t="s">
        <v>645</v>
      </c>
      <c r="E1737" s="1">
        <v>4.58254144E8</v>
      </c>
      <c r="F1737" s="2">
        <v>41557.0</v>
      </c>
      <c r="G1737" s="1" t="s">
        <v>710</v>
      </c>
      <c r="I1737" s="1" t="s">
        <v>710</v>
      </c>
      <c r="L1737" s="1" t="s">
        <v>647</v>
      </c>
      <c r="M1737" s="1">
        <v>1200.0</v>
      </c>
      <c r="N1737" s="1" t="s">
        <v>647</v>
      </c>
      <c r="O1737" s="1">
        <v>8.31014068E8</v>
      </c>
      <c r="P1737" s="1" t="s">
        <v>515</v>
      </c>
      <c r="R1737" s="1" t="s">
        <v>516</v>
      </c>
      <c r="S1737" s="1" t="s">
        <v>44</v>
      </c>
      <c r="T1737" s="1" t="s">
        <v>45</v>
      </c>
      <c r="U1737" s="1">
        <v>4.82283685E8</v>
      </c>
      <c r="W1737" s="1" t="s">
        <v>46</v>
      </c>
      <c r="X1737" s="1" t="s">
        <v>45</v>
      </c>
      <c r="Y1737" s="1">
        <v>4.82283685E8</v>
      </c>
      <c r="Z1737" s="1">
        <v>9.60742484E8</v>
      </c>
      <c r="AB1737" s="1">
        <v>154355.39</v>
      </c>
      <c r="AC1737" s="2">
        <v>41557.0</v>
      </c>
      <c r="AD1737" s="1">
        <v>1200.0</v>
      </c>
      <c r="AE1737" s="1" t="s">
        <v>647</v>
      </c>
      <c r="AF1737" s="1" t="s">
        <v>3247</v>
      </c>
      <c r="AG1737" s="1" t="s">
        <v>712</v>
      </c>
      <c r="AH1737" s="1">
        <v>1.0</v>
      </c>
      <c r="AI1737" s="1">
        <v>2015.0</v>
      </c>
      <c r="AJ1737" s="1">
        <v>2014.0</v>
      </c>
      <c r="AK1737" s="1" t="s">
        <v>713</v>
      </c>
    </row>
    <row r="1738">
      <c r="A1738" s="1" t="s">
        <v>3048</v>
      </c>
      <c r="B1738" s="1" t="s">
        <v>3048</v>
      </c>
      <c r="C1738" s="1" t="s">
        <v>645</v>
      </c>
      <c r="E1738" s="1">
        <v>4.58254144E8</v>
      </c>
      <c r="F1738" s="2">
        <v>41557.0</v>
      </c>
      <c r="G1738" s="1" t="s">
        <v>710</v>
      </c>
      <c r="I1738" s="1" t="s">
        <v>710</v>
      </c>
      <c r="L1738" s="1" t="s">
        <v>647</v>
      </c>
      <c r="M1738" s="1">
        <v>1200.0</v>
      </c>
      <c r="N1738" s="1" t="s">
        <v>647</v>
      </c>
      <c r="O1738" s="1">
        <v>7.8515458E7</v>
      </c>
      <c r="P1738" s="1" t="s">
        <v>3248</v>
      </c>
      <c r="Q1738" s="1" t="s">
        <v>3249</v>
      </c>
      <c r="R1738" s="1" t="s">
        <v>3250</v>
      </c>
      <c r="S1738" s="1" t="s">
        <v>44</v>
      </c>
      <c r="T1738" s="1" t="s">
        <v>45</v>
      </c>
      <c r="U1738" s="1">
        <v>4.82351933E8</v>
      </c>
      <c r="W1738" s="1" t="s">
        <v>44</v>
      </c>
      <c r="X1738" s="1" t="s">
        <v>45</v>
      </c>
      <c r="Y1738" s="1">
        <v>4.82351933E8</v>
      </c>
      <c r="AB1738" s="1">
        <v>28225.72</v>
      </c>
      <c r="AC1738" s="2">
        <v>41557.0</v>
      </c>
      <c r="AD1738" s="1">
        <v>1200.0</v>
      </c>
      <c r="AE1738" s="1" t="s">
        <v>647</v>
      </c>
      <c r="AF1738" s="1" t="s">
        <v>3251</v>
      </c>
      <c r="AG1738" s="1" t="s">
        <v>712</v>
      </c>
      <c r="AH1738" s="1">
        <v>1.0</v>
      </c>
      <c r="AI1738" s="1">
        <v>2015.0</v>
      </c>
      <c r="AJ1738" s="1">
        <v>2014.0</v>
      </c>
      <c r="AK1738" s="1" t="s">
        <v>713</v>
      </c>
    </row>
    <row r="1739">
      <c r="A1739" s="1" t="s">
        <v>3048</v>
      </c>
      <c r="B1739" s="1" t="s">
        <v>3048</v>
      </c>
      <c r="C1739" s="1" t="s">
        <v>645</v>
      </c>
      <c r="E1739" s="1">
        <v>4.58254144E8</v>
      </c>
      <c r="F1739" s="2">
        <v>41564.0</v>
      </c>
      <c r="G1739" s="1" t="s">
        <v>710</v>
      </c>
      <c r="I1739" s="1" t="s">
        <v>710</v>
      </c>
      <c r="L1739" s="1" t="s">
        <v>647</v>
      </c>
      <c r="M1739" s="1">
        <v>1200.0</v>
      </c>
      <c r="N1739" s="1" t="s">
        <v>647</v>
      </c>
      <c r="O1739" s="1">
        <v>1.6388758E7</v>
      </c>
      <c r="P1739" s="1" t="s">
        <v>3139</v>
      </c>
      <c r="Q1739" s="1" t="s">
        <v>3140</v>
      </c>
      <c r="R1739" s="1" t="s">
        <v>281</v>
      </c>
      <c r="S1739" s="1" t="s">
        <v>44</v>
      </c>
      <c r="T1739" s="1" t="s">
        <v>45</v>
      </c>
      <c r="U1739" s="1">
        <v>4.82033277E8</v>
      </c>
      <c r="W1739" s="1" t="s">
        <v>603</v>
      </c>
      <c r="X1739" s="1" t="s">
        <v>45</v>
      </c>
      <c r="Y1739" s="1">
        <v>4.82033277E8</v>
      </c>
      <c r="AB1739" s="1">
        <v>148957.55</v>
      </c>
      <c r="AC1739" s="2">
        <v>41564.0</v>
      </c>
      <c r="AD1739" s="1">
        <v>1200.0</v>
      </c>
      <c r="AE1739" s="1" t="s">
        <v>647</v>
      </c>
      <c r="AF1739" s="1" t="s">
        <v>3252</v>
      </c>
      <c r="AG1739" s="1" t="s">
        <v>712</v>
      </c>
      <c r="AH1739" s="1">
        <v>1.0</v>
      </c>
      <c r="AI1739" s="1">
        <v>2015.0</v>
      </c>
      <c r="AJ1739" s="1">
        <v>2014.0</v>
      </c>
      <c r="AK1739" s="1" t="s">
        <v>713</v>
      </c>
    </row>
    <row r="1740">
      <c r="A1740" s="1" t="s">
        <v>3048</v>
      </c>
      <c r="B1740" s="1" t="s">
        <v>3048</v>
      </c>
      <c r="C1740" s="1" t="s">
        <v>645</v>
      </c>
      <c r="E1740" s="1">
        <v>4.58254144E8</v>
      </c>
      <c r="F1740" s="2">
        <v>41683.0</v>
      </c>
      <c r="G1740" s="1" t="s">
        <v>710</v>
      </c>
      <c r="I1740" s="1" t="s">
        <v>710</v>
      </c>
      <c r="L1740" s="1" t="s">
        <v>647</v>
      </c>
      <c r="M1740" s="1">
        <v>1200.0</v>
      </c>
      <c r="N1740" s="1" t="s">
        <v>647</v>
      </c>
      <c r="O1740" s="1">
        <v>8.4297738E7</v>
      </c>
      <c r="P1740" s="1" t="s">
        <v>3091</v>
      </c>
      <c r="Q1740" s="1" t="s">
        <v>3092</v>
      </c>
      <c r="R1740" s="1" t="s">
        <v>3093</v>
      </c>
      <c r="S1740" s="1" t="s">
        <v>44</v>
      </c>
      <c r="T1740" s="1" t="s">
        <v>45</v>
      </c>
      <c r="U1740" s="1">
        <v>4.8207341E8</v>
      </c>
      <c r="W1740" s="1" t="s">
        <v>44</v>
      </c>
      <c r="X1740" s="1" t="s">
        <v>45</v>
      </c>
      <c r="Y1740" s="1">
        <v>4.8207341E8</v>
      </c>
      <c r="Z1740" s="1">
        <v>8.4297738E7</v>
      </c>
      <c r="AA1740" s="1" t="s">
        <v>3091</v>
      </c>
      <c r="AB1740" s="1">
        <v>41489.93</v>
      </c>
      <c r="AC1740" s="2">
        <v>41683.0</v>
      </c>
      <c r="AD1740" s="1">
        <v>1200.0</v>
      </c>
      <c r="AE1740" s="1" t="s">
        <v>647</v>
      </c>
      <c r="AF1740" s="1" t="s">
        <v>3253</v>
      </c>
      <c r="AG1740" s="1" t="s">
        <v>712</v>
      </c>
      <c r="AH1740" s="1">
        <v>1.0</v>
      </c>
      <c r="AI1740" s="1">
        <v>2015.0</v>
      </c>
      <c r="AJ1740" s="1">
        <v>2014.0</v>
      </c>
      <c r="AK1740" s="1" t="s">
        <v>713</v>
      </c>
    </row>
    <row r="1741">
      <c r="A1741" s="1" t="s">
        <v>3048</v>
      </c>
      <c r="B1741" s="1" t="s">
        <v>3048</v>
      </c>
      <c r="C1741" s="1" t="s">
        <v>645</v>
      </c>
      <c r="E1741" s="1">
        <v>4.58254144E8</v>
      </c>
      <c r="F1741" s="2">
        <v>41571.0</v>
      </c>
      <c r="G1741" s="1" t="s">
        <v>710</v>
      </c>
      <c r="I1741" s="1" t="s">
        <v>710</v>
      </c>
      <c r="L1741" s="1" t="s">
        <v>647</v>
      </c>
      <c r="M1741" s="1">
        <v>1200.0</v>
      </c>
      <c r="N1741" s="1" t="s">
        <v>647</v>
      </c>
      <c r="O1741" s="1">
        <v>1.98438892E8</v>
      </c>
      <c r="P1741" s="1" t="s">
        <v>505</v>
      </c>
      <c r="R1741" s="1" t="s">
        <v>506</v>
      </c>
      <c r="S1741" s="1" t="s">
        <v>44</v>
      </c>
      <c r="T1741" s="1" t="s">
        <v>45</v>
      </c>
      <c r="U1741" s="1">
        <v>4.82123572E8</v>
      </c>
      <c r="W1741" s="1" t="s">
        <v>498</v>
      </c>
      <c r="X1741" s="1" t="s">
        <v>45</v>
      </c>
      <c r="Y1741" s="1">
        <v>4.82123572E8</v>
      </c>
      <c r="Z1741" s="1">
        <v>1.98438892E8</v>
      </c>
      <c r="AA1741" s="1" t="s">
        <v>505</v>
      </c>
      <c r="AB1741" s="1">
        <v>291055.87</v>
      </c>
      <c r="AC1741" s="2">
        <v>41571.0</v>
      </c>
      <c r="AD1741" s="1">
        <v>1200.0</v>
      </c>
      <c r="AE1741" s="1" t="s">
        <v>647</v>
      </c>
      <c r="AF1741" s="1" t="s">
        <v>3254</v>
      </c>
      <c r="AG1741" s="1" t="s">
        <v>712</v>
      </c>
      <c r="AH1741" s="1">
        <v>1.0</v>
      </c>
      <c r="AI1741" s="1">
        <v>2015.0</v>
      </c>
      <c r="AJ1741" s="1">
        <v>2014.0</v>
      </c>
      <c r="AK1741" s="1" t="s">
        <v>713</v>
      </c>
    </row>
    <row r="1742">
      <c r="A1742" s="1" t="s">
        <v>3048</v>
      </c>
      <c r="B1742" s="1" t="s">
        <v>3048</v>
      </c>
      <c r="C1742" s="1" t="s">
        <v>645</v>
      </c>
      <c r="E1742" s="1">
        <v>4.58254144E8</v>
      </c>
      <c r="F1742" s="2">
        <v>41557.0</v>
      </c>
      <c r="G1742" s="1" t="s">
        <v>710</v>
      </c>
      <c r="I1742" s="1" t="s">
        <v>710</v>
      </c>
      <c r="L1742" s="1" t="s">
        <v>647</v>
      </c>
      <c r="M1742" s="1">
        <v>1200.0</v>
      </c>
      <c r="N1742" s="1" t="s">
        <v>647</v>
      </c>
      <c r="O1742" s="1">
        <v>1.38064923E8</v>
      </c>
      <c r="P1742" s="1" t="s">
        <v>585</v>
      </c>
      <c r="R1742" s="1" t="s">
        <v>586</v>
      </c>
      <c r="S1742" s="1" t="s">
        <v>44</v>
      </c>
      <c r="T1742" s="1" t="s">
        <v>45</v>
      </c>
      <c r="U1742" s="1">
        <v>4.82152861E8</v>
      </c>
      <c r="W1742" s="1" t="s">
        <v>44</v>
      </c>
      <c r="X1742" s="1" t="s">
        <v>45</v>
      </c>
      <c r="Y1742" s="1">
        <v>4.82152861E8</v>
      </c>
      <c r="Z1742" s="1">
        <v>9.60742484E8</v>
      </c>
      <c r="AB1742" s="1">
        <v>225448.35</v>
      </c>
      <c r="AC1742" s="2">
        <v>41557.0</v>
      </c>
      <c r="AD1742" s="1">
        <v>1200.0</v>
      </c>
      <c r="AE1742" s="1" t="s">
        <v>647</v>
      </c>
      <c r="AF1742" s="1" t="s">
        <v>3255</v>
      </c>
      <c r="AG1742" s="1" t="s">
        <v>712</v>
      </c>
      <c r="AH1742" s="1">
        <v>1.0</v>
      </c>
      <c r="AI1742" s="1">
        <v>2015.0</v>
      </c>
      <c r="AJ1742" s="1">
        <v>2014.0</v>
      </c>
      <c r="AK1742" s="1" t="s">
        <v>713</v>
      </c>
    </row>
    <row r="1743">
      <c r="A1743" s="1" t="s">
        <v>3048</v>
      </c>
      <c r="B1743" s="1" t="s">
        <v>3048</v>
      </c>
      <c r="C1743" s="1" t="s">
        <v>645</v>
      </c>
      <c r="E1743" s="1">
        <v>4.58254144E8</v>
      </c>
      <c r="F1743" s="2">
        <v>41487.0</v>
      </c>
      <c r="G1743" s="1" t="s">
        <v>710</v>
      </c>
      <c r="I1743" s="1" t="s">
        <v>710</v>
      </c>
      <c r="L1743" s="1" t="s">
        <v>647</v>
      </c>
      <c r="M1743" s="1">
        <v>1200.0</v>
      </c>
      <c r="N1743" s="1" t="s">
        <v>647</v>
      </c>
      <c r="O1743" s="1">
        <v>3790107.0</v>
      </c>
      <c r="P1743" s="1" t="s">
        <v>576</v>
      </c>
      <c r="R1743" s="1" t="s">
        <v>577</v>
      </c>
      <c r="S1743" s="1" t="s">
        <v>44</v>
      </c>
      <c r="T1743" s="1" t="s">
        <v>45</v>
      </c>
      <c r="U1743" s="1">
        <v>4.82343284E8</v>
      </c>
      <c r="W1743" s="1" t="s">
        <v>44</v>
      </c>
      <c r="X1743" s="1" t="s">
        <v>45</v>
      </c>
      <c r="Y1743" s="1">
        <v>4.82343284E8</v>
      </c>
      <c r="AB1743" s="1">
        <v>313229.02</v>
      </c>
      <c r="AC1743" s="2">
        <v>41487.0</v>
      </c>
      <c r="AD1743" s="1">
        <v>1200.0</v>
      </c>
      <c r="AE1743" s="1" t="s">
        <v>647</v>
      </c>
      <c r="AF1743" s="1" t="s">
        <v>3256</v>
      </c>
      <c r="AG1743" s="1" t="s">
        <v>712</v>
      </c>
      <c r="AH1743" s="1">
        <v>1.0</v>
      </c>
      <c r="AI1743" s="1">
        <v>2015.0</v>
      </c>
      <c r="AJ1743" s="1">
        <v>2013.0</v>
      </c>
      <c r="AK1743" s="1" t="s">
        <v>713</v>
      </c>
    </row>
    <row r="1744">
      <c r="A1744" s="1" t="s">
        <v>3048</v>
      </c>
      <c r="B1744" s="1" t="s">
        <v>3048</v>
      </c>
      <c r="C1744" s="1" t="s">
        <v>645</v>
      </c>
      <c r="E1744" s="1">
        <v>4.58254144E8</v>
      </c>
      <c r="F1744" s="2">
        <v>41571.0</v>
      </c>
      <c r="G1744" s="1" t="s">
        <v>710</v>
      </c>
      <c r="I1744" s="1" t="s">
        <v>710</v>
      </c>
      <c r="L1744" s="1" t="s">
        <v>647</v>
      </c>
      <c r="M1744" s="1">
        <v>1200.0</v>
      </c>
      <c r="N1744" s="1" t="s">
        <v>647</v>
      </c>
      <c r="O1744" s="1">
        <v>1.6752507E8</v>
      </c>
      <c r="P1744" s="1" t="s">
        <v>2352</v>
      </c>
      <c r="R1744" s="1" t="s">
        <v>2353</v>
      </c>
      <c r="S1744" s="1" t="s">
        <v>44</v>
      </c>
      <c r="T1744" s="1" t="s">
        <v>45</v>
      </c>
      <c r="U1744" s="1">
        <v>4.82061351E8</v>
      </c>
      <c r="W1744" s="1" t="s">
        <v>46</v>
      </c>
      <c r="X1744" s="1" t="s">
        <v>45</v>
      </c>
      <c r="Y1744" s="1">
        <v>4.82061351E8</v>
      </c>
      <c r="Z1744" s="1">
        <v>1.6752507E8</v>
      </c>
      <c r="AA1744" s="1" t="s">
        <v>2352</v>
      </c>
      <c r="AB1744" s="1">
        <v>30066.54</v>
      </c>
      <c r="AC1744" s="2">
        <v>41571.0</v>
      </c>
      <c r="AD1744" s="1">
        <v>1200.0</v>
      </c>
      <c r="AE1744" s="1" t="s">
        <v>647</v>
      </c>
      <c r="AF1744" s="1" t="s">
        <v>3257</v>
      </c>
      <c r="AG1744" s="1" t="s">
        <v>712</v>
      </c>
      <c r="AH1744" s="1">
        <v>1.0</v>
      </c>
      <c r="AI1744" s="1">
        <v>2015.0</v>
      </c>
      <c r="AJ1744" s="1">
        <v>2014.0</v>
      </c>
      <c r="AK1744" s="1" t="s">
        <v>713</v>
      </c>
    </row>
    <row r="1745">
      <c r="A1745" s="1" t="s">
        <v>3048</v>
      </c>
      <c r="B1745" s="1" t="s">
        <v>3048</v>
      </c>
      <c r="C1745" s="1" t="s">
        <v>645</v>
      </c>
      <c r="E1745" s="1">
        <v>4.58254144E8</v>
      </c>
      <c r="F1745" s="2">
        <v>41564.0</v>
      </c>
      <c r="G1745" s="1" t="s">
        <v>710</v>
      </c>
      <c r="I1745" s="1" t="s">
        <v>710</v>
      </c>
      <c r="L1745" s="1" t="s">
        <v>647</v>
      </c>
      <c r="M1745" s="1">
        <v>1200.0</v>
      </c>
      <c r="N1745" s="1" t="s">
        <v>647</v>
      </c>
      <c r="O1745" s="1">
        <v>5.1205881E7</v>
      </c>
      <c r="P1745" s="1" t="s">
        <v>3258</v>
      </c>
      <c r="R1745" s="1" t="s">
        <v>3259</v>
      </c>
      <c r="S1745" s="1" t="s">
        <v>44</v>
      </c>
      <c r="T1745" s="1" t="s">
        <v>45</v>
      </c>
      <c r="U1745" s="1">
        <v>4.82193265E8</v>
      </c>
      <c r="W1745" s="1" t="s">
        <v>44</v>
      </c>
      <c r="X1745" s="1" t="s">
        <v>45</v>
      </c>
      <c r="Y1745" s="1">
        <v>4.82193265E8</v>
      </c>
      <c r="AB1745" s="1">
        <v>39787.54</v>
      </c>
      <c r="AC1745" s="2">
        <v>41564.0</v>
      </c>
      <c r="AD1745" s="1">
        <v>1200.0</v>
      </c>
      <c r="AE1745" s="1" t="s">
        <v>647</v>
      </c>
      <c r="AF1745" s="1" t="s">
        <v>3260</v>
      </c>
      <c r="AG1745" s="1" t="s">
        <v>712</v>
      </c>
      <c r="AH1745" s="1">
        <v>1.0</v>
      </c>
      <c r="AI1745" s="1">
        <v>2015.0</v>
      </c>
      <c r="AJ1745" s="1">
        <v>2014.0</v>
      </c>
      <c r="AK1745" s="1" t="s">
        <v>713</v>
      </c>
    </row>
    <row r="1746">
      <c r="A1746" s="1" t="s">
        <v>3048</v>
      </c>
      <c r="B1746" s="1" t="s">
        <v>3048</v>
      </c>
      <c r="C1746" s="1" t="s">
        <v>645</v>
      </c>
      <c r="E1746" s="1">
        <v>4.58254144E8</v>
      </c>
      <c r="F1746" s="2">
        <v>41564.0</v>
      </c>
      <c r="G1746" s="1" t="s">
        <v>710</v>
      </c>
      <c r="I1746" s="1" t="s">
        <v>710</v>
      </c>
      <c r="L1746" s="1" t="s">
        <v>647</v>
      </c>
      <c r="M1746" s="1">
        <v>1200.0</v>
      </c>
      <c r="N1746" s="1" t="s">
        <v>647</v>
      </c>
      <c r="O1746" s="1">
        <v>9.0912429E7</v>
      </c>
      <c r="P1746" s="1" t="s">
        <v>521</v>
      </c>
      <c r="R1746" s="1" t="s">
        <v>522</v>
      </c>
      <c r="S1746" s="1" t="s">
        <v>44</v>
      </c>
      <c r="T1746" s="1" t="s">
        <v>45</v>
      </c>
      <c r="U1746" s="1">
        <v>4.82233314E8</v>
      </c>
      <c r="W1746" s="1" t="s">
        <v>44</v>
      </c>
      <c r="X1746" s="1" t="s">
        <v>45</v>
      </c>
      <c r="Y1746" s="1">
        <v>4.82233314E8</v>
      </c>
      <c r="AB1746" s="1">
        <v>88662.95</v>
      </c>
      <c r="AC1746" s="2">
        <v>41564.0</v>
      </c>
      <c r="AD1746" s="1">
        <v>1200.0</v>
      </c>
      <c r="AE1746" s="1" t="s">
        <v>647</v>
      </c>
      <c r="AF1746" s="1" t="s">
        <v>3261</v>
      </c>
      <c r="AG1746" s="1" t="s">
        <v>712</v>
      </c>
      <c r="AH1746" s="1">
        <v>1.0</v>
      </c>
      <c r="AI1746" s="1">
        <v>2015.0</v>
      </c>
      <c r="AJ1746" s="1">
        <v>2014.0</v>
      </c>
      <c r="AK1746" s="1" t="s">
        <v>713</v>
      </c>
    </row>
    <row r="1747">
      <c r="A1747" s="1" t="s">
        <v>3048</v>
      </c>
      <c r="B1747" s="1" t="s">
        <v>3048</v>
      </c>
      <c r="C1747" s="1" t="s">
        <v>645</v>
      </c>
      <c r="E1747" s="1">
        <v>4.58254144E8</v>
      </c>
      <c r="F1747" s="2">
        <v>41585.0</v>
      </c>
      <c r="G1747" s="1" t="s">
        <v>710</v>
      </c>
      <c r="I1747" s="1" t="s">
        <v>710</v>
      </c>
      <c r="L1747" s="1" t="s">
        <v>647</v>
      </c>
      <c r="M1747" s="1">
        <v>1200.0</v>
      </c>
      <c r="N1747" s="1" t="s">
        <v>647</v>
      </c>
      <c r="O1747" s="1">
        <v>9.63121426E8</v>
      </c>
      <c r="P1747" s="1" t="s">
        <v>490</v>
      </c>
      <c r="R1747" s="1" t="s">
        <v>491</v>
      </c>
      <c r="S1747" s="1" t="s">
        <v>44</v>
      </c>
      <c r="T1747" s="1" t="s">
        <v>45</v>
      </c>
      <c r="U1747" s="1">
        <v>4.82233051E8</v>
      </c>
      <c r="W1747" s="1" t="s">
        <v>46</v>
      </c>
      <c r="X1747" s="1" t="s">
        <v>45</v>
      </c>
      <c r="Y1747" s="1">
        <v>4.82233051E8</v>
      </c>
      <c r="AB1747" s="1">
        <v>106320.4</v>
      </c>
      <c r="AC1747" s="2">
        <v>41585.0</v>
      </c>
      <c r="AD1747" s="1">
        <v>1200.0</v>
      </c>
      <c r="AE1747" s="1" t="s">
        <v>647</v>
      </c>
      <c r="AF1747" s="1" t="s">
        <v>3262</v>
      </c>
      <c r="AG1747" s="1" t="s">
        <v>712</v>
      </c>
      <c r="AH1747" s="1">
        <v>1.0</v>
      </c>
      <c r="AI1747" s="1">
        <v>2015.0</v>
      </c>
      <c r="AJ1747" s="1">
        <v>2014.0</v>
      </c>
      <c r="AK1747" s="1" t="s">
        <v>713</v>
      </c>
    </row>
    <row r="1748">
      <c r="A1748" s="1" t="s">
        <v>3048</v>
      </c>
      <c r="B1748" s="1" t="s">
        <v>3048</v>
      </c>
      <c r="C1748" s="1" t="s">
        <v>645</v>
      </c>
      <c r="E1748" s="1">
        <v>4.58254144E8</v>
      </c>
      <c r="F1748" s="2">
        <v>41564.0</v>
      </c>
      <c r="G1748" s="1" t="s">
        <v>710</v>
      </c>
      <c r="I1748" s="1" t="s">
        <v>710</v>
      </c>
      <c r="L1748" s="1" t="s">
        <v>647</v>
      </c>
      <c r="M1748" s="1">
        <v>1200.0</v>
      </c>
      <c r="N1748" s="1" t="s">
        <v>647</v>
      </c>
      <c r="O1748" s="1">
        <v>8.29630537E8</v>
      </c>
      <c r="P1748" s="1" t="s">
        <v>531</v>
      </c>
      <c r="Q1748" s="1" t="s">
        <v>532</v>
      </c>
      <c r="R1748" s="1" t="s">
        <v>533</v>
      </c>
      <c r="S1748" s="1" t="s">
        <v>44</v>
      </c>
      <c r="T1748" s="1" t="s">
        <v>45</v>
      </c>
      <c r="U1748" s="1">
        <v>4.8219181E8</v>
      </c>
      <c r="W1748" s="1" t="s">
        <v>44</v>
      </c>
      <c r="X1748" s="1" t="s">
        <v>45</v>
      </c>
      <c r="Y1748" s="1">
        <v>4.8219181E8</v>
      </c>
      <c r="AB1748" s="1">
        <v>347757.01</v>
      </c>
      <c r="AC1748" s="2">
        <v>41564.0</v>
      </c>
      <c r="AD1748" s="1">
        <v>1200.0</v>
      </c>
      <c r="AE1748" s="1" t="s">
        <v>647</v>
      </c>
      <c r="AF1748" s="1" t="s">
        <v>3263</v>
      </c>
      <c r="AG1748" s="1" t="s">
        <v>712</v>
      </c>
      <c r="AH1748" s="1">
        <v>1.0</v>
      </c>
      <c r="AI1748" s="1">
        <v>2015.0</v>
      </c>
      <c r="AJ1748" s="1">
        <v>2014.0</v>
      </c>
      <c r="AK1748" s="1" t="s">
        <v>713</v>
      </c>
    </row>
    <row r="1749">
      <c r="A1749" s="1" t="s">
        <v>3048</v>
      </c>
      <c r="B1749" s="1" t="s">
        <v>3048</v>
      </c>
      <c r="C1749" s="1" t="s">
        <v>645</v>
      </c>
      <c r="E1749" s="1">
        <v>4.58254144E8</v>
      </c>
      <c r="F1749" s="2">
        <v>41557.0</v>
      </c>
      <c r="G1749" s="1" t="s">
        <v>710</v>
      </c>
      <c r="I1749" s="1" t="s">
        <v>710</v>
      </c>
      <c r="L1749" s="1" t="s">
        <v>647</v>
      </c>
      <c r="M1749" s="1">
        <v>1200.0</v>
      </c>
      <c r="N1749" s="1" t="s">
        <v>647</v>
      </c>
      <c r="O1749" s="1">
        <v>8.0463354E7</v>
      </c>
      <c r="P1749" s="1" t="s">
        <v>518</v>
      </c>
      <c r="R1749" s="1" t="s">
        <v>519</v>
      </c>
      <c r="S1749" s="1" t="s">
        <v>44</v>
      </c>
      <c r="T1749" s="1" t="s">
        <v>45</v>
      </c>
      <c r="U1749" s="1">
        <v>4.82102105E8</v>
      </c>
      <c r="W1749" s="1" t="s">
        <v>44</v>
      </c>
      <c r="X1749" s="1" t="s">
        <v>45</v>
      </c>
      <c r="Y1749" s="1">
        <v>4.82102105E8</v>
      </c>
      <c r="Z1749" s="1">
        <v>8.0463354E7</v>
      </c>
      <c r="AA1749" s="1" t="s">
        <v>518</v>
      </c>
      <c r="AB1749" s="1">
        <v>60293.28</v>
      </c>
      <c r="AC1749" s="2">
        <v>41557.0</v>
      </c>
      <c r="AD1749" s="1">
        <v>1200.0</v>
      </c>
      <c r="AE1749" s="1" t="s">
        <v>647</v>
      </c>
      <c r="AF1749" s="1" t="s">
        <v>3264</v>
      </c>
      <c r="AG1749" s="1" t="s">
        <v>712</v>
      </c>
      <c r="AH1749" s="1">
        <v>1.0</v>
      </c>
      <c r="AI1749" s="1">
        <v>2015.0</v>
      </c>
      <c r="AJ1749" s="1">
        <v>2014.0</v>
      </c>
      <c r="AK1749" s="1" t="s">
        <v>713</v>
      </c>
    </row>
    <row r="1750">
      <c r="A1750" s="1" t="s">
        <v>3048</v>
      </c>
      <c r="B1750" s="1" t="s">
        <v>3048</v>
      </c>
      <c r="C1750" s="1" t="s">
        <v>645</v>
      </c>
      <c r="E1750" s="1">
        <v>4.58254144E8</v>
      </c>
      <c r="F1750" s="2">
        <v>41578.0</v>
      </c>
      <c r="G1750" s="1" t="s">
        <v>710</v>
      </c>
      <c r="I1750" s="1" t="s">
        <v>710</v>
      </c>
      <c r="L1750" s="1" t="s">
        <v>647</v>
      </c>
      <c r="M1750" s="1">
        <v>1200.0</v>
      </c>
      <c r="N1750" s="1" t="s">
        <v>647</v>
      </c>
      <c r="O1750" s="1">
        <v>9.65349769E8</v>
      </c>
      <c r="P1750" s="1" t="s">
        <v>465</v>
      </c>
      <c r="Q1750" s="1" t="s">
        <v>466</v>
      </c>
      <c r="R1750" s="1" t="s">
        <v>467</v>
      </c>
      <c r="S1750" s="1" t="s">
        <v>44</v>
      </c>
      <c r="T1750" s="1" t="s">
        <v>45</v>
      </c>
      <c r="U1750" s="1">
        <v>4.8202322E8</v>
      </c>
      <c r="W1750" s="1" t="s">
        <v>44</v>
      </c>
      <c r="X1750" s="1" t="s">
        <v>45</v>
      </c>
      <c r="Y1750" s="1">
        <v>4.8202322E8</v>
      </c>
      <c r="Z1750" s="1">
        <v>1.6338926E8</v>
      </c>
      <c r="AA1750" s="1" t="s">
        <v>465</v>
      </c>
      <c r="AB1750" s="1">
        <v>31305.88</v>
      </c>
      <c r="AC1750" s="2">
        <v>41578.0</v>
      </c>
      <c r="AD1750" s="1">
        <v>1200.0</v>
      </c>
      <c r="AE1750" s="1" t="s">
        <v>647</v>
      </c>
      <c r="AF1750" s="1" t="s">
        <v>3265</v>
      </c>
      <c r="AG1750" s="1" t="s">
        <v>712</v>
      </c>
      <c r="AH1750" s="1">
        <v>1.0</v>
      </c>
      <c r="AI1750" s="1">
        <v>2015.0</v>
      </c>
      <c r="AJ1750" s="1">
        <v>2014.0</v>
      </c>
      <c r="AK1750" s="1" t="s">
        <v>713</v>
      </c>
    </row>
    <row r="1751">
      <c r="A1751" s="1" t="s">
        <v>3048</v>
      </c>
      <c r="B1751" s="1" t="s">
        <v>3048</v>
      </c>
      <c r="C1751" s="1" t="s">
        <v>645</v>
      </c>
      <c r="E1751" s="1">
        <v>4.58254144E8</v>
      </c>
      <c r="F1751" s="2">
        <v>41578.0</v>
      </c>
      <c r="G1751" s="1" t="s">
        <v>710</v>
      </c>
      <c r="I1751" s="1" t="s">
        <v>710</v>
      </c>
      <c r="L1751" s="1" t="s">
        <v>647</v>
      </c>
      <c r="M1751" s="1">
        <v>1200.0</v>
      </c>
      <c r="N1751" s="1" t="s">
        <v>647</v>
      </c>
      <c r="O1751" s="1">
        <v>8.29503312E8</v>
      </c>
      <c r="P1751" s="1" t="s">
        <v>622</v>
      </c>
      <c r="R1751" s="1" t="s">
        <v>623</v>
      </c>
      <c r="S1751" s="1" t="s">
        <v>44</v>
      </c>
      <c r="T1751" s="1" t="s">
        <v>45</v>
      </c>
      <c r="U1751" s="1">
        <v>4.82035715E8</v>
      </c>
      <c r="W1751" s="1" t="s">
        <v>603</v>
      </c>
      <c r="X1751" s="1" t="s">
        <v>45</v>
      </c>
      <c r="Y1751" s="1">
        <v>4.82035715E8</v>
      </c>
      <c r="AB1751" s="1">
        <v>101729.51</v>
      </c>
      <c r="AC1751" s="2">
        <v>41578.0</v>
      </c>
      <c r="AD1751" s="1">
        <v>1200.0</v>
      </c>
      <c r="AE1751" s="1" t="s">
        <v>647</v>
      </c>
      <c r="AF1751" s="1" t="s">
        <v>3266</v>
      </c>
      <c r="AG1751" s="1" t="s">
        <v>712</v>
      </c>
      <c r="AH1751" s="1">
        <v>1.0</v>
      </c>
      <c r="AI1751" s="1">
        <v>2015.0</v>
      </c>
      <c r="AJ1751" s="1">
        <v>2014.0</v>
      </c>
      <c r="AK1751" s="1" t="s">
        <v>713</v>
      </c>
    </row>
    <row r="1752">
      <c r="A1752" s="1" t="s">
        <v>3048</v>
      </c>
      <c r="B1752" s="1" t="s">
        <v>3048</v>
      </c>
      <c r="C1752" s="1" t="s">
        <v>645</v>
      </c>
      <c r="E1752" s="1">
        <v>4.58254144E8</v>
      </c>
      <c r="F1752" s="2">
        <v>41557.0</v>
      </c>
      <c r="G1752" s="1" t="s">
        <v>710</v>
      </c>
      <c r="I1752" s="1" t="s">
        <v>710</v>
      </c>
      <c r="L1752" s="1" t="s">
        <v>647</v>
      </c>
      <c r="M1752" s="1">
        <v>1200.0</v>
      </c>
      <c r="N1752" s="1" t="s">
        <v>647</v>
      </c>
      <c r="O1752" s="1">
        <v>8.30792151E8</v>
      </c>
      <c r="P1752" s="1" t="s">
        <v>594</v>
      </c>
      <c r="R1752" s="1" t="s">
        <v>596</v>
      </c>
      <c r="S1752" s="1" t="s">
        <v>44</v>
      </c>
      <c r="T1752" s="1" t="s">
        <v>45</v>
      </c>
      <c r="U1752" s="1">
        <v>4.82382356E8</v>
      </c>
      <c r="W1752" s="1" t="s">
        <v>44</v>
      </c>
      <c r="X1752" s="1" t="s">
        <v>45</v>
      </c>
      <c r="Y1752" s="1">
        <v>4.82382356E8</v>
      </c>
      <c r="Z1752" s="1">
        <v>9.60742484E8</v>
      </c>
      <c r="AB1752" s="1">
        <v>249470.12</v>
      </c>
      <c r="AC1752" s="2">
        <v>41557.0</v>
      </c>
      <c r="AD1752" s="1">
        <v>1200.0</v>
      </c>
      <c r="AE1752" s="1" t="s">
        <v>647</v>
      </c>
      <c r="AF1752" s="1" t="s">
        <v>3267</v>
      </c>
      <c r="AG1752" s="1" t="s">
        <v>712</v>
      </c>
      <c r="AH1752" s="1">
        <v>1.0</v>
      </c>
      <c r="AI1752" s="1">
        <v>2015.0</v>
      </c>
      <c r="AJ1752" s="1">
        <v>2014.0</v>
      </c>
      <c r="AK1752" s="1" t="s">
        <v>713</v>
      </c>
    </row>
    <row r="1753">
      <c r="A1753" s="1" t="s">
        <v>3048</v>
      </c>
      <c r="B1753" s="1" t="s">
        <v>3048</v>
      </c>
      <c r="C1753" s="1" t="s">
        <v>645</v>
      </c>
      <c r="E1753" s="1">
        <v>4.58254144E8</v>
      </c>
      <c r="F1753" s="2">
        <v>41613.0</v>
      </c>
      <c r="G1753" s="1" t="s">
        <v>710</v>
      </c>
      <c r="I1753" s="1" t="s">
        <v>710</v>
      </c>
      <c r="L1753" s="1" t="s">
        <v>647</v>
      </c>
      <c r="M1753" s="1">
        <v>1200.0</v>
      </c>
      <c r="N1753" s="1" t="s">
        <v>647</v>
      </c>
      <c r="O1753" s="1">
        <v>1.96740885E8</v>
      </c>
      <c r="P1753" s="1" t="s">
        <v>797</v>
      </c>
      <c r="R1753" s="1" t="s">
        <v>798</v>
      </c>
      <c r="S1753" s="1" t="s">
        <v>44</v>
      </c>
      <c r="T1753" s="1" t="s">
        <v>45</v>
      </c>
      <c r="U1753" s="1">
        <v>4.82343348E8</v>
      </c>
      <c r="W1753" s="1" t="s">
        <v>44</v>
      </c>
      <c r="X1753" s="1" t="s">
        <v>45</v>
      </c>
      <c r="Y1753" s="1">
        <v>4.82343348E8</v>
      </c>
      <c r="AB1753" s="1">
        <v>29750.77</v>
      </c>
      <c r="AC1753" s="2">
        <v>41613.0</v>
      </c>
      <c r="AD1753" s="1">
        <v>1200.0</v>
      </c>
      <c r="AE1753" s="1" t="s">
        <v>647</v>
      </c>
      <c r="AF1753" s="1" t="s">
        <v>3268</v>
      </c>
      <c r="AG1753" s="1" t="s">
        <v>712</v>
      </c>
      <c r="AH1753" s="1">
        <v>1.0</v>
      </c>
      <c r="AI1753" s="1">
        <v>2015.0</v>
      </c>
      <c r="AJ1753" s="1">
        <v>2014.0</v>
      </c>
      <c r="AK1753" s="1" t="s">
        <v>713</v>
      </c>
    </row>
    <row r="1754">
      <c r="A1754" s="1" t="s">
        <v>3048</v>
      </c>
      <c r="B1754" s="1" t="s">
        <v>3048</v>
      </c>
      <c r="C1754" s="1" t="s">
        <v>645</v>
      </c>
      <c r="E1754" s="1">
        <v>4.58254144E8</v>
      </c>
      <c r="F1754" s="2">
        <v>41557.0</v>
      </c>
      <c r="G1754" s="1" t="s">
        <v>710</v>
      </c>
      <c r="I1754" s="1" t="s">
        <v>710</v>
      </c>
      <c r="L1754" s="1" t="s">
        <v>647</v>
      </c>
      <c r="M1754" s="1">
        <v>1200.0</v>
      </c>
      <c r="N1754" s="1" t="s">
        <v>647</v>
      </c>
      <c r="O1754" s="1">
        <v>6.10593329E8</v>
      </c>
      <c r="P1754" s="1" t="s">
        <v>926</v>
      </c>
      <c r="R1754" s="1" t="s">
        <v>927</v>
      </c>
      <c r="S1754" s="1" t="s">
        <v>44</v>
      </c>
      <c r="T1754" s="1" t="s">
        <v>45</v>
      </c>
      <c r="U1754" s="1">
        <v>4.82353325E8</v>
      </c>
      <c r="W1754" s="1" t="s">
        <v>928</v>
      </c>
      <c r="X1754" s="1" t="s">
        <v>45</v>
      </c>
      <c r="Y1754" s="1">
        <v>4.80761694E8</v>
      </c>
      <c r="AB1754" s="1">
        <v>40953.33</v>
      </c>
      <c r="AC1754" s="2">
        <v>41557.0</v>
      </c>
      <c r="AD1754" s="1">
        <v>1200.0</v>
      </c>
      <c r="AE1754" s="1" t="s">
        <v>647</v>
      </c>
      <c r="AF1754" s="1" t="s">
        <v>3269</v>
      </c>
      <c r="AG1754" s="1" t="s">
        <v>712</v>
      </c>
      <c r="AH1754" s="1">
        <v>1.0</v>
      </c>
      <c r="AI1754" s="1">
        <v>2015.0</v>
      </c>
      <c r="AJ1754" s="1">
        <v>2014.0</v>
      </c>
      <c r="AK1754" s="1" t="s">
        <v>713</v>
      </c>
    </row>
    <row r="1755">
      <c r="A1755" s="1" t="s">
        <v>3048</v>
      </c>
      <c r="B1755" s="1" t="s">
        <v>3048</v>
      </c>
      <c r="C1755" s="1" t="s">
        <v>645</v>
      </c>
      <c r="E1755" s="1">
        <v>4.58254144E8</v>
      </c>
      <c r="F1755" s="2">
        <v>41599.0</v>
      </c>
      <c r="G1755" s="1" t="s">
        <v>710</v>
      </c>
      <c r="I1755" s="1" t="s">
        <v>710</v>
      </c>
      <c r="L1755" s="1" t="s">
        <v>647</v>
      </c>
      <c r="M1755" s="1">
        <v>1200.0</v>
      </c>
      <c r="N1755" s="1" t="s">
        <v>647</v>
      </c>
      <c r="O1755" s="1">
        <v>8.32093392E8</v>
      </c>
      <c r="P1755" s="1" t="s">
        <v>769</v>
      </c>
      <c r="R1755" s="1" t="s">
        <v>770</v>
      </c>
      <c r="S1755" s="1" t="s">
        <v>44</v>
      </c>
      <c r="T1755" s="1" t="s">
        <v>45</v>
      </c>
      <c r="U1755" s="1">
        <v>4.82354205E8</v>
      </c>
      <c r="W1755" s="1" t="s">
        <v>44</v>
      </c>
      <c r="X1755" s="1" t="s">
        <v>45</v>
      </c>
      <c r="Y1755" s="1">
        <v>4.82354205E8</v>
      </c>
      <c r="AB1755" s="1">
        <v>140763.57</v>
      </c>
      <c r="AC1755" s="2">
        <v>41599.0</v>
      </c>
      <c r="AD1755" s="1">
        <v>1200.0</v>
      </c>
      <c r="AE1755" s="1" t="s">
        <v>647</v>
      </c>
      <c r="AF1755" s="1" t="s">
        <v>3270</v>
      </c>
      <c r="AG1755" s="1" t="s">
        <v>712</v>
      </c>
      <c r="AH1755" s="1">
        <v>1.0</v>
      </c>
      <c r="AI1755" s="1">
        <v>2015.0</v>
      </c>
      <c r="AJ1755" s="1">
        <v>2014.0</v>
      </c>
      <c r="AK1755" s="1" t="s">
        <v>713</v>
      </c>
    </row>
    <row r="1756">
      <c r="A1756" s="1" t="s">
        <v>3048</v>
      </c>
      <c r="B1756" s="1" t="s">
        <v>3048</v>
      </c>
      <c r="C1756" s="1" t="s">
        <v>645</v>
      </c>
      <c r="E1756" s="1">
        <v>4.58254144E8</v>
      </c>
      <c r="F1756" s="2">
        <v>41564.0</v>
      </c>
      <c r="G1756" s="1" t="s">
        <v>710</v>
      </c>
      <c r="I1756" s="1" t="s">
        <v>710</v>
      </c>
      <c r="L1756" s="1" t="s">
        <v>647</v>
      </c>
      <c r="M1756" s="1">
        <v>1200.0</v>
      </c>
      <c r="N1756" s="1" t="s">
        <v>647</v>
      </c>
      <c r="O1756" s="1">
        <v>8.25304442E8</v>
      </c>
      <c r="P1756" s="1" t="s">
        <v>829</v>
      </c>
      <c r="R1756" s="1" t="s">
        <v>830</v>
      </c>
      <c r="S1756" s="1" t="s">
        <v>44</v>
      </c>
      <c r="T1756" s="1" t="s">
        <v>45</v>
      </c>
      <c r="U1756" s="1">
        <v>4.82351762E8</v>
      </c>
      <c r="W1756" s="1" t="s">
        <v>44</v>
      </c>
      <c r="X1756" s="1" t="s">
        <v>45</v>
      </c>
      <c r="Y1756" s="1">
        <v>4.82351762E8</v>
      </c>
      <c r="AB1756" s="1">
        <v>97856.43</v>
      </c>
      <c r="AC1756" s="2">
        <v>41564.0</v>
      </c>
      <c r="AD1756" s="1">
        <v>1200.0</v>
      </c>
      <c r="AE1756" s="1" t="s">
        <v>647</v>
      </c>
      <c r="AF1756" s="1" t="s">
        <v>3271</v>
      </c>
      <c r="AG1756" s="1" t="s">
        <v>712</v>
      </c>
      <c r="AH1756" s="1">
        <v>1.0</v>
      </c>
      <c r="AI1756" s="1">
        <v>2015.0</v>
      </c>
      <c r="AJ1756" s="1">
        <v>2014.0</v>
      </c>
      <c r="AK1756" s="1" t="s">
        <v>713</v>
      </c>
    </row>
    <row r="1757">
      <c r="A1757" s="1" t="s">
        <v>3048</v>
      </c>
      <c r="B1757" s="1" t="s">
        <v>3048</v>
      </c>
      <c r="C1757" s="1" t="s">
        <v>645</v>
      </c>
      <c r="E1757" s="1">
        <v>4.58254144E8</v>
      </c>
      <c r="F1757" s="2">
        <v>41557.0</v>
      </c>
      <c r="G1757" s="1" t="s">
        <v>710</v>
      </c>
      <c r="I1757" s="1" t="s">
        <v>710</v>
      </c>
      <c r="L1757" s="1" t="s">
        <v>647</v>
      </c>
      <c r="M1757" s="1">
        <v>1200.0</v>
      </c>
      <c r="N1757" s="1" t="s">
        <v>647</v>
      </c>
      <c r="O1757" s="1">
        <v>8.37388367E8</v>
      </c>
      <c r="P1757" s="1" t="s">
        <v>3272</v>
      </c>
      <c r="R1757" s="1" t="s">
        <v>3273</v>
      </c>
      <c r="S1757" s="1" t="s">
        <v>44</v>
      </c>
      <c r="T1757" s="1" t="s">
        <v>45</v>
      </c>
      <c r="U1757" s="1">
        <v>4.82342111E8</v>
      </c>
      <c r="W1757" s="1" t="s">
        <v>46</v>
      </c>
      <c r="X1757" s="1" t="s">
        <v>45</v>
      </c>
      <c r="Y1757" s="1">
        <v>4.82342111E8</v>
      </c>
      <c r="AB1757" s="1">
        <v>55223.47</v>
      </c>
      <c r="AC1757" s="2">
        <v>41557.0</v>
      </c>
      <c r="AD1757" s="1">
        <v>1200.0</v>
      </c>
      <c r="AE1757" s="1" t="s">
        <v>647</v>
      </c>
      <c r="AF1757" s="1" t="s">
        <v>3274</v>
      </c>
      <c r="AG1757" s="1" t="s">
        <v>712</v>
      </c>
      <c r="AH1757" s="1">
        <v>1.0</v>
      </c>
      <c r="AI1757" s="1">
        <v>2015.0</v>
      </c>
      <c r="AJ1757" s="1">
        <v>2014.0</v>
      </c>
      <c r="AK1757" s="1" t="s">
        <v>713</v>
      </c>
    </row>
    <row r="1758">
      <c r="A1758" s="1" t="s">
        <v>3048</v>
      </c>
      <c r="B1758" s="1" t="s">
        <v>3048</v>
      </c>
      <c r="C1758" s="1" t="s">
        <v>645</v>
      </c>
      <c r="E1758" s="1">
        <v>4.58254144E8</v>
      </c>
      <c r="F1758" s="2">
        <v>41557.0</v>
      </c>
      <c r="G1758" s="1" t="s">
        <v>710</v>
      </c>
      <c r="I1758" s="1" t="s">
        <v>710</v>
      </c>
      <c r="L1758" s="1" t="s">
        <v>647</v>
      </c>
      <c r="M1758" s="1">
        <v>1200.0</v>
      </c>
      <c r="N1758" s="1" t="s">
        <v>647</v>
      </c>
      <c r="O1758" s="1">
        <v>1.35155112E8</v>
      </c>
      <c r="P1758" s="1" t="s">
        <v>836</v>
      </c>
      <c r="R1758" s="1" t="s">
        <v>837</v>
      </c>
      <c r="S1758" s="1" t="s">
        <v>44</v>
      </c>
      <c r="T1758" s="1" t="s">
        <v>45</v>
      </c>
      <c r="U1758" s="1">
        <v>4.82052542E8</v>
      </c>
      <c r="W1758" s="1" t="s">
        <v>44</v>
      </c>
      <c r="X1758" s="1" t="s">
        <v>45</v>
      </c>
      <c r="Y1758" s="1">
        <v>4.82052542E8</v>
      </c>
      <c r="AB1758" s="1">
        <v>36333.1</v>
      </c>
      <c r="AC1758" s="2">
        <v>41557.0</v>
      </c>
      <c r="AD1758" s="1">
        <v>1200.0</v>
      </c>
      <c r="AE1758" s="1" t="s">
        <v>647</v>
      </c>
      <c r="AF1758" s="1" t="s">
        <v>3275</v>
      </c>
      <c r="AG1758" s="1" t="s">
        <v>712</v>
      </c>
      <c r="AH1758" s="1">
        <v>1.0</v>
      </c>
      <c r="AI1758" s="1">
        <v>2015.0</v>
      </c>
      <c r="AJ1758" s="1">
        <v>2014.0</v>
      </c>
      <c r="AK1758" s="1" t="s">
        <v>713</v>
      </c>
    </row>
    <row r="1759">
      <c r="A1759" s="1" t="s">
        <v>3048</v>
      </c>
      <c r="B1759" s="1" t="s">
        <v>3048</v>
      </c>
      <c r="C1759" s="1" t="s">
        <v>645</v>
      </c>
      <c r="E1759" s="1">
        <v>4.58254144E8</v>
      </c>
      <c r="F1759" s="2">
        <v>41592.0</v>
      </c>
      <c r="G1759" s="1" t="s">
        <v>710</v>
      </c>
      <c r="I1759" s="1" t="s">
        <v>710</v>
      </c>
      <c r="L1759" s="1" t="s">
        <v>647</v>
      </c>
      <c r="M1759" s="1">
        <v>1200.0</v>
      </c>
      <c r="N1759" s="1" t="s">
        <v>647</v>
      </c>
      <c r="O1759" s="1">
        <v>1.6338926E8</v>
      </c>
      <c r="P1759" s="1" t="s">
        <v>465</v>
      </c>
      <c r="Q1759" s="1" t="s">
        <v>598</v>
      </c>
      <c r="R1759" s="1" t="s">
        <v>599</v>
      </c>
      <c r="S1759" s="1" t="s">
        <v>44</v>
      </c>
      <c r="T1759" s="1" t="s">
        <v>45</v>
      </c>
      <c r="U1759" s="1">
        <v>4.82023457E8</v>
      </c>
      <c r="W1759" s="1" t="s">
        <v>44</v>
      </c>
      <c r="X1759" s="1" t="s">
        <v>45</v>
      </c>
      <c r="Y1759" s="1">
        <v>4.82023457E8</v>
      </c>
      <c r="Z1759" s="1">
        <v>1.6338926E8</v>
      </c>
      <c r="AA1759" s="1" t="s">
        <v>465</v>
      </c>
      <c r="AB1759" s="1">
        <v>61598.91</v>
      </c>
      <c r="AC1759" s="2">
        <v>41592.0</v>
      </c>
      <c r="AD1759" s="1">
        <v>1200.0</v>
      </c>
      <c r="AE1759" s="1" t="s">
        <v>647</v>
      </c>
      <c r="AF1759" s="1" t="s">
        <v>3276</v>
      </c>
      <c r="AG1759" s="1" t="s">
        <v>712</v>
      </c>
      <c r="AH1759" s="1">
        <v>1.0</v>
      </c>
      <c r="AI1759" s="1">
        <v>2015.0</v>
      </c>
      <c r="AJ1759" s="1">
        <v>2014.0</v>
      </c>
      <c r="AK1759" s="1" t="s">
        <v>713</v>
      </c>
    </row>
    <row r="1760">
      <c r="A1760" s="1" t="s">
        <v>3048</v>
      </c>
      <c r="B1760" s="1" t="s">
        <v>3048</v>
      </c>
      <c r="C1760" s="1" t="s">
        <v>645</v>
      </c>
      <c r="E1760" s="1">
        <v>4.58254144E8</v>
      </c>
      <c r="F1760" s="2">
        <v>41466.0</v>
      </c>
      <c r="G1760" s="1" t="s">
        <v>710</v>
      </c>
      <c r="I1760" s="1" t="s">
        <v>710</v>
      </c>
      <c r="L1760" s="1" t="s">
        <v>647</v>
      </c>
      <c r="M1760" s="1">
        <v>1200.0</v>
      </c>
      <c r="N1760" s="1" t="s">
        <v>647</v>
      </c>
      <c r="O1760" s="1">
        <v>2.496865E7</v>
      </c>
      <c r="P1760" s="1" t="s">
        <v>609</v>
      </c>
      <c r="R1760" s="1" t="s">
        <v>610</v>
      </c>
      <c r="S1760" s="1" t="s">
        <v>44</v>
      </c>
      <c r="T1760" s="1" t="s">
        <v>45</v>
      </c>
      <c r="U1760" s="1">
        <v>4.8235168E8</v>
      </c>
      <c r="W1760" s="1" t="s">
        <v>46</v>
      </c>
      <c r="X1760" s="1" t="s">
        <v>45</v>
      </c>
      <c r="Y1760" s="1">
        <v>4.8235168E8</v>
      </c>
      <c r="AB1760" s="1">
        <v>63882.14</v>
      </c>
      <c r="AC1760" s="2">
        <v>41466.0</v>
      </c>
      <c r="AD1760" s="1">
        <v>1200.0</v>
      </c>
      <c r="AE1760" s="1" t="s">
        <v>647</v>
      </c>
      <c r="AF1760" s="1" t="s">
        <v>3277</v>
      </c>
      <c r="AG1760" s="1" t="s">
        <v>712</v>
      </c>
      <c r="AH1760" s="1">
        <v>1.0</v>
      </c>
      <c r="AI1760" s="1">
        <v>2015.0</v>
      </c>
      <c r="AJ1760" s="1">
        <v>2013.0</v>
      </c>
      <c r="AK1760" s="1" t="s">
        <v>713</v>
      </c>
    </row>
    <row r="1761">
      <c r="A1761" s="1" t="s">
        <v>3048</v>
      </c>
      <c r="B1761" s="1" t="s">
        <v>3048</v>
      </c>
      <c r="C1761" s="1" t="s">
        <v>645</v>
      </c>
      <c r="E1761" s="1">
        <v>4.58254144E8</v>
      </c>
      <c r="F1761" s="2">
        <v>41557.0</v>
      </c>
      <c r="G1761" s="1" t="s">
        <v>710</v>
      </c>
      <c r="I1761" s="1" t="s">
        <v>710</v>
      </c>
      <c r="L1761" s="1" t="s">
        <v>647</v>
      </c>
      <c r="M1761" s="1">
        <v>1200.0</v>
      </c>
      <c r="N1761" s="1" t="s">
        <v>647</v>
      </c>
      <c r="O1761" s="1">
        <v>8.31014068E8</v>
      </c>
      <c r="P1761" s="1" t="s">
        <v>515</v>
      </c>
      <c r="R1761" s="1" t="s">
        <v>516</v>
      </c>
      <c r="S1761" s="1" t="s">
        <v>44</v>
      </c>
      <c r="T1761" s="1" t="s">
        <v>45</v>
      </c>
      <c r="U1761" s="1">
        <v>4.82283685E8</v>
      </c>
      <c r="W1761" s="1" t="s">
        <v>46</v>
      </c>
      <c r="X1761" s="1" t="s">
        <v>45</v>
      </c>
      <c r="Y1761" s="1">
        <v>4.82283685E8</v>
      </c>
      <c r="Z1761" s="1">
        <v>9.60742484E8</v>
      </c>
      <c r="AB1761" s="1">
        <v>286457.73</v>
      </c>
      <c r="AC1761" s="2">
        <v>41557.0</v>
      </c>
      <c r="AD1761" s="1">
        <v>1200.0</v>
      </c>
      <c r="AE1761" s="1" t="s">
        <v>647</v>
      </c>
      <c r="AF1761" s="1" t="s">
        <v>3278</v>
      </c>
      <c r="AG1761" s="1" t="s">
        <v>712</v>
      </c>
      <c r="AH1761" s="1">
        <v>1.0</v>
      </c>
      <c r="AI1761" s="1">
        <v>2015.0</v>
      </c>
      <c r="AJ1761" s="1">
        <v>2014.0</v>
      </c>
      <c r="AK1761" s="1" t="s">
        <v>713</v>
      </c>
    </row>
    <row r="1762">
      <c r="A1762" s="1" t="s">
        <v>3048</v>
      </c>
      <c r="B1762" s="1" t="s">
        <v>3048</v>
      </c>
      <c r="C1762" s="1" t="s">
        <v>645</v>
      </c>
      <c r="E1762" s="1">
        <v>4.58254144E8</v>
      </c>
      <c r="F1762" s="2">
        <v>41550.0</v>
      </c>
      <c r="G1762" s="1" t="s">
        <v>710</v>
      </c>
      <c r="I1762" s="1" t="s">
        <v>710</v>
      </c>
      <c r="L1762" s="1" t="s">
        <v>647</v>
      </c>
      <c r="M1762" s="1">
        <v>1200.0</v>
      </c>
      <c r="N1762" s="1" t="s">
        <v>647</v>
      </c>
      <c r="O1762" s="1">
        <v>7.1310154E7</v>
      </c>
      <c r="P1762" s="1" t="s">
        <v>3279</v>
      </c>
      <c r="R1762" s="1" t="s">
        <v>3280</v>
      </c>
      <c r="S1762" s="1" t="s">
        <v>44</v>
      </c>
      <c r="T1762" s="1" t="s">
        <v>45</v>
      </c>
      <c r="U1762" s="1">
        <v>4.82352953E8</v>
      </c>
      <c r="W1762" s="1" t="s">
        <v>46</v>
      </c>
      <c r="X1762" s="1" t="s">
        <v>45</v>
      </c>
      <c r="Y1762" s="1">
        <v>4.82352953E8</v>
      </c>
      <c r="AB1762" s="1">
        <v>31894.27</v>
      </c>
      <c r="AC1762" s="2">
        <v>41550.0</v>
      </c>
      <c r="AD1762" s="1">
        <v>1200.0</v>
      </c>
      <c r="AE1762" s="1" t="s">
        <v>647</v>
      </c>
      <c r="AF1762" s="1" t="s">
        <v>3281</v>
      </c>
      <c r="AG1762" s="1" t="s">
        <v>712</v>
      </c>
      <c r="AH1762" s="1">
        <v>1.0</v>
      </c>
      <c r="AI1762" s="1">
        <v>2015.0</v>
      </c>
      <c r="AJ1762" s="1">
        <v>2014.0</v>
      </c>
      <c r="AK1762" s="1" t="s">
        <v>713</v>
      </c>
    </row>
    <row r="1763">
      <c r="A1763" s="1" t="s">
        <v>3048</v>
      </c>
      <c r="B1763" s="1" t="s">
        <v>3048</v>
      </c>
      <c r="C1763" s="1" t="s">
        <v>645</v>
      </c>
      <c r="E1763" s="1">
        <v>4.58254144E8</v>
      </c>
      <c r="F1763" s="2">
        <v>41564.0</v>
      </c>
      <c r="G1763" s="1" t="s">
        <v>710</v>
      </c>
      <c r="I1763" s="1" t="s">
        <v>710</v>
      </c>
      <c r="L1763" s="1" t="s">
        <v>647</v>
      </c>
      <c r="M1763" s="1">
        <v>1200.0</v>
      </c>
      <c r="N1763" s="1" t="s">
        <v>647</v>
      </c>
      <c r="O1763" s="1">
        <v>9.0912429E7</v>
      </c>
      <c r="P1763" s="1" t="s">
        <v>521</v>
      </c>
      <c r="R1763" s="1" t="s">
        <v>522</v>
      </c>
      <c r="S1763" s="1" t="s">
        <v>44</v>
      </c>
      <c r="T1763" s="1" t="s">
        <v>45</v>
      </c>
      <c r="U1763" s="1">
        <v>4.82233314E8</v>
      </c>
      <c r="W1763" s="1" t="s">
        <v>44</v>
      </c>
      <c r="X1763" s="1" t="s">
        <v>45</v>
      </c>
      <c r="Y1763" s="1">
        <v>4.82233314E8</v>
      </c>
      <c r="AB1763" s="1">
        <v>240138.89</v>
      </c>
      <c r="AC1763" s="2">
        <v>41564.0</v>
      </c>
      <c r="AD1763" s="1">
        <v>1200.0</v>
      </c>
      <c r="AE1763" s="1" t="s">
        <v>647</v>
      </c>
      <c r="AF1763" s="1" t="s">
        <v>3282</v>
      </c>
      <c r="AG1763" s="1" t="s">
        <v>712</v>
      </c>
      <c r="AH1763" s="1">
        <v>1.0</v>
      </c>
      <c r="AI1763" s="1">
        <v>2015.0</v>
      </c>
      <c r="AJ1763" s="1">
        <v>2014.0</v>
      </c>
      <c r="AK1763" s="1" t="s">
        <v>713</v>
      </c>
    </row>
    <row r="1764">
      <c r="A1764" s="1" t="s">
        <v>3048</v>
      </c>
      <c r="B1764" s="1" t="s">
        <v>3048</v>
      </c>
      <c r="C1764" s="1" t="s">
        <v>645</v>
      </c>
      <c r="E1764" s="1">
        <v>4.58254144E8</v>
      </c>
      <c r="F1764" s="2">
        <v>41557.0</v>
      </c>
      <c r="G1764" s="1" t="s">
        <v>710</v>
      </c>
      <c r="I1764" s="1" t="s">
        <v>710</v>
      </c>
      <c r="L1764" s="1" t="s">
        <v>647</v>
      </c>
      <c r="M1764" s="1">
        <v>1200.0</v>
      </c>
      <c r="N1764" s="1" t="s">
        <v>647</v>
      </c>
      <c r="O1764" s="1">
        <v>1.23577707E8</v>
      </c>
      <c r="P1764" s="1" t="s">
        <v>563</v>
      </c>
      <c r="R1764" s="1" t="s">
        <v>565</v>
      </c>
      <c r="S1764" s="1" t="s">
        <v>44</v>
      </c>
      <c r="T1764" s="1" t="s">
        <v>45</v>
      </c>
      <c r="U1764" s="1">
        <v>4.8228333E8</v>
      </c>
      <c r="W1764" s="1" t="s">
        <v>44</v>
      </c>
      <c r="X1764" s="1" t="s">
        <v>45</v>
      </c>
      <c r="Y1764" s="1">
        <v>4.82283396E8</v>
      </c>
      <c r="Z1764" s="1">
        <v>9.60742484E8</v>
      </c>
      <c r="AB1764" s="1">
        <v>92701.89</v>
      </c>
      <c r="AC1764" s="2">
        <v>41557.0</v>
      </c>
      <c r="AD1764" s="1">
        <v>1200.0</v>
      </c>
      <c r="AE1764" s="1" t="s">
        <v>647</v>
      </c>
      <c r="AF1764" s="1" t="s">
        <v>3283</v>
      </c>
      <c r="AG1764" s="1" t="s">
        <v>712</v>
      </c>
      <c r="AH1764" s="1">
        <v>1.0</v>
      </c>
      <c r="AI1764" s="1">
        <v>2015.0</v>
      </c>
      <c r="AJ1764" s="1">
        <v>2014.0</v>
      </c>
      <c r="AK1764" s="1" t="s">
        <v>713</v>
      </c>
    </row>
    <row r="1765">
      <c r="A1765" s="1" t="s">
        <v>3048</v>
      </c>
      <c r="B1765" s="1" t="s">
        <v>3048</v>
      </c>
      <c r="C1765" s="1" t="s">
        <v>645</v>
      </c>
      <c r="E1765" s="1">
        <v>4.58254144E8</v>
      </c>
      <c r="F1765" s="2">
        <v>41571.0</v>
      </c>
      <c r="G1765" s="1" t="s">
        <v>710</v>
      </c>
      <c r="I1765" s="1" t="s">
        <v>710</v>
      </c>
      <c r="L1765" s="1" t="s">
        <v>647</v>
      </c>
      <c r="M1765" s="1">
        <v>1200.0</v>
      </c>
      <c r="N1765" s="1" t="s">
        <v>647</v>
      </c>
      <c r="O1765" s="1">
        <v>1.3032514E8</v>
      </c>
      <c r="P1765" s="1" t="s">
        <v>819</v>
      </c>
      <c r="R1765" s="1" t="s">
        <v>820</v>
      </c>
      <c r="S1765" s="1" t="s">
        <v>44</v>
      </c>
      <c r="T1765" s="1" t="s">
        <v>45</v>
      </c>
      <c r="U1765" s="1">
        <v>4.82072418E8</v>
      </c>
      <c r="W1765" s="1" t="s">
        <v>44</v>
      </c>
      <c r="X1765" s="1" t="s">
        <v>45</v>
      </c>
      <c r="Y1765" s="1">
        <v>4.82072418E8</v>
      </c>
      <c r="Z1765" s="1">
        <v>1.3032514E8</v>
      </c>
      <c r="AA1765" s="1" t="s">
        <v>819</v>
      </c>
      <c r="AB1765" s="1">
        <v>46937.57</v>
      </c>
      <c r="AC1765" s="2">
        <v>41571.0</v>
      </c>
      <c r="AD1765" s="1">
        <v>1200.0</v>
      </c>
      <c r="AE1765" s="1" t="s">
        <v>647</v>
      </c>
      <c r="AF1765" s="1" t="s">
        <v>3284</v>
      </c>
      <c r="AG1765" s="1" t="s">
        <v>712</v>
      </c>
      <c r="AH1765" s="1">
        <v>1.0</v>
      </c>
      <c r="AI1765" s="1">
        <v>2015.0</v>
      </c>
      <c r="AJ1765" s="1">
        <v>2014.0</v>
      </c>
      <c r="AK1765" s="1" t="s">
        <v>713</v>
      </c>
    </row>
    <row r="1766">
      <c r="A1766" s="1" t="s">
        <v>3048</v>
      </c>
      <c r="B1766" s="1" t="s">
        <v>3048</v>
      </c>
      <c r="C1766" s="1" t="s">
        <v>645</v>
      </c>
      <c r="E1766" s="1">
        <v>4.58254144E8</v>
      </c>
      <c r="F1766" s="2">
        <v>41557.0</v>
      </c>
      <c r="G1766" s="1" t="s">
        <v>710</v>
      </c>
      <c r="I1766" s="1" t="s">
        <v>710</v>
      </c>
      <c r="L1766" s="1" t="s">
        <v>647</v>
      </c>
      <c r="M1766" s="1">
        <v>1200.0</v>
      </c>
      <c r="N1766" s="1" t="s">
        <v>647</v>
      </c>
      <c r="O1766" s="1">
        <v>1.69760451E8</v>
      </c>
      <c r="P1766" s="1" t="s">
        <v>772</v>
      </c>
      <c r="R1766" s="1" t="s">
        <v>773</v>
      </c>
      <c r="S1766" s="1" t="s">
        <v>44</v>
      </c>
      <c r="T1766" s="1" t="s">
        <v>45</v>
      </c>
      <c r="U1766" s="1">
        <v>4.82121788E8</v>
      </c>
      <c r="W1766" s="1" t="s">
        <v>44</v>
      </c>
      <c r="X1766" s="1" t="s">
        <v>45</v>
      </c>
      <c r="Y1766" s="1">
        <v>4.82121788E8</v>
      </c>
      <c r="AB1766" s="1">
        <v>38014.42</v>
      </c>
      <c r="AC1766" s="2">
        <v>41557.0</v>
      </c>
      <c r="AD1766" s="1">
        <v>1200.0</v>
      </c>
      <c r="AE1766" s="1" t="s">
        <v>647</v>
      </c>
      <c r="AF1766" s="1" t="s">
        <v>3285</v>
      </c>
      <c r="AG1766" s="1" t="s">
        <v>712</v>
      </c>
      <c r="AH1766" s="1">
        <v>1.0</v>
      </c>
      <c r="AI1766" s="1">
        <v>2015.0</v>
      </c>
      <c r="AJ1766" s="1">
        <v>2014.0</v>
      </c>
      <c r="AK1766" s="1" t="s">
        <v>713</v>
      </c>
    </row>
    <row r="1767">
      <c r="A1767" s="1" t="s">
        <v>3048</v>
      </c>
      <c r="B1767" s="1" t="s">
        <v>3048</v>
      </c>
      <c r="C1767" s="1" t="s">
        <v>645</v>
      </c>
      <c r="E1767" s="1">
        <v>4.58254144E8</v>
      </c>
      <c r="F1767" s="2">
        <v>41564.0</v>
      </c>
      <c r="G1767" s="1" t="s">
        <v>710</v>
      </c>
      <c r="I1767" s="1" t="s">
        <v>710</v>
      </c>
      <c r="L1767" s="1" t="s">
        <v>647</v>
      </c>
      <c r="M1767" s="1">
        <v>1200.0</v>
      </c>
      <c r="N1767" s="1" t="s">
        <v>647</v>
      </c>
      <c r="O1767" s="1">
        <v>8.8328984E7</v>
      </c>
      <c r="P1767" s="1" t="s">
        <v>933</v>
      </c>
      <c r="R1767" s="1" t="s">
        <v>934</v>
      </c>
      <c r="S1767" s="1" t="s">
        <v>44</v>
      </c>
      <c r="T1767" s="1" t="s">
        <v>45</v>
      </c>
      <c r="U1767" s="1">
        <v>4.82274087E8</v>
      </c>
      <c r="W1767" s="1" t="s">
        <v>44</v>
      </c>
      <c r="X1767" s="1" t="s">
        <v>45</v>
      </c>
      <c r="Y1767" s="1">
        <v>4.82274087E8</v>
      </c>
      <c r="AB1767" s="1">
        <v>61507.2</v>
      </c>
      <c r="AC1767" s="2">
        <v>41564.0</v>
      </c>
      <c r="AD1767" s="1">
        <v>1200.0</v>
      </c>
      <c r="AE1767" s="1" t="s">
        <v>647</v>
      </c>
      <c r="AF1767" s="1" t="s">
        <v>3286</v>
      </c>
      <c r="AG1767" s="1" t="s">
        <v>712</v>
      </c>
      <c r="AH1767" s="1">
        <v>1.0</v>
      </c>
      <c r="AI1767" s="1">
        <v>2015.0</v>
      </c>
      <c r="AJ1767" s="1">
        <v>2014.0</v>
      </c>
      <c r="AK1767" s="1" t="s">
        <v>713</v>
      </c>
    </row>
    <row r="1768">
      <c r="A1768" s="1" t="s">
        <v>3048</v>
      </c>
      <c r="B1768" s="1" t="s">
        <v>3048</v>
      </c>
      <c r="C1768" s="1" t="s">
        <v>645</v>
      </c>
      <c r="E1768" s="1">
        <v>4.58254144E8</v>
      </c>
      <c r="F1768" s="2">
        <v>41564.0</v>
      </c>
      <c r="G1768" s="1" t="s">
        <v>710</v>
      </c>
      <c r="I1768" s="1" t="s">
        <v>710</v>
      </c>
      <c r="L1768" s="1" t="s">
        <v>647</v>
      </c>
      <c r="M1768" s="1">
        <v>1200.0</v>
      </c>
      <c r="N1768" s="1" t="s">
        <v>647</v>
      </c>
      <c r="O1768" s="1">
        <v>8.01337023E8</v>
      </c>
      <c r="P1768" s="1" t="s">
        <v>731</v>
      </c>
      <c r="Q1768" s="1" t="s">
        <v>732</v>
      </c>
      <c r="R1768" s="1" t="s">
        <v>733</v>
      </c>
      <c r="S1768" s="1" t="s">
        <v>44</v>
      </c>
      <c r="T1768" s="1" t="s">
        <v>45</v>
      </c>
      <c r="U1768" s="1">
        <v>4.82342968E8</v>
      </c>
      <c r="W1768" s="1" t="s">
        <v>44</v>
      </c>
      <c r="X1768" s="1" t="s">
        <v>45</v>
      </c>
      <c r="Y1768" s="1">
        <v>4.82342968E8</v>
      </c>
      <c r="Z1768" s="1">
        <v>8.01337023E8</v>
      </c>
      <c r="AA1768" s="1" t="s">
        <v>731</v>
      </c>
      <c r="AB1768" s="1">
        <v>27390.47</v>
      </c>
      <c r="AC1768" s="2">
        <v>41564.0</v>
      </c>
      <c r="AD1768" s="1">
        <v>1200.0</v>
      </c>
      <c r="AE1768" s="1" t="s">
        <v>647</v>
      </c>
      <c r="AF1768" s="1" t="s">
        <v>3287</v>
      </c>
      <c r="AG1768" s="1" t="s">
        <v>712</v>
      </c>
      <c r="AH1768" s="1">
        <v>1.0</v>
      </c>
      <c r="AI1768" s="1">
        <v>2015.0</v>
      </c>
      <c r="AJ1768" s="1">
        <v>2014.0</v>
      </c>
      <c r="AK1768" s="1" t="s">
        <v>713</v>
      </c>
    </row>
    <row r="1769">
      <c r="A1769" s="1" t="s">
        <v>3048</v>
      </c>
      <c r="B1769" s="1" t="s">
        <v>3048</v>
      </c>
      <c r="C1769" s="1" t="s">
        <v>645</v>
      </c>
      <c r="E1769" s="1">
        <v>4.58254144E8</v>
      </c>
      <c r="F1769" s="2">
        <v>41571.0</v>
      </c>
      <c r="G1769" s="1" t="s">
        <v>710</v>
      </c>
      <c r="I1769" s="1" t="s">
        <v>710</v>
      </c>
      <c r="L1769" s="1" t="s">
        <v>647</v>
      </c>
      <c r="M1769" s="1">
        <v>1200.0</v>
      </c>
      <c r="N1769" s="1" t="s">
        <v>647</v>
      </c>
      <c r="O1769" s="1">
        <v>1.98438892E8</v>
      </c>
      <c r="P1769" s="1" t="s">
        <v>505</v>
      </c>
      <c r="R1769" s="1" t="s">
        <v>506</v>
      </c>
      <c r="S1769" s="1" t="s">
        <v>44</v>
      </c>
      <c r="T1769" s="1" t="s">
        <v>45</v>
      </c>
      <c r="U1769" s="1">
        <v>4.82123572E8</v>
      </c>
      <c r="W1769" s="1" t="s">
        <v>498</v>
      </c>
      <c r="X1769" s="1" t="s">
        <v>45</v>
      </c>
      <c r="Y1769" s="1">
        <v>4.82123572E8</v>
      </c>
      <c r="Z1769" s="1">
        <v>1.98438892E8</v>
      </c>
      <c r="AA1769" s="1" t="s">
        <v>505</v>
      </c>
      <c r="AB1769" s="1">
        <v>162751.29</v>
      </c>
      <c r="AC1769" s="2">
        <v>41571.0</v>
      </c>
      <c r="AD1769" s="1">
        <v>1200.0</v>
      </c>
      <c r="AE1769" s="1" t="s">
        <v>647</v>
      </c>
      <c r="AF1769" s="1" t="s">
        <v>3288</v>
      </c>
      <c r="AG1769" s="1" t="s">
        <v>712</v>
      </c>
      <c r="AH1769" s="1">
        <v>1.0</v>
      </c>
      <c r="AI1769" s="1">
        <v>2015.0</v>
      </c>
      <c r="AJ1769" s="1">
        <v>2014.0</v>
      </c>
      <c r="AK1769" s="1" t="s">
        <v>713</v>
      </c>
    </row>
    <row r="1770">
      <c r="A1770" s="1" t="s">
        <v>3289</v>
      </c>
      <c r="B1770" s="1" t="s">
        <v>3289</v>
      </c>
      <c r="C1770" s="1" t="s">
        <v>389</v>
      </c>
      <c r="E1770" s="1">
        <v>7.6262784E7</v>
      </c>
      <c r="F1770" s="2">
        <v>41655.0</v>
      </c>
      <c r="G1770" s="1" t="s">
        <v>3290</v>
      </c>
      <c r="I1770" s="1" t="s">
        <v>3290</v>
      </c>
      <c r="L1770" s="1" t="s">
        <v>391</v>
      </c>
      <c r="M1770" s="1">
        <v>1600.0</v>
      </c>
      <c r="N1770" s="1" t="s">
        <v>391</v>
      </c>
      <c r="O1770" s="1">
        <v>9.68755756E8</v>
      </c>
      <c r="P1770" s="1" t="s">
        <v>1806</v>
      </c>
      <c r="R1770" s="1" t="s">
        <v>1807</v>
      </c>
      <c r="S1770" s="1" t="s">
        <v>44</v>
      </c>
      <c r="T1770" s="1" t="s">
        <v>45</v>
      </c>
      <c r="U1770" s="1">
        <v>4.82262917E8</v>
      </c>
      <c r="W1770" s="1" t="s">
        <v>46</v>
      </c>
      <c r="X1770" s="1" t="s">
        <v>45</v>
      </c>
      <c r="Y1770" s="1">
        <v>4.82022943E8</v>
      </c>
      <c r="AB1770" s="1">
        <v>4890278.0</v>
      </c>
      <c r="AC1770" s="2">
        <v>41655.0</v>
      </c>
      <c r="AD1770" s="1">
        <v>1600.0</v>
      </c>
      <c r="AE1770" s="1" t="s">
        <v>391</v>
      </c>
      <c r="AF1770" s="1" t="s">
        <v>3291</v>
      </c>
      <c r="AG1770" s="1" t="s">
        <v>3292</v>
      </c>
      <c r="AH1770" s="1">
        <v>1.0</v>
      </c>
      <c r="AI1770" s="1">
        <v>2015.0</v>
      </c>
      <c r="AJ1770" s="1">
        <v>2014.0</v>
      </c>
      <c r="AK1770" s="1" t="s">
        <v>3293</v>
      </c>
    </row>
    <row r="1771">
      <c r="A1771" s="1" t="s">
        <v>3294</v>
      </c>
      <c r="B1771" s="1" t="s">
        <v>3294</v>
      </c>
      <c r="C1771" s="1" t="s">
        <v>389</v>
      </c>
      <c r="E1771" s="1">
        <v>9.5095376E7</v>
      </c>
      <c r="F1771" s="2">
        <v>41915.0</v>
      </c>
      <c r="G1771" s="1" t="s">
        <v>3290</v>
      </c>
      <c r="I1771" s="1" t="s">
        <v>3290</v>
      </c>
      <c r="L1771" s="1" t="s">
        <v>391</v>
      </c>
      <c r="M1771" s="1">
        <v>1600.0</v>
      </c>
      <c r="N1771" s="1" t="s">
        <v>391</v>
      </c>
      <c r="O1771" s="1">
        <v>9.68755756E8</v>
      </c>
      <c r="P1771" s="1" t="s">
        <v>1806</v>
      </c>
      <c r="R1771" s="1" t="s">
        <v>1807</v>
      </c>
      <c r="S1771" s="1" t="s">
        <v>44</v>
      </c>
      <c r="T1771" s="1" t="s">
        <v>45</v>
      </c>
      <c r="U1771" s="1">
        <v>4.82262917E8</v>
      </c>
      <c r="W1771" s="1" t="s">
        <v>46</v>
      </c>
      <c r="X1771" s="1" t="s">
        <v>45</v>
      </c>
      <c r="Y1771" s="1">
        <v>4.82022943E8</v>
      </c>
      <c r="AB1771" s="1">
        <v>3859659.0</v>
      </c>
      <c r="AC1771" s="2">
        <v>41915.0</v>
      </c>
      <c r="AD1771" s="1">
        <v>1600.0</v>
      </c>
      <c r="AE1771" s="1" t="s">
        <v>391</v>
      </c>
      <c r="AF1771" s="1" t="s">
        <v>3295</v>
      </c>
      <c r="AG1771" s="1" t="s">
        <v>3296</v>
      </c>
      <c r="AH1771" s="1">
        <v>1.0</v>
      </c>
      <c r="AI1771" s="1">
        <v>2015.0</v>
      </c>
      <c r="AJ1771" s="1">
        <v>2015.0</v>
      </c>
      <c r="AK1771" s="1" t="s">
        <v>3297</v>
      </c>
    </row>
    <row r="1772">
      <c r="A1772" s="1" t="s">
        <v>3298</v>
      </c>
      <c r="B1772" s="1" t="s">
        <v>3298</v>
      </c>
      <c r="C1772" s="1" t="s">
        <v>389</v>
      </c>
      <c r="E1772" s="1">
        <v>9.346816E7</v>
      </c>
      <c r="F1772" s="2">
        <v>41757.0</v>
      </c>
      <c r="G1772" s="1" t="s">
        <v>3290</v>
      </c>
      <c r="I1772" s="1" t="s">
        <v>3290</v>
      </c>
      <c r="L1772" s="1" t="s">
        <v>391</v>
      </c>
      <c r="M1772" s="1">
        <v>1600.0</v>
      </c>
      <c r="N1772" s="1" t="s">
        <v>391</v>
      </c>
      <c r="O1772" s="1">
        <v>9.68755756E8</v>
      </c>
      <c r="P1772" s="1" t="s">
        <v>1806</v>
      </c>
      <c r="R1772" s="1" t="s">
        <v>1807</v>
      </c>
      <c r="S1772" s="1" t="s">
        <v>44</v>
      </c>
      <c r="T1772" s="1" t="s">
        <v>45</v>
      </c>
      <c r="U1772" s="1">
        <v>4.82262917E8</v>
      </c>
      <c r="W1772" s="1" t="s">
        <v>46</v>
      </c>
      <c r="X1772" s="1" t="s">
        <v>45</v>
      </c>
      <c r="Y1772" s="1">
        <v>4.82022943E8</v>
      </c>
      <c r="AB1772" s="1">
        <v>3490858.0</v>
      </c>
      <c r="AC1772" s="2">
        <v>41757.0</v>
      </c>
      <c r="AD1772" s="1">
        <v>1600.0</v>
      </c>
      <c r="AE1772" s="1" t="s">
        <v>391</v>
      </c>
      <c r="AF1772" s="1" t="s">
        <v>3299</v>
      </c>
      <c r="AG1772" s="1" t="s">
        <v>3296</v>
      </c>
      <c r="AH1772" s="1">
        <v>1.0</v>
      </c>
      <c r="AI1772" s="1">
        <v>2015.0</v>
      </c>
      <c r="AJ1772" s="1">
        <v>2014.0</v>
      </c>
      <c r="AK1772" s="1" t="s">
        <v>3300</v>
      </c>
    </row>
    <row r="1773">
      <c r="A1773" s="1" t="s">
        <v>3298</v>
      </c>
      <c r="B1773" s="1" t="s">
        <v>3298</v>
      </c>
      <c r="C1773" s="1" t="s">
        <v>389</v>
      </c>
      <c r="E1773" s="1">
        <v>9.346816E7</v>
      </c>
      <c r="F1773" s="2">
        <v>41960.0</v>
      </c>
      <c r="G1773" s="1" t="s">
        <v>3290</v>
      </c>
      <c r="I1773" s="1" t="s">
        <v>3290</v>
      </c>
      <c r="L1773" s="1" t="s">
        <v>391</v>
      </c>
      <c r="M1773" s="1">
        <v>1600.0</v>
      </c>
      <c r="N1773" s="1" t="s">
        <v>391</v>
      </c>
      <c r="O1773" s="1">
        <v>9.68755756E8</v>
      </c>
      <c r="P1773" s="1" t="s">
        <v>1806</v>
      </c>
      <c r="R1773" s="1" t="s">
        <v>1807</v>
      </c>
      <c r="S1773" s="1" t="s">
        <v>44</v>
      </c>
      <c r="T1773" s="1" t="s">
        <v>45</v>
      </c>
      <c r="U1773" s="1">
        <v>4.82262917E8</v>
      </c>
      <c r="W1773" s="1" t="s">
        <v>46</v>
      </c>
      <c r="X1773" s="1" t="s">
        <v>45</v>
      </c>
      <c r="Y1773" s="1">
        <v>4.82022943E8</v>
      </c>
      <c r="AB1773" s="1">
        <v>70000.0</v>
      </c>
      <c r="AC1773" s="2">
        <v>41960.0</v>
      </c>
      <c r="AD1773" s="1">
        <v>1600.0</v>
      </c>
      <c r="AE1773" s="1" t="s">
        <v>391</v>
      </c>
      <c r="AF1773" s="1" t="s">
        <v>3301</v>
      </c>
      <c r="AG1773" s="1" t="s">
        <v>3302</v>
      </c>
      <c r="AH1773" s="1">
        <v>1.0</v>
      </c>
      <c r="AI1773" s="1">
        <v>2015.0</v>
      </c>
      <c r="AJ1773" s="1">
        <v>2015.0</v>
      </c>
      <c r="AK1773" s="1" t="s">
        <v>3300</v>
      </c>
    </row>
    <row r="1774">
      <c r="A1774" s="1" t="s">
        <v>3303</v>
      </c>
      <c r="B1774" s="1" t="s">
        <v>3303</v>
      </c>
      <c r="C1774" s="1" t="s">
        <v>129</v>
      </c>
      <c r="E1774" s="1">
        <v>1882650.0</v>
      </c>
      <c r="F1774" s="2">
        <v>42018.0</v>
      </c>
      <c r="G1774" s="1" t="s">
        <v>3304</v>
      </c>
      <c r="I1774" s="1" t="s">
        <v>3304</v>
      </c>
      <c r="L1774" s="1" t="s">
        <v>40</v>
      </c>
      <c r="M1774" s="1">
        <v>7500.0</v>
      </c>
      <c r="N1774" s="1" t="s">
        <v>40</v>
      </c>
      <c r="O1774" s="1">
        <v>6.9840817E7</v>
      </c>
      <c r="P1774" s="1" t="s">
        <v>131</v>
      </c>
      <c r="R1774" s="1" t="s">
        <v>132</v>
      </c>
      <c r="S1774" s="1" t="s">
        <v>44</v>
      </c>
      <c r="T1774" s="1" t="s">
        <v>45</v>
      </c>
      <c r="U1774" s="1">
        <v>4.8214261E8</v>
      </c>
      <c r="W1774" s="1" t="s">
        <v>46</v>
      </c>
      <c r="X1774" s="1" t="s">
        <v>45</v>
      </c>
      <c r="Y1774" s="1">
        <v>4.8214261E8</v>
      </c>
      <c r="Z1774" s="1">
        <v>6.9840817E7</v>
      </c>
      <c r="AA1774" s="1" t="s">
        <v>131</v>
      </c>
      <c r="AB1774" s="1">
        <v>209000.0</v>
      </c>
      <c r="AC1774" s="2">
        <v>42018.0</v>
      </c>
      <c r="AD1774" s="1">
        <v>7500.0</v>
      </c>
      <c r="AE1774" s="1" t="s">
        <v>40</v>
      </c>
      <c r="AF1774" s="1" t="s">
        <v>3305</v>
      </c>
      <c r="AG1774" s="1" t="s">
        <v>3306</v>
      </c>
      <c r="AH1774" s="1">
        <v>1.0</v>
      </c>
      <c r="AI1774" s="1">
        <v>2015.0</v>
      </c>
      <c r="AJ1774" s="1">
        <v>2015.0</v>
      </c>
      <c r="AK1774" s="1" t="s">
        <v>136</v>
      </c>
    </row>
    <row r="1775">
      <c r="A1775" s="1" t="s">
        <v>3307</v>
      </c>
      <c r="B1775" s="1" t="s">
        <v>3307</v>
      </c>
      <c r="C1775" s="1" t="s">
        <v>389</v>
      </c>
      <c r="E1775" s="1">
        <v>2.3358788E7</v>
      </c>
      <c r="F1775" s="2">
        <v>41725.0</v>
      </c>
      <c r="G1775" s="1" t="s">
        <v>397</v>
      </c>
      <c r="I1775" s="1" t="s">
        <v>397</v>
      </c>
      <c r="L1775" s="1" t="s">
        <v>391</v>
      </c>
      <c r="M1775" s="1">
        <v>1600.0</v>
      </c>
      <c r="N1775" s="1" t="s">
        <v>391</v>
      </c>
      <c r="O1775" s="1">
        <v>9.68755756E8</v>
      </c>
      <c r="P1775" s="1" t="s">
        <v>1806</v>
      </c>
      <c r="R1775" s="1" t="s">
        <v>1807</v>
      </c>
      <c r="S1775" s="1" t="s">
        <v>44</v>
      </c>
      <c r="T1775" s="1" t="s">
        <v>45</v>
      </c>
      <c r="U1775" s="1">
        <v>4.82262917E8</v>
      </c>
      <c r="W1775" s="1" t="s">
        <v>46</v>
      </c>
      <c r="X1775" s="1" t="s">
        <v>45</v>
      </c>
      <c r="Y1775" s="1">
        <v>4.82022943E8</v>
      </c>
      <c r="AB1775" s="1">
        <v>109256.0</v>
      </c>
      <c r="AC1775" s="2">
        <v>41725.0</v>
      </c>
      <c r="AD1775" s="1">
        <v>1600.0</v>
      </c>
      <c r="AE1775" s="1" t="s">
        <v>391</v>
      </c>
      <c r="AF1775" s="1" t="s">
        <v>3308</v>
      </c>
      <c r="AG1775" s="1" t="s">
        <v>1353</v>
      </c>
      <c r="AH1775" s="1">
        <v>1.0</v>
      </c>
      <c r="AI1775" s="1">
        <v>2015.0</v>
      </c>
      <c r="AJ1775" s="1">
        <v>2014.0</v>
      </c>
      <c r="AK1775" s="1" t="s">
        <v>3309</v>
      </c>
    </row>
    <row r="1776">
      <c r="A1776" s="1" t="s">
        <v>3310</v>
      </c>
      <c r="B1776" s="1" t="s">
        <v>3310</v>
      </c>
      <c r="C1776" s="1" t="s">
        <v>389</v>
      </c>
      <c r="E1776" s="1">
        <v>5.1970484E7</v>
      </c>
      <c r="F1776" s="2">
        <v>41918.0</v>
      </c>
      <c r="G1776" s="1" t="s">
        <v>1875</v>
      </c>
      <c r="I1776" s="1" t="s">
        <v>1875</v>
      </c>
      <c r="L1776" s="1" t="s">
        <v>391</v>
      </c>
      <c r="M1776" s="1">
        <v>1600.0</v>
      </c>
      <c r="N1776" s="1" t="s">
        <v>391</v>
      </c>
      <c r="O1776" s="1">
        <v>9.68755756E8</v>
      </c>
      <c r="P1776" s="1" t="s">
        <v>1806</v>
      </c>
      <c r="R1776" s="1" t="s">
        <v>1807</v>
      </c>
      <c r="S1776" s="1" t="s">
        <v>44</v>
      </c>
      <c r="T1776" s="1" t="s">
        <v>45</v>
      </c>
      <c r="U1776" s="1">
        <v>4.82262917E8</v>
      </c>
      <c r="W1776" s="1" t="s">
        <v>46</v>
      </c>
      <c r="X1776" s="1" t="s">
        <v>45</v>
      </c>
      <c r="Y1776" s="1">
        <v>4.82022943E8</v>
      </c>
      <c r="AB1776" s="1">
        <v>225000.0</v>
      </c>
      <c r="AC1776" s="2">
        <v>41918.0</v>
      </c>
      <c r="AD1776" s="1">
        <v>1600.0</v>
      </c>
      <c r="AE1776" s="1" t="s">
        <v>391</v>
      </c>
      <c r="AF1776" s="1" t="s">
        <v>3311</v>
      </c>
      <c r="AG1776" s="1" t="s">
        <v>3312</v>
      </c>
      <c r="AH1776" s="1">
        <v>1.0</v>
      </c>
      <c r="AI1776" s="1">
        <v>2015.0</v>
      </c>
      <c r="AJ1776" s="1">
        <v>2015.0</v>
      </c>
      <c r="AK1776" s="1" t="s">
        <v>1878</v>
      </c>
    </row>
    <row r="1777">
      <c r="A1777" s="1" t="s">
        <v>3310</v>
      </c>
      <c r="B1777" s="1" t="s">
        <v>3310</v>
      </c>
      <c r="C1777" s="1" t="s">
        <v>389</v>
      </c>
      <c r="E1777" s="1">
        <v>5.1970484E7</v>
      </c>
      <c r="F1777" s="2">
        <v>42011.0</v>
      </c>
      <c r="G1777" s="1" t="s">
        <v>1875</v>
      </c>
      <c r="I1777" s="1" t="s">
        <v>1875</v>
      </c>
      <c r="L1777" s="1" t="s">
        <v>391</v>
      </c>
      <c r="M1777" s="1">
        <v>1600.0</v>
      </c>
      <c r="N1777" s="1" t="s">
        <v>391</v>
      </c>
      <c r="O1777" s="1">
        <v>9.68755756E8</v>
      </c>
      <c r="P1777" s="1" t="s">
        <v>1806</v>
      </c>
      <c r="R1777" s="1" t="s">
        <v>1807</v>
      </c>
      <c r="S1777" s="1" t="s">
        <v>44</v>
      </c>
      <c r="T1777" s="1" t="s">
        <v>45</v>
      </c>
      <c r="U1777" s="1">
        <v>4.82262917E8</v>
      </c>
      <c r="W1777" s="1" t="s">
        <v>46</v>
      </c>
      <c r="X1777" s="1" t="s">
        <v>45</v>
      </c>
      <c r="Y1777" s="1">
        <v>4.82022943E8</v>
      </c>
      <c r="AB1777" s="1">
        <v>0.0</v>
      </c>
      <c r="AC1777" s="2">
        <v>42011.0</v>
      </c>
      <c r="AD1777" s="1">
        <v>1600.0</v>
      </c>
      <c r="AE1777" s="1" t="s">
        <v>391</v>
      </c>
      <c r="AF1777" s="1" t="s">
        <v>3313</v>
      </c>
      <c r="AG1777" s="1" t="s">
        <v>1884</v>
      </c>
      <c r="AH1777" s="1">
        <v>1.0</v>
      </c>
      <c r="AI1777" s="1">
        <v>2015.0</v>
      </c>
      <c r="AJ1777" s="1">
        <v>2015.0</v>
      </c>
      <c r="AK1777" s="1" t="s">
        <v>1878</v>
      </c>
    </row>
    <row r="1778">
      <c r="A1778" s="1" t="s">
        <v>3289</v>
      </c>
      <c r="B1778" s="1" t="s">
        <v>3289</v>
      </c>
      <c r="C1778" s="1" t="s">
        <v>389</v>
      </c>
      <c r="E1778" s="1">
        <v>7.6262784E7</v>
      </c>
      <c r="F1778" s="2">
        <v>41407.0</v>
      </c>
      <c r="G1778" s="1" t="s">
        <v>3290</v>
      </c>
      <c r="I1778" s="1" t="s">
        <v>3290</v>
      </c>
      <c r="L1778" s="1" t="s">
        <v>391</v>
      </c>
      <c r="M1778" s="1">
        <v>1600.0</v>
      </c>
      <c r="N1778" s="1" t="s">
        <v>391</v>
      </c>
      <c r="O1778" s="1">
        <v>9.68755756E8</v>
      </c>
      <c r="P1778" s="1" t="s">
        <v>1806</v>
      </c>
      <c r="R1778" s="1" t="s">
        <v>1807</v>
      </c>
      <c r="S1778" s="1" t="s">
        <v>44</v>
      </c>
      <c r="T1778" s="1" t="s">
        <v>45</v>
      </c>
      <c r="U1778" s="1">
        <v>4.82262917E8</v>
      </c>
      <c r="W1778" s="1" t="s">
        <v>46</v>
      </c>
      <c r="X1778" s="1" t="s">
        <v>45</v>
      </c>
      <c r="Y1778" s="1">
        <v>4.82022943E8</v>
      </c>
      <c r="AB1778" s="1">
        <v>550000.0</v>
      </c>
      <c r="AC1778" s="2">
        <v>41407.0</v>
      </c>
      <c r="AD1778" s="1">
        <v>1600.0</v>
      </c>
      <c r="AE1778" s="1" t="s">
        <v>391</v>
      </c>
      <c r="AF1778" s="1" t="s">
        <v>3314</v>
      </c>
      <c r="AG1778" s="1" t="s">
        <v>3315</v>
      </c>
      <c r="AH1778" s="1">
        <v>1.0</v>
      </c>
      <c r="AI1778" s="1">
        <v>2015.0</v>
      </c>
      <c r="AJ1778" s="1">
        <v>2013.0</v>
      </c>
      <c r="AK1778" s="1" t="s">
        <v>3293</v>
      </c>
    </row>
    <row r="1779">
      <c r="A1779" s="1" t="s">
        <v>3316</v>
      </c>
      <c r="B1779" s="1" t="s">
        <v>3316</v>
      </c>
      <c r="C1779" s="1" t="s">
        <v>389</v>
      </c>
      <c r="E1779" s="1">
        <v>1.103906E8</v>
      </c>
      <c r="F1779" s="2">
        <v>41999.0</v>
      </c>
      <c r="G1779" s="1" t="s">
        <v>3290</v>
      </c>
      <c r="I1779" s="1" t="s">
        <v>3290</v>
      </c>
      <c r="L1779" s="1" t="s">
        <v>391</v>
      </c>
      <c r="M1779" s="1">
        <v>1600.0</v>
      </c>
      <c r="N1779" s="1" t="s">
        <v>391</v>
      </c>
      <c r="O1779" s="1">
        <v>9.68755756E8</v>
      </c>
      <c r="P1779" s="1" t="s">
        <v>1806</v>
      </c>
      <c r="R1779" s="1" t="s">
        <v>1807</v>
      </c>
      <c r="S1779" s="1" t="s">
        <v>44</v>
      </c>
      <c r="T1779" s="1" t="s">
        <v>45</v>
      </c>
      <c r="U1779" s="1">
        <v>4.82262917E8</v>
      </c>
      <c r="W1779" s="1" t="s">
        <v>46</v>
      </c>
      <c r="X1779" s="1" t="s">
        <v>45</v>
      </c>
      <c r="Y1779" s="1">
        <v>4.82022943E8</v>
      </c>
      <c r="AB1779" s="1">
        <v>2853095.0</v>
      </c>
      <c r="AC1779" s="2">
        <v>41999.0</v>
      </c>
      <c r="AD1779" s="1">
        <v>1600.0</v>
      </c>
      <c r="AE1779" s="1" t="s">
        <v>391</v>
      </c>
      <c r="AF1779" s="1" t="s">
        <v>3317</v>
      </c>
      <c r="AG1779" s="1" t="s">
        <v>3292</v>
      </c>
      <c r="AH1779" s="1">
        <v>1.0</v>
      </c>
      <c r="AI1779" s="1">
        <v>2015.0</v>
      </c>
      <c r="AJ1779" s="1">
        <v>2015.0</v>
      </c>
      <c r="AK1779" s="1" t="s">
        <v>3297</v>
      </c>
    </row>
    <row r="1780">
      <c r="A1780" s="1" t="s">
        <v>3294</v>
      </c>
      <c r="B1780" s="1" t="s">
        <v>3294</v>
      </c>
      <c r="C1780" s="1" t="s">
        <v>389</v>
      </c>
      <c r="E1780" s="1">
        <v>9.5095376E7</v>
      </c>
      <c r="F1780" s="2">
        <v>41866.0</v>
      </c>
      <c r="G1780" s="1" t="s">
        <v>3290</v>
      </c>
      <c r="I1780" s="1" t="s">
        <v>3290</v>
      </c>
      <c r="L1780" s="1" t="s">
        <v>391</v>
      </c>
      <c r="M1780" s="1">
        <v>1600.0</v>
      </c>
      <c r="N1780" s="1" t="s">
        <v>391</v>
      </c>
      <c r="O1780" s="1">
        <v>9.68755756E8</v>
      </c>
      <c r="P1780" s="1" t="s">
        <v>1806</v>
      </c>
      <c r="R1780" s="1" t="s">
        <v>1807</v>
      </c>
      <c r="S1780" s="1" t="s">
        <v>44</v>
      </c>
      <c r="T1780" s="1" t="s">
        <v>45</v>
      </c>
      <c r="U1780" s="1">
        <v>4.82262917E8</v>
      </c>
      <c r="W1780" s="1" t="s">
        <v>46</v>
      </c>
      <c r="X1780" s="1" t="s">
        <v>45</v>
      </c>
      <c r="Y1780" s="1">
        <v>4.82022943E8</v>
      </c>
      <c r="AB1780" s="1">
        <v>4364712.0</v>
      </c>
      <c r="AC1780" s="2">
        <v>41866.0</v>
      </c>
      <c r="AD1780" s="1">
        <v>1600.0</v>
      </c>
      <c r="AE1780" s="1" t="s">
        <v>391</v>
      </c>
      <c r="AF1780" s="1" t="s">
        <v>3318</v>
      </c>
      <c r="AG1780" s="1" t="s">
        <v>3319</v>
      </c>
      <c r="AH1780" s="1">
        <v>1.0</v>
      </c>
      <c r="AI1780" s="1">
        <v>2015.0</v>
      </c>
      <c r="AJ1780" s="1">
        <v>2014.0</v>
      </c>
      <c r="AK1780" s="1" t="s">
        <v>3297</v>
      </c>
    </row>
    <row r="1781">
      <c r="A1781" s="1" t="s">
        <v>3294</v>
      </c>
      <c r="B1781" s="1" t="s">
        <v>3294</v>
      </c>
      <c r="C1781" s="1" t="s">
        <v>389</v>
      </c>
      <c r="E1781" s="1">
        <v>9.5095376E7</v>
      </c>
      <c r="F1781" s="2">
        <v>41921.0</v>
      </c>
      <c r="G1781" s="1" t="s">
        <v>3290</v>
      </c>
      <c r="I1781" s="1" t="s">
        <v>3290</v>
      </c>
      <c r="L1781" s="1" t="s">
        <v>391</v>
      </c>
      <c r="M1781" s="1">
        <v>1600.0</v>
      </c>
      <c r="N1781" s="1" t="s">
        <v>391</v>
      </c>
      <c r="O1781" s="1">
        <v>9.68755756E8</v>
      </c>
      <c r="P1781" s="1" t="s">
        <v>1806</v>
      </c>
      <c r="R1781" s="1" t="s">
        <v>1807</v>
      </c>
      <c r="S1781" s="1" t="s">
        <v>44</v>
      </c>
      <c r="T1781" s="1" t="s">
        <v>45</v>
      </c>
      <c r="U1781" s="1">
        <v>4.82262917E8</v>
      </c>
      <c r="W1781" s="1" t="s">
        <v>46</v>
      </c>
      <c r="X1781" s="1" t="s">
        <v>45</v>
      </c>
      <c r="Y1781" s="1">
        <v>4.82022943E8</v>
      </c>
      <c r="AB1781" s="1">
        <v>4202946.0</v>
      </c>
      <c r="AC1781" s="2">
        <v>41921.0</v>
      </c>
      <c r="AD1781" s="1">
        <v>1600.0</v>
      </c>
      <c r="AE1781" s="1" t="s">
        <v>391</v>
      </c>
      <c r="AF1781" s="1" t="s">
        <v>3320</v>
      </c>
      <c r="AG1781" s="1" t="s">
        <v>3321</v>
      </c>
      <c r="AH1781" s="1">
        <v>1.0</v>
      </c>
      <c r="AI1781" s="1">
        <v>2015.0</v>
      </c>
      <c r="AJ1781" s="1">
        <v>2015.0</v>
      </c>
      <c r="AK1781" s="1" t="s">
        <v>3297</v>
      </c>
    </row>
    <row r="1782">
      <c r="A1782" s="1" t="s">
        <v>3298</v>
      </c>
      <c r="B1782" s="1" t="s">
        <v>3298</v>
      </c>
      <c r="C1782" s="1" t="s">
        <v>389</v>
      </c>
      <c r="E1782" s="1">
        <v>9.346816E7</v>
      </c>
      <c r="F1782" s="2">
        <v>41794.0</v>
      </c>
      <c r="G1782" s="1" t="s">
        <v>3290</v>
      </c>
      <c r="I1782" s="1" t="s">
        <v>3290</v>
      </c>
      <c r="L1782" s="1" t="s">
        <v>391</v>
      </c>
      <c r="M1782" s="1">
        <v>1600.0</v>
      </c>
      <c r="N1782" s="1" t="s">
        <v>391</v>
      </c>
      <c r="O1782" s="1">
        <v>9.68755756E8</v>
      </c>
      <c r="P1782" s="1" t="s">
        <v>1806</v>
      </c>
      <c r="R1782" s="1" t="s">
        <v>1807</v>
      </c>
      <c r="S1782" s="1" t="s">
        <v>44</v>
      </c>
      <c r="T1782" s="1" t="s">
        <v>45</v>
      </c>
      <c r="U1782" s="1">
        <v>4.82262917E8</v>
      </c>
      <c r="W1782" s="1" t="s">
        <v>46</v>
      </c>
      <c r="X1782" s="1" t="s">
        <v>45</v>
      </c>
      <c r="Y1782" s="1">
        <v>4.82022943E8</v>
      </c>
      <c r="AB1782" s="1">
        <v>60184.0</v>
      </c>
      <c r="AC1782" s="2">
        <v>41794.0</v>
      </c>
      <c r="AD1782" s="1">
        <v>1600.0</v>
      </c>
      <c r="AE1782" s="1" t="s">
        <v>391</v>
      </c>
      <c r="AF1782" s="1" t="s">
        <v>3322</v>
      </c>
      <c r="AG1782" s="1" t="s">
        <v>3323</v>
      </c>
      <c r="AH1782" s="1">
        <v>1.0</v>
      </c>
      <c r="AI1782" s="1">
        <v>2015.0</v>
      </c>
      <c r="AJ1782" s="1">
        <v>2014.0</v>
      </c>
      <c r="AK1782" s="1" t="s">
        <v>3300</v>
      </c>
    </row>
    <row r="1783">
      <c r="A1783" s="1" t="s">
        <v>3298</v>
      </c>
      <c r="B1783" s="1" t="s">
        <v>3298</v>
      </c>
      <c r="C1783" s="1" t="s">
        <v>389</v>
      </c>
      <c r="E1783" s="1">
        <v>9.346816E7</v>
      </c>
      <c r="F1783" s="2">
        <v>41506.0</v>
      </c>
      <c r="G1783" s="1" t="s">
        <v>3290</v>
      </c>
      <c r="I1783" s="1" t="s">
        <v>3290</v>
      </c>
      <c r="L1783" s="1" t="s">
        <v>391</v>
      </c>
      <c r="M1783" s="1">
        <v>1600.0</v>
      </c>
      <c r="N1783" s="1" t="s">
        <v>391</v>
      </c>
      <c r="O1783" s="1">
        <v>9.68755756E8</v>
      </c>
      <c r="P1783" s="1" t="s">
        <v>1806</v>
      </c>
      <c r="R1783" s="1" t="s">
        <v>1807</v>
      </c>
      <c r="S1783" s="1" t="s">
        <v>44</v>
      </c>
      <c r="T1783" s="1" t="s">
        <v>45</v>
      </c>
      <c r="U1783" s="1">
        <v>4.82262917E8</v>
      </c>
      <c r="W1783" s="1" t="s">
        <v>46</v>
      </c>
      <c r="X1783" s="1" t="s">
        <v>45</v>
      </c>
      <c r="Y1783" s="1">
        <v>4.82022943E8</v>
      </c>
      <c r="AB1783" s="1">
        <v>4604328.0</v>
      </c>
      <c r="AC1783" s="2">
        <v>41506.0</v>
      </c>
      <c r="AD1783" s="1">
        <v>1600.0</v>
      </c>
      <c r="AE1783" s="1" t="s">
        <v>391</v>
      </c>
      <c r="AF1783" s="1" t="s">
        <v>3324</v>
      </c>
      <c r="AG1783" s="1" t="s">
        <v>3319</v>
      </c>
      <c r="AH1783" s="1">
        <v>1.0</v>
      </c>
      <c r="AI1783" s="1">
        <v>2015.0</v>
      </c>
      <c r="AJ1783" s="1">
        <v>2013.0</v>
      </c>
      <c r="AK1783" s="1" t="s">
        <v>3300</v>
      </c>
    </row>
    <row r="1784">
      <c r="A1784" s="1" t="s">
        <v>3298</v>
      </c>
      <c r="B1784" s="1" t="s">
        <v>3298</v>
      </c>
      <c r="C1784" s="1" t="s">
        <v>389</v>
      </c>
      <c r="E1784" s="1">
        <v>9.346816E7</v>
      </c>
      <c r="F1784" s="2">
        <v>41572.0</v>
      </c>
      <c r="G1784" s="1" t="s">
        <v>3290</v>
      </c>
      <c r="I1784" s="1" t="s">
        <v>3290</v>
      </c>
      <c r="L1784" s="1" t="s">
        <v>391</v>
      </c>
      <c r="M1784" s="1">
        <v>1600.0</v>
      </c>
      <c r="N1784" s="1" t="s">
        <v>391</v>
      </c>
      <c r="O1784" s="1">
        <v>9.68755756E8</v>
      </c>
      <c r="P1784" s="1" t="s">
        <v>1806</v>
      </c>
      <c r="R1784" s="1" t="s">
        <v>1807</v>
      </c>
      <c r="S1784" s="1" t="s">
        <v>44</v>
      </c>
      <c r="T1784" s="1" t="s">
        <v>45</v>
      </c>
      <c r="U1784" s="1">
        <v>4.82262917E8</v>
      </c>
      <c r="W1784" s="1" t="s">
        <v>46</v>
      </c>
      <c r="X1784" s="1" t="s">
        <v>45</v>
      </c>
      <c r="Y1784" s="1">
        <v>4.82022943E8</v>
      </c>
      <c r="AB1784" s="1">
        <v>4429720.0</v>
      </c>
      <c r="AC1784" s="2">
        <v>41572.0</v>
      </c>
      <c r="AD1784" s="1">
        <v>1600.0</v>
      </c>
      <c r="AE1784" s="1" t="s">
        <v>391</v>
      </c>
      <c r="AF1784" s="1" t="s">
        <v>3325</v>
      </c>
      <c r="AG1784" s="1" t="s">
        <v>3326</v>
      </c>
      <c r="AH1784" s="1">
        <v>1.0</v>
      </c>
      <c r="AI1784" s="1">
        <v>2015.0</v>
      </c>
      <c r="AJ1784" s="1">
        <v>2014.0</v>
      </c>
      <c r="AK1784" s="1" t="s">
        <v>3300</v>
      </c>
    </row>
    <row r="1785">
      <c r="A1785" s="1" t="s">
        <v>3327</v>
      </c>
      <c r="B1785" s="1" t="s">
        <v>3327</v>
      </c>
      <c r="C1785" s="1" t="s">
        <v>389</v>
      </c>
      <c r="E1785" s="1">
        <v>3484453.0</v>
      </c>
      <c r="F1785" s="2">
        <v>41506.0</v>
      </c>
      <c r="G1785" s="1" t="s">
        <v>3328</v>
      </c>
      <c r="I1785" s="1" t="s">
        <v>3328</v>
      </c>
      <c r="L1785" s="1" t="s">
        <v>391</v>
      </c>
      <c r="M1785" s="1">
        <v>1600.0</v>
      </c>
      <c r="N1785" s="1" t="s">
        <v>391</v>
      </c>
      <c r="O1785" s="1">
        <v>9.68755756E8</v>
      </c>
      <c r="P1785" s="1" t="s">
        <v>1806</v>
      </c>
      <c r="R1785" s="1" t="s">
        <v>1807</v>
      </c>
      <c r="S1785" s="1" t="s">
        <v>44</v>
      </c>
      <c r="T1785" s="1" t="s">
        <v>45</v>
      </c>
      <c r="U1785" s="1">
        <v>4.82262917E8</v>
      </c>
      <c r="W1785" s="1" t="s">
        <v>46</v>
      </c>
      <c r="X1785" s="1" t="s">
        <v>45</v>
      </c>
      <c r="Y1785" s="1">
        <v>4.82022943E8</v>
      </c>
      <c r="AB1785" s="1">
        <v>533334.0</v>
      </c>
      <c r="AC1785" s="2">
        <v>41506.0</v>
      </c>
      <c r="AD1785" s="1">
        <v>1600.0</v>
      </c>
      <c r="AE1785" s="1" t="s">
        <v>391</v>
      </c>
      <c r="AF1785" s="1" t="s">
        <v>3329</v>
      </c>
      <c r="AG1785" s="1" t="s">
        <v>3330</v>
      </c>
      <c r="AH1785" s="1">
        <v>1.0</v>
      </c>
      <c r="AI1785" s="1">
        <v>2015.0</v>
      </c>
      <c r="AJ1785" s="1">
        <v>2013.0</v>
      </c>
      <c r="AK1785" s="1" t="s">
        <v>3331</v>
      </c>
    </row>
    <row r="1786">
      <c r="A1786" s="1" t="s">
        <v>3332</v>
      </c>
      <c r="B1786" s="1" t="s">
        <v>3332</v>
      </c>
      <c r="C1786" s="1" t="s">
        <v>389</v>
      </c>
      <c r="E1786" s="1">
        <v>2.1291774E7</v>
      </c>
      <c r="F1786" s="2">
        <v>41821.0</v>
      </c>
      <c r="G1786" s="1" t="s">
        <v>397</v>
      </c>
      <c r="I1786" s="1" t="s">
        <v>397</v>
      </c>
      <c r="L1786" s="1" t="s">
        <v>391</v>
      </c>
      <c r="M1786" s="1">
        <v>1600.0</v>
      </c>
      <c r="N1786" s="1" t="s">
        <v>391</v>
      </c>
      <c r="O1786" s="1">
        <v>9.68755756E8</v>
      </c>
      <c r="P1786" s="1" t="s">
        <v>1806</v>
      </c>
      <c r="R1786" s="1" t="s">
        <v>1807</v>
      </c>
      <c r="S1786" s="1" t="s">
        <v>44</v>
      </c>
      <c r="T1786" s="1" t="s">
        <v>45</v>
      </c>
      <c r="U1786" s="1">
        <v>4.82262917E8</v>
      </c>
      <c r="W1786" s="1" t="s">
        <v>46</v>
      </c>
      <c r="X1786" s="1" t="s">
        <v>45</v>
      </c>
      <c r="Y1786" s="1">
        <v>4.82022943E8</v>
      </c>
      <c r="AB1786" s="1">
        <v>1466326.0</v>
      </c>
      <c r="AC1786" s="2">
        <v>41821.0</v>
      </c>
      <c r="AD1786" s="1">
        <v>1600.0</v>
      </c>
      <c r="AE1786" s="1" t="s">
        <v>391</v>
      </c>
      <c r="AF1786" s="1" t="s">
        <v>3333</v>
      </c>
      <c r="AG1786" s="1" t="s">
        <v>3334</v>
      </c>
      <c r="AH1786" s="1">
        <v>1.0</v>
      </c>
      <c r="AI1786" s="1">
        <v>2015.0</v>
      </c>
      <c r="AJ1786" s="1">
        <v>2014.0</v>
      </c>
      <c r="AK1786" s="1" t="s">
        <v>3335</v>
      </c>
    </row>
    <row r="1787">
      <c r="A1787" s="1" t="s">
        <v>2755</v>
      </c>
      <c r="B1787" s="1" t="s">
        <v>2755</v>
      </c>
      <c r="C1787" s="1" t="s">
        <v>38</v>
      </c>
      <c r="E1787" s="1">
        <v>9625114.0</v>
      </c>
      <c r="F1787" s="2">
        <v>41879.0</v>
      </c>
      <c r="G1787" s="1" t="s">
        <v>2756</v>
      </c>
      <c r="I1787" s="1" t="s">
        <v>2756</v>
      </c>
      <c r="L1787" s="1" t="s">
        <v>40</v>
      </c>
      <c r="M1787" s="1">
        <v>7500.0</v>
      </c>
      <c r="N1787" s="1" t="s">
        <v>40</v>
      </c>
      <c r="O1787" s="1">
        <v>1962224.0</v>
      </c>
      <c r="P1787" s="1" t="s">
        <v>52</v>
      </c>
      <c r="R1787" s="1" t="s">
        <v>1885</v>
      </c>
      <c r="S1787" s="1" t="s">
        <v>44</v>
      </c>
      <c r="T1787" s="1" t="s">
        <v>45</v>
      </c>
      <c r="U1787" s="1">
        <v>4.82021347E8</v>
      </c>
      <c r="W1787" s="1" t="s">
        <v>46</v>
      </c>
      <c r="X1787" s="1" t="s">
        <v>45</v>
      </c>
      <c r="Y1787" s="1">
        <v>4.8202405E8</v>
      </c>
      <c r="Z1787" s="1">
        <v>1962224.0</v>
      </c>
      <c r="AA1787" s="1" t="s">
        <v>52</v>
      </c>
      <c r="AB1787" s="1">
        <v>1166373.0</v>
      </c>
      <c r="AC1787" s="2">
        <v>41879.0</v>
      </c>
      <c r="AD1787" s="1">
        <v>7500.0</v>
      </c>
      <c r="AE1787" s="1" t="s">
        <v>40</v>
      </c>
      <c r="AF1787" s="1">
        <v>1.53405504E8</v>
      </c>
      <c r="AG1787" s="1" t="s">
        <v>2757</v>
      </c>
      <c r="AH1787" s="1">
        <v>1.0</v>
      </c>
      <c r="AI1787" s="1">
        <v>2015.0</v>
      </c>
      <c r="AJ1787" s="1">
        <v>2014.0</v>
      </c>
      <c r="AK1787" s="1" t="s">
        <v>202</v>
      </c>
    </row>
    <row r="1788">
      <c r="A1788" s="1" t="s">
        <v>3310</v>
      </c>
      <c r="B1788" s="1" t="s">
        <v>3310</v>
      </c>
      <c r="C1788" s="1" t="s">
        <v>389</v>
      </c>
      <c r="E1788" s="1">
        <v>5.1970484E7</v>
      </c>
      <c r="F1788" s="2">
        <v>41918.0</v>
      </c>
      <c r="G1788" s="1" t="s">
        <v>1875</v>
      </c>
      <c r="I1788" s="1" t="s">
        <v>1875</v>
      </c>
      <c r="L1788" s="1" t="s">
        <v>391</v>
      </c>
      <c r="M1788" s="1">
        <v>1600.0</v>
      </c>
      <c r="N1788" s="1" t="s">
        <v>391</v>
      </c>
      <c r="O1788" s="1">
        <v>9.68755756E8</v>
      </c>
      <c r="P1788" s="1" t="s">
        <v>1806</v>
      </c>
      <c r="R1788" s="1" t="s">
        <v>1807</v>
      </c>
      <c r="S1788" s="1" t="s">
        <v>44</v>
      </c>
      <c r="T1788" s="1" t="s">
        <v>45</v>
      </c>
      <c r="U1788" s="1">
        <v>4.82262917E8</v>
      </c>
      <c r="W1788" s="1" t="s">
        <v>46</v>
      </c>
      <c r="X1788" s="1" t="s">
        <v>45</v>
      </c>
      <c r="Y1788" s="1">
        <v>4.82022943E8</v>
      </c>
      <c r="AB1788" s="1">
        <v>310989.0</v>
      </c>
      <c r="AC1788" s="2">
        <v>41918.0</v>
      </c>
      <c r="AD1788" s="1">
        <v>1600.0</v>
      </c>
      <c r="AE1788" s="1" t="s">
        <v>391</v>
      </c>
      <c r="AF1788" s="1" t="s">
        <v>3336</v>
      </c>
      <c r="AG1788" s="1" t="s">
        <v>1882</v>
      </c>
      <c r="AH1788" s="1">
        <v>1.0</v>
      </c>
      <c r="AI1788" s="1">
        <v>2015.0</v>
      </c>
      <c r="AJ1788" s="1">
        <v>2015.0</v>
      </c>
      <c r="AK1788" s="1" t="s">
        <v>1878</v>
      </c>
    </row>
    <row r="1789">
      <c r="A1789" s="1" t="s">
        <v>3310</v>
      </c>
      <c r="B1789" s="1" t="s">
        <v>3310</v>
      </c>
      <c r="C1789" s="1" t="s">
        <v>389</v>
      </c>
      <c r="E1789" s="1">
        <v>5.1970484E7</v>
      </c>
      <c r="F1789" s="2">
        <v>42011.0</v>
      </c>
      <c r="G1789" s="1" t="s">
        <v>1875</v>
      </c>
      <c r="I1789" s="1" t="s">
        <v>1875</v>
      </c>
      <c r="L1789" s="1" t="s">
        <v>391</v>
      </c>
      <c r="M1789" s="1">
        <v>1600.0</v>
      </c>
      <c r="N1789" s="1" t="s">
        <v>391</v>
      </c>
      <c r="O1789" s="1">
        <v>9.68755756E8</v>
      </c>
      <c r="P1789" s="1" t="s">
        <v>1806</v>
      </c>
      <c r="R1789" s="1" t="s">
        <v>1807</v>
      </c>
      <c r="S1789" s="1" t="s">
        <v>44</v>
      </c>
      <c r="T1789" s="1" t="s">
        <v>45</v>
      </c>
      <c r="U1789" s="1">
        <v>4.82262917E8</v>
      </c>
      <c r="W1789" s="1" t="s">
        <v>46</v>
      </c>
      <c r="X1789" s="1" t="s">
        <v>45</v>
      </c>
      <c r="Y1789" s="1">
        <v>4.82022943E8</v>
      </c>
      <c r="AB1789" s="1">
        <v>584000.0</v>
      </c>
      <c r="AC1789" s="2">
        <v>42011.0</v>
      </c>
      <c r="AD1789" s="1">
        <v>1600.0</v>
      </c>
      <c r="AE1789" s="1" t="s">
        <v>391</v>
      </c>
      <c r="AF1789" s="1" t="s">
        <v>3313</v>
      </c>
      <c r="AG1789" s="1" t="s">
        <v>1884</v>
      </c>
      <c r="AH1789" s="1">
        <v>1.0</v>
      </c>
      <c r="AI1789" s="1">
        <v>2015.0</v>
      </c>
      <c r="AJ1789" s="1">
        <v>2015.0</v>
      </c>
      <c r="AK1789" s="1" t="s">
        <v>1878</v>
      </c>
    </row>
    <row r="1790">
      <c r="A1790" s="1" t="s">
        <v>3337</v>
      </c>
      <c r="B1790" s="1" t="s">
        <v>3337</v>
      </c>
      <c r="C1790" s="1" t="s">
        <v>194</v>
      </c>
      <c r="E1790" s="1">
        <v>3.9049236E7</v>
      </c>
      <c r="F1790" s="2">
        <v>41897.0</v>
      </c>
      <c r="G1790" s="1" t="s">
        <v>279</v>
      </c>
      <c r="I1790" s="1" t="s">
        <v>279</v>
      </c>
      <c r="L1790" s="1" t="s">
        <v>194</v>
      </c>
      <c r="M1790" s="1">
        <v>9100.0</v>
      </c>
      <c r="N1790" s="1" t="s">
        <v>194</v>
      </c>
      <c r="O1790" s="1">
        <v>3.9866801E7</v>
      </c>
      <c r="P1790" s="1" t="s">
        <v>612</v>
      </c>
      <c r="R1790" s="1" t="s">
        <v>613</v>
      </c>
      <c r="S1790" s="1" t="s">
        <v>44</v>
      </c>
      <c r="T1790" s="1" t="s">
        <v>45</v>
      </c>
      <c r="U1790" s="1">
        <v>4.8212E8</v>
      </c>
      <c r="W1790" s="1" t="s">
        <v>607</v>
      </c>
      <c r="X1790" s="1" t="s">
        <v>45</v>
      </c>
      <c r="Y1790" s="1">
        <v>4.82120012E8</v>
      </c>
      <c r="Z1790" s="1">
        <v>3.9866801E7</v>
      </c>
      <c r="AA1790" s="1" t="s">
        <v>612</v>
      </c>
      <c r="AB1790" s="1">
        <v>675000.0</v>
      </c>
      <c r="AC1790" s="2">
        <v>41897.0</v>
      </c>
      <c r="AD1790" s="1">
        <v>9100.0</v>
      </c>
      <c r="AE1790" s="1" t="s">
        <v>194</v>
      </c>
      <c r="AF1790" s="1" t="s">
        <v>3338</v>
      </c>
      <c r="AG1790" s="1" t="s">
        <v>3339</v>
      </c>
      <c r="AH1790" s="1">
        <v>1.0</v>
      </c>
      <c r="AI1790" s="1">
        <v>2015.0</v>
      </c>
      <c r="AJ1790" s="1">
        <v>2014.0</v>
      </c>
      <c r="AK1790" s="1" t="s">
        <v>285</v>
      </c>
    </row>
    <row r="1791">
      <c r="A1791" s="1" t="s">
        <v>3337</v>
      </c>
      <c r="B1791" s="1" t="s">
        <v>3337</v>
      </c>
      <c r="C1791" s="1" t="s">
        <v>194</v>
      </c>
      <c r="E1791" s="1">
        <v>3.9049236E7</v>
      </c>
      <c r="F1791" s="2">
        <v>41865.0</v>
      </c>
      <c r="G1791" s="1" t="s">
        <v>279</v>
      </c>
      <c r="I1791" s="1" t="s">
        <v>279</v>
      </c>
      <c r="L1791" s="1" t="s">
        <v>194</v>
      </c>
      <c r="M1791" s="1">
        <v>9100.0</v>
      </c>
      <c r="N1791" s="1" t="s">
        <v>194</v>
      </c>
      <c r="O1791" s="1">
        <v>1962224.0</v>
      </c>
      <c r="P1791" s="1" t="s">
        <v>52</v>
      </c>
      <c r="R1791" s="1" t="s">
        <v>1885</v>
      </c>
      <c r="S1791" s="1" t="s">
        <v>44</v>
      </c>
      <c r="T1791" s="1" t="s">
        <v>45</v>
      </c>
      <c r="U1791" s="1">
        <v>4.82021347E8</v>
      </c>
      <c r="W1791" s="1" t="s">
        <v>44</v>
      </c>
      <c r="X1791" s="1" t="s">
        <v>45</v>
      </c>
      <c r="Y1791" s="1">
        <v>4.82023424E8</v>
      </c>
      <c r="Z1791" s="1">
        <v>1962224.0</v>
      </c>
      <c r="AA1791" s="1" t="s">
        <v>52</v>
      </c>
      <c r="AB1791" s="1">
        <v>2025000.0</v>
      </c>
      <c r="AC1791" s="2">
        <v>41865.0</v>
      </c>
      <c r="AD1791" s="1">
        <v>9100.0</v>
      </c>
      <c r="AE1791" s="1" t="s">
        <v>194</v>
      </c>
      <c r="AF1791" s="1" t="s">
        <v>3340</v>
      </c>
      <c r="AG1791" s="1" t="s">
        <v>284</v>
      </c>
      <c r="AH1791" s="1">
        <v>1.0</v>
      </c>
      <c r="AI1791" s="1">
        <v>2015.0</v>
      </c>
      <c r="AJ1791" s="1">
        <v>2014.0</v>
      </c>
      <c r="AK1791" s="1" t="s">
        <v>285</v>
      </c>
    </row>
    <row r="1792">
      <c r="A1792" s="1" t="s">
        <v>3341</v>
      </c>
      <c r="B1792" s="1" t="s">
        <v>3341</v>
      </c>
      <c r="C1792" s="1" t="s">
        <v>194</v>
      </c>
      <c r="E1792" s="1">
        <v>1.1225251E7</v>
      </c>
      <c r="F1792" s="2">
        <v>41968.0</v>
      </c>
      <c r="G1792" s="1" t="s">
        <v>685</v>
      </c>
      <c r="I1792" s="1" t="s">
        <v>685</v>
      </c>
      <c r="L1792" s="1" t="s">
        <v>194</v>
      </c>
      <c r="M1792" s="1">
        <v>9100.0</v>
      </c>
      <c r="N1792" s="1" t="s">
        <v>194</v>
      </c>
      <c r="O1792" s="1">
        <v>7.97531279E8</v>
      </c>
      <c r="P1792" s="1" t="s">
        <v>496</v>
      </c>
      <c r="R1792" s="1" t="s">
        <v>497</v>
      </c>
      <c r="S1792" s="1" t="s">
        <v>44</v>
      </c>
      <c r="T1792" s="1" t="s">
        <v>45</v>
      </c>
      <c r="U1792" s="1">
        <v>4.82123323E8</v>
      </c>
      <c r="W1792" s="1" t="s">
        <v>498</v>
      </c>
      <c r="X1792" s="1" t="s">
        <v>45</v>
      </c>
      <c r="Y1792" s="1">
        <v>4.82123323E8</v>
      </c>
      <c r="AB1792" s="1">
        <v>50137.0</v>
      </c>
      <c r="AC1792" s="2">
        <v>41968.0</v>
      </c>
      <c r="AD1792" s="1">
        <v>9100.0</v>
      </c>
      <c r="AE1792" s="1" t="s">
        <v>194</v>
      </c>
      <c r="AF1792" s="1" t="s">
        <v>3342</v>
      </c>
      <c r="AG1792" s="1" t="s">
        <v>3343</v>
      </c>
      <c r="AH1792" s="1">
        <v>1.0</v>
      </c>
      <c r="AI1792" s="1">
        <v>2015.0</v>
      </c>
      <c r="AJ1792" s="1">
        <v>2015.0</v>
      </c>
      <c r="AK1792" s="1" t="s">
        <v>688</v>
      </c>
    </row>
    <row r="1793">
      <c r="A1793" s="1" t="s">
        <v>3344</v>
      </c>
      <c r="B1793" s="1" t="s">
        <v>3344</v>
      </c>
      <c r="C1793" s="1" t="s">
        <v>194</v>
      </c>
      <c r="E1793" s="1">
        <v>8.9228048E7</v>
      </c>
      <c r="F1793" s="2">
        <v>41733.0</v>
      </c>
      <c r="G1793" s="1" t="s">
        <v>458</v>
      </c>
      <c r="I1793" s="1" t="s">
        <v>458</v>
      </c>
      <c r="L1793" s="1" t="s">
        <v>194</v>
      </c>
      <c r="M1793" s="1">
        <v>9100.0</v>
      </c>
      <c r="N1793" s="1" t="s">
        <v>194</v>
      </c>
      <c r="O1793" s="1">
        <v>1.52807538E8</v>
      </c>
      <c r="P1793" s="1" t="s">
        <v>591</v>
      </c>
      <c r="Q1793" s="1" t="s">
        <v>3345</v>
      </c>
      <c r="R1793" s="1" t="s">
        <v>592</v>
      </c>
      <c r="S1793" s="1" t="s">
        <v>44</v>
      </c>
      <c r="T1793" s="1" t="s">
        <v>45</v>
      </c>
      <c r="U1793" s="1">
        <v>4.82191161E8</v>
      </c>
      <c r="W1793" s="1" t="s">
        <v>44</v>
      </c>
      <c r="X1793" s="1" t="s">
        <v>45</v>
      </c>
      <c r="Y1793" s="1">
        <v>4.82191161E8</v>
      </c>
      <c r="Z1793" s="1">
        <v>1.93229721E8</v>
      </c>
      <c r="AA1793" s="1" t="s">
        <v>3346</v>
      </c>
      <c r="AB1793" s="1">
        <v>35224.0</v>
      </c>
      <c r="AC1793" s="2">
        <v>41733.0</v>
      </c>
      <c r="AD1793" s="1">
        <v>9100.0</v>
      </c>
      <c r="AE1793" s="1" t="s">
        <v>194</v>
      </c>
      <c r="AF1793" s="1" t="s">
        <v>3347</v>
      </c>
      <c r="AG1793" s="1" t="s">
        <v>463</v>
      </c>
      <c r="AH1793" s="1">
        <v>1.0</v>
      </c>
      <c r="AI1793" s="1">
        <v>2015.0</v>
      </c>
      <c r="AJ1793" s="1">
        <v>2014.0</v>
      </c>
      <c r="AK1793" s="1" t="s">
        <v>277</v>
      </c>
    </row>
    <row r="1794">
      <c r="A1794" s="1" t="s">
        <v>3344</v>
      </c>
      <c r="B1794" s="1" t="s">
        <v>3344</v>
      </c>
      <c r="C1794" s="1" t="s">
        <v>194</v>
      </c>
      <c r="E1794" s="1">
        <v>8.9228048E7</v>
      </c>
      <c r="F1794" s="2">
        <v>41740.0</v>
      </c>
      <c r="G1794" s="1" t="s">
        <v>458</v>
      </c>
      <c r="I1794" s="1" t="s">
        <v>458</v>
      </c>
      <c r="L1794" s="1" t="s">
        <v>194</v>
      </c>
      <c r="M1794" s="1">
        <v>9100.0</v>
      </c>
      <c r="N1794" s="1" t="s">
        <v>194</v>
      </c>
      <c r="O1794" s="1">
        <v>8.0463354E7</v>
      </c>
      <c r="P1794" s="1" t="s">
        <v>518</v>
      </c>
      <c r="R1794" s="1" t="s">
        <v>519</v>
      </c>
      <c r="S1794" s="1" t="s">
        <v>44</v>
      </c>
      <c r="T1794" s="1" t="s">
        <v>45</v>
      </c>
      <c r="U1794" s="1">
        <v>4.82102105E8</v>
      </c>
      <c r="W1794" s="1" t="s">
        <v>44</v>
      </c>
      <c r="X1794" s="1" t="s">
        <v>45</v>
      </c>
      <c r="Y1794" s="1">
        <v>4.82102105E8</v>
      </c>
      <c r="Z1794" s="1">
        <v>8.0463354E7</v>
      </c>
      <c r="AA1794" s="1" t="s">
        <v>518</v>
      </c>
      <c r="AB1794" s="1">
        <v>30077.0</v>
      </c>
      <c r="AC1794" s="2">
        <v>41740.0</v>
      </c>
      <c r="AD1794" s="1">
        <v>9100.0</v>
      </c>
      <c r="AE1794" s="1" t="s">
        <v>194</v>
      </c>
      <c r="AF1794" s="1" t="s">
        <v>3348</v>
      </c>
      <c r="AG1794" s="1" t="s">
        <v>463</v>
      </c>
      <c r="AH1794" s="1">
        <v>1.0</v>
      </c>
      <c r="AI1794" s="1">
        <v>2015.0</v>
      </c>
      <c r="AJ1794" s="1">
        <v>2014.0</v>
      </c>
      <c r="AK1794" s="1" t="s">
        <v>277</v>
      </c>
    </row>
    <row r="1795">
      <c r="A1795" s="1" t="s">
        <v>3344</v>
      </c>
      <c r="B1795" s="1" t="s">
        <v>3344</v>
      </c>
      <c r="C1795" s="1" t="s">
        <v>194</v>
      </c>
      <c r="E1795" s="1">
        <v>8.9228048E7</v>
      </c>
      <c r="F1795" s="2">
        <v>41752.0</v>
      </c>
      <c r="G1795" s="1" t="s">
        <v>458</v>
      </c>
      <c r="I1795" s="1" t="s">
        <v>458</v>
      </c>
      <c r="L1795" s="1" t="s">
        <v>194</v>
      </c>
      <c r="M1795" s="1">
        <v>9100.0</v>
      </c>
      <c r="N1795" s="1" t="s">
        <v>194</v>
      </c>
      <c r="O1795" s="1">
        <v>8.3082572E8</v>
      </c>
      <c r="P1795" s="1" t="s">
        <v>465</v>
      </c>
      <c r="Q1795" s="1" t="s">
        <v>554</v>
      </c>
      <c r="R1795" s="1" t="s">
        <v>555</v>
      </c>
      <c r="S1795" s="1" t="s">
        <v>44</v>
      </c>
      <c r="T1795" s="1" t="s">
        <v>45</v>
      </c>
      <c r="U1795" s="1">
        <v>4.82024061E8</v>
      </c>
      <c r="W1795" s="1" t="s">
        <v>44</v>
      </c>
      <c r="X1795" s="1" t="s">
        <v>45</v>
      </c>
      <c r="Y1795" s="1">
        <v>4.82023457E8</v>
      </c>
      <c r="Z1795" s="1">
        <v>1.6338926E8</v>
      </c>
      <c r="AA1795" s="1" t="s">
        <v>465</v>
      </c>
      <c r="AB1795" s="1">
        <v>114765.0</v>
      </c>
      <c r="AC1795" s="2">
        <v>41752.0</v>
      </c>
      <c r="AD1795" s="1">
        <v>9100.0</v>
      </c>
      <c r="AE1795" s="1" t="s">
        <v>194</v>
      </c>
      <c r="AF1795" s="1" t="s">
        <v>3349</v>
      </c>
      <c r="AG1795" s="1" t="s">
        <v>463</v>
      </c>
      <c r="AH1795" s="1">
        <v>1.0</v>
      </c>
      <c r="AI1795" s="1">
        <v>2015.0</v>
      </c>
      <c r="AJ1795" s="1">
        <v>2014.0</v>
      </c>
      <c r="AK1795" s="1" t="s">
        <v>277</v>
      </c>
    </row>
    <row r="1796">
      <c r="A1796" s="1" t="s">
        <v>3344</v>
      </c>
      <c r="B1796" s="1" t="s">
        <v>3344</v>
      </c>
      <c r="C1796" s="1" t="s">
        <v>194</v>
      </c>
      <c r="E1796" s="1">
        <v>8.9228048E7</v>
      </c>
      <c r="F1796" s="2">
        <v>41681.0</v>
      </c>
      <c r="G1796" s="1" t="s">
        <v>458</v>
      </c>
      <c r="I1796" s="1" t="s">
        <v>458</v>
      </c>
      <c r="L1796" s="1" t="s">
        <v>194</v>
      </c>
      <c r="M1796" s="1">
        <v>9100.0</v>
      </c>
      <c r="N1796" s="1" t="s">
        <v>194</v>
      </c>
      <c r="O1796" s="1">
        <v>1.80070547E8</v>
      </c>
      <c r="P1796" s="1" t="s">
        <v>508</v>
      </c>
      <c r="Q1796" s="1" t="s">
        <v>3350</v>
      </c>
      <c r="R1796" s="1" t="s">
        <v>509</v>
      </c>
      <c r="S1796" s="1" t="s">
        <v>44</v>
      </c>
      <c r="T1796" s="1" t="s">
        <v>45</v>
      </c>
      <c r="U1796" s="1">
        <v>4.82133487E8</v>
      </c>
      <c r="W1796" s="1" t="s">
        <v>44</v>
      </c>
      <c r="X1796" s="1" t="s">
        <v>45</v>
      </c>
      <c r="Y1796" s="1">
        <v>4.82022403E8</v>
      </c>
      <c r="Z1796" s="1">
        <v>3.8620134E7</v>
      </c>
      <c r="AB1796" s="1">
        <v>45400.0</v>
      </c>
      <c r="AC1796" s="2">
        <v>41681.0</v>
      </c>
      <c r="AD1796" s="1">
        <v>9100.0</v>
      </c>
      <c r="AE1796" s="1" t="s">
        <v>194</v>
      </c>
      <c r="AF1796" s="1" t="s">
        <v>3351</v>
      </c>
      <c r="AG1796" s="1" t="s">
        <v>463</v>
      </c>
      <c r="AH1796" s="1">
        <v>1.0</v>
      </c>
      <c r="AI1796" s="1">
        <v>2015.0</v>
      </c>
      <c r="AJ1796" s="1">
        <v>2014.0</v>
      </c>
      <c r="AK1796" s="1" t="s">
        <v>277</v>
      </c>
    </row>
    <row r="1797">
      <c r="A1797" s="1" t="s">
        <v>3344</v>
      </c>
      <c r="B1797" s="1" t="s">
        <v>3344</v>
      </c>
      <c r="C1797" s="1" t="s">
        <v>194</v>
      </c>
      <c r="E1797" s="1">
        <v>8.9228048E7</v>
      </c>
      <c r="F1797" s="2">
        <v>41626.0</v>
      </c>
      <c r="G1797" s="1" t="s">
        <v>458</v>
      </c>
      <c r="I1797" s="1" t="s">
        <v>458</v>
      </c>
      <c r="L1797" s="1" t="s">
        <v>194</v>
      </c>
      <c r="M1797" s="1">
        <v>9100.0</v>
      </c>
      <c r="N1797" s="1" t="s">
        <v>194</v>
      </c>
      <c r="O1797" s="1">
        <v>9.62104118E8</v>
      </c>
      <c r="P1797" s="1" t="s">
        <v>634</v>
      </c>
      <c r="Q1797" s="1" t="s">
        <v>3352</v>
      </c>
      <c r="R1797" s="1" t="s">
        <v>635</v>
      </c>
      <c r="S1797" s="1" t="s">
        <v>44</v>
      </c>
      <c r="T1797" s="1" t="s">
        <v>45</v>
      </c>
      <c r="U1797" s="1">
        <v>4.82351111E8</v>
      </c>
      <c r="W1797" s="1" t="s">
        <v>46</v>
      </c>
      <c r="X1797" s="1" t="s">
        <v>45</v>
      </c>
      <c r="Y1797" s="1">
        <v>4.82351111E8</v>
      </c>
      <c r="Z1797" s="1">
        <v>3537326.0</v>
      </c>
      <c r="AA1797" s="1" t="s">
        <v>560</v>
      </c>
      <c r="AB1797" s="1">
        <v>43140.0</v>
      </c>
      <c r="AC1797" s="2">
        <v>41626.0</v>
      </c>
      <c r="AD1797" s="1">
        <v>9100.0</v>
      </c>
      <c r="AE1797" s="1" t="s">
        <v>194</v>
      </c>
      <c r="AF1797" s="1" t="s">
        <v>3353</v>
      </c>
      <c r="AG1797" s="1" t="s">
        <v>463</v>
      </c>
      <c r="AH1797" s="1">
        <v>1.0</v>
      </c>
      <c r="AI1797" s="1">
        <v>2015.0</v>
      </c>
      <c r="AJ1797" s="1">
        <v>2014.0</v>
      </c>
      <c r="AK1797" s="1" t="s">
        <v>277</v>
      </c>
    </row>
    <row r="1798">
      <c r="A1798" s="1" t="s">
        <v>3344</v>
      </c>
      <c r="B1798" s="1" t="s">
        <v>3344</v>
      </c>
      <c r="C1798" s="1" t="s">
        <v>194</v>
      </c>
      <c r="E1798" s="1">
        <v>8.9228048E7</v>
      </c>
      <c r="F1798" s="2">
        <v>41641.0</v>
      </c>
      <c r="G1798" s="1" t="s">
        <v>458</v>
      </c>
      <c r="I1798" s="1" t="s">
        <v>458</v>
      </c>
      <c r="L1798" s="1" t="s">
        <v>194</v>
      </c>
      <c r="M1798" s="1">
        <v>9100.0</v>
      </c>
      <c r="N1798" s="1" t="s">
        <v>194</v>
      </c>
      <c r="O1798" s="1">
        <v>7.94990296E8</v>
      </c>
      <c r="P1798" s="1" t="s">
        <v>601</v>
      </c>
      <c r="Q1798" s="1" t="s">
        <v>3354</v>
      </c>
      <c r="R1798" s="1" t="s">
        <v>602</v>
      </c>
      <c r="S1798" s="1" t="s">
        <v>44</v>
      </c>
      <c r="T1798" s="1" t="s">
        <v>45</v>
      </c>
      <c r="U1798" s="1">
        <v>4.82032827E8</v>
      </c>
      <c r="W1798" s="1" t="s">
        <v>603</v>
      </c>
      <c r="X1798" s="1" t="s">
        <v>45</v>
      </c>
      <c r="Y1798" s="1">
        <v>4.82032827E8</v>
      </c>
      <c r="Z1798" s="1">
        <v>8.589906E7</v>
      </c>
      <c r="AA1798" s="1" t="s">
        <v>3355</v>
      </c>
      <c r="AB1798" s="1">
        <v>26978.0</v>
      </c>
      <c r="AC1798" s="2">
        <v>41641.0</v>
      </c>
      <c r="AD1798" s="1">
        <v>9100.0</v>
      </c>
      <c r="AE1798" s="1" t="s">
        <v>194</v>
      </c>
      <c r="AF1798" s="1" t="s">
        <v>3356</v>
      </c>
      <c r="AG1798" s="1" t="s">
        <v>463</v>
      </c>
      <c r="AH1798" s="1">
        <v>1.0</v>
      </c>
      <c r="AI1798" s="1">
        <v>2015.0</v>
      </c>
      <c r="AJ1798" s="1">
        <v>2014.0</v>
      </c>
      <c r="AK1798" s="1" t="s">
        <v>277</v>
      </c>
    </row>
    <row r="1799">
      <c r="A1799" s="1" t="s">
        <v>3344</v>
      </c>
      <c r="B1799" s="1" t="s">
        <v>3344</v>
      </c>
      <c r="C1799" s="1" t="s">
        <v>194</v>
      </c>
      <c r="E1799" s="1">
        <v>8.9228048E7</v>
      </c>
      <c r="F1799" s="2">
        <v>41691.0</v>
      </c>
      <c r="G1799" s="1" t="s">
        <v>458</v>
      </c>
      <c r="I1799" s="1" t="s">
        <v>458</v>
      </c>
      <c r="L1799" s="1" t="s">
        <v>194</v>
      </c>
      <c r="M1799" s="1">
        <v>9100.0</v>
      </c>
      <c r="N1799" s="1" t="s">
        <v>194</v>
      </c>
      <c r="O1799" s="1">
        <v>7.3832607E7</v>
      </c>
      <c r="P1799" s="1" t="s">
        <v>482</v>
      </c>
      <c r="Q1799" s="1" t="s">
        <v>3357</v>
      </c>
      <c r="R1799" s="1" t="s">
        <v>483</v>
      </c>
      <c r="S1799" s="1" t="s">
        <v>44</v>
      </c>
      <c r="T1799" s="1" t="s">
        <v>45</v>
      </c>
      <c r="U1799" s="1">
        <v>4.82074288E8</v>
      </c>
      <c r="W1799" s="1" t="s">
        <v>44</v>
      </c>
      <c r="X1799" s="1" t="s">
        <v>45</v>
      </c>
      <c r="Y1799" s="1">
        <v>4.82074288E8</v>
      </c>
      <c r="Z1799" s="1">
        <v>1.00035849E8</v>
      </c>
      <c r="AB1799" s="1">
        <v>72054.0</v>
      </c>
      <c r="AC1799" s="2">
        <v>41691.0</v>
      </c>
      <c r="AD1799" s="1">
        <v>9100.0</v>
      </c>
      <c r="AE1799" s="1" t="s">
        <v>194</v>
      </c>
      <c r="AF1799" s="1" t="s">
        <v>3358</v>
      </c>
      <c r="AG1799" s="1" t="s">
        <v>463</v>
      </c>
      <c r="AH1799" s="1">
        <v>1.0</v>
      </c>
      <c r="AI1799" s="1">
        <v>2015.0</v>
      </c>
      <c r="AJ1799" s="1">
        <v>2014.0</v>
      </c>
      <c r="AK1799" s="1" t="s">
        <v>277</v>
      </c>
    </row>
    <row r="1800">
      <c r="A1800" s="1" t="s">
        <v>3344</v>
      </c>
      <c r="B1800" s="1" t="s">
        <v>3344</v>
      </c>
      <c r="C1800" s="1" t="s">
        <v>194</v>
      </c>
      <c r="E1800" s="1">
        <v>8.9228048E7</v>
      </c>
      <c r="F1800" s="2">
        <v>41688.0</v>
      </c>
      <c r="G1800" s="1" t="s">
        <v>458</v>
      </c>
      <c r="I1800" s="1" t="s">
        <v>458</v>
      </c>
      <c r="L1800" s="1" t="s">
        <v>194</v>
      </c>
      <c r="M1800" s="1">
        <v>9100.0</v>
      </c>
      <c r="N1800" s="1" t="s">
        <v>194</v>
      </c>
      <c r="O1800" s="1">
        <v>3.7602699E7</v>
      </c>
      <c r="P1800" s="1" t="s">
        <v>535</v>
      </c>
      <c r="R1800" s="1" t="s">
        <v>536</v>
      </c>
      <c r="S1800" s="1" t="s">
        <v>44</v>
      </c>
      <c r="T1800" s="1" t="s">
        <v>45</v>
      </c>
      <c r="U1800" s="1">
        <v>4.82052545E8</v>
      </c>
      <c r="W1800" s="1" t="s">
        <v>46</v>
      </c>
      <c r="X1800" s="1" t="s">
        <v>45</v>
      </c>
      <c r="Y1800" s="1">
        <v>4.82052545E8</v>
      </c>
      <c r="Z1800" s="1">
        <v>2.0284931E7</v>
      </c>
      <c r="AA1800" s="1" t="s">
        <v>3359</v>
      </c>
      <c r="AB1800" s="1">
        <v>68542.0</v>
      </c>
      <c r="AC1800" s="2">
        <v>41688.0</v>
      </c>
      <c r="AD1800" s="1">
        <v>9100.0</v>
      </c>
      <c r="AE1800" s="1" t="s">
        <v>194</v>
      </c>
      <c r="AF1800" s="1" t="s">
        <v>3360</v>
      </c>
      <c r="AG1800" s="1" t="s">
        <v>463</v>
      </c>
      <c r="AH1800" s="1">
        <v>1.0</v>
      </c>
      <c r="AI1800" s="1">
        <v>2015.0</v>
      </c>
      <c r="AJ1800" s="1">
        <v>2014.0</v>
      </c>
      <c r="AK1800" s="1" t="s">
        <v>277</v>
      </c>
    </row>
    <row r="1801">
      <c r="A1801" s="1" t="s">
        <v>3344</v>
      </c>
      <c r="B1801" s="1" t="s">
        <v>3344</v>
      </c>
      <c r="C1801" s="1" t="s">
        <v>194</v>
      </c>
      <c r="E1801" s="1">
        <v>8.9228048E7</v>
      </c>
      <c r="F1801" s="2">
        <v>41703.0</v>
      </c>
      <c r="G1801" s="1" t="s">
        <v>458</v>
      </c>
      <c r="I1801" s="1" t="s">
        <v>458</v>
      </c>
      <c r="L1801" s="1" t="s">
        <v>194</v>
      </c>
      <c r="M1801" s="1">
        <v>9100.0</v>
      </c>
      <c r="N1801" s="1" t="s">
        <v>194</v>
      </c>
      <c r="O1801" s="1">
        <v>9.65349769E8</v>
      </c>
      <c r="P1801" s="1" t="s">
        <v>465</v>
      </c>
      <c r="Q1801" s="1" t="s">
        <v>466</v>
      </c>
      <c r="R1801" s="1" t="s">
        <v>467</v>
      </c>
      <c r="S1801" s="1" t="s">
        <v>44</v>
      </c>
      <c r="T1801" s="1" t="s">
        <v>45</v>
      </c>
      <c r="U1801" s="1">
        <v>4.8202322E8</v>
      </c>
      <c r="W1801" s="1" t="s">
        <v>44</v>
      </c>
      <c r="X1801" s="1" t="s">
        <v>45</v>
      </c>
      <c r="Y1801" s="1">
        <v>4.8202322E8</v>
      </c>
      <c r="Z1801" s="1">
        <v>1.6338926E8</v>
      </c>
      <c r="AA1801" s="1" t="s">
        <v>465</v>
      </c>
      <c r="AB1801" s="1">
        <v>155249.0</v>
      </c>
      <c r="AC1801" s="2">
        <v>41703.0</v>
      </c>
      <c r="AD1801" s="1">
        <v>9100.0</v>
      </c>
      <c r="AE1801" s="1" t="s">
        <v>194</v>
      </c>
      <c r="AF1801" s="1" t="s">
        <v>3361</v>
      </c>
      <c r="AG1801" s="1" t="s">
        <v>463</v>
      </c>
      <c r="AH1801" s="1">
        <v>1.0</v>
      </c>
      <c r="AI1801" s="1">
        <v>2015.0</v>
      </c>
      <c r="AJ1801" s="1">
        <v>2014.0</v>
      </c>
      <c r="AK1801" s="1" t="s">
        <v>277</v>
      </c>
    </row>
    <row r="1802">
      <c r="A1802" s="1" t="s">
        <v>3344</v>
      </c>
      <c r="B1802" s="1" t="s">
        <v>3344</v>
      </c>
      <c r="C1802" s="1" t="s">
        <v>194</v>
      </c>
      <c r="E1802" s="1">
        <v>8.9228048E7</v>
      </c>
      <c r="F1802" s="2">
        <v>41725.0</v>
      </c>
      <c r="G1802" s="1" t="s">
        <v>458</v>
      </c>
      <c r="I1802" s="1" t="s">
        <v>458</v>
      </c>
      <c r="L1802" s="1" t="s">
        <v>194</v>
      </c>
      <c r="M1802" s="1">
        <v>9100.0</v>
      </c>
      <c r="N1802" s="1" t="s">
        <v>194</v>
      </c>
      <c r="O1802" s="1">
        <v>9.62378779E8</v>
      </c>
      <c r="P1802" s="1" t="s">
        <v>478</v>
      </c>
      <c r="R1802" s="1" t="s">
        <v>479</v>
      </c>
      <c r="S1802" s="1" t="s">
        <v>44</v>
      </c>
      <c r="T1802" s="1" t="s">
        <v>45</v>
      </c>
      <c r="U1802" s="1">
        <v>4.82342225E8</v>
      </c>
      <c r="W1802" s="1" t="s">
        <v>44</v>
      </c>
      <c r="X1802" s="1" t="s">
        <v>45</v>
      </c>
      <c r="Y1802" s="1">
        <v>4.82342225E8</v>
      </c>
      <c r="Z1802" s="1">
        <v>8.887307E7</v>
      </c>
      <c r="AA1802" s="1" t="s">
        <v>1666</v>
      </c>
      <c r="AB1802" s="1">
        <v>90533.0</v>
      </c>
      <c r="AC1802" s="2">
        <v>41725.0</v>
      </c>
      <c r="AD1802" s="1">
        <v>9100.0</v>
      </c>
      <c r="AE1802" s="1" t="s">
        <v>194</v>
      </c>
      <c r="AF1802" s="1" t="s">
        <v>3362</v>
      </c>
      <c r="AG1802" s="1" t="s">
        <v>463</v>
      </c>
      <c r="AH1802" s="1">
        <v>1.0</v>
      </c>
      <c r="AI1802" s="1">
        <v>2015.0</v>
      </c>
      <c r="AJ1802" s="1">
        <v>2014.0</v>
      </c>
      <c r="AK1802" s="1" t="s">
        <v>277</v>
      </c>
    </row>
    <row r="1803">
      <c r="A1803" s="1" t="s">
        <v>3344</v>
      </c>
      <c r="B1803" s="1" t="s">
        <v>3344</v>
      </c>
      <c r="C1803" s="1" t="s">
        <v>194</v>
      </c>
      <c r="E1803" s="1">
        <v>8.9228048E7</v>
      </c>
      <c r="F1803" s="2">
        <v>41733.0</v>
      </c>
      <c r="G1803" s="1" t="s">
        <v>458</v>
      </c>
      <c r="I1803" s="1" t="s">
        <v>458</v>
      </c>
      <c r="L1803" s="1" t="s">
        <v>194</v>
      </c>
      <c r="M1803" s="1">
        <v>9100.0</v>
      </c>
      <c r="N1803" s="1" t="s">
        <v>194</v>
      </c>
      <c r="O1803" s="1">
        <v>7.6340843E7</v>
      </c>
      <c r="P1803" s="1" t="s">
        <v>461</v>
      </c>
      <c r="Q1803" s="1" t="s">
        <v>3363</v>
      </c>
      <c r="R1803" s="1" t="s">
        <v>1599</v>
      </c>
      <c r="S1803" s="1" t="s">
        <v>44</v>
      </c>
      <c r="T1803" s="1" t="s">
        <v>45</v>
      </c>
      <c r="U1803" s="1">
        <v>4.8202301E8</v>
      </c>
      <c r="W1803" s="1" t="s">
        <v>44</v>
      </c>
      <c r="X1803" s="1" t="s">
        <v>45</v>
      </c>
      <c r="Y1803" s="1">
        <v>4.82023096E8</v>
      </c>
      <c r="Z1803" s="1">
        <v>7.6340843E7</v>
      </c>
      <c r="AA1803" s="1" t="s">
        <v>461</v>
      </c>
      <c r="AB1803" s="1">
        <v>3.0783309E7</v>
      </c>
      <c r="AC1803" s="2">
        <v>41733.0</v>
      </c>
      <c r="AD1803" s="1">
        <v>9100.0</v>
      </c>
      <c r="AE1803" s="1" t="s">
        <v>194</v>
      </c>
      <c r="AF1803" s="1" t="s">
        <v>3364</v>
      </c>
      <c r="AG1803" s="1" t="s">
        <v>463</v>
      </c>
      <c r="AH1803" s="1">
        <v>1.0</v>
      </c>
      <c r="AI1803" s="1">
        <v>2015.0</v>
      </c>
      <c r="AJ1803" s="1">
        <v>2014.0</v>
      </c>
      <c r="AK1803" s="1" t="s">
        <v>277</v>
      </c>
    </row>
    <row r="1804">
      <c r="A1804" s="1" t="s">
        <v>3344</v>
      </c>
      <c r="B1804" s="1" t="s">
        <v>3344</v>
      </c>
      <c r="C1804" s="1" t="s">
        <v>194</v>
      </c>
      <c r="E1804" s="1">
        <v>8.9228048E7</v>
      </c>
      <c r="F1804" s="2">
        <v>41739.0</v>
      </c>
      <c r="G1804" s="1" t="s">
        <v>458</v>
      </c>
      <c r="I1804" s="1" t="s">
        <v>458</v>
      </c>
      <c r="L1804" s="1" t="s">
        <v>194</v>
      </c>
      <c r="M1804" s="1">
        <v>9100.0</v>
      </c>
      <c r="N1804" s="1" t="s">
        <v>194</v>
      </c>
      <c r="O1804" s="1">
        <v>7.0381949E7</v>
      </c>
      <c r="P1804" s="1" t="s">
        <v>605</v>
      </c>
      <c r="Q1804" s="1" t="s">
        <v>3365</v>
      </c>
      <c r="R1804" s="1" t="s">
        <v>606</v>
      </c>
      <c r="S1804" s="1" t="s">
        <v>44</v>
      </c>
      <c r="T1804" s="1" t="s">
        <v>45</v>
      </c>
      <c r="U1804" s="1">
        <v>4.82123033E8</v>
      </c>
      <c r="W1804" s="1" t="s">
        <v>607</v>
      </c>
      <c r="X1804" s="1" t="s">
        <v>45</v>
      </c>
      <c r="Y1804" s="1">
        <v>4.82123033E8</v>
      </c>
      <c r="Z1804" s="1">
        <v>6.09795869E8</v>
      </c>
      <c r="AA1804" s="1" t="s">
        <v>3366</v>
      </c>
      <c r="AB1804" s="1">
        <v>66831.0</v>
      </c>
      <c r="AC1804" s="2">
        <v>41739.0</v>
      </c>
      <c r="AD1804" s="1">
        <v>9100.0</v>
      </c>
      <c r="AE1804" s="1" t="s">
        <v>194</v>
      </c>
      <c r="AF1804" s="1" t="s">
        <v>3367</v>
      </c>
      <c r="AG1804" s="1" t="s">
        <v>463</v>
      </c>
      <c r="AH1804" s="1">
        <v>1.0</v>
      </c>
      <c r="AI1804" s="1">
        <v>2015.0</v>
      </c>
      <c r="AJ1804" s="1">
        <v>2014.0</v>
      </c>
      <c r="AK1804" s="1" t="s">
        <v>277</v>
      </c>
    </row>
    <row r="1805">
      <c r="A1805" s="1" t="s">
        <v>3337</v>
      </c>
      <c r="B1805" s="1" t="s">
        <v>3337</v>
      </c>
      <c r="C1805" s="1" t="s">
        <v>194</v>
      </c>
      <c r="E1805" s="1">
        <v>3.9049236E7</v>
      </c>
      <c r="F1805" s="2">
        <v>41884.0</v>
      </c>
      <c r="G1805" s="1" t="s">
        <v>279</v>
      </c>
      <c r="I1805" s="1" t="s">
        <v>279</v>
      </c>
      <c r="L1805" s="1" t="s">
        <v>194</v>
      </c>
      <c r="M1805" s="1">
        <v>9100.0</v>
      </c>
      <c r="N1805" s="1" t="s">
        <v>194</v>
      </c>
      <c r="O1805" s="1">
        <v>7.97531295E8</v>
      </c>
      <c r="P1805" s="1" t="s">
        <v>582</v>
      </c>
      <c r="R1805" s="1" t="s">
        <v>583</v>
      </c>
      <c r="S1805" s="1" t="s">
        <v>44</v>
      </c>
      <c r="T1805" s="1" t="s">
        <v>45</v>
      </c>
      <c r="U1805" s="1">
        <v>4.82123452E8</v>
      </c>
      <c r="W1805" s="1" t="s">
        <v>44</v>
      </c>
      <c r="X1805" s="1" t="s">
        <v>45</v>
      </c>
      <c r="Y1805" s="1">
        <v>4.82123452E8</v>
      </c>
      <c r="AB1805" s="1">
        <v>135000.0</v>
      </c>
      <c r="AC1805" s="2">
        <v>41884.0</v>
      </c>
      <c r="AD1805" s="1">
        <v>9100.0</v>
      </c>
      <c r="AE1805" s="1" t="s">
        <v>194</v>
      </c>
      <c r="AF1805" s="1" t="s">
        <v>3368</v>
      </c>
      <c r="AG1805" s="1" t="s">
        <v>284</v>
      </c>
      <c r="AH1805" s="1">
        <v>1.0</v>
      </c>
      <c r="AI1805" s="1">
        <v>2015.0</v>
      </c>
      <c r="AJ1805" s="1">
        <v>2014.0</v>
      </c>
      <c r="AK1805" s="1" t="s">
        <v>285</v>
      </c>
    </row>
    <row r="1806">
      <c r="A1806" s="1" t="s">
        <v>3369</v>
      </c>
      <c r="B1806" s="1" t="s">
        <v>3369</v>
      </c>
      <c r="C1806" s="1" t="s">
        <v>194</v>
      </c>
      <c r="E1806" s="1">
        <v>1.0181861E7</v>
      </c>
      <c r="F1806" s="2">
        <v>41625.0</v>
      </c>
      <c r="G1806" s="1" t="s">
        <v>685</v>
      </c>
      <c r="I1806" s="1" t="s">
        <v>685</v>
      </c>
      <c r="L1806" s="1" t="s">
        <v>194</v>
      </c>
      <c r="M1806" s="1">
        <v>9100.0</v>
      </c>
      <c r="N1806" s="1" t="s">
        <v>194</v>
      </c>
      <c r="O1806" s="1">
        <v>7.97531279E8</v>
      </c>
      <c r="P1806" s="1" t="s">
        <v>496</v>
      </c>
      <c r="R1806" s="1" t="s">
        <v>497</v>
      </c>
      <c r="S1806" s="1" t="s">
        <v>44</v>
      </c>
      <c r="T1806" s="1" t="s">
        <v>45</v>
      </c>
      <c r="U1806" s="1">
        <v>4.82123323E8</v>
      </c>
      <c r="W1806" s="1" t="s">
        <v>498</v>
      </c>
      <c r="X1806" s="1" t="s">
        <v>45</v>
      </c>
      <c r="Y1806" s="1">
        <v>4.82123323E8</v>
      </c>
      <c r="AB1806" s="1">
        <v>50676.0</v>
      </c>
      <c r="AC1806" s="2">
        <v>41625.0</v>
      </c>
      <c r="AD1806" s="1">
        <v>9100.0</v>
      </c>
      <c r="AE1806" s="1" t="s">
        <v>194</v>
      </c>
      <c r="AF1806" s="1" t="s">
        <v>3370</v>
      </c>
      <c r="AG1806" s="1" t="s">
        <v>3343</v>
      </c>
      <c r="AH1806" s="1">
        <v>1.0</v>
      </c>
      <c r="AI1806" s="1">
        <v>2015.0</v>
      </c>
      <c r="AJ1806" s="1">
        <v>2014.0</v>
      </c>
      <c r="AK1806" s="1" t="s">
        <v>688</v>
      </c>
    </row>
    <row r="1807">
      <c r="A1807" s="1" t="s">
        <v>3337</v>
      </c>
      <c r="B1807" s="1" t="s">
        <v>3337</v>
      </c>
      <c r="C1807" s="1" t="s">
        <v>194</v>
      </c>
      <c r="E1807" s="1">
        <v>3.9049236E7</v>
      </c>
      <c r="F1807" s="2">
        <v>41900.0</v>
      </c>
      <c r="G1807" s="1" t="s">
        <v>279</v>
      </c>
      <c r="I1807" s="1" t="s">
        <v>279</v>
      </c>
      <c r="L1807" s="1" t="s">
        <v>194</v>
      </c>
      <c r="M1807" s="1">
        <v>9100.0</v>
      </c>
      <c r="N1807" s="1" t="s">
        <v>194</v>
      </c>
      <c r="O1807" s="1">
        <v>8.01081899E8</v>
      </c>
      <c r="P1807" s="1" t="s">
        <v>280</v>
      </c>
      <c r="R1807" s="1" t="s">
        <v>281</v>
      </c>
      <c r="S1807" s="1" t="s">
        <v>44</v>
      </c>
      <c r="T1807" s="1" t="s">
        <v>45</v>
      </c>
      <c r="U1807" s="1">
        <v>4.82033277E8</v>
      </c>
      <c r="W1807" s="1" t="s">
        <v>282</v>
      </c>
      <c r="X1807" s="1" t="s">
        <v>45</v>
      </c>
      <c r="Y1807" s="1">
        <v>4.82202899E8</v>
      </c>
      <c r="AB1807" s="1">
        <v>675000.0</v>
      </c>
      <c r="AC1807" s="2">
        <v>41900.0</v>
      </c>
      <c r="AD1807" s="1">
        <v>9100.0</v>
      </c>
      <c r="AE1807" s="1" t="s">
        <v>194</v>
      </c>
      <c r="AF1807" s="1" t="s">
        <v>3371</v>
      </c>
      <c r="AG1807" s="1" t="s">
        <v>284</v>
      </c>
      <c r="AH1807" s="1">
        <v>1.0</v>
      </c>
      <c r="AI1807" s="1">
        <v>2015.0</v>
      </c>
      <c r="AJ1807" s="1">
        <v>2014.0</v>
      </c>
      <c r="AK1807" s="1" t="s">
        <v>285</v>
      </c>
    </row>
    <row r="1808">
      <c r="A1808" s="1" t="s">
        <v>3369</v>
      </c>
      <c r="B1808" s="1" t="s">
        <v>3369</v>
      </c>
      <c r="C1808" s="1" t="s">
        <v>194</v>
      </c>
      <c r="E1808" s="1">
        <v>1.0181861E7</v>
      </c>
      <c r="F1808" s="2">
        <v>41669.0</v>
      </c>
      <c r="G1808" s="1" t="s">
        <v>685</v>
      </c>
      <c r="I1808" s="1" t="s">
        <v>685</v>
      </c>
      <c r="L1808" s="1" t="s">
        <v>194</v>
      </c>
      <c r="M1808" s="1">
        <v>9100.0</v>
      </c>
      <c r="N1808" s="1" t="s">
        <v>194</v>
      </c>
      <c r="O1808" s="1">
        <v>1.98438892E8</v>
      </c>
      <c r="P1808" s="1" t="s">
        <v>505</v>
      </c>
      <c r="R1808" s="1" t="s">
        <v>506</v>
      </c>
      <c r="S1808" s="1" t="s">
        <v>44</v>
      </c>
      <c r="T1808" s="1" t="s">
        <v>45</v>
      </c>
      <c r="U1808" s="1">
        <v>4.82123572E8</v>
      </c>
      <c r="W1808" s="1" t="s">
        <v>498</v>
      </c>
      <c r="X1808" s="1" t="s">
        <v>45</v>
      </c>
      <c r="Y1808" s="1">
        <v>4.82123572E8</v>
      </c>
      <c r="Z1808" s="1">
        <v>1.98438892E8</v>
      </c>
      <c r="AA1808" s="1" t="s">
        <v>505</v>
      </c>
      <c r="AB1808" s="1">
        <v>36114.0</v>
      </c>
      <c r="AC1808" s="2">
        <v>41669.0</v>
      </c>
      <c r="AD1808" s="1">
        <v>9100.0</v>
      </c>
      <c r="AE1808" s="1" t="s">
        <v>194</v>
      </c>
      <c r="AF1808" s="1" t="s">
        <v>3372</v>
      </c>
      <c r="AG1808" s="1" t="s">
        <v>3343</v>
      </c>
      <c r="AH1808" s="1">
        <v>1.0</v>
      </c>
      <c r="AI1808" s="1">
        <v>2015.0</v>
      </c>
      <c r="AJ1808" s="1">
        <v>2014.0</v>
      </c>
      <c r="AK1808" s="1" t="s">
        <v>688</v>
      </c>
    </row>
    <row r="1809">
      <c r="A1809" s="1" t="s">
        <v>3341</v>
      </c>
      <c r="B1809" s="1" t="s">
        <v>3341</v>
      </c>
      <c r="C1809" s="1" t="s">
        <v>194</v>
      </c>
      <c r="E1809" s="1">
        <v>1.1225251E7</v>
      </c>
      <c r="F1809" s="2">
        <v>41948.0</v>
      </c>
      <c r="G1809" s="1" t="s">
        <v>685</v>
      </c>
      <c r="I1809" s="1" t="s">
        <v>685</v>
      </c>
      <c r="L1809" s="1" t="s">
        <v>194</v>
      </c>
      <c r="M1809" s="1">
        <v>9100.0</v>
      </c>
      <c r="N1809" s="1" t="s">
        <v>194</v>
      </c>
      <c r="O1809" s="1">
        <v>7.6340843E7</v>
      </c>
      <c r="P1809" s="1" t="s">
        <v>461</v>
      </c>
      <c r="R1809" s="1" t="s">
        <v>1599</v>
      </c>
      <c r="S1809" s="1" t="s">
        <v>44</v>
      </c>
      <c r="T1809" s="1" t="s">
        <v>45</v>
      </c>
      <c r="U1809" s="1">
        <v>4.8202301E8</v>
      </c>
      <c r="W1809" s="1" t="s">
        <v>44</v>
      </c>
      <c r="X1809" s="1" t="s">
        <v>45</v>
      </c>
      <c r="Y1809" s="1">
        <v>4.82023096E8</v>
      </c>
      <c r="Z1809" s="1">
        <v>7.6340843E7</v>
      </c>
      <c r="AA1809" s="1" t="s">
        <v>461</v>
      </c>
      <c r="AB1809" s="1">
        <v>767355.0</v>
      </c>
      <c r="AC1809" s="2">
        <v>41948.0</v>
      </c>
      <c r="AD1809" s="1">
        <v>9100.0</v>
      </c>
      <c r="AE1809" s="1" t="s">
        <v>194</v>
      </c>
      <c r="AF1809" s="1" t="s">
        <v>3373</v>
      </c>
      <c r="AG1809" s="1" t="s">
        <v>3343</v>
      </c>
      <c r="AH1809" s="1">
        <v>1.0</v>
      </c>
      <c r="AI1809" s="1">
        <v>2015.0</v>
      </c>
      <c r="AJ1809" s="1">
        <v>2015.0</v>
      </c>
      <c r="AK1809" s="1" t="s">
        <v>688</v>
      </c>
    </row>
    <row r="1810">
      <c r="A1810" s="1" t="s">
        <v>3341</v>
      </c>
      <c r="B1810" s="1" t="s">
        <v>3341</v>
      </c>
      <c r="C1810" s="1" t="s">
        <v>194</v>
      </c>
      <c r="E1810" s="1">
        <v>1.1225251E7</v>
      </c>
      <c r="F1810" s="2">
        <v>41955.0</v>
      </c>
      <c r="G1810" s="1" t="s">
        <v>685</v>
      </c>
      <c r="I1810" s="1" t="s">
        <v>685</v>
      </c>
      <c r="L1810" s="1" t="s">
        <v>194</v>
      </c>
      <c r="M1810" s="1">
        <v>9100.0</v>
      </c>
      <c r="N1810" s="1" t="s">
        <v>194</v>
      </c>
      <c r="O1810" s="1">
        <v>5.2874042E7</v>
      </c>
      <c r="P1810" s="1" t="s">
        <v>538</v>
      </c>
      <c r="R1810" s="1" t="s">
        <v>539</v>
      </c>
      <c r="S1810" s="1" t="s">
        <v>44</v>
      </c>
      <c r="T1810" s="1" t="s">
        <v>45</v>
      </c>
      <c r="U1810" s="1">
        <v>4.82091524E8</v>
      </c>
      <c r="W1810" s="1" t="s">
        <v>44</v>
      </c>
      <c r="X1810" s="1" t="s">
        <v>45</v>
      </c>
      <c r="Y1810" s="1">
        <v>4.82091524E8</v>
      </c>
      <c r="AB1810" s="1">
        <v>126049.0</v>
      </c>
      <c r="AC1810" s="2">
        <v>41955.0</v>
      </c>
      <c r="AD1810" s="1">
        <v>9100.0</v>
      </c>
      <c r="AE1810" s="1" t="s">
        <v>194</v>
      </c>
      <c r="AF1810" s="1" t="s">
        <v>3374</v>
      </c>
      <c r="AG1810" s="1" t="s">
        <v>3343</v>
      </c>
      <c r="AH1810" s="1">
        <v>1.0</v>
      </c>
      <c r="AI1810" s="1">
        <v>2015.0</v>
      </c>
      <c r="AJ1810" s="1">
        <v>2015.0</v>
      </c>
      <c r="AK1810" s="1" t="s">
        <v>688</v>
      </c>
    </row>
    <row r="1811">
      <c r="A1811" s="1" t="s">
        <v>3341</v>
      </c>
      <c r="B1811" s="1" t="s">
        <v>3341</v>
      </c>
      <c r="C1811" s="1" t="s">
        <v>194</v>
      </c>
      <c r="E1811" s="1">
        <v>1.1225251E7</v>
      </c>
      <c r="F1811" s="2">
        <v>41905.0</v>
      </c>
      <c r="G1811" s="1" t="s">
        <v>685</v>
      </c>
      <c r="I1811" s="1" t="s">
        <v>685</v>
      </c>
      <c r="L1811" s="1" t="s">
        <v>194</v>
      </c>
      <c r="M1811" s="1">
        <v>9100.0</v>
      </c>
      <c r="N1811" s="1" t="s">
        <v>194</v>
      </c>
      <c r="O1811" s="1">
        <v>7.93697355E8</v>
      </c>
      <c r="P1811" s="1" t="s">
        <v>691</v>
      </c>
      <c r="Q1811" s="1" t="s">
        <v>1194</v>
      </c>
      <c r="R1811" s="1" t="s">
        <v>692</v>
      </c>
      <c r="S1811" s="1" t="s">
        <v>44</v>
      </c>
      <c r="T1811" s="1" t="s">
        <v>45</v>
      </c>
      <c r="U1811" s="1">
        <v>4.82111554E8</v>
      </c>
      <c r="W1811" s="1" t="s">
        <v>44</v>
      </c>
      <c r="X1811" s="1" t="s">
        <v>45</v>
      </c>
      <c r="Y1811" s="1">
        <v>4.82111552E8</v>
      </c>
      <c r="AB1811" s="1">
        <v>50690.0</v>
      </c>
      <c r="AC1811" s="2">
        <v>41905.0</v>
      </c>
      <c r="AD1811" s="1">
        <v>9100.0</v>
      </c>
      <c r="AE1811" s="1" t="s">
        <v>194</v>
      </c>
      <c r="AF1811" s="1" t="s">
        <v>3375</v>
      </c>
      <c r="AG1811" s="1" t="s">
        <v>3343</v>
      </c>
      <c r="AH1811" s="1">
        <v>1.0</v>
      </c>
      <c r="AI1811" s="1">
        <v>2015.0</v>
      </c>
      <c r="AJ1811" s="1">
        <v>2014.0</v>
      </c>
      <c r="AK1811" s="1" t="s">
        <v>688</v>
      </c>
    </row>
    <row r="1812">
      <c r="A1812" s="1" t="s">
        <v>3344</v>
      </c>
      <c r="B1812" s="1" t="s">
        <v>3344</v>
      </c>
      <c r="C1812" s="1" t="s">
        <v>194</v>
      </c>
      <c r="E1812" s="1">
        <v>8.9228048E7</v>
      </c>
      <c r="F1812" s="2">
        <v>41793.0</v>
      </c>
      <c r="G1812" s="1" t="s">
        <v>458</v>
      </c>
      <c r="I1812" s="1" t="s">
        <v>458</v>
      </c>
      <c r="L1812" s="1" t="s">
        <v>194</v>
      </c>
      <c r="M1812" s="1">
        <v>9100.0</v>
      </c>
      <c r="N1812" s="1" t="s">
        <v>194</v>
      </c>
      <c r="O1812" s="1">
        <v>7.97531295E8</v>
      </c>
      <c r="P1812" s="1" t="s">
        <v>582</v>
      </c>
      <c r="Q1812" s="1" t="s">
        <v>3376</v>
      </c>
      <c r="R1812" s="1" t="s">
        <v>583</v>
      </c>
      <c r="S1812" s="1" t="s">
        <v>44</v>
      </c>
      <c r="T1812" s="1" t="s">
        <v>45</v>
      </c>
      <c r="U1812" s="1">
        <v>4.82123452E8</v>
      </c>
      <c r="W1812" s="1" t="s">
        <v>46</v>
      </c>
      <c r="X1812" s="1" t="s">
        <v>45</v>
      </c>
      <c r="Y1812" s="1">
        <v>4.82123452E8</v>
      </c>
      <c r="Z1812" s="1">
        <v>1.00035732E8</v>
      </c>
      <c r="AA1812" s="1" t="s">
        <v>1619</v>
      </c>
      <c r="AB1812" s="1">
        <v>31198.0</v>
      </c>
      <c r="AC1812" s="2">
        <v>41793.0</v>
      </c>
      <c r="AD1812" s="1">
        <v>9100.0</v>
      </c>
      <c r="AE1812" s="1" t="s">
        <v>194</v>
      </c>
      <c r="AF1812" s="1" t="s">
        <v>3377</v>
      </c>
      <c r="AG1812" s="1" t="s">
        <v>463</v>
      </c>
      <c r="AH1812" s="1">
        <v>1.0</v>
      </c>
      <c r="AI1812" s="1">
        <v>2015.0</v>
      </c>
      <c r="AJ1812" s="1">
        <v>2014.0</v>
      </c>
      <c r="AK1812" s="1" t="s">
        <v>277</v>
      </c>
    </row>
    <row r="1813">
      <c r="A1813" s="1" t="s">
        <v>3378</v>
      </c>
      <c r="B1813" s="1" t="s">
        <v>3378</v>
      </c>
      <c r="C1813" s="1" t="s">
        <v>194</v>
      </c>
      <c r="E1813" s="1">
        <v>1.3225274E7</v>
      </c>
      <c r="F1813" s="2">
        <v>41915.0</v>
      </c>
      <c r="G1813" s="1" t="s">
        <v>1228</v>
      </c>
      <c r="I1813" s="1" t="s">
        <v>1228</v>
      </c>
      <c r="L1813" s="1" t="s">
        <v>194</v>
      </c>
      <c r="M1813" s="1">
        <v>9100.0</v>
      </c>
      <c r="N1813" s="1" t="s">
        <v>194</v>
      </c>
      <c r="O1813" s="1">
        <v>7.6386556E7</v>
      </c>
      <c r="P1813" s="1" t="s">
        <v>1242</v>
      </c>
      <c r="R1813" s="1" t="s">
        <v>1243</v>
      </c>
      <c r="S1813" s="1" t="s">
        <v>44</v>
      </c>
      <c r="T1813" s="1" t="s">
        <v>45</v>
      </c>
      <c r="U1813" s="1">
        <v>4.8226301E8</v>
      </c>
      <c r="W1813" s="1" t="s">
        <v>44</v>
      </c>
      <c r="X1813" s="1" t="s">
        <v>45</v>
      </c>
      <c r="Y1813" s="1">
        <v>4.8226301E8</v>
      </c>
      <c r="Z1813" s="1">
        <v>7.6386556E7</v>
      </c>
      <c r="AA1813" s="1" t="s">
        <v>1242</v>
      </c>
      <c r="AB1813" s="1">
        <v>260000.0</v>
      </c>
      <c r="AC1813" s="2">
        <v>41915.0</v>
      </c>
      <c r="AD1813" s="1">
        <v>9100.0</v>
      </c>
      <c r="AE1813" s="1" t="s">
        <v>194</v>
      </c>
      <c r="AF1813" s="1" t="s">
        <v>3379</v>
      </c>
      <c r="AG1813" s="1" t="s">
        <v>1232</v>
      </c>
      <c r="AH1813" s="1">
        <v>1.0</v>
      </c>
      <c r="AI1813" s="1">
        <v>2015.0</v>
      </c>
      <c r="AJ1813" s="1">
        <v>2015.0</v>
      </c>
      <c r="AK1813" s="1" t="s">
        <v>1233</v>
      </c>
    </row>
    <row r="1814">
      <c r="A1814" s="1" t="s">
        <v>3344</v>
      </c>
      <c r="B1814" s="1" t="s">
        <v>3344</v>
      </c>
      <c r="C1814" s="1" t="s">
        <v>194</v>
      </c>
      <c r="E1814" s="1">
        <v>8.9228048E7</v>
      </c>
      <c r="F1814" s="2">
        <v>41758.0</v>
      </c>
      <c r="G1814" s="1" t="s">
        <v>458</v>
      </c>
      <c r="I1814" s="1" t="s">
        <v>458</v>
      </c>
      <c r="L1814" s="1" t="s">
        <v>194</v>
      </c>
      <c r="M1814" s="1">
        <v>9100.0</v>
      </c>
      <c r="N1814" s="1" t="s">
        <v>194</v>
      </c>
      <c r="O1814" s="1">
        <v>8.32093392E8</v>
      </c>
      <c r="P1814" s="1" t="s">
        <v>769</v>
      </c>
      <c r="Q1814" s="1" t="s">
        <v>3380</v>
      </c>
      <c r="R1814" s="1" t="s">
        <v>770</v>
      </c>
      <c r="S1814" s="1" t="s">
        <v>44</v>
      </c>
      <c r="T1814" s="1" t="s">
        <v>45</v>
      </c>
      <c r="U1814" s="1">
        <v>4.82354205E8</v>
      </c>
      <c r="W1814" s="1" t="s">
        <v>44</v>
      </c>
      <c r="X1814" s="1" t="s">
        <v>45</v>
      </c>
      <c r="Y1814" s="1">
        <v>4.82354205E8</v>
      </c>
      <c r="Z1814" s="1">
        <v>1.93311404E8</v>
      </c>
      <c r="AA1814" s="1" t="s">
        <v>3381</v>
      </c>
      <c r="AB1814" s="1">
        <v>25057.0</v>
      </c>
      <c r="AC1814" s="2">
        <v>41758.0</v>
      </c>
      <c r="AD1814" s="1">
        <v>9100.0</v>
      </c>
      <c r="AE1814" s="1" t="s">
        <v>194</v>
      </c>
      <c r="AF1814" s="1" t="s">
        <v>3382</v>
      </c>
      <c r="AG1814" s="1" t="s">
        <v>463</v>
      </c>
      <c r="AH1814" s="1">
        <v>1.0</v>
      </c>
      <c r="AI1814" s="1">
        <v>2015.0</v>
      </c>
      <c r="AJ1814" s="1">
        <v>2014.0</v>
      </c>
      <c r="AK1814" s="1" t="s">
        <v>277</v>
      </c>
    </row>
    <row r="1815">
      <c r="A1815" s="1" t="s">
        <v>3344</v>
      </c>
      <c r="B1815" s="1" t="s">
        <v>3344</v>
      </c>
      <c r="C1815" s="1" t="s">
        <v>194</v>
      </c>
      <c r="E1815" s="1">
        <v>8.9228048E7</v>
      </c>
      <c r="F1815" s="2">
        <v>41725.0</v>
      </c>
      <c r="G1815" s="1" t="s">
        <v>458</v>
      </c>
      <c r="I1815" s="1" t="s">
        <v>458</v>
      </c>
      <c r="L1815" s="1" t="s">
        <v>194</v>
      </c>
      <c r="M1815" s="1">
        <v>9100.0</v>
      </c>
      <c r="N1815" s="1" t="s">
        <v>194</v>
      </c>
      <c r="O1815" s="1">
        <v>1.9859285E7</v>
      </c>
      <c r="P1815" s="1" t="s">
        <v>1172</v>
      </c>
      <c r="Q1815" s="1" t="s">
        <v>3383</v>
      </c>
      <c r="R1815" s="1" t="s">
        <v>1173</v>
      </c>
      <c r="S1815" s="1" t="s">
        <v>44</v>
      </c>
      <c r="T1815" s="1" t="s">
        <v>45</v>
      </c>
      <c r="U1815" s="1">
        <v>4.82191263E8</v>
      </c>
      <c r="W1815" s="1" t="s">
        <v>44</v>
      </c>
      <c r="X1815" s="1" t="s">
        <v>45</v>
      </c>
      <c r="Y1815" s="1">
        <v>4.82191263E8</v>
      </c>
      <c r="Z1815" s="1">
        <v>1.00035427E8</v>
      </c>
      <c r="AA1815" s="1" t="s">
        <v>3384</v>
      </c>
      <c r="AB1815" s="1">
        <v>42036.0</v>
      </c>
      <c r="AC1815" s="2">
        <v>41725.0</v>
      </c>
      <c r="AD1815" s="1">
        <v>9100.0</v>
      </c>
      <c r="AE1815" s="1" t="s">
        <v>194</v>
      </c>
      <c r="AF1815" s="1" t="s">
        <v>3385</v>
      </c>
      <c r="AG1815" s="1" t="s">
        <v>463</v>
      </c>
      <c r="AH1815" s="1">
        <v>1.0</v>
      </c>
      <c r="AI1815" s="1">
        <v>2015.0</v>
      </c>
      <c r="AJ1815" s="1">
        <v>2014.0</v>
      </c>
      <c r="AK1815" s="1" t="s">
        <v>277</v>
      </c>
    </row>
    <row r="1816">
      <c r="A1816" s="1" t="s">
        <v>3386</v>
      </c>
      <c r="B1816" s="1" t="s">
        <v>3386</v>
      </c>
      <c r="C1816" s="1" t="s">
        <v>194</v>
      </c>
      <c r="E1816" s="1">
        <v>2.376034E7</v>
      </c>
      <c r="F1816" s="2">
        <v>41879.0</v>
      </c>
      <c r="G1816" s="1" t="s">
        <v>3387</v>
      </c>
      <c r="I1816" s="1" t="s">
        <v>3387</v>
      </c>
      <c r="L1816" s="1" t="s">
        <v>194</v>
      </c>
      <c r="M1816" s="1">
        <v>9100.0</v>
      </c>
      <c r="N1816" s="1" t="s">
        <v>194</v>
      </c>
      <c r="O1816" s="1">
        <v>7.8346351E7</v>
      </c>
      <c r="P1816" s="1" t="s">
        <v>615</v>
      </c>
      <c r="R1816" s="1" t="s">
        <v>1708</v>
      </c>
      <c r="S1816" s="1" t="s">
        <v>44</v>
      </c>
      <c r="T1816" s="1" t="s">
        <v>45</v>
      </c>
      <c r="U1816" s="1">
        <v>4.82074457E8</v>
      </c>
      <c r="W1816" s="1" t="s">
        <v>46</v>
      </c>
      <c r="X1816" s="1" t="s">
        <v>45</v>
      </c>
      <c r="Y1816" s="1">
        <v>4.82023037E8</v>
      </c>
      <c r="AB1816" s="1">
        <v>454489.0</v>
      </c>
      <c r="AC1816" s="2">
        <v>41879.0</v>
      </c>
      <c r="AD1816" s="1">
        <v>9100.0</v>
      </c>
      <c r="AE1816" s="1" t="s">
        <v>194</v>
      </c>
      <c r="AF1816" s="1" t="s">
        <v>3388</v>
      </c>
      <c r="AG1816" s="1" t="s">
        <v>3389</v>
      </c>
      <c r="AH1816" s="1">
        <v>1.0</v>
      </c>
      <c r="AI1816" s="1">
        <v>2015.0</v>
      </c>
      <c r="AJ1816" s="1">
        <v>2014.0</v>
      </c>
      <c r="AK1816" s="1" t="s">
        <v>3390</v>
      </c>
    </row>
    <row r="1817">
      <c r="A1817" s="1" t="s">
        <v>3344</v>
      </c>
      <c r="B1817" s="1" t="s">
        <v>3344</v>
      </c>
      <c r="C1817" s="1" t="s">
        <v>194</v>
      </c>
      <c r="E1817" s="1">
        <v>8.9228048E7</v>
      </c>
      <c r="F1817" s="2">
        <v>41669.0</v>
      </c>
      <c r="G1817" s="1" t="s">
        <v>458</v>
      </c>
      <c r="I1817" s="1" t="s">
        <v>458</v>
      </c>
      <c r="L1817" s="1" t="s">
        <v>194</v>
      </c>
      <c r="M1817" s="1">
        <v>9100.0</v>
      </c>
      <c r="N1817" s="1" t="s">
        <v>194</v>
      </c>
      <c r="O1817" s="1">
        <v>1.98438892E8</v>
      </c>
      <c r="P1817" s="1" t="s">
        <v>505</v>
      </c>
      <c r="Q1817" s="1" t="s">
        <v>1688</v>
      </c>
      <c r="R1817" s="1" t="s">
        <v>506</v>
      </c>
      <c r="S1817" s="1" t="s">
        <v>44</v>
      </c>
      <c r="T1817" s="1" t="s">
        <v>45</v>
      </c>
      <c r="U1817" s="1">
        <v>4.82123572E8</v>
      </c>
      <c r="W1817" s="1" t="s">
        <v>498</v>
      </c>
      <c r="X1817" s="1" t="s">
        <v>45</v>
      </c>
      <c r="Y1817" s="1">
        <v>4.82123572E8</v>
      </c>
      <c r="Z1817" s="1">
        <v>1.98438892E8</v>
      </c>
      <c r="AA1817" s="1" t="s">
        <v>505</v>
      </c>
      <c r="AB1817" s="1">
        <v>28712.0</v>
      </c>
      <c r="AC1817" s="2">
        <v>41669.0</v>
      </c>
      <c r="AD1817" s="1">
        <v>9100.0</v>
      </c>
      <c r="AE1817" s="1" t="s">
        <v>194</v>
      </c>
      <c r="AF1817" s="1" t="s">
        <v>3391</v>
      </c>
      <c r="AG1817" s="1" t="s">
        <v>463</v>
      </c>
      <c r="AH1817" s="1">
        <v>1.0</v>
      </c>
      <c r="AI1817" s="1">
        <v>2015.0</v>
      </c>
      <c r="AJ1817" s="1">
        <v>2014.0</v>
      </c>
      <c r="AK1817" s="1" t="s">
        <v>277</v>
      </c>
    </row>
    <row r="1818">
      <c r="A1818" s="1" t="s">
        <v>3344</v>
      </c>
      <c r="B1818" s="1" t="s">
        <v>3344</v>
      </c>
      <c r="C1818" s="1" t="s">
        <v>194</v>
      </c>
      <c r="E1818" s="1">
        <v>8.9228048E7</v>
      </c>
      <c r="F1818" s="2">
        <v>41613.0</v>
      </c>
      <c r="G1818" s="1" t="s">
        <v>458</v>
      </c>
      <c r="I1818" s="1" t="s">
        <v>458</v>
      </c>
      <c r="L1818" s="1" t="s">
        <v>194</v>
      </c>
      <c r="M1818" s="1">
        <v>9100.0</v>
      </c>
      <c r="N1818" s="1" t="s">
        <v>194</v>
      </c>
      <c r="O1818" s="1">
        <v>3537326.0</v>
      </c>
      <c r="P1818" s="1" t="s">
        <v>560</v>
      </c>
      <c r="Q1818" s="1" t="s">
        <v>3392</v>
      </c>
      <c r="R1818" s="1" t="s">
        <v>561</v>
      </c>
      <c r="S1818" s="1" t="s">
        <v>44</v>
      </c>
      <c r="T1818" s="1" t="s">
        <v>45</v>
      </c>
      <c r="U1818" s="1">
        <v>4.8212177E8</v>
      </c>
      <c r="W1818" s="1" t="s">
        <v>498</v>
      </c>
      <c r="X1818" s="1" t="s">
        <v>45</v>
      </c>
      <c r="Y1818" s="1">
        <v>4.82121754E8</v>
      </c>
      <c r="Z1818" s="1">
        <v>3537326.0</v>
      </c>
      <c r="AA1818" s="1" t="s">
        <v>560</v>
      </c>
      <c r="AB1818" s="1">
        <v>65464.0</v>
      </c>
      <c r="AC1818" s="2">
        <v>41613.0</v>
      </c>
      <c r="AD1818" s="1">
        <v>9100.0</v>
      </c>
      <c r="AE1818" s="1" t="s">
        <v>194</v>
      </c>
      <c r="AF1818" s="1" t="s">
        <v>3393</v>
      </c>
      <c r="AG1818" s="1" t="s">
        <v>463</v>
      </c>
      <c r="AH1818" s="1">
        <v>1.0</v>
      </c>
      <c r="AI1818" s="1">
        <v>2015.0</v>
      </c>
      <c r="AJ1818" s="1">
        <v>2014.0</v>
      </c>
      <c r="AK1818" s="1" t="s">
        <v>277</v>
      </c>
    </row>
    <row r="1819">
      <c r="A1819" s="1" t="s">
        <v>3344</v>
      </c>
      <c r="B1819" s="1" t="s">
        <v>3344</v>
      </c>
      <c r="C1819" s="1" t="s">
        <v>194</v>
      </c>
      <c r="E1819" s="1">
        <v>8.9228048E7</v>
      </c>
      <c r="F1819" s="2">
        <v>41799.0</v>
      </c>
      <c r="G1819" s="1" t="s">
        <v>458</v>
      </c>
      <c r="I1819" s="1" t="s">
        <v>458</v>
      </c>
      <c r="L1819" s="1" t="s">
        <v>194</v>
      </c>
      <c r="M1819" s="1">
        <v>9100.0</v>
      </c>
      <c r="N1819" s="1" t="s">
        <v>194</v>
      </c>
      <c r="O1819" s="1">
        <v>7.8583963E7</v>
      </c>
      <c r="P1819" s="1" t="s">
        <v>526</v>
      </c>
      <c r="Q1819" s="1" t="s">
        <v>527</v>
      </c>
      <c r="R1819" s="1" t="s">
        <v>3020</v>
      </c>
      <c r="S1819" s="1" t="s">
        <v>44</v>
      </c>
      <c r="T1819" s="1" t="s">
        <v>45</v>
      </c>
      <c r="U1819" s="1">
        <v>4.82091434E8</v>
      </c>
      <c r="W1819" s="1" t="s">
        <v>46</v>
      </c>
      <c r="X1819" s="1" t="s">
        <v>45</v>
      </c>
      <c r="Y1819" s="1">
        <v>4.82091434E8</v>
      </c>
      <c r="Z1819" s="1">
        <v>9.781098E7</v>
      </c>
      <c r="AA1819" s="1" t="s">
        <v>3394</v>
      </c>
      <c r="AB1819" s="1">
        <v>66738.0</v>
      </c>
      <c r="AC1819" s="2">
        <v>41799.0</v>
      </c>
      <c r="AD1819" s="1">
        <v>9100.0</v>
      </c>
      <c r="AE1819" s="1" t="s">
        <v>194</v>
      </c>
      <c r="AF1819" s="1" t="s">
        <v>3395</v>
      </c>
      <c r="AG1819" s="1" t="s">
        <v>463</v>
      </c>
      <c r="AH1819" s="1">
        <v>1.0</v>
      </c>
      <c r="AI1819" s="1">
        <v>2015.0</v>
      </c>
      <c r="AJ1819" s="1">
        <v>2014.0</v>
      </c>
      <c r="AK1819" s="1" t="s">
        <v>277</v>
      </c>
    </row>
    <row r="1820">
      <c r="A1820" s="1" t="s">
        <v>3386</v>
      </c>
      <c r="B1820" s="1" t="s">
        <v>3386</v>
      </c>
      <c r="C1820" s="1" t="s">
        <v>194</v>
      </c>
      <c r="E1820" s="1">
        <v>2.376034E7</v>
      </c>
      <c r="F1820" s="2">
        <v>41320.0</v>
      </c>
      <c r="G1820" s="1" t="s">
        <v>3387</v>
      </c>
      <c r="I1820" s="1" t="s">
        <v>3387</v>
      </c>
      <c r="L1820" s="1" t="s">
        <v>194</v>
      </c>
      <c r="M1820" s="1">
        <v>9100.0</v>
      </c>
      <c r="N1820" s="1" t="s">
        <v>194</v>
      </c>
      <c r="O1820" s="1">
        <v>7.8346351E7</v>
      </c>
      <c r="P1820" s="1" t="s">
        <v>615</v>
      </c>
      <c r="R1820" s="1" t="s">
        <v>1708</v>
      </c>
      <c r="S1820" s="1" t="s">
        <v>44</v>
      </c>
      <c r="T1820" s="1" t="s">
        <v>45</v>
      </c>
      <c r="U1820" s="1">
        <v>4.82074457E8</v>
      </c>
      <c r="W1820" s="1" t="s">
        <v>46</v>
      </c>
      <c r="X1820" s="1" t="s">
        <v>45</v>
      </c>
      <c r="Y1820" s="1">
        <v>4.82023037E8</v>
      </c>
      <c r="AB1820" s="1">
        <v>607508.0</v>
      </c>
      <c r="AC1820" s="2">
        <v>41320.0</v>
      </c>
      <c r="AD1820" s="1">
        <v>9100.0</v>
      </c>
      <c r="AE1820" s="1" t="s">
        <v>194</v>
      </c>
      <c r="AF1820" s="1" t="s">
        <v>3396</v>
      </c>
      <c r="AG1820" s="1" t="s">
        <v>3389</v>
      </c>
      <c r="AH1820" s="1">
        <v>1.0</v>
      </c>
      <c r="AI1820" s="1">
        <v>2015.0</v>
      </c>
      <c r="AJ1820" s="1">
        <v>2013.0</v>
      </c>
      <c r="AK1820" s="1" t="s">
        <v>3390</v>
      </c>
    </row>
    <row r="1821">
      <c r="A1821" s="1" t="s">
        <v>3397</v>
      </c>
      <c r="B1821" s="1" t="s">
        <v>3397</v>
      </c>
      <c r="C1821" s="1" t="s">
        <v>194</v>
      </c>
      <c r="E1821" s="1">
        <v>2.29266E7</v>
      </c>
      <c r="F1821" s="2">
        <v>41928.0</v>
      </c>
      <c r="G1821" s="1" t="s">
        <v>3398</v>
      </c>
      <c r="I1821" s="1" t="s">
        <v>3398</v>
      </c>
      <c r="L1821" s="1" t="s">
        <v>194</v>
      </c>
      <c r="M1821" s="1">
        <v>9100.0</v>
      </c>
      <c r="N1821" s="1" t="s">
        <v>194</v>
      </c>
      <c r="O1821" s="1">
        <v>6.02807237E8</v>
      </c>
      <c r="P1821" s="1" t="s">
        <v>3399</v>
      </c>
      <c r="R1821" s="1" t="s">
        <v>3400</v>
      </c>
      <c r="S1821" s="1" t="s">
        <v>44</v>
      </c>
      <c r="T1821" s="1" t="s">
        <v>45</v>
      </c>
      <c r="U1821" s="1">
        <v>4.82273809E8</v>
      </c>
      <c r="W1821" s="1" t="s">
        <v>46</v>
      </c>
      <c r="X1821" s="1" t="s">
        <v>45</v>
      </c>
      <c r="Y1821" s="1">
        <v>4.82194068E8</v>
      </c>
      <c r="AB1821" s="1">
        <v>103834.53</v>
      </c>
      <c r="AC1821" s="2">
        <v>41928.0</v>
      </c>
      <c r="AD1821" s="1">
        <v>9100.0</v>
      </c>
      <c r="AE1821" s="1" t="s">
        <v>194</v>
      </c>
      <c r="AF1821" s="1" t="s">
        <v>3401</v>
      </c>
      <c r="AG1821" s="1" t="s">
        <v>3402</v>
      </c>
      <c r="AH1821" s="1">
        <v>1.0</v>
      </c>
      <c r="AI1821" s="1">
        <v>2015.0</v>
      </c>
      <c r="AJ1821" s="1">
        <v>2015.0</v>
      </c>
      <c r="AK1821" s="1" t="s">
        <v>3403</v>
      </c>
    </row>
    <row r="1822">
      <c r="A1822" s="1" t="s">
        <v>3397</v>
      </c>
      <c r="B1822" s="1" t="s">
        <v>3397</v>
      </c>
      <c r="C1822" s="1" t="s">
        <v>194</v>
      </c>
      <c r="E1822" s="1">
        <v>2.29266E7</v>
      </c>
      <c r="F1822" s="2">
        <v>41262.0</v>
      </c>
      <c r="G1822" s="1" t="s">
        <v>3398</v>
      </c>
      <c r="I1822" s="1" t="s">
        <v>3398</v>
      </c>
      <c r="L1822" s="1" t="s">
        <v>194</v>
      </c>
      <c r="M1822" s="1">
        <v>9100.0</v>
      </c>
      <c r="N1822" s="1" t="s">
        <v>194</v>
      </c>
      <c r="O1822" s="1">
        <v>1.47777952E8</v>
      </c>
      <c r="P1822" s="1" t="s">
        <v>459</v>
      </c>
      <c r="Q1822" s="1" t="s">
        <v>626</v>
      </c>
      <c r="R1822" s="1" t="s">
        <v>627</v>
      </c>
      <c r="S1822" s="1" t="s">
        <v>44</v>
      </c>
      <c r="T1822" s="1" t="s">
        <v>45</v>
      </c>
      <c r="U1822" s="1">
        <v>4.82072112E8</v>
      </c>
      <c r="W1822" s="1" t="s">
        <v>44</v>
      </c>
      <c r="X1822" s="1" t="s">
        <v>45</v>
      </c>
      <c r="Y1822" s="1">
        <v>4.82072112E8</v>
      </c>
      <c r="Z1822" s="1">
        <v>7.6340843E7</v>
      </c>
      <c r="AA1822" s="1" t="s">
        <v>461</v>
      </c>
      <c r="AB1822" s="1">
        <v>38656.0</v>
      </c>
      <c r="AC1822" s="2">
        <v>41262.0</v>
      </c>
      <c r="AD1822" s="1">
        <v>9100.0</v>
      </c>
      <c r="AE1822" s="1" t="s">
        <v>194</v>
      </c>
      <c r="AF1822" s="1" t="s">
        <v>3404</v>
      </c>
      <c r="AG1822" s="1" t="s">
        <v>3402</v>
      </c>
      <c r="AH1822" s="1">
        <v>1.0</v>
      </c>
      <c r="AI1822" s="1">
        <v>2015.0</v>
      </c>
      <c r="AJ1822" s="1">
        <v>2013.0</v>
      </c>
      <c r="AK1822" s="1" t="s">
        <v>3403</v>
      </c>
    </row>
    <row r="1823">
      <c r="A1823" s="1" t="s">
        <v>3397</v>
      </c>
      <c r="B1823" s="1" t="s">
        <v>3397</v>
      </c>
      <c r="C1823" s="1" t="s">
        <v>194</v>
      </c>
      <c r="E1823" s="1">
        <v>2.29266E7</v>
      </c>
      <c r="F1823" s="2">
        <v>41316.0</v>
      </c>
      <c r="G1823" s="1" t="s">
        <v>3398</v>
      </c>
      <c r="I1823" s="1" t="s">
        <v>3398</v>
      </c>
      <c r="L1823" s="1" t="s">
        <v>194</v>
      </c>
      <c r="M1823" s="1">
        <v>9100.0</v>
      </c>
      <c r="N1823" s="1" t="s">
        <v>194</v>
      </c>
      <c r="O1823" s="1">
        <v>7.877691E7</v>
      </c>
      <c r="P1823" s="1" t="s">
        <v>3405</v>
      </c>
      <c r="R1823" s="1" t="s">
        <v>3406</v>
      </c>
      <c r="S1823" s="1" t="s">
        <v>44</v>
      </c>
      <c r="T1823" s="1" t="s">
        <v>45</v>
      </c>
      <c r="U1823" s="1">
        <v>4.8212302E8</v>
      </c>
      <c r="W1823" s="1" t="s">
        <v>1454</v>
      </c>
      <c r="X1823" s="1" t="s">
        <v>45</v>
      </c>
      <c r="Y1823" s="1">
        <v>4.80923374E8</v>
      </c>
      <c r="AB1823" s="1">
        <v>110000.0</v>
      </c>
      <c r="AC1823" s="2">
        <v>41316.0</v>
      </c>
      <c r="AD1823" s="1">
        <v>9100.0</v>
      </c>
      <c r="AE1823" s="1" t="s">
        <v>194</v>
      </c>
      <c r="AF1823" s="1" t="s">
        <v>3407</v>
      </c>
      <c r="AG1823" s="1" t="s">
        <v>3402</v>
      </c>
      <c r="AH1823" s="1">
        <v>1.0</v>
      </c>
      <c r="AI1823" s="1">
        <v>2015.0</v>
      </c>
      <c r="AJ1823" s="1">
        <v>2013.0</v>
      </c>
      <c r="AK1823" s="1" t="s">
        <v>3403</v>
      </c>
    </row>
    <row r="1824">
      <c r="A1824" s="1" t="s">
        <v>3397</v>
      </c>
      <c r="B1824" s="1" t="s">
        <v>3397</v>
      </c>
      <c r="C1824" s="1" t="s">
        <v>194</v>
      </c>
      <c r="E1824" s="1">
        <v>2.29266E7</v>
      </c>
      <c r="F1824" s="2">
        <v>41465.0</v>
      </c>
      <c r="G1824" s="1" t="s">
        <v>3398</v>
      </c>
      <c r="I1824" s="1" t="s">
        <v>3398</v>
      </c>
      <c r="L1824" s="1" t="s">
        <v>194</v>
      </c>
      <c r="M1824" s="1">
        <v>9100.0</v>
      </c>
      <c r="N1824" s="1" t="s">
        <v>194</v>
      </c>
      <c r="O1824" s="1">
        <v>7.8359653E7</v>
      </c>
      <c r="P1824" s="1" t="s">
        <v>469</v>
      </c>
      <c r="R1824" s="1" t="s">
        <v>470</v>
      </c>
      <c r="S1824" s="1" t="s">
        <v>44</v>
      </c>
      <c r="T1824" s="1" t="s">
        <v>45</v>
      </c>
      <c r="U1824" s="1">
        <v>4.82122462E8</v>
      </c>
      <c r="W1824" s="1" t="s">
        <v>46</v>
      </c>
      <c r="X1824" s="1" t="s">
        <v>45</v>
      </c>
      <c r="Y1824" s="1">
        <v>4.82122462E8</v>
      </c>
      <c r="AB1824" s="1">
        <v>185128.12</v>
      </c>
      <c r="AC1824" s="2">
        <v>41465.0</v>
      </c>
      <c r="AD1824" s="1">
        <v>9100.0</v>
      </c>
      <c r="AE1824" s="1" t="s">
        <v>194</v>
      </c>
      <c r="AF1824" s="1" t="s">
        <v>3408</v>
      </c>
      <c r="AG1824" s="1" t="s">
        <v>3402</v>
      </c>
      <c r="AH1824" s="1">
        <v>1.0</v>
      </c>
      <c r="AI1824" s="1">
        <v>2015.0</v>
      </c>
      <c r="AJ1824" s="1">
        <v>2013.0</v>
      </c>
      <c r="AK1824" s="1" t="s">
        <v>3403</v>
      </c>
    </row>
    <row r="1825">
      <c r="A1825" s="1" t="s">
        <v>3397</v>
      </c>
      <c r="B1825" s="1" t="s">
        <v>3397</v>
      </c>
      <c r="C1825" s="1" t="s">
        <v>194</v>
      </c>
      <c r="E1825" s="1">
        <v>2.29266E7</v>
      </c>
      <c r="F1825" s="2">
        <v>41814.0</v>
      </c>
      <c r="G1825" s="1" t="s">
        <v>3398</v>
      </c>
      <c r="I1825" s="1" t="s">
        <v>3398</v>
      </c>
      <c r="L1825" s="1" t="s">
        <v>194</v>
      </c>
      <c r="M1825" s="1">
        <v>9100.0</v>
      </c>
      <c r="N1825" s="1" t="s">
        <v>194</v>
      </c>
      <c r="O1825" s="1">
        <v>7.8465647E7</v>
      </c>
      <c r="P1825" s="1" t="s">
        <v>1176</v>
      </c>
      <c r="R1825" s="1" t="s">
        <v>1178</v>
      </c>
      <c r="S1825" s="1" t="s">
        <v>44</v>
      </c>
      <c r="T1825" s="1" t="s">
        <v>45</v>
      </c>
      <c r="U1825" s="1">
        <v>4.82281142E8</v>
      </c>
      <c r="W1825" s="1" t="s">
        <v>44</v>
      </c>
      <c r="X1825" s="1" t="s">
        <v>45</v>
      </c>
      <c r="Y1825" s="1">
        <v>4.82281142E8</v>
      </c>
      <c r="AB1825" s="1">
        <v>172177.2</v>
      </c>
      <c r="AC1825" s="2">
        <v>41814.0</v>
      </c>
      <c r="AD1825" s="1">
        <v>9100.0</v>
      </c>
      <c r="AE1825" s="1" t="s">
        <v>194</v>
      </c>
      <c r="AF1825" s="1" t="s">
        <v>3409</v>
      </c>
      <c r="AG1825" s="1" t="s">
        <v>3402</v>
      </c>
      <c r="AH1825" s="1">
        <v>1.0</v>
      </c>
      <c r="AI1825" s="1">
        <v>2015.0</v>
      </c>
      <c r="AJ1825" s="1">
        <v>2014.0</v>
      </c>
      <c r="AK1825" s="1" t="s">
        <v>3403</v>
      </c>
    </row>
    <row r="1826">
      <c r="A1826" s="1" t="s">
        <v>3344</v>
      </c>
      <c r="B1826" s="1" t="s">
        <v>3344</v>
      </c>
      <c r="C1826" s="1" t="s">
        <v>194</v>
      </c>
      <c r="E1826" s="1">
        <v>8.9228048E7</v>
      </c>
      <c r="F1826" s="2">
        <v>41682.0</v>
      </c>
      <c r="G1826" s="1" t="s">
        <v>458</v>
      </c>
      <c r="I1826" s="1" t="s">
        <v>458</v>
      </c>
      <c r="L1826" s="1" t="s">
        <v>194</v>
      </c>
      <c r="M1826" s="1">
        <v>9100.0</v>
      </c>
      <c r="N1826" s="1" t="s">
        <v>194</v>
      </c>
      <c r="O1826" s="1">
        <v>8.29503312E8</v>
      </c>
      <c r="P1826" s="1" t="s">
        <v>622</v>
      </c>
      <c r="Q1826" s="1" t="s">
        <v>3410</v>
      </c>
      <c r="R1826" s="1" t="s">
        <v>623</v>
      </c>
      <c r="S1826" s="1" t="s">
        <v>44</v>
      </c>
      <c r="T1826" s="1" t="s">
        <v>45</v>
      </c>
      <c r="U1826" s="1">
        <v>4.82035715E8</v>
      </c>
      <c r="W1826" s="1" t="s">
        <v>603</v>
      </c>
      <c r="X1826" s="1" t="s">
        <v>45</v>
      </c>
      <c r="Y1826" s="1">
        <v>4.82035715E8</v>
      </c>
      <c r="Z1826" s="1">
        <v>5.2173895E7</v>
      </c>
      <c r="AA1826" s="1" t="s">
        <v>3411</v>
      </c>
      <c r="AB1826" s="1">
        <v>75772.0</v>
      </c>
      <c r="AC1826" s="2">
        <v>41682.0</v>
      </c>
      <c r="AD1826" s="1">
        <v>9100.0</v>
      </c>
      <c r="AE1826" s="1" t="s">
        <v>194</v>
      </c>
      <c r="AF1826" s="1" t="s">
        <v>3412</v>
      </c>
      <c r="AG1826" s="1" t="s">
        <v>463</v>
      </c>
      <c r="AH1826" s="1">
        <v>1.0</v>
      </c>
      <c r="AI1826" s="1">
        <v>2015.0</v>
      </c>
      <c r="AJ1826" s="1">
        <v>2014.0</v>
      </c>
      <c r="AK1826" s="1" t="s">
        <v>277</v>
      </c>
    </row>
    <row r="1827">
      <c r="A1827" s="1" t="s">
        <v>3413</v>
      </c>
      <c r="B1827" s="1" t="s">
        <v>3413</v>
      </c>
      <c r="C1827" s="1" t="s">
        <v>194</v>
      </c>
      <c r="E1827" s="1">
        <v>5.21188032E8</v>
      </c>
      <c r="F1827" s="2">
        <v>41948.0</v>
      </c>
      <c r="G1827" s="1" t="s">
        <v>1168</v>
      </c>
      <c r="I1827" s="1" t="s">
        <v>1168</v>
      </c>
      <c r="L1827" s="1" t="s">
        <v>194</v>
      </c>
      <c r="M1827" s="1">
        <v>9100.0</v>
      </c>
      <c r="N1827" s="1" t="s">
        <v>194</v>
      </c>
      <c r="O1827" s="1">
        <v>7.6340843E7</v>
      </c>
      <c r="P1827" s="1" t="s">
        <v>461</v>
      </c>
      <c r="R1827" s="1" t="s">
        <v>1599</v>
      </c>
      <c r="S1827" s="1" t="s">
        <v>44</v>
      </c>
      <c r="T1827" s="1" t="s">
        <v>45</v>
      </c>
      <c r="U1827" s="1">
        <v>4.8202301E8</v>
      </c>
      <c r="W1827" s="1" t="s">
        <v>44</v>
      </c>
      <c r="X1827" s="1" t="s">
        <v>45</v>
      </c>
      <c r="Y1827" s="1">
        <v>4.82023096E8</v>
      </c>
      <c r="Z1827" s="1">
        <v>7.6340843E7</v>
      </c>
      <c r="AA1827" s="1" t="s">
        <v>461</v>
      </c>
      <c r="AB1827" s="1">
        <v>1.0920153E8</v>
      </c>
      <c r="AC1827" s="2">
        <v>41948.0</v>
      </c>
      <c r="AD1827" s="1">
        <v>9100.0</v>
      </c>
      <c r="AE1827" s="1" t="s">
        <v>194</v>
      </c>
      <c r="AF1827" s="1" t="s">
        <v>3414</v>
      </c>
      <c r="AG1827" s="1" t="s">
        <v>1170</v>
      </c>
      <c r="AH1827" s="1">
        <v>1.0</v>
      </c>
      <c r="AI1827" s="1">
        <v>2015.0</v>
      </c>
      <c r="AJ1827" s="1">
        <v>2015.0</v>
      </c>
      <c r="AK1827" s="1" t="s">
        <v>1171</v>
      </c>
    </row>
    <row r="1828">
      <c r="A1828" s="1" t="s">
        <v>3344</v>
      </c>
      <c r="B1828" s="1" t="s">
        <v>3344</v>
      </c>
      <c r="C1828" s="1" t="s">
        <v>194</v>
      </c>
      <c r="E1828" s="1">
        <v>8.9228048E7</v>
      </c>
      <c r="F1828" s="2">
        <v>41682.0</v>
      </c>
      <c r="G1828" s="1" t="s">
        <v>458</v>
      </c>
      <c r="I1828" s="1" t="s">
        <v>458</v>
      </c>
      <c r="L1828" s="1" t="s">
        <v>194</v>
      </c>
      <c r="M1828" s="1">
        <v>9100.0</v>
      </c>
      <c r="N1828" s="1" t="s">
        <v>194</v>
      </c>
      <c r="O1828" s="1">
        <v>8.30792151E8</v>
      </c>
      <c r="P1828" s="1" t="s">
        <v>594</v>
      </c>
      <c r="Q1828" s="1" t="s">
        <v>3415</v>
      </c>
      <c r="R1828" s="1" t="s">
        <v>596</v>
      </c>
      <c r="S1828" s="1" t="s">
        <v>44</v>
      </c>
      <c r="T1828" s="1" t="s">
        <v>45</v>
      </c>
      <c r="U1828" s="1">
        <v>4.82382356E8</v>
      </c>
      <c r="W1828" s="1" t="s">
        <v>44</v>
      </c>
      <c r="X1828" s="1" t="s">
        <v>45</v>
      </c>
      <c r="Y1828" s="1">
        <v>4.82382356E8</v>
      </c>
      <c r="Z1828" s="1">
        <v>9.60742484E8</v>
      </c>
      <c r="AB1828" s="1">
        <v>50740.0</v>
      </c>
      <c r="AC1828" s="2">
        <v>41682.0</v>
      </c>
      <c r="AD1828" s="1">
        <v>9100.0</v>
      </c>
      <c r="AE1828" s="1" t="s">
        <v>194</v>
      </c>
      <c r="AF1828" s="1" t="s">
        <v>3416</v>
      </c>
      <c r="AG1828" s="1" t="s">
        <v>463</v>
      </c>
      <c r="AH1828" s="1">
        <v>1.0</v>
      </c>
      <c r="AI1828" s="1">
        <v>2015.0</v>
      </c>
      <c r="AJ1828" s="1">
        <v>2014.0</v>
      </c>
      <c r="AK1828" s="1" t="s">
        <v>277</v>
      </c>
    </row>
    <row r="1829">
      <c r="A1829" s="1" t="s">
        <v>3413</v>
      </c>
      <c r="B1829" s="1" t="s">
        <v>3413</v>
      </c>
      <c r="C1829" s="1" t="s">
        <v>194</v>
      </c>
      <c r="E1829" s="1">
        <v>5.21188032E8</v>
      </c>
      <c r="F1829" s="2">
        <v>41974.0</v>
      </c>
      <c r="G1829" s="1" t="s">
        <v>1168</v>
      </c>
      <c r="I1829" s="1" t="s">
        <v>1168</v>
      </c>
      <c r="L1829" s="1" t="s">
        <v>194</v>
      </c>
      <c r="M1829" s="1">
        <v>9100.0</v>
      </c>
      <c r="N1829" s="1" t="s">
        <v>194</v>
      </c>
      <c r="O1829" s="1">
        <v>8.29630537E8</v>
      </c>
      <c r="P1829" s="1" t="s">
        <v>531</v>
      </c>
      <c r="Q1829" s="1" t="s">
        <v>532</v>
      </c>
      <c r="R1829" s="1" t="s">
        <v>533</v>
      </c>
      <c r="S1829" s="1" t="s">
        <v>44</v>
      </c>
      <c r="T1829" s="1" t="s">
        <v>45</v>
      </c>
      <c r="U1829" s="1">
        <v>4.8219181E8</v>
      </c>
      <c r="W1829" s="1" t="s">
        <v>44</v>
      </c>
      <c r="X1829" s="1" t="s">
        <v>45</v>
      </c>
      <c r="Y1829" s="1">
        <v>4.8219181E8</v>
      </c>
      <c r="Z1829" s="1">
        <v>2.0894549E7</v>
      </c>
      <c r="AA1829" s="1" t="s">
        <v>3417</v>
      </c>
      <c r="AB1829" s="1">
        <v>667043.0</v>
      </c>
      <c r="AC1829" s="2">
        <v>41974.0</v>
      </c>
      <c r="AD1829" s="1">
        <v>9100.0</v>
      </c>
      <c r="AE1829" s="1" t="s">
        <v>194</v>
      </c>
      <c r="AF1829" s="1" t="s">
        <v>3418</v>
      </c>
      <c r="AG1829" s="1" t="s">
        <v>1170</v>
      </c>
      <c r="AH1829" s="1">
        <v>1.0</v>
      </c>
      <c r="AI1829" s="1">
        <v>2015.0</v>
      </c>
      <c r="AJ1829" s="1">
        <v>2015.0</v>
      </c>
      <c r="AK1829" s="1" t="s">
        <v>1171</v>
      </c>
    </row>
    <row r="1830">
      <c r="A1830" s="1" t="s">
        <v>3413</v>
      </c>
      <c r="B1830" s="1" t="s">
        <v>3413</v>
      </c>
      <c r="C1830" s="1" t="s">
        <v>194</v>
      </c>
      <c r="E1830" s="1">
        <v>5.21188032E8</v>
      </c>
      <c r="F1830" s="2">
        <v>41976.0</v>
      </c>
      <c r="G1830" s="1" t="s">
        <v>1168</v>
      </c>
      <c r="I1830" s="1" t="s">
        <v>1168</v>
      </c>
      <c r="L1830" s="1" t="s">
        <v>194</v>
      </c>
      <c r="M1830" s="1">
        <v>9100.0</v>
      </c>
      <c r="N1830" s="1" t="s">
        <v>194</v>
      </c>
      <c r="O1830" s="1">
        <v>8.30649195E8</v>
      </c>
      <c r="P1830" s="1" t="s">
        <v>545</v>
      </c>
      <c r="R1830" s="1" t="s">
        <v>547</v>
      </c>
      <c r="S1830" s="1" t="s">
        <v>44</v>
      </c>
      <c r="T1830" s="1" t="s">
        <v>45</v>
      </c>
      <c r="U1830" s="1">
        <v>4.82071E8</v>
      </c>
      <c r="W1830" s="1" t="s">
        <v>44</v>
      </c>
      <c r="X1830" s="1" t="s">
        <v>45</v>
      </c>
      <c r="Y1830" s="1">
        <v>4.82071E8</v>
      </c>
      <c r="Z1830" s="1">
        <v>2.0842068E7</v>
      </c>
      <c r="AA1830" s="1" t="s">
        <v>3419</v>
      </c>
      <c r="AB1830" s="1">
        <v>637955.0</v>
      </c>
      <c r="AC1830" s="2">
        <v>41976.0</v>
      </c>
      <c r="AD1830" s="1">
        <v>9100.0</v>
      </c>
      <c r="AE1830" s="1" t="s">
        <v>194</v>
      </c>
      <c r="AF1830" s="1" t="s">
        <v>3420</v>
      </c>
      <c r="AG1830" s="1" t="s">
        <v>1170</v>
      </c>
      <c r="AH1830" s="1">
        <v>1.0</v>
      </c>
      <c r="AI1830" s="1">
        <v>2015.0</v>
      </c>
      <c r="AJ1830" s="1">
        <v>2015.0</v>
      </c>
      <c r="AK1830" s="1" t="s">
        <v>1171</v>
      </c>
    </row>
    <row r="1831">
      <c r="A1831" s="1" t="s">
        <v>3344</v>
      </c>
      <c r="B1831" s="1" t="s">
        <v>3344</v>
      </c>
      <c r="C1831" s="1" t="s">
        <v>194</v>
      </c>
      <c r="E1831" s="1">
        <v>8.9228048E7</v>
      </c>
      <c r="F1831" s="2">
        <v>41683.0</v>
      </c>
      <c r="G1831" s="1" t="s">
        <v>458</v>
      </c>
      <c r="I1831" s="1" t="s">
        <v>458</v>
      </c>
      <c r="L1831" s="1" t="s">
        <v>194</v>
      </c>
      <c r="M1831" s="1">
        <v>9100.0</v>
      </c>
      <c r="N1831" s="1" t="s">
        <v>194</v>
      </c>
      <c r="O1831" s="1">
        <v>1.68568132E8</v>
      </c>
      <c r="P1831" s="1" t="s">
        <v>588</v>
      </c>
      <c r="R1831" s="1" t="s">
        <v>589</v>
      </c>
      <c r="S1831" s="1" t="s">
        <v>44</v>
      </c>
      <c r="T1831" s="1" t="s">
        <v>45</v>
      </c>
      <c r="U1831" s="1">
        <v>4.82143323E8</v>
      </c>
      <c r="W1831" s="1" t="s">
        <v>44</v>
      </c>
      <c r="X1831" s="1" t="s">
        <v>45</v>
      </c>
      <c r="Y1831" s="1">
        <v>4.82143323E8</v>
      </c>
      <c r="Z1831" s="1">
        <v>9.60742484E8</v>
      </c>
      <c r="AB1831" s="1">
        <v>29900.0</v>
      </c>
      <c r="AC1831" s="2">
        <v>41683.0</v>
      </c>
      <c r="AD1831" s="1">
        <v>9100.0</v>
      </c>
      <c r="AE1831" s="1" t="s">
        <v>194</v>
      </c>
      <c r="AF1831" s="1" t="s">
        <v>3421</v>
      </c>
      <c r="AG1831" s="1" t="s">
        <v>463</v>
      </c>
      <c r="AH1831" s="1">
        <v>1.0</v>
      </c>
      <c r="AI1831" s="1">
        <v>2015.0</v>
      </c>
      <c r="AJ1831" s="1">
        <v>2014.0</v>
      </c>
      <c r="AK1831" s="1" t="s">
        <v>277</v>
      </c>
    </row>
    <row r="1832">
      <c r="A1832" s="1" t="s">
        <v>3413</v>
      </c>
      <c r="B1832" s="1" t="s">
        <v>3413</v>
      </c>
      <c r="C1832" s="1" t="s">
        <v>194</v>
      </c>
      <c r="E1832" s="1">
        <v>5.21188032E8</v>
      </c>
      <c r="F1832" s="2">
        <v>41953.0</v>
      </c>
      <c r="G1832" s="1" t="s">
        <v>1168</v>
      </c>
      <c r="I1832" s="1" t="s">
        <v>1168</v>
      </c>
      <c r="L1832" s="1" t="s">
        <v>194</v>
      </c>
      <c r="M1832" s="1">
        <v>9100.0</v>
      </c>
      <c r="N1832" s="1" t="s">
        <v>194</v>
      </c>
      <c r="O1832" s="1">
        <v>3790107.0</v>
      </c>
      <c r="P1832" s="1" t="s">
        <v>576</v>
      </c>
      <c r="R1832" s="1" t="s">
        <v>577</v>
      </c>
      <c r="S1832" s="1" t="s">
        <v>44</v>
      </c>
      <c r="T1832" s="1" t="s">
        <v>45</v>
      </c>
      <c r="U1832" s="1">
        <v>4.82343284E8</v>
      </c>
      <c r="W1832" s="1" t="s">
        <v>44</v>
      </c>
      <c r="X1832" s="1" t="s">
        <v>45</v>
      </c>
      <c r="Y1832" s="1">
        <v>4.82343284E8</v>
      </c>
      <c r="AB1832" s="1">
        <v>620830.0</v>
      </c>
      <c r="AC1832" s="2">
        <v>41953.0</v>
      </c>
      <c r="AD1832" s="1">
        <v>9100.0</v>
      </c>
      <c r="AE1832" s="1" t="s">
        <v>194</v>
      </c>
      <c r="AF1832" s="1" t="s">
        <v>3422</v>
      </c>
      <c r="AG1832" s="1" t="s">
        <v>1170</v>
      </c>
      <c r="AH1832" s="1">
        <v>1.0</v>
      </c>
      <c r="AI1832" s="1">
        <v>2015.0</v>
      </c>
      <c r="AJ1832" s="1">
        <v>2015.0</v>
      </c>
      <c r="AK1832" s="1" t="s">
        <v>1171</v>
      </c>
    </row>
    <row r="1833">
      <c r="A1833" s="1" t="s">
        <v>3344</v>
      </c>
      <c r="B1833" s="1" t="s">
        <v>3344</v>
      </c>
      <c r="C1833" s="1" t="s">
        <v>194</v>
      </c>
      <c r="E1833" s="1">
        <v>8.9228048E7</v>
      </c>
      <c r="F1833" s="2">
        <v>41729.0</v>
      </c>
      <c r="G1833" s="1" t="s">
        <v>458</v>
      </c>
      <c r="I1833" s="1" t="s">
        <v>458</v>
      </c>
      <c r="L1833" s="1" t="s">
        <v>194</v>
      </c>
      <c r="M1833" s="1">
        <v>9100.0</v>
      </c>
      <c r="N1833" s="1" t="s">
        <v>194</v>
      </c>
      <c r="O1833" s="1">
        <v>8.76992343E8</v>
      </c>
      <c r="P1833" s="1" t="s">
        <v>550</v>
      </c>
      <c r="R1833" s="1" t="s">
        <v>551</v>
      </c>
      <c r="S1833" s="1" t="s">
        <v>44</v>
      </c>
      <c r="T1833" s="1" t="s">
        <v>45</v>
      </c>
      <c r="U1833" s="1">
        <v>4.82102451E8</v>
      </c>
      <c r="W1833" s="1" t="s">
        <v>44</v>
      </c>
      <c r="X1833" s="1" t="s">
        <v>45</v>
      </c>
      <c r="Y1833" s="1">
        <v>4.82102451E8</v>
      </c>
      <c r="AB1833" s="1">
        <v>51676.0</v>
      </c>
      <c r="AC1833" s="2">
        <v>41729.0</v>
      </c>
      <c r="AD1833" s="1">
        <v>9100.0</v>
      </c>
      <c r="AE1833" s="1" t="s">
        <v>194</v>
      </c>
      <c r="AF1833" s="1" t="s">
        <v>3423</v>
      </c>
      <c r="AG1833" s="1" t="s">
        <v>463</v>
      </c>
      <c r="AH1833" s="1">
        <v>1.0</v>
      </c>
      <c r="AI1833" s="1">
        <v>2015.0</v>
      </c>
      <c r="AJ1833" s="1">
        <v>2014.0</v>
      </c>
      <c r="AK1833" s="1" t="s">
        <v>277</v>
      </c>
    </row>
    <row r="1834">
      <c r="A1834" s="1" t="s">
        <v>3413</v>
      </c>
      <c r="B1834" s="1" t="s">
        <v>3413</v>
      </c>
      <c r="C1834" s="1" t="s">
        <v>194</v>
      </c>
      <c r="E1834" s="1">
        <v>5.21188032E8</v>
      </c>
      <c r="F1834" s="2">
        <v>41935.0</v>
      </c>
      <c r="G1834" s="1" t="s">
        <v>1168</v>
      </c>
      <c r="I1834" s="1" t="s">
        <v>1168</v>
      </c>
      <c r="L1834" s="1" t="s">
        <v>194</v>
      </c>
      <c r="M1834" s="1">
        <v>9100.0</v>
      </c>
      <c r="N1834" s="1" t="s">
        <v>194</v>
      </c>
      <c r="O1834" s="1">
        <v>9.65778702E8</v>
      </c>
      <c r="P1834" s="1" t="s">
        <v>493</v>
      </c>
      <c r="Q1834" s="1" t="s">
        <v>3424</v>
      </c>
      <c r="R1834" s="1" t="s">
        <v>494</v>
      </c>
      <c r="S1834" s="1" t="s">
        <v>44</v>
      </c>
      <c r="T1834" s="1" t="s">
        <v>45</v>
      </c>
      <c r="U1834" s="1">
        <v>4.82082475E8</v>
      </c>
      <c r="W1834" s="1" t="s">
        <v>44</v>
      </c>
      <c r="X1834" s="1" t="s">
        <v>45</v>
      </c>
      <c r="Y1834" s="1">
        <v>4.82082475E8</v>
      </c>
      <c r="Z1834" s="1">
        <v>4.0917864E7</v>
      </c>
      <c r="AB1834" s="1">
        <v>652387.0</v>
      </c>
      <c r="AC1834" s="2">
        <v>41935.0</v>
      </c>
      <c r="AD1834" s="1">
        <v>9100.0</v>
      </c>
      <c r="AE1834" s="1" t="s">
        <v>194</v>
      </c>
      <c r="AF1834" s="1" t="s">
        <v>3425</v>
      </c>
      <c r="AG1834" s="1" t="s">
        <v>1170</v>
      </c>
      <c r="AH1834" s="1">
        <v>1.0</v>
      </c>
      <c r="AI1834" s="1">
        <v>2015.0</v>
      </c>
      <c r="AJ1834" s="1">
        <v>2015.0</v>
      </c>
      <c r="AK1834" s="1" t="s">
        <v>1171</v>
      </c>
    </row>
    <row r="1835">
      <c r="A1835" s="1" t="s">
        <v>3413</v>
      </c>
      <c r="B1835" s="1" t="s">
        <v>3413</v>
      </c>
      <c r="C1835" s="1" t="s">
        <v>194</v>
      </c>
      <c r="E1835" s="1">
        <v>5.21188032E8</v>
      </c>
      <c r="F1835" s="2">
        <v>41915.0</v>
      </c>
      <c r="G1835" s="1" t="s">
        <v>1168</v>
      </c>
      <c r="I1835" s="1" t="s">
        <v>1168</v>
      </c>
      <c r="L1835" s="1" t="s">
        <v>194</v>
      </c>
      <c r="M1835" s="1">
        <v>9100.0</v>
      </c>
      <c r="N1835" s="1" t="s">
        <v>194</v>
      </c>
      <c r="O1835" s="1">
        <v>4.2136734E7</v>
      </c>
      <c r="P1835" s="1" t="s">
        <v>557</v>
      </c>
      <c r="Q1835" s="1" t="s">
        <v>1692</v>
      </c>
      <c r="R1835" s="1" t="s">
        <v>558</v>
      </c>
      <c r="S1835" s="1" t="s">
        <v>44</v>
      </c>
      <c r="T1835" s="1" t="s">
        <v>45</v>
      </c>
      <c r="U1835" s="1">
        <v>4.82082204E8</v>
      </c>
      <c r="W1835" s="1" t="s">
        <v>44</v>
      </c>
      <c r="X1835" s="1" t="s">
        <v>45</v>
      </c>
      <c r="Y1835" s="1">
        <v>4.82082204E8</v>
      </c>
      <c r="Z1835" s="1">
        <v>2.1087911E7</v>
      </c>
      <c r="AA1835" s="1" t="s">
        <v>1693</v>
      </c>
      <c r="AB1835" s="1">
        <v>315462.0</v>
      </c>
      <c r="AC1835" s="2">
        <v>41915.0</v>
      </c>
      <c r="AD1835" s="1">
        <v>9100.0</v>
      </c>
      <c r="AE1835" s="1" t="s">
        <v>194</v>
      </c>
      <c r="AF1835" s="1" t="s">
        <v>3426</v>
      </c>
      <c r="AG1835" s="1" t="s">
        <v>1170</v>
      </c>
      <c r="AH1835" s="1">
        <v>1.0</v>
      </c>
      <c r="AI1835" s="1">
        <v>2015.0</v>
      </c>
      <c r="AJ1835" s="1">
        <v>2015.0</v>
      </c>
      <c r="AK1835" s="1" t="s">
        <v>1171</v>
      </c>
    </row>
    <row r="1836">
      <c r="A1836" s="1" t="s">
        <v>3413</v>
      </c>
      <c r="B1836" s="1" t="s">
        <v>3413</v>
      </c>
      <c r="C1836" s="1" t="s">
        <v>194</v>
      </c>
      <c r="E1836" s="1">
        <v>5.21188032E8</v>
      </c>
      <c r="F1836" s="2">
        <v>41932.0</v>
      </c>
      <c r="G1836" s="1" t="s">
        <v>1168</v>
      </c>
      <c r="I1836" s="1" t="s">
        <v>1168</v>
      </c>
      <c r="L1836" s="1" t="s">
        <v>194</v>
      </c>
      <c r="M1836" s="1">
        <v>9100.0</v>
      </c>
      <c r="N1836" s="1" t="s">
        <v>194</v>
      </c>
      <c r="O1836" s="1">
        <v>3537326.0</v>
      </c>
      <c r="P1836" s="1" t="s">
        <v>560</v>
      </c>
      <c r="Q1836" s="1" t="s">
        <v>3427</v>
      </c>
      <c r="R1836" s="1" t="s">
        <v>561</v>
      </c>
      <c r="S1836" s="1" t="s">
        <v>44</v>
      </c>
      <c r="T1836" s="1" t="s">
        <v>45</v>
      </c>
      <c r="U1836" s="1">
        <v>4.8212177E8</v>
      </c>
      <c r="W1836" s="1" t="s">
        <v>498</v>
      </c>
      <c r="X1836" s="1" t="s">
        <v>45</v>
      </c>
      <c r="Y1836" s="1">
        <v>4.82121754E8</v>
      </c>
      <c r="Z1836" s="1">
        <v>3537326.0</v>
      </c>
      <c r="AA1836" s="1" t="s">
        <v>560</v>
      </c>
      <c r="AB1836" s="1">
        <v>268217.0</v>
      </c>
      <c r="AC1836" s="2">
        <v>41932.0</v>
      </c>
      <c r="AD1836" s="1">
        <v>9100.0</v>
      </c>
      <c r="AE1836" s="1" t="s">
        <v>194</v>
      </c>
      <c r="AF1836" s="1" t="s">
        <v>3428</v>
      </c>
      <c r="AG1836" s="1" t="s">
        <v>1170</v>
      </c>
      <c r="AH1836" s="1">
        <v>1.0</v>
      </c>
      <c r="AI1836" s="1">
        <v>2015.0</v>
      </c>
      <c r="AJ1836" s="1">
        <v>2015.0</v>
      </c>
      <c r="AK1836" s="1" t="s">
        <v>1171</v>
      </c>
    </row>
    <row r="1837">
      <c r="A1837" s="1" t="s">
        <v>3413</v>
      </c>
      <c r="B1837" s="1" t="s">
        <v>3413</v>
      </c>
      <c r="C1837" s="1" t="s">
        <v>194</v>
      </c>
      <c r="E1837" s="1">
        <v>5.21188032E8</v>
      </c>
      <c r="F1837" s="2">
        <v>41919.0</v>
      </c>
      <c r="G1837" s="1" t="s">
        <v>1168</v>
      </c>
      <c r="I1837" s="1" t="s">
        <v>1168</v>
      </c>
      <c r="L1837" s="1" t="s">
        <v>194</v>
      </c>
      <c r="M1837" s="1">
        <v>9100.0</v>
      </c>
      <c r="N1837" s="1" t="s">
        <v>194</v>
      </c>
      <c r="O1837" s="1">
        <v>1.3032514E8</v>
      </c>
      <c r="P1837" s="1" t="s">
        <v>819</v>
      </c>
      <c r="Q1837" s="1" t="s">
        <v>3429</v>
      </c>
      <c r="R1837" s="1" t="s">
        <v>820</v>
      </c>
      <c r="S1837" s="1" t="s">
        <v>44</v>
      </c>
      <c r="T1837" s="1" t="s">
        <v>45</v>
      </c>
      <c r="U1837" s="1">
        <v>4.82072418E8</v>
      </c>
      <c r="W1837" s="1" t="s">
        <v>44</v>
      </c>
      <c r="X1837" s="1" t="s">
        <v>45</v>
      </c>
      <c r="Y1837" s="1">
        <v>4.82072418E8</v>
      </c>
      <c r="Z1837" s="1">
        <v>1.3032514E8</v>
      </c>
      <c r="AA1837" s="1" t="s">
        <v>819</v>
      </c>
      <c r="AB1837" s="1">
        <v>151465.0</v>
      </c>
      <c r="AC1837" s="2">
        <v>41919.0</v>
      </c>
      <c r="AD1837" s="1">
        <v>9100.0</v>
      </c>
      <c r="AE1837" s="1" t="s">
        <v>194</v>
      </c>
      <c r="AF1837" s="1" t="s">
        <v>3430</v>
      </c>
      <c r="AG1837" s="1" t="s">
        <v>1170</v>
      </c>
      <c r="AH1837" s="1">
        <v>1.0</v>
      </c>
      <c r="AI1837" s="1">
        <v>2015.0</v>
      </c>
      <c r="AJ1837" s="1">
        <v>2015.0</v>
      </c>
      <c r="AK1837" s="1" t="s">
        <v>1171</v>
      </c>
    </row>
    <row r="1838">
      <c r="A1838" s="1" t="s">
        <v>3344</v>
      </c>
      <c r="B1838" s="1" t="s">
        <v>3344</v>
      </c>
      <c r="C1838" s="1" t="s">
        <v>194</v>
      </c>
      <c r="E1838" s="1">
        <v>8.9228048E7</v>
      </c>
      <c r="F1838" s="2">
        <v>41739.0</v>
      </c>
      <c r="G1838" s="1" t="s">
        <v>458</v>
      </c>
      <c r="I1838" s="1" t="s">
        <v>458</v>
      </c>
      <c r="L1838" s="1" t="s">
        <v>194</v>
      </c>
      <c r="M1838" s="1">
        <v>9100.0</v>
      </c>
      <c r="N1838" s="1" t="s">
        <v>194</v>
      </c>
      <c r="O1838" s="1">
        <v>8.29630537E8</v>
      </c>
      <c r="P1838" s="1" t="s">
        <v>531</v>
      </c>
      <c r="Q1838" s="1" t="s">
        <v>532</v>
      </c>
      <c r="R1838" s="1" t="s">
        <v>533</v>
      </c>
      <c r="S1838" s="1" t="s">
        <v>44</v>
      </c>
      <c r="T1838" s="1" t="s">
        <v>45</v>
      </c>
      <c r="U1838" s="1">
        <v>4.8219181E8</v>
      </c>
      <c r="W1838" s="1" t="s">
        <v>44</v>
      </c>
      <c r="X1838" s="1" t="s">
        <v>45</v>
      </c>
      <c r="Y1838" s="1">
        <v>4.8219181E8</v>
      </c>
      <c r="Z1838" s="1">
        <v>3.8627196E7</v>
      </c>
      <c r="AA1838" s="1" t="s">
        <v>632</v>
      </c>
      <c r="AB1838" s="1">
        <v>90467.0</v>
      </c>
      <c r="AC1838" s="2">
        <v>41739.0</v>
      </c>
      <c r="AD1838" s="1">
        <v>9100.0</v>
      </c>
      <c r="AE1838" s="1" t="s">
        <v>194</v>
      </c>
      <c r="AF1838" s="1" t="s">
        <v>3431</v>
      </c>
      <c r="AG1838" s="1" t="s">
        <v>463</v>
      </c>
      <c r="AH1838" s="1">
        <v>1.0</v>
      </c>
      <c r="AI1838" s="1">
        <v>2015.0</v>
      </c>
      <c r="AJ1838" s="1">
        <v>2014.0</v>
      </c>
      <c r="AK1838" s="1" t="s">
        <v>277</v>
      </c>
    </row>
    <row r="1839">
      <c r="A1839" s="1" t="s">
        <v>3413</v>
      </c>
      <c r="B1839" s="1" t="s">
        <v>3413</v>
      </c>
      <c r="C1839" s="1" t="s">
        <v>194</v>
      </c>
      <c r="E1839" s="1">
        <v>5.21188032E8</v>
      </c>
      <c r="F1839" s="2">
        <v>42002.0</v>
      </c>
      <c r="G1839" s="1" t="s">
        <v>1168</v>
      </c>
      <c r="I1839" s="1" t="s">
        <v>1168</v>
      </c>
      <c r="L1839" s="1" t="s">
        <v>194</v>
      </c>
      <c r="M1839" s="1">
        <v>9100.0</v>
      </c>
      <c r="N1839" s="1" t="s">
        <v>194</v>
      </c>
      <c r="O1839" s="1">
        <v>8.00475803E8</v>
      </c>
      <c r="P1839" s="1" t="s">
        <v>1670</v>
      </c>
      <c r="R1839" s="1" t="s">
        <v>1671</v>
      </c>
      <c r="S1839" s="1" t="s">
        <v>44</v>
      </c>
      <c r="T1839" s="1" t="s">
        <v>45</v>
      </c>
      <c r="U1839" s="1">
        <v>4.82152667E8</v>
      </c>
      <c r="W1839" s="1" t="s">
        <v>46</v>
      </c>
      <c r="X1839" s="1" t="s">
        <v>45</v>
      </c>
      <c r="Y1839" s="1">
        <v>4.82152667E8</v>
      </c>
      <c r="AB1839" s="1">
        <v>391199.0</v>
      </c>
      <c r="AC1839" s="2">
        <v>42002.0</v>
      </c>
      <c r="AD1839" s="1">
        <v>9100.0</v>
      </c>
      <c r="AE1839" s="1" t="s">
        <v>194</v>
      </c>
      <c r="AF1839" s="1" t="s">
        <v>3432</v>
      </c>
      <c r="AG1839" s="1" t="s">
        <v>3000</v>
      </c>
      <c r="AH1839" s="1">
        <v>1.0</v>
      </c>
      <c r="AI1839" s="1">
        <v>2015.0</v>
      </c>
      <c r="AJ1839" s="1">
        <v>2015.0</v>
      </c>
      <c r="AK1839" s="1" t="s">
        <v>1171</v>
      </c>
    </row>
    <row r="1840">
      <c r="A1840" s="1" t="s">
        <v>3344</v>
      </c>
      <c r="B1840" s="1" t="s">
        <v>3344</v>
      </c>
      <c r="C1840" s="1" t="s">
        <v>194</v>
      </c>
      <c r="E1840" s="1">
        <v>8.9228048E7</v>
      </c>
      <c r="F1840" s="2">
        <v>41740.0</v>
      </c>
      <c r="G1840" s="1" t="s">
        <v>458</v>
      </c>
      <c r="I1840" s="1" t="s">
        <v>458</v>
      </c>
      <c r="L1840" s="1" t="s">
        <v>194</v>
      </c>
      <c r="M1840" s="1">
        <v>9100.0</v>
      </c>
      <c r="N1840" s="1" t="s">
        <v>194</v>
      </c>
      <c r="O1840" s="1">
        <v>1.17726252E8</v>
      </c>
      <c r="P1840" s="1" t="s">
        <v>512</v>
      </c>
      <c r="Q1840" s="1" t="s">
        <v>3433</v>
      </c>
      <c r="R1840" s="1" t="s">
        <v>513</v>
      </c>
      <c r="S1840" s="1" t="s">
        <v>44</v>
      </c>
      <c r="T1840" s="1" t="s">
        <v>45</v>
      </c>
      <c r="U1840" s="1">
        <v>4.82193259E8</v>
      </c>
      <c r="W1840" s="1" t="s">
        <v>44</v>
      </c>
      <c r="X1840" s="1" t="s">
        <v>45</v>
      </c>
      <c r="Y1840" s="1">
        <v>4.82193259E8</v>
      </c>
      <c r="Z1840" s="1">
        <v>1.00035948E8</v>
      </c>
      <c r="AA1840" s="1" t="s">
        <v>3434</v>
      </c>
      <c r="AB1840" s="1">
        <v>53332.0</v>
      </c>
      <c r="AC1840" s="2">
        <v>41740.0</v>
      </c>
      <c r="AD1840" s="1">
        <v>9100.0</v>
      </c>
      <c r="AE1840" s="1" t="s">
        <v>194</v>
      </c>
      <c r="AF1840" s="1" t="s">
        <v>3435</v>
      </c>
      <c r="AG1840" s="1" t="s">
        <v>463</v>
      </c>
      <c r="AH1840" s="1">
        <v>1.0</v>
      </c>
      <c r="AI1840" s="1">
        <v>2015.0</v>
      </c>
      <c r="AJ1840" s="1">
        <v>2014.0</v>
      </c>
      <c r="AK1840" s="1" t="s">
        <v>277</v>
      </c>
    </row>
    <row r="1841">
      <c r="A1841" s="1" t="s">
        <v>3369</v>
      </c>
      <c r="B1841" s="1" t="s">
        <v>3369</v>
      </c>
      <c r="C1841" s="1" t="s">
        <v>194</v>
      </c>
      <c r="E1841" s="1">
        <v>1.0181861E7</v>
      </c>
      <c r="F1841" s="2">
        <v>41733.0</v>
      </c>
      <c r="G1841" s="1" t="s">
        <v>685</v>
      </c>
      <c r="I1841" s="1" t="s">
        <v>685</v>
      </c>
      <c r="L1841" s="1" t="s">
        <v>194</v>
      </c>
      <c r="M1841" s="1">
        <v>9100.0</v>
      </c>
      <c r="N1841" s="1" t="s">
        <v>194</v>
      </c>
      <c r="O1841" s="1">
        <v>7.6340843E7</v>
      </c>
      <c r="P1841" s="1" t="s">
        <v>461</v>
      </c>
      <c r="R1841" s="1" t="s">
        <v>1599</v>
      </c>
      <c r="S1841" s="1" t="s">
        <v>44</v>
      </c>
      <c r="T1841" s="1" t="s">
        <v>45</v>
      </c>
      <c r="U1841" s="1">
        <v>4.8202301E8</v>
      </c>
      <c r="W1841" s="1" t="s">
        <v>44</v>
      </c>
      <c r="X1841" s="1" t="s">
        <v>45</v>
      </c>
      <c r="Y1841" s="1">
        <v>4.82023096E8</v>
      </c>
      <c r="Z1841" s="1">
        <v>7.6340843E7</v>
      </c>
      <c r="AA1841" s="1" t="s">
        <v>461</v>
      </c>
      <c r="AB1841" s="1">
        <v>1435732.0</v>
      </c>
      <c r="AC1841" s="2">
        <v>41733.0</v>
      </c>
      <c r="AD1841" s="1">
        <v>9100.0</v>
      </c>
      <c r="AE1841" s="1" t="s">
        <v>194</v>
      </c>
      <c r="AF1841" s="1" t="s">
        <v>3436</v>
      </c>
      <c r="AG1841" s="1" t="s">
        <v>3343</v>
      </c>
      <c r="AH1841" s="1">
        <v>1.0</v>
      </c>
      <c r="AI1841" s="1">
        <v>2015.0</v>
      </c>
      <c r="AJ1841" s="1">
        <v>2014.0</v>
      </c>
      <c r="AK1841" s="1" t="s">
        <v>688</v>
      </c>
    </row>
    <row r="1842">
      <c r="A1842" s="1" t="s">
        <v>3369</v>
      </c>
      <c r="B1842" s="1" t="s">
        <v>3369</v>
      </c>
      <c r="C1842" s="1" t="s">
        <v>194</v>
      </c>
      <c r="E1842" s="1">
        <v>1.0181861E7</v>
      </c>
      <c r="F1842" s="2">
        <v>41654.0</v>
      </c>
      <c r="G1842" s="1" t="s">
        <v>685</v>
      </c>
      <c r="I1842" s="1" t="s">
        <v>685</v>
      </c>
      <c r="L1842" s="1" t="s">
        <v>194</v>
      </c>
      <c r="M1842" s="1">
        <v>9100.0</v>
      </c>
      <c r="N1842" s="1" t="s">
        <v>194</v>
      </c>
      <c r="O1842" s="1">
        <v>7.0381949E7</v>
      </c>
      <c r="P1842" s="1" t="s">
        <v>605</v>
      </c>
      <c r="R1842" s="1" t="s">
        <v>606</v>
      </c>
      <c r="S1842" s="1" t="s">
        <v>44</v>
      </c>
      <c r="T1842" s="1" t="s">
        <v>45</v>
      </c>
      <c r="U1842" s="1">
        <v>4.82123033E8</v>
      </c>
      <c r="W1842" s="1" t="s">
        <v>607</v>
      </c>
      <c r="X1842" s="1" t="s">
        <v>45</v>
      </c>
      <c r="Y1842" s="1">
        <v>4.82123033E8</v>
      </c>
      <c r="AB1842" s="1">
        <v>44355.0</v>
      </c>
      <c r="AC1842" s="2">
        <v>41654.0</v>
      </c>
      <c r="AD1842" s="1">
        <v>9100.0</v>
      </c>
      <c r="AE1842" s="1" t="s">
        <v>194</v>
      </c>
      <c r="AF1842" s="1" t="s">
        <v>3437</v>
      </c>
      <c r="AG1842" s="1" t="s">
        <v>3343</v>
      </c>
      <c r="AH1842" s="1">
        <v>1.0</v>
      </c>
      <c r="AI1842" s="1">
        <v>2015.0</v>
      </c>
      <c r="AJ1842" s="1">
        <v>2014.0</v>
      </c>
      <c r="AK1842" s="1" t="s">
        <v>688</v>
      </c>
    </row>
    <row r="1843">
      <c r="A1843" s="1" t="s">
        <v>3413</v>
      </c>
      <c r="B1843" s="1" t="s">
        <v>3413</v>
      </c>
      <c r="C1843" s="1" t="s">
        <v>194</v>
      </c>
      <c r="E1843" s="1">
        <v>5.21188032E8</v>
      </c>
      <c r="F1843" s="2">
        <v>41886.0</v>
      </c>
      <c r="G1843" s="1" t="s">
        <v>1168</v>
      </c>
      <c r="I1843" s="1" t="s">
        <v>1168</v>
      </c>
      <c r="L1843" s="1" t="s">
        <v>194</v>
      </c>
      <c r="M1843" s="1">
        <v>9100.0</v>
      </c>
      <c r="N1843" s="1" t="s">
        <v>194</v>
      </c>
      <c r="O1843" s="1">
        <v>9.0912429E7</v>
      </c>
      <c r="P1843" s="1" t="s">
        <v>521</v>
      </c>
      <c r="Q1843" s="1" t="s">
        <v>3427</v>
      </c>
      <c r="R1843" s="1" t="s">
        <v>522</v>
      </c>
      <c r="S1843" s="1" t="s">
        <v>44</v>
      </c>
      <c r="T1843" s="1" t="s">
        <v>45</v>
      </c>
      <c r="U1843" s="1">
        <v>4.82233314E8</v>
      </c>
      <c r="W1843" s="1" t="s">
        <v>44</v>
      </c>
      <c r="X1843" s="1" t="s">
        <v>45</v>
      </c>
      <c r="Y1843" s="1">
        <v>4.82233314E8</v>
      </c>
      <c r="Z1843" s="1">
        <v>7.2790074E7</v>
      </c>
      <c r="AA1843" s="1" t="s">
        <v>3438</v>
      </c>
      <c r="AB1843" s="1">
        <v>597472.0</v>
      </c>
      <c r="AC1843" s="2">
        <v>41886.0</v>
      </c>
      <c r="AD1843" s="1">
        <v>9100.0</v>
      </c>
      <c r="AE1843" s="1" t="s">
        <v>194</v>
      </c>
      <c r="AF1843" s="1" t="s">
        <v>3439</v>
      </c>
      <c r="AG1843" s="1" t="s">
        <v>1170</v>
      </c>
      <c r="AH1843" s="1">
        <v>1.0</v>
      </c>
      <c r="AI1843" s="1">
        <v>2015.0</v>
      </c>
      <c r="AJ1843" s="1">
        <v>2014.0</v>
      </c>
      <c r="AK1843" s="1" t="s">
        <v>1171</v>
      </c>
    </row>
    <row r="1844">
      <c r="A1844" s="1" t="s">
        <v>3413</v>
      </c>
      <c r="B1844" s="1" t="s">
        <v>3413</v>
      </c>
      <c r="C1844" s="1" t="s">
        <v>194</v>
      </c>
      <c r="E1844" s="1">
        <v>5.21188032E8</v>
      </c>
      <c r="F1844" s="2">
        <v>41887.0</v>
      </c>
      <c r="G1844" s="1" t="s">
        <v>1168</v>
      </c>
      <c r="I1844" s="1" t="s">
        <v>1168</v>
      </c>
      <c r="L1844" s="1" t="s">
        <v>194</v>
      </c>
      <c r="M1844" s="1">
        <v>9100.0</v>
      </c>
      <c r="N1844" s="1" t="s">
        <v>194</v>
      </c>
      <c r="O1844" s="1">
        <v>7.8736952E7</v>
      </c>
      <c r="P1844" s="1" t="s">
        <v>3084</v>
      </c>
      <c r="R1844" s="1" t="s">
        <v>3085</v>
      </c>
      <c r="S1844" s="1" t="s">
        <v>44</v>
      </c>
      <c r="T1844" s="1" t="s">
        <v>45</v>
      </c>
      <c r="U1844" s="1">
        <v>4.82263485E8</v>
      </c>
      <c r="W1844" s="1" t="s">
        <v>3086</v>
      </c>
      <c r="X1844" s="1" t="s">
        <v>45</v>
      </c>
      <c r="Y1844" s="1">
        <v>4.81803356E8</v>
      </c>
      <c r="Z1844" s="1">
        <v>9434185.0</v>
      </c>
      <c r="AB1844" s="1">
        <v>54239.0</v>
      </c>
      <c r="AC1844" s="2">
        <v>41887.0</v>
      </c>
      <c r="AD1844" s="1">
        <v>9100.0</v>
      </c>
      <c r="AE1844" s="1" t="s">
        <v>194</v>
      </c>
      <c r="AF1844" s="1" t="s">
        <v>3440</v>
      </c>
      <c r="AG1844" s="1" t="s">
        <v>1170</v>
      </c>
      <c r="AH1844" s="1">
        <v>1.0</v>
      </c>
      <c r="AI1844" s="1">
        <v>2015.0</v>
      </c>
      <c r="AJ1844" s="1">
        <v>2014.0</v>
      </c>
      <c r="AK1844" s="1" t="s">
        <v>1171</v>
      </c>
    </row>
    <row r="1845">
      <c r="A1845" s="1" t="s">
        <v>3413</v>
      </c>
      <c r="B1845" s="1" t="s">
        <v>3413</v>
      </c>
      <c r="C1845" s="1" t="s">
        <v>194</v>
      </c>
      <c r="E1845" s="1">
        <v>5.21188032E8</v>
      </c>
      <c r="F1845" s="2">
        <v>41886.0</v>
      </c>
      <c r="G1845" s="1" t="s">
        <v>1168</v>
      </c>
      <c r="I1845" s="1" t="s">
        <v>1168</v>
      </c>
      <c r="L1845" s="1" t="s">
        <v>194</v>
      </c>
      <c r="M1845" s="1">
        <v>9100.0</v>
      </c>
      <c r="N1845" s="1" t="s">
        <v>194</v>
      </c>
      <c r="O1845" s="1">
        <v>8.0463354E7</v>
      </c>
      <c r="P1845" s="1" t="s">
        <v>518</v>
      </c>
      <c r="Q1845" s="1" t="s">
        <v>3441</v>
      </c>
      <c r="R1845" s="1" t="s">
        <v>519</v>
      </c>
      <c r="S1845" s="1" t="s">
        <v>44</v>
      </c>
      <c r="T1845" s="1" t="s">
        <v>45</v>
      </c>
      <c r="U1845" s="1">
        <v>4.82102105E8</v>
      </c>
      <c r="W1845" s="1" t="s">
        <v>44</v>
      </c>
      <c r="X1845" s="1" t="s">
        <v>45</v>
      </c>
      <c r="Y1845" s="1">
        <v>4.82102105E8</v>
      </c>
      <c r="Z1845" s="1">
        <v>8.0463354E7</v>
      </c>
      <c r="AA1845" s="1" t="s">
        <v>518</v>
      </c>
      <c r="AB1845" s="1">
        <v>381007.0</v>
      </c>
      <c r="AC1845" s="2">
        <v>41886.0</v>
      </c>
      <c r="AD1845" s="1">
        <v>9100.0</v>
      </c>
      <c r="AE1845" s="1" t="s">
        <v>194</v>
      </c>
      <c r="AF1845" s="1" t="s">
        <v>3442</v>
      </c>
      <c r="AG1845" s="1" t="s">
        <v>1170</v>
      </c>
      <c r="AH1845" s="1">
        <v>1.0</v>
      </c>
      <c r="AI1845" s="1">
        <v>2015.0</v>
      </c>
      <c r="AJ1845" s="1">
        <v>2014.0</v>
      </c>
      <c r="AK1845" s="1" t="s">
        <v>1171</v>
      </c>
    </row>
    <row r="1846">
      <c r="A1846" s="1" t="s">
        <v>3413</v>
      </c>
      <c r="B1846" s="1" t="s">
        <v>3413</v>
      </c>
      <c r="C1846" s="1" t="s">
        <v>194</v>
      </c>
      <c r="E1846" s="1">
        <v>5.21188032E8</v>
      </c>
      <c r="F1846" s="2">
        <v>41893.0</v>
      </c>
      <c r="G1846" s="1" t="s">
        <v>1168</v>
      </c>
      <c r="I1846" s="1" t="s">
        <v>1168</v>
      </c>
      <c r="L1846" s="1" t="s">
        <v>194</v>
      </c>
      <c r="M1846" s="1">
        <v>9100.0</v>
      </c>
      <c r="N1846" s="1" t="s">
        <v>194</v>
      </c>
      <c r="O1846" s="1">
        <v>7.8638919E7</v>
      </c>
      <c r="P1846" s="1" t="s">
        <v>3031</v>
      </c>
      <c r="Q1846" s="1" t="s">
        <v>3443</v>
      </c>
      <c r="R1846" s="1" t="s">
        <v>3032</v>
      </c>
      <c r="S1846" s="1" t="s">
        <v>44</v>
      </c>
      <c r="T1846" s="1" t="s">
        <v>45</v>
      </c>
      <c r="U1846" s="1">
        <v>4.8216195E8</v>
      </c>
      <c r="W1846" s="1" t="s">
        <v>44</v>
      </c>
      <c r="X1846" s="1" t="s">
        <v>45</v>
      </c>
      <c r="Y1846" s="1">
        <v>4.8216195E8</v>
      </c>
      <c r="Z1846" s="1">
        <v>8.5899185E7</v>
      </c>
      <c r="AA1846" s="1" t="s">
        <v>3444</v>
      </c>
      <c r="AB1846" s="1">
        <v>33015.0</v>
      </c>
      <c r="AC1846" s="2">
        <v>41893.0</v>
      </c>
      <c r="AD1846" s="1">
        <v>9100.0</v>
      </c>
      <c r="AE1846" s="1" t="s">
        <v>194</v>
      </c>
      <c r="AF1846" s="1" t="s">
        <v>3445</v>
      </c>
      <c r="AG1846" s="1" t="s">
        <v>1170</v>
      </c>
      <c r="AH1846" s="1">
        <v>1.0</v>
      </c>
      <c r="AI1846" s="1">
        <v>2015.0</v>
      </c>
      <c r="AJ1846" s="1">
        <v>2014.0</v>
      </c>
      <c r="AK1846" s="1" t="s">
        <v>1171</v>
      </c>
    </row>
    <row r="1847">
      <c r="A1847" s="1" t="s">
        <v>3413</v>
      </c>
      <c r="B1847" s="1" t="s">
        <v>3413</v>
      </c>
      <c r="C1847" s="1" t="s">
        <v>194</v>
      </c>
      <c r="E1847" s="1">
        <v>5.21188032E8</v>
      </c>
      <c r="F1847" s="2">
        <v>41988.0</v>
      </c>
      <c r="G1847" s="1" t="s">
        <v>1168</v>
      </c>
      <c r="I1847" s="1" t="s">
        <v>1168</v>
      </c>
      <c r="L1847" s="1" t="s">
        <v>194</v>
      </c>
      <c r="M1847" s="1">
        <v>9100.0</v>
      </c>
      <c r="N1847" s="1" t="s">
        <v>194</v>
      </c>
      <c r="O1847" s="1">
        <v>7.8845614E7</v>
      </c>
      <c r="P1847" s="1" t="s">
        <v>3446</v>
      </c>
      <c r="R1847" s="1" t="s">
        <v>3447</v>
      </c>
      <c r="S1847" s="1" t="s">
        <v>44</v>
      </c>
      <c r="T1847" s="1" t="s">
        <v>45</v>
      </c>
      <c r="U1847" s="1">
        <v>4.82102924E8</v>
      </c>
      <c r="W1847" s="1" t="s">
        <v>46</v>
      </c>
      <c r="X1847" s="1" t="s">
        <v>45</v>
      </c>
      <c r="Y1847" s="1">
        <v>4.82102924E8</v>
      </c>
      <c r="AB1847" s="1">
        <v>190610.0</v>
      </c>
      <c r="AC1847" s="2">
        <v>41988.0</v>
      </c>
      <c r="AD1847" s="1">
        <v>9100.0</v>
      </c>
      <c r="AE1847" s="1" t="s">
        <v>194</v>
      </c>
      <c r="AF1847" s="1" t="s">
        <v>3448</v>
      </c>
      <c r="AG1847" s="1" t="s">
        <v>3000</v>
      </c>
      <c r="AH1847" s="1">
        <v>1.0</v>
      </c>
      <c r="AI1847" s="1">
        <v>2015.0</v>
      </c>
      <c r="AJ1847" s="1">
        <v>2015.0</v>
      </c>
      <c r="AK1847" s="1" t="s">
        <v>1171</v>
      </c>
    </row>
    <row r="1848">
      <c r="A1848" s="1" t="s">
        <v>3378</v>
      </c>
      <c r="B1848" s="1" t="s">
        <v>3378</v>
      </c>
      <c r="C1848" s="1" t="s">
        <v>194</v>
      </c>
      <c r="E1848" s="1">
        <v>1.3225274E7</v>
      </c>
      <c r="F1848" s="2">
        <v>41914.0</v>
      </c>
      <c r="G1848" s="1" t="s">
        <v>1228</v>
      </c>
      <c r="I1848" s="1" t="s">
        <v>1228</v>
      </c>
      <c r="L1848" s="1" t="s">
        <v>194</v>
      </c>
      <c r="M1848" s="1">
        <v>9100.0</v>
      </c>
      <c r="N1848" s="1" t="s">
        <v>194</v>
      </c>
      <c r="O1848" s="1">
        <v>7840122.0</v>
      </c>
      <c r="P1848" s="1" t="s">
        <v>1246</v>
      </c>
      <c r="R1848" s="1" t="s">
        <v>1247</v>
      </c>
      <c r="S1848" s="1" t="s">
        <v>44</v>
      </c>
      <c r="T1848" s="1" t="s">
        <v>45</v>
      </c>
      <c r="U1848" s="1">
        <v>4.8216194E8</v>
      </c>
      <c r="W1848" s="1" t="s">
        <v>44</v>
      </c>
      <c r="X1848" s="1" t="s">
        <v>45</v>
      </c>
      <c r="Y1848" s="1">
        <v>4.8216194E8</v>
      </c>
      <c r="AB1848" s="1">
        <v>80000.0</v>
      </c>
      <c r="AC1848" s="2">
        <v>41914.0</v>
      </c>
      <c r="AD1848" s="1">
        <v>9100.0</v>
      </c>
      <c r="AE1848" s="1" t="s">
        <v>194</v>
      </c>
      <c r="AF1848" s="1" t="s">
        <v>3449</v>
      </c>
      <c r="AG1848" s="1" t="s">
        <v>1232</v>
      </c>
      <c r="AH1848" s="1">
        <v>1.0</v>
      </c>
      <c r="AI1848" s="1">
        <v>2015.0</v>
      </c>
      <c r="AJ1848" s="1">
        <v>2015.0</v>
      </c>
      <c r="AK1848" s="1" t="s">
        <v>1233</v>
      </c>
    </row>
    <row r="1849">
      <c r="A1849" s="1" t="s">
        <v>3378</v>
      </c>
      <c r="B1849" s="1" t="s">
        <v>3378</v>
      </c>
      <c r="C1849" s="1" t="s">
        <v>194</v>
      </c>
      <c r="E1849" s="1">
        <v>1.3225274E7</v>
      </c>
      <c r="F1849" s="2">
        <v>41941.0</v>
      </c>
      <c r="G1849" s="1" t="s">
        <v>1228</v>
      </c>
      <c r="I1849" s="1" t="s">
        <v>1228</v>
      </c>
      <c r="L1849" s="1" t="s">
        <v>194</v>
      </c>
      <c r="M1849" s="1">
        <v>9100.0</v>
      </c>
      <c r="N1849" s="1" t="s">
        <v>194</v>
      </c>
      <c r="O1849" s="1">
        <v>8.00230674E8</v>
      </c>
      <c r="P1849" s="1" t="s">
        <v>2905</v>
      </c>
      <c r="R1849" s="1" t="s">
        <v>2906</v>
      </c>
      <c r="S1849" s="1" t="s">
        <v>44</v>
      </c>
      <c r="T1849" s="1" t="s">
        <v>45</v>
      </c>
      <c r="U1849" s="1">
        <v>4.8202405E8</v>
      </c>
      <c r="W1849" s="1" t="s">
        <v>44</v>
      </c>
      <c r="X1849" s="1" t="s">
        <v>45</v>
      </c>
      <c r="Y1849" s="1">
        <v>4.8202405E8</v>
      </c>
      <c r="AB1849" s="1">
        <v>40000.0</v>
      </c>
      <c r="AC1849" s="2">
        <v>41941.0</v>
      </c>
      <c r="AD1849" s="1">
        <v>9100.0</v>
      </c>
      <c r="AE1849" s="1" t="s">
        <v>194</v>
      </c>
      <c r="AF1849" s="1" t="s">
        <v>3450</v>
      </c>
      <c r="AG1849" s="1" t="s">
        <v>1232</v>
      </c>
      <c r="AH1849" s="1">
        <v>1.0</v>
      </c>
      <c r="AI1849" s="1">
        <v>2015.0</v>
      </c>
      <c r="AJ1849" s="1">
        <v>2015.0</v>
      </c>
      <c r="AK1849" s="1" t="s">
        <v>1233</v>
      </c>
    </row>
    <row r="1850">
      <c r="A1850" s="1" t="s">
        <v>3386</v>
      </c>
      <c r="B1850" s="1" t="s">
        <v>3386</v>
      </c>
      <c r="C1850" s="1" t="s">
        <v>194</v>
      </c>
      <c r="E1850" s="1">
        <v>2.376034E7</v>
      </c>
      <c r="F1850" s="2">
        <v>41988.0</v>
      </c>
      <c r="G1850" s="1" t="s">
        <v>3387</v>
      </c>
      <c r="I1850" s="1" t="s">
        <v>3387</v>
      </c>
      <c r="L1850" s="1" t="s">
        <v>194</v>
      </c>
      <c r="M1850" s="1">
        <v>9100.0</v>
      </c>
      <c r="N1850" s="1" t="s">
        <v>194</v>
      </c>
      <c r="O1850" s="1">
        <v>7.8346351E7</v>
      </c>
      <c r="P1850" s="1" t="s">
        <v>615</v>
      </c>
      <c r="R1850" s="1" t="s">
        <v>1708</v>
      </c>
      <c r="S1850" s="1" t="s">
        <v>44</v>
      </c>
      <c r="T1850" s="1" t="s">
        <v>45</v>
      </c>
      <c r="U1850" s="1">
        <v>4.82074457E8</v>
      </c>
      <c r="W1850" s="1" t="s">
        <v>44</v>
      </c>
      <c r="X1850" s="1" t="s">
        <v>45</v>
      </c>
      <c r="Y1850" s="1">
        <v>4.82074298E8</v>
      </c>
      <c r="AB1850" s="1">
        <v>386960.0</v>
      </c>
      <c r="AC1850" s="2">
        <v>41988.0</v>
      </c>
      <c r="AD1850" s="1">
        <v>9100.0</v>
      </c>
      <c r="AE1850" s="1" t="s">
        <v>194</v>
      </c>
      <c r="AF1850" s="1" t="s">
        <v>3451</v>
      </c>
      <c r="AG1850" s="1" t="s">
        <v>3389</v>
      </c>
      <c r="AH1850" s="1">
        <v>1.0</v>
      </c>
      <c r="AI1850" s="1">
        <v>2015.0</v>
      </c>
      <c r="AJ1850" s="1">
        <v>2015.0</v>
      </c>
      <c r="AK1850" s="1" t="s">
        <v>3390</v>
      </c>
    </row>
    <row r="1851">
      <c r="A1851" s="1" t="s">
        <v>3413</v>
      </c>
      <c r="B1851" s="1" t="s">
        <v>3413</v>
      </c>
      <c r="C1851" s="1" t="s">
        <v>194</v>
      </c>
      <c r="E1851" s="1">
        <v>5.21188032E8</v>
      </c>
      <c r="F1851" s="2">
        <v>41878.0</v>
      </c>
      <c r="G1851" s="1" t="s">
        <v>1168</v>
      </c>
      <c r="I1851" s="1" t="s">
        <v>1168</v>
      </c>
      <c r="L1851" s="1" t="s">
        <v>194</v>
      </c>
      <c r="M1851" s="1">
        <v>9100.0</v>
      </c>
      <c r="N1851" s="1" t="s">
        <v>194</v>
      </c>
      <c r="O1851" s="1">
        <v>7.97527715E8</v>
      </c>
      <c r="P1851" s="1" t="s">
        <v>567</v>
      </c>
      <c r="Q1851" s="1" t="s">
        <v>3452</v>
      </c>
      <c r="R1851" s="1" t="s">
        <v>568</v>
      </c>
      <c r="S1851" s="1" t="s">
        <v>44</v>
      </c>
      <c r="T1851" s="1" t="s">
        <v>45</v>
      </c>
      <c r="U1851" s="1">
        <v>4.82123134E8</v>
      </c>
      <c r="W1851" s="1" t="s">
        <v>498</v>
      </c>
      <c r="X1851" s="1" t="s">
        <v>45</v>
      </c>
      <c r="Y1851" s="1">
        <v>4.82123134E8</v>
      </c>
      <c r="Z1851" s="1">
        <v>9.60742484E8</v>
      </c>
      <c r="AB1851" s="1">
        <v>328310.0</v>
      </c>
      <c r="AC1851" s="2">
        <v>41878.0</v>
      </c>
      <c r="AD1851" s="1">
        <v>9100.0</v>
      </c>
      <c r="AE1851" s="1" t="s">
        <v>194</v>
      </c>
      <c r="AF1851" s="1" t="s">
        <v>3453</v>
      </c>
      <c r="AG1851" s="1" t="s">
        <v>1170</v>
      </c>
      <c r="AH1851" s="1">
        <v>1.0</v>
      </c>
      <c r="AI1851" s="1">
        <v>2015.0</v>
      </c>
      <c r="AJ1851" s="1">
        <v>2014.0</v>
      </c>
      <c r="AK1851" s="1" t="s">
        <v>1171</v>
      </c>
    </row>
    <row r="1852">
      <c r="A1852" s="1" t="s">
        <v>3413</v>
      </c>
      <c r="B1852" s="1" t="s">
        <v>3413</v>
      </c>
      <c r="C1852" s="1" t="s">
        <v>194</v>
      </c>
      <c r="E1852" s="1">
        <v>5.21188032E8</v>
      </c>
      <c r="F1852" s="2">
        <v>41878.0</v>
      </c>
      <c r="G1852" s="1" t="s">
        <v>1168</v>
      </c>
      <c r="I1852" s="1" t="s">
        <v>1168</v>
      </c>
      <c r="L1852" s="1" t="s">
        <v>194</v>
      </c>
      <c r="M1852" s="1">
        <v>9100.0</v>
      </c>
      <c r="N1852" s="1" t="s">
        <v>194</v>
      </c>
      <c r="O1852" s="1">
        <v>3.7602699E7</v>
      </c>
      <c r="P1852" s="1" t="s">
        <v>535</v>
      </c>
      <c r="Q1852" s="1" t="s">
        <v>3454</v>
      </c>
      <c r="R1852" s="1" t="s">
        <v>536</v>
      </c>
      <c r="S1852" s="1" t="s">
        <v>44</v>
      </c>
      <c r="T1852" s="1" t="s">
        <v>45</v>
      </c>
      <c r="U1852" s="1">
        <v>4.82052545E8</v>
      </c>
      <c r="W1852" s="1" t="s">
        <v>46</v>
      </c>
      <c r="X1852" s="1" t="s">
        <v>45</v>
      </c>
      <c r="Y1852" s="1">
        <v>4.82052545E8</v>
      </c>
      <c r="Z1852" s="1">
        <v>3.9867106E7</v>
      </c>
      <c r="AA1852" s="1" t="s">
        <v>3455</v>
      </c>
      <c r="AB1852" s="1">
        <v>364060.0</v>
      </c>
      <c r="AC1852" s="2">
        <v>41878.0</v>
      </c>
      <c r="AD1852" s="1">
        <v>9100.0</v>
      </c>
      <c r="AE1852" s="1" t="s">
        <v>194</v>
      </c>
      <c r="AF1852" s="1" t="s">
        <v>3456</v>
      </c>
      <c r="AG1852" s="1" t="s">
        <v>1170</v>
      </c>
      <c r="AH1852" s="1">
        <v>1.0</v>
      </c>
      <c r="AI1852" s="1">
        <v>2015.0</v>
      </c>
      <c r="AJ1852" s="1">
        <v>2014.0</v>
      </c>
      <c r="AK1852" s="1" t="s">
        <v>1171</v>
      </c>
    </row>
    <row r="1853">
      <c r="A1853" s="1" t="s">
        <v>3413</v>
      </c>
      <c r="B1853" s="1" t="s">
        <v>3413</v>
      </c>
      <c r="C1853" s="1" t="s">
        <v>194</v>
      </c>
      <c r="E1853" s="1">
        <v>5.21188032E8</v>
      </c>
      <c r="F1853" s="2">
        <v>41878.0</v>
      </c>
      <c r="G1853" s="1" t="s">
        <v>1168</v>
      </c>
      <c r="I1853" s="1" t="s">
        <v>1168</v>
      </c>
      <c r="L1853" s="1" t="s">
        <v>194</v>
      </c>
      <c r="M1853" s="1">
        <v>9100.0</v>
      </c>
      <c r="N1853" s="1" t="s">
        <v>194</v>
      </c>
      <c r="O1853" s="1">
        <v>1.23577707E8</v>
      </c>
      <c r="P1853" s="1" t="s">
        <v>563</v>
      </c>
      <c r="Q1853" s="1" t="s">
        <v>1191</v>
      </c>
      <c r="R1853" s="1" t="s">
        <v>565</v>
      </c>
      <c r="S1853" s="1" t="s">
        <v>44</v>
      </c>
      <c r="T1853" s="1" t="s">
        <v>45</v>
      </c>
      <c r="U1853" s="1">
        <v>4.8228333E8</v>
      </c>
      <c r="W1853" s="1" t="s">
        <v>44</v>
      </c>
      <c r="X1853" s="1" t="s">
        <v>45</v>
      </c>
      <c r="Y1853" s="1">
        <v>4.82283396E8</v>
      </c>
      <c r="Z1853" s="1">
        <v>9.60742484E8</v>
      </c>
      <c r="AB1853" s="1">
        <v>427044.0</v>
      </c>
      <c r="AC1853" s="2">
        <v>41878.0</v>
      </c>
      <c r="AD1853" s="1">
        <v>9100.0</v>
      </c>
      <c r="AE1853" s="1" t="s">
        <v>194</v>
      </c>
      <c r="AF1853" s="1" t="s">
        <v>3457</v>
      </c>
      <c r="AG1853" s="1" t="s">
        <v>1170</v>
      </c>
      <c r="AH1853" s="1">
        <v>1.0</v>
      </c>
      <c r="AI1853" s="1">
        <v>2015.0</v>
      </c>
      <c r="AJ1853" s="1">
        <v>2014.0</v>
      </c>
      <c r="AK1853" s="1" t="s">
        <v>1171</v>
      </c>
    </row>
    <row r="1854">
      <c r="A1854" s="1" t="s">
        <v>3413</v>
      </c>
      <c r="B1854" s="1" t="s">
        <v>3413</v>
      </c>
      <c r="C1854" s="1" t="s">
        <v>194</v>
      </c>
      <c r="E1854" s="1">
        <v>5.21188032E8</v>
      </c>
      <c r="F1854" s="2">
        <v>41878.0</v>
      </c>
      <c r="G1854" s="1" t="s">
        <v>1168</v>
      </c>
      <c r="I1854" s="1" t="s">
        <v>1168</v>
      </c>
      <c r="L1854" s="1" t="s">
        <v>194</v>
      </c>
      <c r="M1854" s="1">
        <v>9100.0</v>
      </c>
      <c r="N1854" s="1" t="s">
        <v>194</v>
      </c>
      <c r="O1854" s="1">
        <v>1.9859285E7</v>
      </c>
      <c r="P1854" s="1" t="s">
        <v>1172</v>
      </c>
      <c r="R1854" s="1" t="s">
        <v>1173</v>
      </c>
      <c r="S1854" s="1" t="s">
        <v>44</v>
      </c>
      <c r="T1854" s="1" t="s">
        <v>45</v>
      </c>
      <c r="U1854" s="1">
        <v>4.82191263E8</v>
      </c>
      <c r="W1854" s="1" t="s">
        <v>44</v>
      </c>
      <c r="X1854" s="1" t="s">
        <v>45</v>
      </c>
      <c r="Y1854" s="1">
        <v>4.82191263E8</v>
      </c>
      <c r="Z1854" s="1">
        <v>3.9867288E7</v>
      </c>
      <c r="AA1854" s="1" t="s">
        <v>1192</v>
      </c>
      <c r="AB1854" s="1">
        <v>166364.0</v>
      </c>
      <c r="AC1854" s="2">
        <v>41878.0</v>
      </c>
      <c r="AD1854" s="1">
        <v>9100.0</v>
      </c>
      <c r="AE1854" s="1" t="s">
        <v>194</v>
      </c>
      <c r="AF1854" s="1" t="s">
        <v>3458</v>
      </c>
      <c r="AG1854" s="1" t="s">
        <v>1170</v>
      </c>
      <c r="AH1854" s="1">
        <v>1.0</v>
      </c>
      <c r="AI1854" s="1">
        <v>2015.0</v>
      </c>
      <c r="AJ1854" s="1">
        <v>2014.0</v>
      </c>
      <c r="AK1854" s="1" t="s">
        <v>1171</v>
      </c>
    </row>
    <row r="1855">
      <c r="A1855" s="1" t="s">
        <v>3397</v>
      </c>
      <c r="B1855" s="1" t="s">
        <v>3397</v>
      </c>
      <c r="C1855" s="1" t="s">
        <v>194</v>
      </c>
      <c r="E1855" s="1">
        <v>2.29266E7</v>
      </c>
      <c r="F1855" s="2">
        <v>41815.0</v>
      </c>
      <c r="G1855" s="1" t="s">
        <v>3398</v>
      </c>
      <c r="I1855" s="1" t="s">
        <v>3398</v>
      </c>
      <c r="L1855" s="1" t="s">
        <v>194</v>
      </c>
      <c r="M1855" s="1">
        <v>9100.0</v>
      </c>
      <c r="N1855" s="1" t="s">
        <v>194</v>
      </c>
      <c r="O1855" s="1">
        <v>9.6395723E7</v>
      </c>
      <c r="P1855" s="1" t="s">
        <v>3459</v>
      </c>
      <c r="R1855" s="1" t="s">
        <v>3460</v>
      </c>
      <c r="S1855" s="1" t="s">
        <v>44</v>
      </c>
      <c r="T1855" s="1" t="s">
        <v>45</v>
      </c>
      <c r="U1855" s="1">
        <v>4.82191602E8</v>
      </c>
      <c r="W1855" s="1" t="s">
        <v>1087</v>
      </c>
      <c r="X1855" s="1" t="s">
        <v>45</v>
      </c>
      <c r="Y1855" s="1">
        <v>4.82191602E8</v>
      </c>
      <c r="AB1855" s="1">
        <v>66973.39</v>
      </c>
      <c r="AC1855" s="2">
        <v>41815.0</v>
      </c>
      <c r="AD1855" s="1">
        <v>9100.0</v>
      </c>
      <c r="AE1855" s="1" t="s">
        <v>194</v>
      </c>
      <c r="AF1855" s="1" t="s">
        <v>3461</v>
      </c>
      <c r="AG1855" s="1" t="s">
        <v>3462</v>
      </c>
      <c r="AH1855" s="1">
        <v>1.0</v>
      </c>
      <c r="AI1855" s="1">
        <v>2015.0</v>
      </c>
      <c r="AJ1855" s="1">
        <v>2014.0</v>
      </c>
      <c r="AK1855" s="1" t="s">
        <v>3403</v>
      </c>
    </row>
    <row r="1856">
      <c r="A1856" s="1" t="s">
        <v>3397</v>
      </c>
      <c r="B1856" s="1" t="s">
        <v>3397</v>
      </c>
      <c r="C1856" s="1" t="s">
        <v>194</v>
      </c>
      <c r="E1856" s="1">
        <v>2.29266E7</v>
      </c>
      <c r="F1856" s="2">
        <v>41396.0</v>
      </c>
      <c r="G1856" s="1" t="s">
        <v>3398</v>
      </c>
      <c r="I1856" s="1" t="s">
        <v>3398</v>
      </c>
      <c r="L1856" s="1" t="s">
        <v>194</v>
      </c>
      <c r="M1856" s="1">
        <v>9100.0</v>
      </c>
      <c r="N1856" s="1" t="s">
        <v>194</v>
      </c>
      <c r="O1856" s="1">
        <v>7.8790684E7</v>
      </c>
      <c r="P1856" s="1" t="s">
        <v>3463</v>
      </c>
      <c r="R1856" s="1" t="s">
        <v>610</v>
      </c>
      <c r="S1856" s="1" t="s">
        <v>44</v>
      </c>
      <c r="T1856" s="1" t="s">
        <v>45</v>
      </c>
      <c r="U1856" s="1">
        <v>4.8235168E8</v>
      </c>
      <c r="W1856" s="1" t="s">
        <v>46</v>
      </c>
      <c r="X1856" s="1" t="s">
        <v>45</v>
      </c>
      <c r="Y1856" s="1">
        <v>4.82133112E8</v>
      </c>
      <c r="AB1856" s="1">
        <v>105615.0</v>
      </c>
      <c r="AC1856" s="2">
        <v>41396.0</v>
      </c>
      <c r="AD1856" s="1">
        <v>9100.0</v>
      </c>
      <c r="AE1856" s="1" t="s">
        <v>194</v>
      </c>
      <c r="AF1856" s="1" t="s">
        <v>3464</v>
      </c>
      <c r="AG1856" s="1" t="s">
        <v>3402</v>
      </c>
      <c r="AH1856" s="1">
        <v>1.0</v>
      </c>
      <c r="AI1856" s="1">
        <v>2015.0</v>
      </c>
      <c r="AJ1856" s="1">
        <v>2013.0</v>
      </c>
      <c r="AK1856" s="1" t="s">
        <v>3403</v>
      </c>
    </row>
    <row r="1857">
      <c r="A1857" s="1" t="s">
        <v>3397</v>
      </c>
      <c r="B1857" s="1" t="s">
        <v>3397</v>
      </c>
      <c r="C1857" s="1" t="s">
        <v>194</v>
      </c>
      <c r="E1857" s="1">
        <v>2.29266E7</v>
      </c>
      <c r="F1857" s="2">
        <v>41374.0</v>
      </c>
      <c r="G1857" s="1" t="s">
        <v>3398</v>
      </c>
      <c r="I1857" s="1" t="s">
        <v>3398</v>
      </c>
      <c r="L1857" s="1" t="s">
        <v>194</v>
      </c>
      <c r="M1857" s="1">
        <v>9100.0</v>
      </c>
      <c r="N1857" s="1" t="s">
        <v>194</v>
      </c>
      <c r="O1857" s="1">
        <v>7.8498569E7</v>
      </c>
      <c r="P1857" s="1" t="s">
        <v>1184</v>
      </c>
      <c r="R1857" s="1" t="s">
        <v>506</v>
      </c>
      <c r="S1857" s="1" t="s">
        <v>44</v>
      </c>
      <c r="T1857" s="1" t="s">
        <v>45</v>
      </c>
      <c r="U1857" s="1">
        <v>4.82123572E8</v>
      </c>
      <c r="W1857" s="1" t="s">
        <v>498</v>
      </c>
      <c r="X1857" s="1" t="s">
        <v>45</v>
      </c>
      <c r="Y1857" s="1">
        <v>4.82123572E8</v>
      </c>
      <c r="AB1857" s="1">
        <v>200000.0</v>
      </c>
      <c r="AC1857" s="2">
        <v>41374.0</v>
      </c>
      <c r="AD1857" s="1">
        <v>9100.0</v>
      </c>
      <c r="AE1857" s="1" t="s">
        <v>194</v>
      </c>
      <c r="AF1857" s="1" t="s">
        <v>3465</v>
      </c>
      <c r="AG1857" s="1" t="s">
        <v>3402</v>
      </c>
      <c r="AH1857" s="1">
        <v>1.0</v>
      </c>
      <c r="AI1857" s="1">
        <v>2015.0</v>
      </c>
      <c r="AJ1857" s="1">
        <v>2013.0</v>
      </c>
      <c r="AK1857" s="1" t="s">
        <v>3403</v>
      </c>
    </row>
    <row r="1858">
      <c r="A1858" s="1" t="s">
        <v>3397</v>
      </c>
      <c r="B1858" s="1" t="s">
        <v>3397</v>
      </c>
      <c r="C1858" s="1" t="s">
        <v>194</v>
      </c>
      <c r="E1858" s="1">
        <v>2.29266E7</v>
      </c>
      <c r="F1858" s="2">
        <v>41432.0</v>
      </c>
      <c r="G1858" s="1" t="s">
        <v>3398</v>
      </c>
      <c r="I1858" s="1" t="s">
        <v>3398</v>
      </c>
      <c r="L1858" s="1" t="s">
        <v>194</v>
      </c>
      <c r="M1858" s="1">
        <v>9100.0</v>
      </c>
      <c r="N1858" s="1" t="s">
        <v>194</v>
      </c>
      <c r="O1858" s="1">
        <v>7.0381949E7</v>
      </c>
      <c r="P1858" s="1" t="s">
        <v>605</v>
      </c>
      <c r="R1858" s="1" t="s">
        <v>606</v>
      </c>
      <c r="S1858" s="1" t="s">
        <v>44</v>
      </c>
      <c r="T1858" s="1" t="s">
        <v>45</v>
      </c>
      <c r="U1858" s="1">
        <v>4.82123033E8</v>
      </c>
      <c r="W1858" s="1" t="s">
        <v>607</v>
      </c>
      <c r="X1858" s="1" t="s">
        <v>45</v>
      </c>
      <c r="Y1858" s="1">
        <v>4.82123033E8</v>
      </c>
      <c r="AB1858" s="1">
        <v>150000.0</v>
      </c>
      <c r="AC1858" s="2">
        <v>41432.0</v>
      </c>
      <c r="AD1858" s="1">
        <v>9100.0</v>
      </c>
      <c r="AE1858" s="1" t="s">
        <v>194</v>
      </c>
      <c r="AF1858" s="1" t="s">
        <v>3466</v>
      </c>
      <c r="AG1858" s="1" t="s">
        <v>3402</v>
      </c>
      <c r="AH1858" s="1">
        <v>1.0</v>
      </c>
      <c r="AI1858" s="1">
        <v>2015.0</v>
      </c>
      <c r="AJ1858" s="1">
        <v>2013.0</v>
      </c>
      <c r="AK1858" s="1" t="s">
        <v>3403</v>
      </c>
    </row>
    <row r="1859">
      <c r="A1859" s="1" t="s">
        <v>3397</v>
      </c>
      <c r="B1859" s="1" t="s">
        <v>3397</v>
      </c>
      <c r="C1859" s="1" t="s">
        <v>194</v>
      </c>
      <c r="E1859" s="1">
        <v>2.29266E7</v>
      </c>
      <c r="F1859" s="2">
        <v>41360.0</v>
      </c>
      <c r="G1859" s="1" t="s">
        <v>3398</v>
      </c>
      <c r="I1859" s="1" t="s">
        <v>3398</v>
      </c>
      <c r="L1859" s="1" t="s">
        <v>194</v>
      </c>
      <c r="M1859" s="1">
        <v>9100.0</v>
      </c>
      <c r="N1859" s="1" t="s">
        <v>194</v>
      </c>
      <c r="O1859" s="1">
        <v>3.7602699E7</v>
      </c>
      <c r="P1859" s="1" t="s">
        <v>535</v>
      </c>
      <c r="R1859" s="1" t="s">
        <v>536</v>
      </c>
      <c r="S1859" s="1" t="s">
        <v>44</v>
      </c>
      <c r="T1859" s="1" t="s">
        <v>45</v>
      </c>
      <c r="U1859" s="1">
        <v>4.82052545E8</v>
      </c>
      <c r="W1859" s="1" t="s">
        <v>46</v>
      </c>
      <c r="X1859" s="1" t="s">
        <v>45</v>
      </c>
      <c r="Y1859" s="1">
        <v>4.82052545E8</v>
      </c>
      <c r="AB1859" s="1">
        <v>255000.0</v>
      </c>
      <c r="AC1859" s="2">
        <v>41360.0</v>
      </c>
      <c r="AD1859" s="1">
        <v>9100.0</v>
      </c>
      <c r="AE1859" s="1" t="s">
        <v>194</v>
      </c>
      <c r="AF1859" s="1" t="s">
        <v>3467</v>
      </c>
      <c r="AG1859" s="1" t="s">
        <v>3402</v>
      </c>
      <c r="AH1859" s="1">
        <v>1.0</v>
      </c>
      <c r="AI1859" s="1">
        <v>2015.0</v>
      </c>
      <c r="AJ1859" s="1">
        <v>2013.0</v>
      </c>
      <c r="AK1859" s="1" t="s">
        <v>3403</v>
      </c>
    </row>
    <row r="1860">
      <c r="A1860" s="1" t="s">
        <v>3413</v>
      </c>
      <c r="B1860" s="1" t="s">
        <v>3413</v>
      </c>
      <c r="C1860" s="1" t="s">
        <v>194</v>
      </c>
      <c r="E1860" s="1">
        <v>5.21188032E8</v>
      </c>
      <c r="F1860" s="2">
        <v>41897.0</v>
      </c>
      <c r="G1860" s="1" t="s">
        <v>1168</v>
      </c>
      <c r="I1860" s="1" t="s">
        <v>1168</v>
      </c>
      <c r="L1860" s="1" t="s">
        <v>194</v>
      </c>
      <c r="M1860" s="1">
        <v>9100.0</v>
      </c>
      <c r="N1860" s="1" t="s">
        <v>194</v>
      </c>
      <c r="O1860" s="1">
        <v>7.8577051E7</v>
      </c>
      <c r="P1860" s="1" t="s">
        <v>1680</v>
      </c>
      <c r="R1860" s="1" t="s">
        <v>1681</v>
      </c>
      <c r="S1860" s="1" t="s">
        <v>44</v>
      </c>
      <c r="T1860" s="1" t="s">
        <v>45</v>
      </c>
      <c r="U1860" s="1">
        <v>4.82211457E8</v>
      </c>
      <c r="W1860" s="1" t="s">
        <v>46</v>
      </c>
      <c r="X1860" s="1" t="s">
        <v>45</v>
      </c>
      <c r="Y1860" s="1">
        <v>4.82211457E8</v>
      </c>
      <c r="AB1860" s="1">
        <v>293573.0</v>
      </c>
      <c r="AC1860" s="2">
        <v>41897.0</v>
      </c>
      <c r="AD1860" s="1">
        <v>9100.0</v>
      </c>
      <c r="AE1860" s="1" t="s">
        <v>194</v>
      </c>
      <c r="AF1860" s="1" t="s">
        <v>3468</v>
      </c>
      <c r="AG1860" s="1" t="s">
        <v>3000</v>
      </c>
      <c r="AH1860" s="1">
        <v>1.0</v>
      </c>
      <c r="AI1860" s="1">
        <v>2015.0</v>
      </c>
      <c r="AJ1860" s="1">
        <v>2014.0</v>
      </c>
      <c r="AK1860" s="1" t="s">
        <v>1171</v>
      </c>
    </row>
    <row r="1861">
      <c r="A1861" s="1" t="s">
        <v>3397</v>
      </c>
      <c r="B1861" s="1" t="s">
        <v>3397</v>
      </c>
      <c r="C1861" s="1" t="s">
        <v>194</v>
      </c>
      <c r="E1861" s="1">
        <v>2.29266E7</v>
      </c>
      <c r="F1861" s="2">
        <v>41570.0</v>
      </c>
      <c r="G1861" s="1" t="s">
        <v>3398</v>
      </c>
      <c r="I1861" s="1" t="s">
        <v>3398</v>
      </c>
      <c r="L1861" s="1" t="s">
        <v>194</v>
      </c>
      <c r="M1861" s="1">
        <v>9100.0</v>
      </c>
      <c r="N1861" s="1" t="s">
        <v>194</v>
      </c>
      <c r="O1861" s="1">
        <v>1.9859285E7</v>
      </c>
      <c r="P1861" s="1" t="s">
        <v>1172</v>
      </c>
      <c r="R1861" s="1" t="s">
        <v>1173</v>
      </c>
      <c r="S1861" s="1" t="s">
        <v>44</v>
      </c>
      <c r="T1861" s="1" t="s">
        <v>45</v>
      </c>
      <c r="U1861" s="1">
        <v>4.82191263E8</v>
      </c>
      <c r="W1861" s="1" t="s">
        <v>44</v>
      </c>
      <c r="X1861" s="1" t="s">
        <v>45</v>
      </c>
      <c r="Y1861" s="1">
        <v>4.82191263E8</v>
      </c>
      <c r="AB1861" s="1">
        <v>200000.0</v>
      </c>
      <c r="AC1861" s="2">
        <v>41570.0</v>
      </c>
      <c r="AD1861" s="1">
        <v>9100.0</v>
      </c>
      <c r="AE1861" s="1" t="s">
        <v>194</v>
      </c>
      <c r="AF1861" s="1" t="s">
        <v>3469</v>
      </c>
      <c r="AG1861" s="1" t="s">
        <v>3402</v>
      </c>
      <c r="AH1861" s="1">
        <v>1.0</v>
      </c>
      <c r="AI1861" s="1">
        <v>2015.0</v>
      </c>
      <c r="AJ1861" s="1">
        <v>2014.0</v>
      </c>
      <c r="AK1861" s="1" t="s">
        <v>3403</v>
      </c>
    </row>
    <row r="1862">
      <c r="A1862" s="1" t="s">
        <v>3413</v>
      </c>
      <c r="B1862" s="1" t="s">
        <v>3413</v>
      </c>
      <c r="C1862" s="1" t="s">
        <v>194</v>
      </c>
      <c r="E1862" s="1">
        <v>5.21188032E8</v>
      </c>
      <c r="F1862" s="2">
        <v>41897.0</v>
      </c>
      <c r="G1862" s="1" t="s">
        <v>1168</v>
      </c>
      <c r="I1862" s="1" t="s">
        <v>1168</v>
      </c>
      <c r="L1862" s="1" t="s">
        <v>194</v>
      </c>
      <c r="M1862" s="1">
        <v>9100.0</v>
      </c>
      <c r="N1862" s="1" t="s">
        <v>194</v>
      </c>
      <c r="O1862" s="1">
        <v>3.9866801E7</v>
      </c>
      <c r="P1862" s="1" t="s">
        <v>612</v>
      </c>
      <c r="R1862" s="1" t="s">
        <v>613</v>
      </c>
      <c r="S1862" s="1" t="s">
        <v>44</v>
      </c>
      <c r="T1862" s="1" t="s">
        <v>45</v>
      </c>
      <c r="U1862" s="1">
        <v>4.8212E8</v>
      </c>
      <c r="W1862" s="1" t="s">
        <v>607</v>
      </c>
      <c r="X1862" s="1" t="s">
        <v>45</v>
      </c>
      <c r="Y1862" s="1">
        <v>4.82120012E8</v>
      </c>
      <c r="Z1862" s="1">
        <v>3.9866801E7</v>
      </c>
      <c r="AA1862" s="1" t="s">
        <v>612</v>
      </c>
      <c r="AB1862" s="1">
        <v>3836153.0</v>
      </c>
      <c r="AC1862" s="2">
        <v>41897.0</v>
      </c>
      <c r="AD1862" s="1">
        <v>9100.0</v>
      </c>
      <c r="AE1862" s="1" t="s">
        <v>194</v>
      </c>
      <c r="AF1862" s="1" t="s">
        <v>3470</v>
      </c>
      <c r="AG1862" s="1" t="s">
        <v>3000</v>
      </c>
      <c r="AH1862" s="1">
        <v>1.0</v>
      </c>
      <c r="AI1862" s="1">
        <v>2015.0</v>
      </c>
      <c r="AJ1862" s="1">
        <v>2014.0</v>
      </c>
      <c r="AK1862" s="1" t="s">
        <v>1171</v>
      </c>
    </row>
    <row r="1863">
      <c r="A1863" s="1" t="s">
        <v>3413</v>
      </c>
      <c r="B1863" s="1" t="s">
        <v>3413</v>
      </c>
      <c r="C1863" s="1" t="s">
        <v>194</v>
      </c>
      <c r="E1863" s="1">
        <v>5.21188032E8</v>
      </c>
      <c r="F1863" s="2">
        <v>41956.0</v>
      </c>
      <c r="G1863" s="1" t="s">
        <v>1168</v>
      </c>
      <c r="I1863" s="1" t="s">
        <v>1168</v>
      </c>
      <c r="L1863" s="1" t="s">
        <v>194</v>
      </c>
      <c r="M1863" s="1">
        <v>9100.0</v>
      </c>
      <c r="N1863" s="1" t="s">
        <v>194</v>
      </c>
      <c r="O1863" s="1">
        <v>8.32093392E8</v>
      </c>
      <c r="P1863" s="1" t="s">
        <v>769</v>
      </c>
      <c r="Q1863" s="1" t="s">
        <v>626</v>
      </c>
      <c r="R1863" s="1" t="s">
        <v>770</v>
      </c>
      <c r="S1863" s="1" t="s">
        <v>44</v>
      </c>
      <c r="T1863" s="1" t="s">
        <v>45</v>
      </c>
      <c r="U1863" s="1">
        <v>4.82354205E8</v>
      </c>
      <c r="W1863" s="1" t="s">
        <v>44</v>
      </c>
      <c r="X1863" s="1" t="s">
        <v>45</v>
      </c>
      <c r="Y1863" s="1">
        <v>4.82354205E8</v>
      </c>
      <c r="Z1863" s="1">
        <v>7.6340843E7</v>
      </c>
      <c r="AA1863" s="1" t="s">
        <v>461</v>
      </c>
      <c r="AB1863" s="1">
        <v>143768.0</v>
      </c>
      <c r="AC1863" s="2">
        <v>41956.0</v>
      </c>
      <c r="AD1863" s="1">
        <v>9100.0</v>
      </c>
      <c r="AE1863" s="1" t="s">
        <v>194</v>
      </c>
      <c r="AF1863" s="1" t="s">
        <v>3471</v>
      </c>
      <c r="AG1863" s="1" t="s">
        <v>1170</v>
      </c>
      <c r="AH1863" s="1">
        <v>1.0</v>
      </c>
      <c r="AI1863" s="1">
        <v>2015.0</v>
      </c>
      <c r="AJ1863" s="1">
        <v>2015.0</v>
      </c>
      <c r="AK1863" s="1" t="s">
        <v>1171</v>
      </c>
    </row>
    <row r="1864">
      <c r="A1864" s="1" t="s">
        <v>3413</v>
      </c>
      <c r="B1864" s="1" t="s">
        <v>3413</v>
      </c>
      <c r="C1864" s="1" t="s">
        <v>194</v>
      </c>
      <c r="E1864" s="1">
        <v>5.21188032E8</v>
      </c>
      <c r="F1864" s="2">
        <v>41948.0</v>
      </c>
      <c r="G1864" s="1" t="s">
        <v>1168</v>
      </c>
      <c r="I1864" s="1" t="s">
        <v>1168</v>
      </c>
      <c r="L1864" s="1" t="s">
        <v>194</v>
      </c>
      <c r="M1864" s="1">
        <v>9100.0</v>
      </c>
      <c r="N1864" s="1" t="s">
        <v>194</v>
      </c>
      <c r="O1864" s="1">
        <v>7.6340843E7</v>
      </c>
      <c r="P1864" s="1" t="s">
        <v>461</v>
      </c>
      <c r="Q1864" s="1" t="s">
        <v>3427</v>
      </c>
      <c r="R1864" s="1" t="s">
        <v>1599</v>
      </c>
      <c r="S1864" s="1" t="s">
        <v>44</v>
      </c>
      <c r="T1864" s="1" t="s">
        <v>45</v>
      </c>
      <c r="U1864" s="1">
        <v>4.8202301E8</v>
      </c>
      <c r="W1864" s="1" t="s">
        <v>44</v>
      </c>
      <c r="X1864" s="1" t="s">
        <v>45</v>
      </c>
      <c r="Y1864" s="1">
        <v>4.82023096E8</v>
      </c>
      <c r="Z1864" s="1">
        <v>7.6340843E7</v>
      </c>
      <c r="AA1864" s="1" t="s">
        <v>461</v>
      </c>
      <c r="AB1864" s="1">
        <v>1.0920153E8</v>
      </c>
      <c r="AC1864" s="2">
        <v>41948.0</v>
      </c>
      <c r="AD1864" s="1">
        <v>9100.0</v>
      </c>
      <c r="AE1864" s="1" t="s">
        <v>194</v>
      </c>
      <c r="AF1864" s="1" t="s">
        <v>3414</v>
      </c>
      <c r="AG1864" s="1" t="s">
        <v>1170</v>
      </c>
      <c r="AH1864" s="1">
        <v>1.0</v>
      </c>
      <c r="AI1864" s="1">
        <v>2015.0</v>
      </c>
      <c r="AJ1864" s="1">
        <v>2015.0</v>
      </c>
      <c r="AK1864" s="1" t="s">
        <v>1171</v>
      </c>
    </row>
    <row r="1865">
      <c r="A1865" s="1" t="s">
        <v>3472</v>
      </c>
      <c r="B1865" s="1" t="s">
        <v>3472</v>
      </c>
      <c r="C1865" s="1" t="s">
        <v>194</v>
      </c>
      <c r="E1865" s="1">
        <v>8.9168336E7</v>
      </c>
      <c r="F1865" s="2">
        <v>41974.0</v>
      </c>
      <c r="G1865" s="1" t="s">
        <v>458</v>
      </c>
      <c r="I1865" s="1" t="s">
        <v>458</v>
      </c>
      <c r="L1865" s="1" t="s">
        <v>194</v>
      </c>
      <c r="M1865" s="1">
        <v>9100.0</v>
      </c>
      <c r="N1865" s="1" t="s">
        <v>194</v>
      </c>
      <c r="O1865" s="1">
        <v>8.29630537E8</v>
      </c>
      <c r="P1865" s="1" t="s">
        <v>531</v>
      </c>
      <c r="Q1865" s="1" t="s">
        <v>532</v>
      </c>
      <c r="R1865" s="1" t="s">
        <v>533</v>
      </c>
      <c r="S1865" s="1" t="s">
        <v>44</v>
      </c>
      <c r="T1865" s="1" t="s">
        <v>45</v>
      </c>
      <c r="U1865" s="1">
        <v>4.8219181E8</v>
      </c>
      <c r="W1865" s="1" t="s">
        <v>44</v>
      </c>
      <c r="X1865" s="1" t="s">
        <v>45</v>
      </c>
      <c r="Y1865" s="1">
        <v>4.8219181E8</v>
      </c>
      <c r="Z1865" s="1">
        <v>6.9827459E7</v>
      </c>
      <c r="AA1865" s="1" t="s">
        <v>1663</v>
      </c>
      <c r="AB1865" s="1">
        <v>49800.0</v>
      </c>
      <c r="AC1865" s="2">
        <v>41974.0</v>
      </c>
      <c r="AD1865" s="1">
        <v>9100.0</v>
      </c>
      <c r="AE1865" s="1" t="s">
        <v>194</v>
      </c>
      <c r="AF1865" s="1" t="s">
        <v>3473</v>
      </c>
      <c r="AG1865" s="1" t="s">
        <v>463</v>
      </c>
      <c r="AH1865" s="1">
        <v>1.0</v>
      </c>
      <c r="AI1865" s="1">
        <v>2015.0</v>
      </c>
      <c r="AJ1865" s="1">
        <v>2015.0</v>
      </c>
      <c r="AK1865" s="1" t="s">
        <v>277</v>
      </c>
    </row>
    <row r="1866">
      <c r="A1866" s="1" t="s">
        <v>3413</v>
      </c>
      <c r="B1866" s="1" t="s">
        <v>3413</v>
      </c>
      <c r="C1866" s="1" t="s">
        <v>194</v>
      </c>
      <c r="E1866" s="1">
        <v>5.21188032E8</v>
      </c>
      <c r="F1866" s="2">
        <v>41946.0</v>
      </c>
      <c r="G1866" s="1" t="s">
        <v>1168</v>
      </c>
      <c r="I1866" s="1" t="s">
        <v>1168</v>
      </c>
      <c r="L1866" s="1" t="s">
        <v>194</v>
      </c>
      <c r="M1866" s="1">
        <v>9100.0</v>
      </c>
      <c r="N1866" s="1" t="s">
        <v>194</v>
      </c>
      <c r="O1866" s="1">
        <v>2.5773859E7</v>
      </c>
      <c r="P1866" s="1" t="s">
        <v>872</v>
      </c>
      <c r="Q1866" s="1" t="s">
        <v>3474</v>
      </c>
      <c r="R1866" s="1" t="s">
        <v>873</v>
      </c>
      <c r="S1866" s="1" t="s">
        <v>44</v>
      </c>
      <c r="T1866" s="1" t="s">
        <v>45</v>
      </c>
      <c r="U1866" s="1">
        <v>4.82042042E8</v>
      </c>
      <c r="W1866" s="1" t="s">
        <v>44</v>
      </c>
      <c r="X1866" s="1" t="s">
        <v>45</v>
      </c>
      <c r="Y1866" s="1">
        <v>4.82042042E8</v>
      </c>
      <c r="Z1866" s="1">
        <v>9.60742484E8</v>
      </c>
      <c r="AB1866" s="1">
        <v>561496.0</v>
      </c>
      <c r="AC1866" s="2">
        <v>41946.0</v>
      </c>
      <c r="AD1866" s="1">
        <v>9100.0</v>
      </c>
      <c r="AE1866" s="1" t="s">
        <v>194</v>
      </c>
      <c r="AF1866" s="1" t="s">
        <v>3475</v>
      </c>
      <c r="AG1866" s="1" t="s">
        <v>1170</v>
      </c>
      <c r="AH1866" s="1">
        <v>1.0</v>
      </c>
      <c r="AI1866" s="1">
        <v>2015.0</v>
      </c>
      <c r="AJ1866" s="1">
        <v>2015.0</v>
      </c>
      <c r="AK1866" s="1" t="s">
        <v>1171</v>
      </c>
    </row>
    <row r="1867">
      <c r="A1867" s="1" t="s">
        <v>3413</v>
      </c>
      <c r="B1867" s="1" t="s">
        <v>3413</v>
      </c>
      <c r="C1867" s="1" t="s">
        <v>194</v>
      </c>
      <c r="E1867" s="1">
        <v>5.21188032E8</v>
      </c>
      <c r="F1867" s="2">
        <v>41941.0</v>
      </c>
      <c r="G1867" s="1" t="s">
        <v>1168</v>
      </c>
      <c r="I1867" s="1" t="s">
        <v>1168</v>
      </c>
      <c r="L1867" s="1" t="s">
        <v>194</v>
      </c>
      <c r="M1867" s="1">
        <v>9100.0</v>
      </c>
      <c r="N1867" s="1" t="s">
        <v>194</v>
      </c>
      <c r="O1867" s="1">
        <v>7.93697942E8</v>
      </c>
      <c r="P1867" s="1" t="s">
        <v>459</v>
      </c>
      <c r="Q1867" s="1" t="s">
        <v>3476</v>
      </c>
      <c r="R1867" s="1" t="s">
        <v>460</v>
      </c>
      <c r="S1867" s="1" t="s">
        <v>44</v>
      </c>
      <c r="T1867" s="1" t="s">
        <v>45</v>
      </c>
      <c r="U1867" s="1">
        <v>4.82141601E8</v>
      </c>
      <c r="W1867" s="1" t="s">
        <v>44</v>
      </c>
      <c r="X1867" s="1" t="s">
        <v>45</v>
      </c>
      <c r="Y1867" s="1">
        <v>4.82141601E8</v>
      </c>
      <c r="Z1867" s="1">
        <v>7.6340843E7</v>
      </c>
      <c r="AA1867" s="1" t="s">
        <v>461</v>
      </c>
      <c r="AB1867" s="1">
        <v>297205.0</v>
      </c>
      <c r="AC1867" s="2">
        <v>41941.0</v>
      </c>
      <c r="AD1867" s="1">
        <v>9100.0</v>
      </c>
      <c r="AE1867" s="1" t="s">
        <v>194</v>
      </c>
      <c r="AF1867" s="1" t="s">
        <v>3477</v>
      </c>
      <c r="AG1867" s="1" t="s">
        <v>1170</v>
      </c>
      <c r="AH1867" s="1">
        <v>1.0</v>
      </c>
      <c r="AI1867" s="1">
        <v>2015.0</v>
      </c>
      <c r="AJ1867" s="1">
        <v>2015.0</v>
      </c>
      <c r="AK1867" s="1" t="s">
        <v>1171</v>
      </c>
    </row>
    <row r="1868">
      <c r="A1868" s="1" t="s">
        <v>3472</v>
      </c>
      <c r="B1868" s="1" t="s">
        <v>3472</v>
      </c>
      <c r="C1868" s="1" t="s">
        <v>194</v>
      </c>
      <c r="E1868" s="1">
        <v>8.9168336E7</v>
      </c>
      <c r="F1868" s="2">
        <v>41948.0</v>
      </c>
      <c r="G1868" s="1" t="s">
        <v>458</v>
      </c>
      <c r="I1868" s="1" t="s">
        <v>458</v>
      </c>
      <c r="L1868" s="1" t="s">
        <v>194</v>
      </c>
      <c r="M1868" s="1">
        <v>9100.0</v>
      </c>
      <c r="N1868" s="1" t="s">
        <v>194</v>
      </c>
      <c r="O1868" s="1">
        <v>7.6340843E7</v>
      </c>
      <c r="P1868" s="1" t="s">
        <v>461</v>
      </c>
      <c r="R1868" s="1" t="s">
        <v>1599</v>
      </c>
      <c r="S1868" s="1" t="s">
        <v>44</v>
      </c>
      <c r="T1868" s="1" t="s">
        <v>45</v>
      </c>
      <c r="U1868" s="1">
        <v>4.8202301E8</v>
      </c>
      <c r="W1868" s="1" t="s">
        <v>44</v>
      </c>
      <c r="X1868" s="1" t="s">
        <v>45</v>
      </c>
      <c r="Y1868" s="1">
        <v>4.82023096E8</v>
      </c>
      <c r="Z1868" s="1">
        <v>7.6340843E7</v>
      </c>
      <c r="AA1868" s="1" t="s">
        <v>461</v>
      </c>
      <c r="AB1868" s="1">
        <v>1.6734906E7</v>
      </c>
      <c r="AC1868" s="2">
        <v>41948.0</v>
      </c>
      <c r="AD1868" s="1">
        <v>9100.0</v>
      </c>
      <c r="AE1868" s="1" t="s">
        <v>194</v>
      </c>
      <c r="AF1868" s="1" t="s">
        <v>3478</v>
      </c>
      <c r="AG1868" s="1" t="s">
        <v>463</v>
      </c>
      <c r="AH1868" s="1">
        <v>1.0</v>
      </c>
      <c r="AI1868" s="1">
        <v>2015.0</v>
      </c>
      <c r="AJ1868" s="1">
        <v>2015.0</v>
      </c>
      <c r="AK1868" s="1" t="s">
        <v>277</v>
      </c>
    </row>
    <row r="1869">
      <c r="A1869" s="1" t="s">
        <v>3413</v>
      </c>
      <c r="B1869" s="1" t="s">
        <v>3413</v>
      </c>
      <c r="C1869" s="1" t="s">
        <v>194</v>
      </c>
      <c r="E1869" s="1">
        <v>5.21188032E8</v>
      </c>
      <c r="F1869" s="2">
        <v>41925.0</v>
      </c>
      <c r="G1869" s="1" t="s">
        <v>1168</v>
      </c>
      <c r="I1869" s="1" t="s">
        <v>1168</v>
      </c>
      <c r="L1869" s="1" t="s">
        <v>194</v>
      </c>
      <c r="M1869" s="1">
        <v>9100.0</v>
      </c>
      <c r="N1869" s="1" t="s">
        <v>194</v>
      </c>
      <c r="O1869" s="1">
        <v>7.8465647E7</v>
      </c>
      <c r="P1869" s="1" t="s">
        <v>1176</v>
      </c>
      <c r="Q1869" s="1" t="s">
        <v>3479</v>
      </c>
      <c r="R1869" s="1" t="s">
        <v>1178</v>
      </c>
      <c r="S1869" s="1" t="s">
        <v>44</v>
      </c>
      <c r="T1869" s="1" t="s">
        <v>45</v>
      </c>
      <c r="U1869" s="1">
        <v>4.82281142E8</v>
      </c>
      <c r="W1869" s="1" t="s">
        <v>44</v>
      </c>
      <c r="X1869" s="1" t="s">
        <v>45</v>
      </c>
      <c r="Y1869" s="1">
        <v>4.82281142E8</v>
      </c>
      <c r="Z1869" s="1">
        <v>2.0795352E7</v>
      </c>
      <c r="AA1869" s="1" t="s">
        <v>3480</v>
      </c>
      <c r="AB1869" s="1">
        <v>161812.0</v>
      </c>
      <c r="AC1869" s="2">
        <v>41925.0</v>
      </c>
      <c r="AD1869" s="1">
        <v>9100.0</v>
      </c>
      <c r="AE1869" s="1" t="s">
        <v>194</v>
      </c>
      <c r="AF1869" s="1" t="s">
        <v>3481</v>
      </c>
      <c r="AG1869" s="1" t="s">
        <v>1170</v>
      </c>
      <c r="AH1869" s="1">
        <v>1.0</v>
      </c>
      <c r="AI1869" s="1">
        <v>2015.0</v>
      </c>
      <c r="AJ1869" s="1">
        <v>2015.0</v>
      </c>
      <c r="AK1869" s="1" t="s">
        <v>1171</v>
      </c>
    </row>
    <row r="1870">
      <c r="A1870" s="1" t="s">
        <v>3472</v>
      </c>
      <c r="B1870" s="1" t="s">
        <v>3472</v>
      </c>
      <c r="C1870" s="1" t="s">
        <v>194</v>
      </c>
      <c r="E1870" s="1">
        <v>8.9168336E7</v>
      </c>
      <c r="F1870" s="2">
        <v>41922.0</v>
      </c>
      <c r="G1870" s="1" t="s">
        <v>458</v>
      </c>
      <c r="I1870" s="1" t="s">
        <v>458</v>
      </c>
      <c r="L1870" s="1" t="s">
        <v>194</v>
      </c>
      <c r="M1870" s="1">
        <v>9100.0</v>
      </c>
      <c r="N1870" s="1" t="s">
        <v>194</v>
      </c>
      <c r="O1870" s="1">
        <v>7.3832607E7</v>
      </c>
      <c r="P1870" s="1" t="s">
        <v>482</v>
      </c>
      <c r="Q1870" s="1" t="s">
        <v>3424</v>
      </c>
      <c r="R1870" s="1" t="s">
        <v>483</v>
      </c>
      <c r="S1870" s="1" t="s">
        <v>44</v>
      </c>
      <c r="T1870" s="1" t="s">
        <v>45</v>
      </c>
      <c r="U1870" s="1">
        <v>4.82074288E8</v>
      </c>
      <c r="W1870" s="1" t="s">
        <v>44</v>
      </c>
      <c r="X1870" s="1" t="s">
        <v>45</v>
      </c>
      <c r="Y1870" s="1">
        <v>4.82074288E8</v>
      </c>
      <c r="Z1870" s="1">
        <v>9.60742484E8</v>
      </c>
      <c r="AB1870" s="1">
        <v>68280.0</v>
      </c>
      <c r="AC1870" s="2">
        <v>41922.0</v>
      </c>
      <c r="AD1870" s="1">
        <v>9100.0</v>
      </c>
      <c r="AE1870" s="1" t="s">
        <v>194</v>
      </c>
      <c r="AF1870" s="1" t="s">
        <v>3482</v>
      </c>
      <c r="AG1870" s="1" t="s">
        <v>463</v>
      </c>
      <c r="AH1870" s="1">
        <v>1.0</v>
      </c>
      <c r="AI1870" s="1">
        <v>2015.0</v>
      </c>
      <c r="AJ1870" s="1">
        <v>2015.0</v>
      </c>
      <c r="AK1870" s="1" t="s">
        <v>277</v>
      </c>
    </row>
    <row r="1871">
      <c r="A1871" s="1" t="s">
        <v>3472</v>
      </c>
      <c r="B1871" s="1" t="s">
        <v>3472</v>
      </c>
      <c r="C1871" s="1" t="s">
        <v>194</v>
      </c>
      <c r="E1871" s="1">
        <v>8.9168336E7</v>
      </c>
      <c r="F1871" s="2">
        <v>41886.0</v>
      </c>
      <c r="G1871" s="1" t="s">
        <v>458</v>
      </c>
      <c r="I1871" s="1" t="s">
        <v>458</v>
      </c>
      <c r="L1871" s="1" t="s">
        <v>194</v>
      </c>
      <c r="M1871" s="1">
        <v>9100.0</v>
      </c>
      <c r="N1871" s="1" t="s">
        <v>194</v>
      </c>
      <c r="O1871" s="1">
        <v>2.496865E7</v>
      </c>
      <c r="P1871" s="1" t="s">
        <v>609</v>
      </c>
      <c r="R1871" s="1" t="s">
        <v>610</v>
      </c>
      <c r="S1871" s="1" t="s">
        <v>44</v>
      </c>
      <c r="T1871" s="1" t="s">
        <v>45</v>
      </c>
      <c r="U1871" s="1">
        <v>4.8235168E8</v>
      </c>
      <c r="W1871" s="1" t="s">
        <v>46</v>
      </c>
      <c r="X1871" s="1" t="s">
        <v>45</v>
      </c>
      <c r="Y1871" s="1">
        <v>4.8235168E8</v>
      </c>
      <c r="AB1871" s="1">
        <v>31467.0</v>
      </c>
      <c r="AC1871" s="2">
        <v>41886.0</v>
      </c>
      <c r="AD1871" s="1">
        <v>9100.0</v>
      </c>
      <c r="AE1871" s="1" t="s">
        <v>194</v>
      </c>
      <c r="AF1871" s="1" t="s">
        <v>3483</v>
      </c>
      <c r="AG1871" s="1" t="s">
        <v>463</v>
      </c>
      <c r="AH1871" s="1">
        <v>1.0</v>
      </c>
      <c r="AI1871" s="1">
        <v>2015.0</v>
      </c>
      <c r="AJ1871" s="1">
        <v>2014.0</v>
      </c>
      <c r="AK1871" s="1" t="s">
        <v>277</v>
      </c>
    </row>
    <row r="1872">
      <c r="A1872" s="1" t="s">
        <v>3413</v>
      </c>
      <c r="B1872" s="1" t="s">
        <v>3413</v>
      </c>
      <c r="C1872" s="1" t="s">
        <v>194</v>
      </c>
      <c r="E1872" s="1">
        <v>5.21188032E8</v>
      </c>
      <c r="F1872" s="2">
        <v>41887.0</v>
      </c>
      <c r="G1872" s="1" t="s">
        <v>1168</v>
      </c>
      <c r="I1872" s="1" t="s">
        <v>1168</v>
      </c>
      <c r="L1872" s="1" t="s">
        <v>194</v>
      </c>
      <c r="M1872" s="1">
        <v>9100.0</v>
      </c>
      <c r="N1872" s="1" t="s">
        <v>194</v>
      </c>
      <c r="O1872" s="1">
        <v>7.8498569E7</v>
      </c>
      <c r="P1872" s="1" t="s">
        <v>1184</v>
      </c>
      <c r="Q1872" s="1" t="s">
        <v>3484</v>
      </c>
      <c r="R1872" s="1" t="s">
        <v>506</v>
      </c>
      <c r="S1872" s="1" t="s">
        <v>44</v>
      </c>
      <c r="T1872" s="1" t="s">
        <v>45</v>
      </c>
      <c r="U1872" s="1">
        <v>4.82123572E8</v>
      </c>
      <c r="W1872" s="1" t="s">
        <v>498</v>
      </c>
      <c r="X1872" s="1" t="s">
        <v>45</v>
      </c>
      <c r="Y1872" s="1">
        <v>4.82123572E8</v>
      </c>
      <c r="Z1872" s="1">
        <v>8.0349806E7</v>
      </c>
      <c r="AA1872" s="1" t="s">
        <v>3485</v>
      </c>
      <c r="AB1872" s="1">
        <v>46408.0</v>
      </c>
      <c r="AC1872" s="2">
        <v>41887.0</v>
      </c>
      <c r="AD1872" s="1">
        <v>9100.0</v>
      </c>
      <c r="AE1872" s="1" t="s">
        <v>194</v>
      </c>
      <c r="AF1872" s="1" t="s">
        <v>3486</v>
      </c>
      <c r="AG1872" s="1" t="s">
        <v>1170</v>
      </c>
      <c r="AH1872" s="1">
        <v>1.0</v>
      </c>
      <c r="AI1872" s="1">
        <v>2015.0</v>
      </c>
      <c r="AJ1872" s="1">
        <v>2014.0</v>
      </c>
      <c r="AK1872" s="1" t="s">
        <v>1171</v>
      </c>
    </row>
    <row r="1873">
      <c r="A1873" s="1" t="s">
        <v>3413</v>
      </c>
      <c r="B1873" s="1" t="s">
        <v>3413</v>
      </c>
      <c r="C1873" s="1" t="s">
        <v>194</v>
      </c>
      <c r="E1873" s="1">
        <v>5.21188032E8</v>
      </c>
      <c r="F1873" s="2">
        <v>41886.0</v>
      </c>
      <c r="G1873" s="1" t="s">
        <v>1168</v>
      </c>
      <c r="I1873" s="1" t="s">
        <v>1168</v>
      </c>
      <c r="L1873" s="1" t="s">
        <v>194</v>
      </c>
      <c r="M1873" s="1">
        <v>9100.0</v>
      </c>
      <c r="N1873" s="1" t="s">
        <v>194</v>
      </c>
      <c r="O1873" s="1">
        <v>9.65349769E8</v>
      </c>
      <c r="P1873" s="1" t="s">
        <v>465</v>
      </c>
      <c r="Q1873" s="1" t="s">
        <v>466</v>
      </c>
      <c r="R1873" s="1" t="s">
        <v>467</v>
      </c>
      <c r="S1873" s="1" t="s">
        <v>44</v>
      </c>
      <c r="T1873" s="1" t="s">
        <v>45</v>
      </c>
      <c r="U1873" s="1">
        <v>4.8202322E8</v>
      </c>
      <c r="W1873" s="1" t="s">
        <v>44</v>
      </c>
      <c r="X1873" s="1" t="s">
        <v>45</v>
      </c>
      <c r="Y1873" s="1">
        <v>4.8202322E8</v>
      </c>
      <c r="Z1873" s="1">
        <v>1.6338926E8</v>
      </c>
      <c r="AA1873" s="1" t="s">
        <v>465</v>
      </c>
      <c r="AB1873" s="1">
        <v>597563.0</v>
      </c>
      <c r="AC1873" s="2">
        <v>41886.0</v>
      </c>
      <c r="AD1873" s="1">
        <v>9100.0</v>
      </c>
      <c r="AE1873" s="1" t="s">
        <v>194</v>
      </c>
      <c r="AF1873" s="1" t="s">
        <v>3487</v>
      </c>
      <c r="AG1873" s="1" t="s">
        <v>1170</v>
      </c>
      <c r="AH1873" s="1">
        <v>1.0</v>
      </c>
      <c r="AI1873" s="1">
        <v>2015.0</v>
      </c>
      <c r="AJ1873" s="1">
        <v>2014.0</v>
      </c>
      <c r="AK1873" s="1" t="s">
        <v>1171</v>
      </c>
    </row>
    <row r="1874">
      <c r="A1874" s="1" t="s">
        <v>3413</v>
      </c>
      <c r="B1874" s="1" t="s">
        <v>3413</v>
      </c>
      <c r="C1874" s="1" t="s">
        <v>194</v>
      </c>
      <c r="E1874" s="1">
        <v>5.21188032E8</v>
      </c>
      <c r="F1874" s="2">
        <v>41897.0</v>
      </c>
      <c r="G1874" s="1" t="s">
        <v>1168</v>
      </c>
      <c r="I1874" s="1" t="s">
        <v>1168</v>
      </c>
      <c r="L1874" s="1" t="s">
        <v>194</v>
      </c>
      <c r="M1874" s="1">
        <v>9100.0</v>
      </c>
      <c r="N1874" s="1" t="s">
        <v>194</v>
      </c>
      <c r="O1874" s="1">
        <v>1.17726252E8</v>
      </c>
      <c r="P1874" s="1" t="s">
        <v>512</v>
      </c>
      <c r="Q1874" s="1" t="s">
        <v>3488</v>
      </c>
      <c r="R1874" s="1" t="s">
        <v>513</v>
      </c>
      <c r="S1874" s="1" t="s">
        <v>44</v>
      </c>
      <c r="T1874" s="1" t="s">
        <v>45</v>
      </c>
      <c r="U1874" s="1">
        <v>4.82193259E8</v>
      </c>
      <c r="W1874" s="1" t="s">
        <v>44</v>
      </c>
      <c r="X1874" s="1" t="s">
        <v>45</v>
      </c>
      <c r="Y1874" s="1">
        <v>4.82193259E8</v>
      </c>
      <c r="Z1874" s="1">
        <v>1.00034214E8</v>
      </c>
      <c r="AA1874" s="1" t="s">
        <v>3489</v>
      </c>
      <c r="AB1874" s="1">
        <v>994212.0</v>
      </c>
      <c r="AC1874" s="2">
        <v>41897.0</v>
      </c>
      <c r="AD1874" s="1">
        <v>9100.0</v>
      </c>
      <c r="AE1874" s="1" t="s">
        <v>194</v>
      </c>
      <c r="AF1874" s="1" t="s">
        <v>3490</v>
      </c>
      <c r="AG1874" s="1" t="s">
        <v>1170</v>
      </c>
      <c r="AH1874" s="1">
        <v>1.0</v>
      </c>
      <c r="AI1874" s="1">
        <v>2015.0</v>
      </c>
      <c r="AJ1874" s="1">
        <v>2014.0</v>
      </c>
      <c r="AK1874" s="1" t="s">
        <v>1171</v>
      </c>
    </row>
    <row r="1875">
      <c r="A1875" s="1" t="s">
        <v>3472</v>
      </c>
      <c r="B1875" s="1" t="s">
        <v>3472</v>
      </c>
      <c r="C1875" s="1" t="s">
        <v>194</v>
      </c>
      <c r="E1875" s="1">
        <v>8.9168336E7</v>
      </c>
      <c r="F1875" s="2">
        <v>41886.0</v>
      </c>
      <c r="G1875" s="1" t="s">
        <v>458</v>
      </c>
      <c r="I1875" s="1" t="s">
        <v>458</v>
      </c>
      <c r="L1875" s="1" t="s">
        <v>194</v>
      </c>
      <c r="M1875" s="1">
        <v>9100.0</v>
      </c>
      <c r="N1875" s="1" t="s">
        <v>194</v>
      </c>
      <c r="O1875" s="1">
        <v>9.65349769E8</v>
      </c>
      <c r="P1875" s="1" t="s">
        <v>465</v>
      </c>
      <c r="Q1875" s="1" t="s">
        <v>466</v>
      </c>
      <c r="R1875" s="1" t="s">
        <v>467</v>
      </c>
      <c r="S1875" s="1" t="s">
        <v>44</v>
      </c>
      <c r="T1875" s="1" t="s">
        <v>45</v>
      </c>
      <c r="U1875" s="1">
        <v>4.8202322E8</v>
      </c>
      <c r="W1875" s="1" t="s">
        <v>44</v>
      </c>
      <c r="X1875" s="1" t="s">
        <v>45</v>
      </c>
      <c r="Y1875" s="1">
        <v>4.8202322E8</v>
      </c>
      <c r="Z1875" s="1">
        <v>1.6338926E8</v>
      </c>
      <c r="AA1875" s="1" t="s">
        <v>465</v>
      </c>
      <c r="AB1875" s="1">
        <v>105072.0</v>
      </c>
      <c r="AC1875" s="2">
        <v>41886.0</v>
      </c>
      <c r="AD1875" s="1">
        <v>9100.0</v>
      </c>
      <c r="AE1875" s="1" t="s">
        <v>194</v>
      </c>
      <c r="AF1875" s="1" t="s">
        <v>3491</v>
      </c>
      <c r="AG1875" s="1" t="s">
        <v>463</v>
      </c>
      <c r="AH1875" s="1">
        <v>1.0</v>
      </c>
      <c r="AI1875" s="1">
        <v>2015.0</v>
      </c>
      <c r="AJ1875" s="1">
        <v>2014.0</v>
      </c>
      <c r="AK1875" s="1" t="s">
        <v>277</v>
      </c>
    </row>
    <row r="1876">
      <c r="A1876" s="1" t="s">
        <v>3413</v>
      </c>
      <c r="B1876" s="1" t="s">
        <v>3413</v>
      </c>
      <c r="C1876" s="1" t="s">
        <v>194</v>
      </c>
      <c r="E1876" s="1">
        <v>5.21188032E8</v>
      </c>
      <c r="F1876" s="2">
        <v>41905.0</v>
      </c>
      <c r="G1876" s="1" t="s">
        <v>1168</v>
      </c>
      <c r="I1876" s="1" t="s">
        <v>1168</v>
      </c>
      <c r="L1876" s="1" t="s">
        <v>194</v>
      </c>
      <c r="M1876" s="1">
        <v>9100.0</v>
      </c>
      <c r="N1876" s="1" t="s">
        <v>194</v>
      </c>
      <c r="O1876" s="1">
        <v>7.93697355E8</v>
      </c>
      <c r="P1876" s="1" t="s">
        <v>691</v>
      </c>
      <c r="Q1876" s="1" t="s">
        <v>1194</v>
      </c>
      <c r="R1876" s="1" t="s">
        <v>692</v>
      </c>
      <c r="S1876" s="1" t="s">
        <v>44</v>
      </c>
      <c r="T1876" s="1" t="s">
        <v>45</v>
      </c>
      <c r="U1876" s="1">
        <v>4.82111554E8</v>
      </c>
      <c r="W1876" s="1" t="s">
        <v>44</v>
      </c>
      <c r="X1876" s="1" t="s">
        <v>45</v>
      </c>
      <c r="Y1876" s="1">
        <v>4.82111552E8</v>
      </c>
      <c r="Z1876" s="1">
        <v>9.31263847E8</v>
      </c>
      <c r="AA1876" s="1" t="s">
        <v>3492</v>
      </c>
      <c r="AB1876" s="1">
        <v>492297.0</v>
      </c>
      <c r="AC1876" s="2">
        <v>41905.0</v>
      </c>
      <c r="AD1876" s="1">
        <v>9100.0</v>
      </c>
      <c r="AE1876" s="1" t="s">
        <v>194</v>
      </c>
      <c r="AF1876" s="1" t="s">
        <v>3493</v>
      </c>
      <c r="AG1876" s="1" t="s">
        <v>1170</v>
      </c>
      <c r="AH1876" s="1">
        <v>1.0</v>
      </c>
      <c r="AI1876" s="1">
        <v>2015.0</v>
      </c>
      <c r="AJ1876" s="1">
        <v>2014.0</v>
      </c>
      <c r="AK1876" s="1" t="s">
        <v>1171</v>
      </c>
    </row>
    <row r="1877">
      <c r="A1877" s="1" t="s">
        <v>3413</v>
      </c>
      <c r="B1877" s="1" t="s">
        <v>3413</v>
      </c>
      <c r="C1877" s="1" t="s">
        <v>194</v>
      </c>
      <c r="E1877" s="1">
        <v>5.21188032E8</v>
      </c>
      <c r="F1877" s="2">
        <v>41897.0</v>
      </c>
      <c r="G1877" s="1" t="s">
        <v>1168</v>
      </c>
      <c r="I1877" s="1" t="s">
        <v>1168</v>
      </c>
      <c r="L1877" s="1" t="s">
        <v>194</v>
      </c>
      <c r="M1877" s="1">
        <v>9100.0</v>
      </c>
      <c r="N1877" s="1" t="s">
        <v>194</v>
      </c>
      <c r="O1877" s="1">
        <v>7.0381949E7</v>
      </c>
      <c r="P1877" s="1" t="s">
        <v>605</v>
      </c>
      <c r="R1877" s="1" t="s">
        <v>606</v>
      </c>
      <c r="S1877" s="1" t="s">
        <v>44</v>
      </c>
      <c r="T1877" s="1" t="s">
        <v>45</v>
      </c>
      <c r="U1877" s="1">
        <v>4.82123033E8</v>
      </c>
      <c r="W1877" s="1" t="s">
        <v>607</v>
      </c>
      <c r="X1877" s="1" t="s">
        <v>45</v>
      </c>
      <c r="Y1877" s="1">
        <v>4.82123033E8</v>
      </c>
      <c r="AB1877" s="1">
        <v>194851.0</v>
      </c>
      <c r="AC1877" s="2">
        <v>41897.0</v>
      </c>
      <c r="AD1877" s="1">
        <v>9100.0</v>
      </c>
      <c r="AE1877" s="1" t="s">
        <v>194</v>
      </c>
      <c r="AF1877" s="1" t="s">
        <v>3494</v>
      </c>
      <c r="AG1877" s="1" t="s">
        <v>3000</v>
      </c>
      <c r="AH1877" s="1">
        <v>1.0</v>
      </c>
      <c r="AI1877" s="1">
        <v>2015.0</v>
      </c>
      <c r="AJ1877" s="1">
        <v>2014.0</v>
      </c>
      <c r="AK1877" s="1" t="s">
        <v>1171</v>
      </c>
    </row>
    <row r="1878">
      <c r="A1878" s="1" t="s">
        <v>3413</v>
      </c>
      <c r="B1878" s="1" t="s">
        <v>3413</v>
      </c>
      <c r="C1878" s="1" t="s">
        <v>194</v>
      </c>
      <c r="E1878" s="1">
        <v>5.21188032E8</v>
      </c>
      <c r="F1878" s="2">
        <v>41977.0</v>
      </c>
      <c r="G1878" s="1" t="s">
        <v>1168</v>
      </c>
      <c r="I1878" s="1" t="s">
        <v>1168</v>
      </c>
      <c r="L1878" s="1" t="s">
        <v>194</v>
      </c>
      <c r="M1878" s="1">
        <v>9100.0</v>
      </c>
      <c r="N1878" s="1" t="s">
        <v>194</v>
      </c>
      <c r="O1878" s="1">
        <v>7894403.0</v>
      </c>
      <c r="P1878" s="1" t="s">
        <v>1676</v>
      </c>
      <c r="R1878" s="1" t="s">
        <v>1677</v>
      </c>
      <c r="S1878" s="1" t="s">
        <v>44</v>
      </c>
      <c r="T1878" s="1" t="s">
        <v>45</v>
      </c>
      <c r="U1878" s="1">
        <v>4.82012402E8</v>
      </c>
      <c r="W1878" s="1" t="s">
        <v>44</v>
      </c>
      <c r="X1878" s="1" t="s">
        <v>45</v>
      </c>
      <c r="Y1878" s="1">
        <v>4.82012402E8</v>
      </c>
      <c r="AB1878" s="1">
        <v>165075.0</v>
      </c>
      <c r="AC1878" s="2">
        <v>41977.0</v>
      </c>
      <c r="AD1878" s="1">
        <v>9100.0</v>
      </c>
      <c r="AE1878" s="1" t="s">
        <v>194</v>
      </c>
      <c r="AF1878" s="1" t="s">
        <v>3495</v>
      </c>
      <c r="AG1878" s="1" t="s">
        <v>3000</v>
      </c>
      <c r="AH1878" s="1">
        <v>1.0</v>
      </c>
      <c r="AI1878" s="1">
        <v>2015.0</v>
      </c>
      <c r="AJ1878" s="1">
        <v>2015.0</v>
      </c>
      <c r="AK1878" s="1" t="s">
        <v>1171</v>
      </c>
    </row>
    <row r="1879">
      <c r="A1879" s="1" t="s">
        <v>3472</v>
      </c>
      <c r="B1879" s="1" t="s">
        <v>3472</v>
      </c>
      <c r="C1879" s="1" t="s">
        <v>194</v>
      </c>
      <c r="E1879" s="1">
        <v>8.9168336E7</v>
      </c>
      <c r="F1879" s="2">
        <v>41878.0</v>
      </c>
      <c r="G1879" s="1" t="s">
        <v>458</v>
      </c>
      <c r="I1879" s="1" t="s">
        <v>458</v>
      </c>
      <c r="L1879" s="1" t="s">
        <v>194</v>
      </c>
      <c r="M1879" s="1">
        <v>9100.0</v>
      </c>
      <c r="N1879" s="1" t="s">
        <v>194</v>
      </c>
      <c r="O1879" s="1">
        <v>1.68568132E8</v>
      </c>
      <c r="P1879" s="1" t="s">
        <v>588</v>
      </c>
      <c r="Q1879" s="1" t="s">
        <v>3496</v>
      </c>
      <c r="R1879" s="1" t="s">
        <v>589</v>
      </c>
      <c r="S1879" s="1" t="s">
        <v>44</v>
      </c>
      <c r="T1879" s="1" t="s">
        <v>45</v>
      </c>
      <c r="U1879" s="1">
        <v>4.82143323E8</v>
      </c>
      <c r="W1879" s="1" t="s">
        <v>44</v>
      </c>
      <c r="X1879" s="1" t="s">
        <v>45</v>
      </c>
      <c r="Y1879" s="1">
        <v>4.82143323E8</v>
      </c>
      <c r="Z1879" s="1">
        <v>9.60742484E8</v>
      </c>
      <c r="AB1879" s="1">
        <v>25479.0</v>
      </c>
      <c r="AC1879" s="2">
        <v>41878.0</v>
      </c>
      <c r="AD1879" s="1">
        <v>9100.0</v>
      </c>
      <c r="AE1879" s="1" t="s">
        <v>194</v>
      </c>
      <c r="AF1879" s="1" t="s">
        <v>3497</v>
      </c>
      <c r="AG1879" s="1" t="s">
        <v>463</v>
      </c>
      <c r="AH1879" s="1">
        <v>1.0</v>
      </c>
      <c r="AI1879" s="1">
        <v>2015.0</v>
      </c>
      <c r="AJ1879" s="1">
        <v>2014.0</v>
      </c>
      <c r="AK1879" s="1" t="s">
        <v>277</v>
      </c>
    </row>
    <row r="1880">
      <c r="A1880" s="1" t="s">
        <v>3472</v>
      </c>
      <c r="B1880" s="1" t="s">
        <v>3472</v>
      </c>
      <c r="C1880" s="1" t="s">
        <v>194</v>
      </c>
      <c r="E1880" s="1">
        <v>8.9168336E7</v>
      </c>
      <c r="F1880" s="2">
        <v>41878.0</v>
      </c>
      <c r="G1880" s="1" t="s">
        <v>458</v>
      </c>
      <c r="I1880" s="1" t="s">
        <v>458</v>
      </c>
      <c r="L1880" s="1" t="s">
        <v>194</v>
      </c>
      <c r="M1880" s="1">
        <v>9100.0</v>
      </c>
      <c r="N1880" s="1" t="s">
        <v>194</v>
      </c>
      <c r="O1880" s="1">
        <v>1.23577707E8</v>
      </c>
      <c r="P1880" s="1" t="s">
        <v>563</v>
      </c>
      <c r="R1880" s="1" t="s">
        <v>565</v>
      </c>
      <c r="S1880" s="1" t="s">
        <v>44</v>
      </c>
      <c r="T1880" s="1" t="s">
        <v>45</v>
      </c>
      <c r="U1880" s="1">
        <v>4.8228333E8</v>
      </c>
      <c r="W1880" s="1" t="s">
        <v>44</v>
      </c>
      <c r="X1880" s="1" t="s">
        <v>45</v>
      </c>
      <c r="Y1880" s="1">
        <v>4.82283396E8</v>
      </c>
      <c r="Z1880" s="1">
        <v>9.60742484E8</v>
      </c>
      <c r="AB1880" s="1">
        <v>32740.0</v>
      </c>
      <c r="AC1880" s="2">
        <v>41878.0</v>
      </c>
      <c r="AD1880" s="1">
        <v>9100.0</v>
      </c>
      <c r="AE1880" s="1" t="s">
        <v>194</v>
      </c>
      <c r="AF1880" s="1" t="s">
        <v>3498</v>
      </c>
      <c r="AG1880" s="1" t="s">
        <v>463</v>
      </c>
      <c r="AH1880" s="1">
        <v>1.0</v>
      </c>
      <c r="AI1880" s="1">
        <v>2015.0</v>
      </c>
      <c r="AJ1880" s="1">
        <v>2014.0</v>
      </c>
      <c r="AK1880" s="1" t="s">
        <v>277</v>
      </c>
    </row>
    <row r="1881">
      <c r="A1881" s="1" t="s">
        <v>3472</v>
      </c>
      <c r="B1881" s="1" t="s">
        <v>3472</v>
      </c>
      <c r="C1881" s="1" t="s">
        <v>194</v>
      </c>
      <c r="E1881" s="1">
        <v>8.9168336E7</v>
      </c>
      <c r="F1881" s="2">
        <v>41878.0</v>
      </c>
      <c r="G1881" s="1" t="s">
        <v>458</v>
      </c>
      <c r="I1881" s="1" t="s">
        <v>458</v>
      </c>
      <c r="L1881" s="1" t="s">
        <v>194</v>
      </c>
      <c r="M1881" s="1">
        <v>9100.0</v>
      </c>
      <c r="N1881" s="1" t="s">
        <v>194</v>
      </c>
      <c r="O1881" s="1">
        <v>1.9859285E7</v>
      </c>
      <c r="P1881" s="1" t="s">
        <v>1172</v>
      </c>
      <c r="R1881" s="1" t="s">
        <v>1173</v>
      </c>
      <c r="S1881" s="1" t="s">
        <v>44</v>
      </c>
      <c r="T1881" s="1" t="s">
        <v>45</v>
      </c>
      <c r="U1881" s="1">
        <v>4.82191263E8</v>
      </c>
      <c r="W1881" s="1" t="s">
        <v>44</v>
      </c>
      <c r="X1881" s="1" t="s">
        <v>45</v>
      </c>
      <c r="Y1881" s="1">
        <v>4.82191263E8</v>
      </c>
      <c r="Z1881" s="1">
        <v>8.7058632E7</v>
      </c>
      <c r="AA1881" s="1" t="s">
        <v>3499</v>
      </c>
      <c r="AB1881" s="1">
        <v>30314.0</v>
      </c>
      <c r="AC1881" s="2">
        <v>41878.0</v>
      </c>
      <c r="AD1881" s="1">
        <v>9100.0</v>
      </c>
      <c r="AE1881" s="1" t="s">
        <v>194</v>
      </c>
      <c r="AF1881" s="1" t="s">
        <v>3500</v>
      </c>
      <c r="AG1881" s="1" t="s">
        <v>463</v>
      </c>
      <c r="AH1881" s="1">
        <v>1.0</v>
      </c>
      <c r="AI1881" s="1">
        <v>2015.0</v>
      </c>
      <c r="AJ1881" s="1">
        <v>2014.0</v>
      </c>
      <c r="AK1881" s="1" t="s">
        <v>277</v>
      </c>
    </row>
    <row r="1882">
      <c r="A1882" s="1" t="s">
        <v>3413</v>
      </c>
      <c r="B1882" s="1" t="s">
        <v>3413</v>
      </c>
      <c r="C1882" s="1" t="s">
        <v>194</v>
      </c>
      <c r="E1882" s="1">
        <v>5.21188032E8</v>
      </c>
      <c r="F1882" s="2">
        <v>41922.0</v>
      </c>
      <c r="G1882" s="1" t="s">
        <v>1168</v>
      </c>
      <c r="I1882" s="1" t="s">
        <v>1168</v>
      </c>
      <c r="L1882" s="1" t="s">
        <v>194</v>
      </c>
      <c r="M1882" s="1">
        <v>9100.0</v>
      </c>
      <c r="N1882" s="1" t="s">
        <v>194</v>
      </c>
      <c r="O1882" s="1">
        <v>7.8583963E7</v>
      </c>
      <c r="P1882" s="1" t="s">
        <v>526</v>
      </c>
      <c r="Q1882" s="1" t="s">
        <v>3501</v>
      </c>
      <c r="R1882" s="1" t="s">
        <v>3020</v>
      </c>
      <c r="S1882" s="1" t="s">
        <v>44</v>
      </c>
      <c r="T1882" s="1" t="s">
        <v>45</v>
      </c>
      <c r="U1882" s="1">
        <v>4.82091434E8</v>
      </c>
      <c r="W1882" s="1" t="s">
        <v>46</v>
      </c>
      <c r="X1882" s="1" t="s">
        <v>45</v>
      </c>
      <c r="Y1882" s="1">
        <v>4.82091434E8</v>
      </c>
      <c r="Z1882" s="1">
        <v>5.3665132E7</v>
      </c>
      <c r="AB1882" s="1">
        <v>334615.0</v>
      </c>
      <c r="AC1882" s="2">
        <v>41922.0</v>
      </c>
      <c r="AD1882" s="1">
        <v>9100.0</v>
      </c>
      <c r="AE1882" s="1" t="s">
        <v>194</v>
      </c>
      <c r="AF1882" s="1" t="s">
        <v>3502</v>
      </c>
      <c r="AG1882" s="1" t="s">
        <v>3000</v>
      </c>
      <c r="AH1882" s="1">
        <v>1.0</v>
      </c>
      <c r="AI1882" s="1">
        <v>2015.0</v>
      </c>
      <c r="AJ1882" s="1">
        <v>2015.0</v>
      </c>
      <c r="AK1882" s="1" t="s">
        <v>1171</v>
      </c>
    </row>
    <row r="1883">
      <c r="A1883" s="1" t="s">
        <v>3413</v>
      </c>
      <c r="B1883" s="1" t="s">
        <v>3413</v>
      </c>
      <c r="C1883" s="1" t="s">
        <v>194</v>
      </c>
      <c r="E1883" s="1">
        <v>5.21188032E8</v>
      </c>
      <c r="F1883" s="2">
        <v>41878.0</v>
      </c>
      <c r="G1883" s="1" t="s">
        <v>1168</v>
      </c>
      <c r="I1883" s="1" t="s">
        <v>1168</v>
      </c>
      <c r="L1883" s="1" t="s">
        <v>194</v>
      </c>
      <c r="M1883" s="1">
        <v>9100.0</v>
      </c>
      <c r="N1883" s="1" t="s">
        <v>194</v>
      </c>
      <c r="O1883" s="1">
        <v>9.62378779E8</v>
      </c>
      <c r="P1883" s="1" t="s">
        <v>478</v>
      </c>
      <c r="Q1883" s="1" t="s">
        <v>3503</v>
      </c>
      <c r="R1883" s="1" t="s">
        <v>479</v>
      </c>
      <c r="S1883" s="1" t="s">
        <v>44</v>
      </c>
      <c r="T1883" s="1" t="s">
        <v>45</v>
      </c>
      <c r="U1883" s="1">
        <v>4.82342225E8</v>
      </c>
      <c r="W1883" s="1" t="s">
        <v>44</v>
      </c>
      <c r="X1883" s="1" t="s">
        <v>45</v>
      </c>
      <c r="Y1883" s="1">
        <v>4.82342225E8</v>
      </c>
      <c r="Z1883" s="1">
        <v>1.89347776E8</v>
      </c>
      <c r="AA1883" s="1" t="s">
        <v>3504</v>
      </c>
      <c r="AB1883" s="1">
        <v>691395.0</v>
      </c>
      <c r="AC1883" s="2">
        <v>41878.0</v>
      </c>
      <c r="AD1883" s="1">
        <v>9100.0</v>
      </c>
      <c r="AE1883" s="1" t="s">
        <v>194</v>
      </c>
      <c r="AF1883" s="1" t="s">
        <v>3505</v>
      </c>
      <c r="AG1883" s="1" t="s">
        <v>1170</v>
      </c>
      <c r="AH1883" s="1">
        <v>1.0</v>
      </c>
      <c r="AI1883" s="1">
        <v>2015.0</v>
      </c>
      <c r="AJ1883" s="1">
        <v>2014.0</v>
      </c>
      <c r="AK1883" s="1" t="s">
        <v>1171</v>
      </c>
    </row>
    <row r="1884">
      <c r="A1884" s="1" t="s">
        <v>3472</v>
      </c>
      <c r="B1884" s="1" t="s">
        <v>3472</v>
      </c>
      <c r="C1884" s="1" t="s">
        <v>194</v>
      </c>
      <c r="E1884" s="1">
        <v>8.9168336E7</v>
      </c>
      <c r="F1884" s="2">
        <v>41897.0</v>
      </c>
      <c r="G1884" s="1" t="s">
        <v>458</v>
      </c>
      <c r="I1884" s="1" t="s">
        <v>458</v>
      </c>
      <c r="L1884" s="1" t="s">
        <v>194</v>
      </c>
      <c r="M1884" s="1">
        <v>9100.0</v>
      </c>
      <c r="N1884" s="1" t="s">
        <v>194</v>
      </c>
      <c r="O1884" s="1">
        <v>3.9866801E7</v>
      </c>
      <c r="P1884" s="1" t="s">
        <v>612</v>
      </c>
      <c r="R1884" s="1" t="s">
        <v>613</v>
      </c>
      <c r="S1884" s="1" t="s">
        <v>44</v>
      </c>
      <c r="T1884" s="1" t="s">
        <v>45</v>
      </c>
      <c r="U1884" s="1">
        <v>4.8212E8</v>
      </c>
      <c r="W1884" s="1" t="s">
        <v>607</v>
      </c>
      <c r="X1884" s="1" t="s">
        <v>45</v>
      </c>
      <c r="Y1884" s="1">
        <v>4.82120012E8</v>
      </c>
      <c r="Z1884" s="1">
        <v>3.9866801E7</v>
      </c>
      <c r="AA1884" s="1" t="s">
        <v>612</v>
      </c>
      <c r="AB1884" s="1">
        <v>261476.0</v>
      </c>
      <c r="AC1884" s="2">
        <v>41897.0</v>
      </c>
      <c r="AD1884" s="1">
        <v>9100.0</v>
      </c>
      <c r="AE1884" s="1" t="s">
        <v>194</v>
      </c>
      <c r="AF1884" s="1" t="s">
        <v>3506</v>
      </c>
      <c r="AG1884" s="1" t="s">
        <v>463</v>
      </c>
      <c r="AH1884" s="1">
        <v>1.0</v>
      </c>
      <c r="AI1884" s="1">
        <v>2015.0</v>
      </c>
      <c r="AJ1884" s="1">
        <v>2014.0</v>
      </c>
      <c r="AK1884" s="1" t="s">
        <v>277</v>
      </c>
    </row>
    <row r="1885">
      <c r="A1885" s="1" t="s">
        <v>3507</v>
      </c>
      <c r="B1885" s="1" t="s">
        <v>3507</v>
      </c>
      <c r="C1885" s="1" t="s">
        <v>129</v>
      </c>
      <c r="E1885" s="1">
        <v>7.561816E7</v>
      </c>
      <c r="F1885" s="2">
        <v>42005.0</v>
      </c>
      <c r="G1885" s="1" t="s">
        <v>3508</v>
      </c>
      <c r="I1885" s="1" t="s">
        <v>3508</v>
      </c>
      <c r="L1885" s="1" t="s">
        <v>40</v>
      </c>
      <c r="M1885" s="1">
        <v>7500.0</v>
      </c>
      <c r="N1885" s="1" t="s">
        <v>40</v>
      </c>
      <c r="O1885" s="1">
        <v>1.95837232E8</v>
      </c>
      <c r="P1885" s="1" t="s">
        <v>785</v>
      </c>
      <c r="Q1885" s="1" t="s">
        <v>786</v>
      </c>
      <c r="R1885" s="1" t="s">
        <v>787</v>
      </c>
      <c r="S1885" s="1" t="s">
        <v>44</v>
      </c>
      <c r="T1885" s="1" t="s">
        <v>45</v>
      </c>
      <c r="U1885" s="1">
        <v>4.82242358E8</v>
      </c>
      <c r="W1885" s="1" t="s">
        <v>44</v>
      </c>
      <c r="X1885" s="1" t="s">
        <v>45</v>
      </c>
      <c r="Y1885" s="1">
        <v>4.82242358E8</v>
      </c>
      <c r="Z1885" s="1">
        <v>1.95837232E8</v>
      </c>
      <c r="AA1885" s="1" t="s">
        <v>785</v>
      </c>
      <c r="AB1885" s="1">
        <v>175000.0</v>
      </c>
      <c r="AC1885" s="2">
        <v>42005.0</v>
      </c>
      <c r="AD1885" s="1">
        <v>7500.0</v>
      </c>
      <c r="AE1885" s="1" t="s">
        <v>40</v>
      </c>
      <c r="AF1885" s="1" t="s">
        <v>3509</v>
      </c>
      <c r="AG1885" s="1" t="s">
        <v>2784</v>
      </c>
      <c r="AH1885" s="1">
        <v>1.0</v>
      </c>
      <c r="AI1885" s="1">
        <v>2015.0</v>
      </c>
      <c r="AJ1885" s="1">
        <v>2015.0</v>
      </c>
      <c r="AK1885" s="1" t="s">
        <v>3510</v>
      </c>
    </row>
    <row r="1886">
      <c r="A1886" s="1" t="s">
        <v>3511</v>
      </c>
      <c r="B1886" s="1" t="s">
        <v>3511</v>
      </c>
      <c r="C1886" s="1" t="s">
        <v>38</v>
      </c>
      <c r="E1886" s="1">
        <v>9949825.0</v>
      </c>
      <c r="F1886" s="2">
        <v>41978.0</v>
      </c>
      <c r="G1886" s="1" t="s">
        <v>3512</v>
      </c>
      <c r="I1886" s="1" t="s">
        <v>3512</v>
      </c>
      <c r="L1886" s="1" t="s">
        <v>40</v>
      </c>
      <c r="M1886" s="1">
        <v>7500.0</v>
      </c>
      <c r="N1886" s="1" t="s">
        <v>40</v>
      </c>
      <c r="O1886" s="1">
        <v>7.3134603E7</v>
      </c>
      <c r="P1886" s="1" t="s">
        <v>41</v>
      </c>
      <c r="Q1886" s="1" t="s">
        <v>252</v>
      </c>
      <c r="R1886" s="1" t="s">
        <v>253</v>
      </c>
      <c r="S1886" s="1" t="s">
        <v>44</v>
      </c>
      <c r="T1886" s="1" t="s">
        <v>45</v>
      </c>
      <c r="U1886" s="1">
        <v>4.8202345E8</v>
      </c>
      <c r="W1886" s="1" t="s">
        <v>46</v>
      </c>
      <c r="X1886" s="1" t="s">
        <v>45</v>
      </c>
      <c r="Y1886" s="1">
        <v>4.82022689E8</v>
      </c>
      <c r="Z1886" s="1">
        <v>7.3134603E7</v>
      </c>
      <c r="AA1886" s="1" t="s">
        <v>41</v>
      </c>
      <c r="AB1886" s="1">
        <v>641983.0</v>
      </c>
      <c r="AC1886" s="2">
        <v>41978.0</v>
      </c>
      <c r="AD1886" s="1">
        <v>7500.0</v>
      </c>
      <c r="AE1886" s="1" t="s">
        <v>40</v>
      </c>
      <c r="AF1886" s="1" t="s">
        <v>3513</v>
      </c>
      <c r="AG1886" s="1" t="s">
        <v>3514</v>
      </c>
      <c r="AH1886" s="1">
        <v>1.0</v>
      </c>
      <c r="AI1886" s="1">
        <v>2015.0</v>
      </c>
      <c r="AJ1886" s="1">
        <v>2015.0</v>
      </c>
      <c r="AK1886" s="1" t="s">
        <v>415</v>
      </c>
    </row>
    <row r="1887">
      <c r="A1887" s="1" t="s">
        <v>3515</v>
      </c>
      <c r="B1887" s="1" t="s">
        <v>3515</v>
      </c>
      <c r="C1887" s="1" t="s">
        <v>645</v>
      </c>
      <c r="E1887" s="1">
        <v>4.64793056E8</v>
      </c>
      <c r="F1887" s="2">
        <v>41977.0</v>
      </c>
      <c r="G1887" s="1" t="s">
        <v>710</v>
      </c>
      <c r="I1887" s="1" t="s">
        <v>710</v>
      </c>
      <c r="L1887" s="1" t="s">
        <v>647</v>
      </c>
      <c r="M1887" s="1">
        <v>1200.0</v>
      </c>
      <c r="N1887" s="1" t="s">
        <v>647</v>
      </c>
      <c r="O1887" s="1">
        <v>9.63121426E8</v>
      </c>
      <c r="P1887" s="1" t="s">
        <v>490</v>
      </c>
      <c r="R1887" s="1" t="s">
        <v>491</v>
      </c>
      <c r="S1887" s="1" t="s">
        <v>44</v>
      </c>
      <c r="T1887" s="1" t="s">
        <v>45</v>
      </c>
      <c r="U1887" s="1">
        <v>4.82233051E8</v>
      </c>
      <c r="W1887" s="1" t="s">
        <v>46</v>
      </c>
      <c r="X1887" s="1" t="s">
        <v>45</v>
      </c>
      <c r="Y1887" s="1">
        <v>4.82233051E8</v>
      </c>
      <c r="Z1887" s="1">
        <v>3.4975359E7</v>
      </c>
      <c r="AA1887" s="1" t="s">
        <v>3516</v>
      </c>
      <c r="AB1887" s="1">
        <v>123627.56</v>
      </c>
      <c r="AC1887" s="2">
        <v>41977.0</v>
      </c>
      <c r="AD1887" s="1">
        <v>1200.0</v>
      </c>
      <c r="AE1887" s="1" t="s">
        <v>647</v>
      </c>
      <c r="AF1887" s="1" t="s">
        <v>3517</v>
      </c>
      <c r="AG1887" s="1" t="s">
        <v>712</v>
      </c>
      <c r="AH1887" s="1">
        <v>1.0</v>
      </c>
      <c r="AI1887" s="1">
        <v>2015.0</v>
      </c>
      <c r="AJ1887" s="1">
        <v>2015.0</v>
      </c>
      <c r="AK1887" s="1" t="s">
        <v>713</v>
      </c>
    </row>
    <row r="1888">
      <c r="A1888" s="1" t="s">
        <v>3515</v>
      </c>
      <c r="B1888" s="1" t="s">
        <v>3515</v>
      </c>
      <c r="C1888" s="1" t="s">
        <v>645</v>
      </c>
      <c r="E1888" s="1">
        <v>4.64793056E8</v>
      </c>
      <c r="F1888" s="2">
        <v>41963.0</v>
      </c>
      <c r="G1888" s="1" t="s">
        <v>710</v>
      </c>
      <c r="I1888" s="1" t="s">
        <v>710</v>
      </c>
      <c r="L1888" s="1" t="s">
        <v>647</v>
      </c>
      <c r="M1888" s="1">
        <v>1200.0</v>
      </c>
      <c r="N1888" s="1" t="s">
        <v>647</v>
      </c>
      <c r="O1888" s="1">
        <v>9.65349769E8</v>
      </c>
      <c r="P1888" s="1" t="s">
        <v>465</v>
      </c>
      <c r="Q1888" s="1" t="s">
        <v>466</v>
      </c>
      <c r="R1888" s="1" t="s">
        <v>467</v>
      </c>
      <c r="S1888" s="1" t="s">
        <v>44</v>
      </c>
      <c r="T1888" s="1" t="s">
        <v>45</v>
      </c>
      <c r="U1888" s="1">
        <v>4.8202322E8</v>
      </c>
      <c r="W1888" s="1" t="s">
        <v>44</v>
      </c>
      <c r="X1888" s="1" t="s">
        <v>45</v>
      </c>
      <c r="Y1888" s="1">
        <v>4.8202322E8</v>
      </c>
      <c r="Z1888" s="1">
        <v>1.6338926E8</v>
      </c>
      <c r="AA1888" s="1" t="s">
        <v>465</v>
      </c>
      <c r="AB1888" s="1">
        <v>295032.6</v>
      </c>
      <c r="AC1888" s="2">
        <v>41963.0</v>
      </c>
      <c r="AD1888" s="1">
        <v>1200.0</v>
      </c>
      <c r="AE1888" s="1" t="s">
        <v>647</v>
      </c>
      <c r="AF1888" s="1" t="s">
        <v>3518</v>
      </c>
      <c r="AG1888" s="1" t="s">
        <v>712</v>
      </c>
      <c r="AH1888" s="1">
        <v>1.0</v>
      </c>
      <c r="AI1888" s="1">
        <v>2015.0</v>
      </c>
      <c r="AJ1888" s="1">
        <v>2015.0</v>
      </c>
      <c r="AK1888" s="1" t="s">
        <v>713</v>
      </c>
    </row>
    <row r="1889">
      <c r="A1889" s="1" t="s">
        <v>3515</v>
      </c>
      <c r="B1889" s="1" t="s">
        <v>3515</v>
      </c>
      <c r="C1889" s="1" t="s">
        <v>645</v>
      </c>
      <c r="E1889" s="1">
        <v>4.64793056E8</v>
      </c>
      <c r="F1889" s="2">
        <v>41928.0</v>
      </c>
      <c r="G1889" s="1" t="s">
        <v>710</v>
      </c>
      <c r="I1889" s="1" t="s">
        <v>710</v>
      </c>
      <c r="L1889" s="1" t="s">
        <v>647</v>
      </c>
      <c r="M1889" s="1">
        <v>1200.0</v>
      </c>
      <c r="N1889" s="1" t="s">
        <v>647</v>
      </c>
      <c r="O1889" s="1">
        <v>9.62949843E8</v>
      </c>
      <c r="P1889" s="1" t="s">
        <v>619</v>
      </c>
      <c r="R1889" s="1" t="s">
        <v>620</v>
      </c>
      <c r="S1889" s="1" t="s">
        <v>44</v>
      </c>
      <c r="T1889" s="1" t="s">
        <v>45</v>
      </c>
      <c r="U1889" s="1">
        <v>4.82042306E8</v>
      </c>
      <c r="W1889" s="1" t="s">
        <v>44</v>
      </c>
      <c r="X1889" s="1" t="s">
        <v>45</v>
      </c>
      <c r="Y1889" s="1">
        <v>4.82042306E8</v>
      </c>
      <c r="Z1889" s="1">
        <v>1.085946E7</v>
      </c>
      <c r="AA1889" s="1" t="s">
        <v>3519</v>
      </c>
      <c r="AB1889" s="1">
        <v>38245.66</v>
      </c>
      <c r="AC1889" s="2">
        <v>41928.0</v>
      </c>
      <c r="AD1889" s="1">
        <v>1200.0</v>
      </c>
      <c r="AE1889" s="1" t="s">
        <v>647</v>
      </c>
      <c r="AF1889" s="1" t="s">
        <v>3520</v>
      </c>
      <c r="AG1889" s="1" t="s">
        <v>712</v>
      </c>
      <c r="AH1889" s="1">
        <v>1.0</v>
      </c>
      <c r="AI1889" s="1">
        <v>2015.0</v>
      </c>
      <c r="AJ1889" s="1">
        <v>2015.0</v>
      </c>
      <c r="AK1889" s="1" t="s">
        <v>713</v>
      </c>
    </row>
    <row r="1890">
      <c r="A1890" s="1" t="s">
        <v>3515</v>
      </c>
      <c r="B1890" s="1" t="s">
        <v>3515</v>
      </c>
      <c r="C1890" s="1" t="s">
        <v>645</v>
      </c>
      <c r="E1890" s="1">
        <v>4.64793056E8</v>
      </c>
      <c r="F1890" s="2">
        <v>41977.0</v>
      </c>
      <c r="G1890" s="1" t="s">
        <v>710</v>
      </c>
      <c r="I1890" s="1" t="s">
        <v>710</v>
      </c>
      <c r="L1890" s="1" t="s">
        <v>647</v>
      </c>
      <c r="M1890" s="1">
        <v>1200.0</v>
      </c>
      <c r="N1890" s="1" t="s">
        <v>647</v>
      </c>
      <c r="O1890" s="1">
        <v>9.63121426E8</v>
      </c>
      <c r="P1890" s="1" t="s">
        <v>490</v>
      </c>
      <c r="Q1890" s="1" t="s">
        <v>3521</v>
      </c>
      <c r="R1890" s="1" t="s">
        <v>491</v>
      </c>
      <c r="S1890" s="1" t="s">
        <v>44</v>
      </c>
      <c r="T1890" s="1" t="s">
        <v>45</v>
      </c>
      <c r="U1890" s="1">
        <v>4.82233051E8</v>
      </c>
      <c r="W1890" s="1" t="s">
        <v>46</v>
      </c>
      <c r="X1890" s="1" t="s">
        <v>45</v>
      </c>
      <c r="Y1890" s="1">
        <v>4.82233051E8</v>
      </c>
      <c r="Z1890" s="1">
        <v>1.22499965E8</v>
      </c>
      <c r="AA1890" s="1" t="s">
        <v>3522</v>
      </c>
      <c r="AB1890" s="1">
        <v>198428.63</v>
      </c>
      <c r="AC1890" s="2">
        <v>41977.0</v>
      </c>
      <c r="AD1890" s="1">
        <v>1200.0</v>
      </c>
      <c r="AE1890" s="1" t="s">
        <v>647</v>
      </c>
      <c r="AF1890" s="1" t="s">
        <v>3523</v>
      </c>
      <c r="AG1890" s="1" t="s">
        <v>712</v>
      </c>
      <c r="AH1890" s="1">
        <v>1.0</v>
      </c>
      <c r="AI1890" s="1">
        <v>2015.0</v>
      </c>
      <c r="AJ1890" s="1">
        <v>2015.0</v>
      </c>
      <c r="AK1890" s="1" t="s">
        <v>713</v>
      </c>
    </row>
    <row r="1891">
      <c r="A1891" s="1" t="s">
        <v>3515</v>
      </c>
      <c r="B1891" s="1" t="s">
        <v>3515</v>
      </c>
      <c r="C1891" s="1" t="s">
        <v>645</v>
      </c>
      <c r="E1891" s="1">
        <v>4.64793056E8</v>
      </c>
      <c r="F1891" s="2">
        <v>41928.0</v>
      </c>
      <c r="G1891" s="1" t="s">
        <v>710</v>
      </c>
      <c r="I1891" s="1" t="s">
        <v>710</v>
      </c>
      <c r="L1891" s="1" t="s">
        <v>647</v>
      </c>
      <c r="M1891" s="1">
        <v>1200.0</v>
      </c>
      <c r="N1891" s="1" t="s">
        <v>647</v>
      </c>
      <c r="O1891" s="1">
        <v>9.62104118E8</v>
      </c>
      <c r="P1891" s="1" t="s">
        <v>634</v>
      </c>
      <c r="R1891" s="1" t="s">
        <v>635</v>
      </c>
      <c r="S1891" s="1" t="s">
        <v>44</v>
      </c>
      <c r="T1891" s="1" t="s">
        <v>45</v>
      </c>
      <c r="U1891" s="1">
        <v>4.82351111E8</v>
      </c>
      <c r="W1891" s="1" t="s">
        <v>46</v>
      </c>
      <c r="X1891" s="1" t="s">
        <v>45</v>
      </c>
      <c r="Y1891" s="1">
        <v>4.82351111E8</v>
      </c>
      <c r="Z1891" s="1">
        <v>9.60742484E8</v>
      </c>
      <c r="AB1891" s="1">
        <v>115943.88</v>
      </c>
      <c r="AC1891" s="2">
        <v>41928.0</v>
      </c>
      <c r="AD1891" s="1">
        <v>1200.0</v>
      </c>
      <c r="AE1891" s="1" t="s">
        <v>647</v>
      </c>
      <c r="AF1891" s="1" t="s">
        <v>3524</v>
      </c>
      <c r="AG1891" s="1" t="s">
        <v>712</v>
      </c>
      <c r="AH1891" s="1">
        <v>1.0</v>
      </c>
      <c r="AI1891" s="1">
        <v>2015.0</v>
      </c>
      <c r="AJ1891" s="1">
        <v>2015.0</v>
      </c>
      <c r="AK1891" s="1" t="s">
        <v>713</v>
      </c>
    </row>
    <row r="1892">
      <c r="A1892" s="1" t="s">
        <v>3515</v>
      </c>
      <c r="B1892" s="1" t="s">
        <v>3515</v>
      </c>
      <c r="C1892" s="1" t="s">
        <v>645</v>
      </c>
      <c r="E1892" s="1">
        <v>4.64793056E8</v>
      </c>
      <c r="F1892" s="2">
        <v>41823.0</v>
      </c>
      <c r="G1892" s="1" t="s">
        <v>710</v>
      </c>
      <c r="I1892" s="1" t="s">
        <v>710</v>
      </c>
      <c r="L1892" s="1" t="s">
        <v>647</v>
      </c>
      <c r="M1892" s="1">
        <v>1200.0</v>
      </c>
      <c r="N1892" s="1" t="s">
        <v>647</v>
      </c>
      <c r="O1892" s="1">
        <v>9.48021373E8</v>
      </c>
      <c r="P1892" s="1" t="s">
        <v>501</v>
      </c>
      <c r="R1892" s="1" t="s">
        <v>502</v>
      </c>
      <c r="S1892" s="1" t="s">
        <v>44</v>
      </c>
      <c r="T1892" s="1" t="s">
        <v>45</v>
      </c>
      <c r="U1892" s="1">
        <v>4.82072901E8</v>
      </c>
      <c r="W1892" s="1" t="s">
        <v>44</v>
      </c>
      <c r="X1892" s="1" t="s">
        <v>45</v>
      </c>
      <c r="Y1892" s="1">
        <v>4.82072901E8</v>
      </c>
      <c r="Z1892" s="1">
        <v>7.8416724E7</v>
      </c>
      <c r="AA1892" s="1" t="s">
        <v>3525</v>
      </c>
      <c r="AB1892" s="1">
        <v>38535.36</v>
      </c>
      <c r="AC1892" s="2">
        <v>41823.0</v>
      </c>
      <c r="AD1892" s="1">
        <v>1200.0</v>
      </c>
      <c r="AE1892" s="1" t="s">
        <v>647</v>
      </c>
      <c r="AF1892" s="1" t="s">
        <v>3526</v>
      </c>
      <c r="AG1892" s="1" t="s">
        <v>712</v>
      </c>
      <c r="AH1892" s="1">
        <v>1.0</v>
      </c>
      <c r="AI1892" s="1">
        <v>2015.0</v>
      </c>
      <c r="AJ1892" s="1">
        <v>2014.0</v>
      </c>
      <c r="AK1892" s="1" t="s">
        <v>713</v>
      </c>
    </row>
    <row r="1893">
      <c r="A1893" s="1" t="s">
        <v>3515</v>
      </c>
      <c r="B1893" s="1" t="s">
        <v>3515</v>
      </c>
      <c r="C1893" s="1" t="s">
        <v>645</v>
      </c>
      <c r="E1893" s="1">
        <v>4.64793056E8</v>
      </c>
      <c r="F1893" s="2">
        <v>41907.0</v>
      </c>
      <c r="G1893" s="1" t="s">
        <v>710</v>
      </c>
      <c r="I1893" s="1" t="s">
        <v>710</v>
      </c>
      <c r="L1893" s="1" t="s">
        <v>647</v>
      </c>
      <c r="M1893" s="1">
        <v>1200.0</v>
      </c>
      <c r="N1893" s="1" t="s">
        <v>647</v>
      </c>
      <c r="O1893" s="1">
        <v>3.9866801E7</v>
      </c>
      <c r="P1893" s="1" t="s">
        <v>612</v>
      </c>
      <c r="R1893" s="1" t="s">
        <v>613</v>
      </c>
      <c r="S1893" s="1" t="s">
        <v>44</v>
      </c>
      <c r="T1893" s="1" t="s">
        <v>45</v>
      </c>
      <c r="U1893" s="1">
        <v>4.8212E8</v>
      </c>
      <c r="W1893" s="1" t="s">
        <v>607</v>
      </c>
      <c r="X1893" s="1" t="s">
        <v>45</v>
      </c>
      <c r="Y1893" s="1">
        <v>4.82120012E8</v>
      </c>
      <c r="Z1893" s="1">
        <v>3.9866801E7</v>
      </c>
      <c r="AA1893" s="1" t="s">
        <v>612</v>
      </c>
      <c r="AB1893" s="1">
        <v>40587.92</v>
      </c>
      <c r="AC1893" s="2">
        <v>41907.0</v>
      </c>
      <c r="AD1893" s="1">
        <v>1200.0</v>
      </c>
      <c r="AE1893" s="1" t="s">
        <v>647</v>
      </c>
      <c r="AF1893" s="1" t="s">
        <v>3527</v>
      </c>
      <c r="AG1893" s="1" t="s">
        <v>712</v>
      </c>
      <c r="AH1893" s="1">
        <v>1.0</v>
      </c>
      <c r="AI1893" s="1">
        <v>2015.0</v>
      </c>
      <c r="AJ1893" s="1">
        <v>2014.0</v>
      </c>
      <c r="AK1893" s="1" t="s">
        <v>713</v>
      </c>
    </row>
    <row r="1894">
      <c r="A1894" s="1" t="s">
        <v>3472</v>
      </c>
      <c r="B1894" s="1" t="s">
        <v>3472</v>
      </c>
      <c r="C1894" s="1" t="s">
        <v>194</v>
      </c>
      <c r="E1894" s="1">
        <v>8.9168336E7</v>
      </c>
      <c r="F1894" s="2">
        <v>41953.0</v>
      </c>
      <c r="G1894" s="1" t="s">
        <v>458</v>
      </c>
      <c r="I1894" s="1" t="s">
        <v>458</v>
      </c>
      <c r="L1894" s="1" t="s">
        <v>194</v>
      </c>
      <c r="M1894" s="1">
        <v>9100.0</v>
      </c>
      <c r="N1894" s="1" t="s">
        <v>194</v>
      </c>
      <c r="O1894" s="1">
        <v>3790107.0</v>
      </c>
      <c r="P1894" s="1" t="s">
        <v>576</v>
      </c>
      <c r="R1894" s="1" t="s">
        <v>577</v>
      </c>
      <c r="S1894" s="1" t="s">
        <v>44</v>
      </c>
      <c r="T1894" s="1" t="s">
        <v>45</v>
      </c>
      <c r="U1894" s="1">
        <v>4.82343284E8</v>
      </c>
      <c r="W1894" s="1" t="s">
        <v>44</v>
      </c>
      <c r="X1894" s="1" t="s">
        <v>45</v>
      </c>
      <c r="Y1894" s="1">
        <v>4.82343284E8</v>
      </c>
      <c r="Z1894" s="1">
        <v>8.9966642E7</v>
      </c>
      <c r="AA1894" s="1" t="s">
        <v>3528</v>
      </c>
      <c r="AB1894" s="1">
        <v>40064.0</v>
      </c>
      <c r="AC1894" s="2">
        <v>41953.0</v>
      </c>
      <c r="AD1894" s="1">
        <v>9100.0</v>
      </c>
      <c r="AE1894" s="1" t="s">
        <v>194</v>
      </c>
      <c r="AF1894" s="1" t="s">
        <v>3529</v>
      </c>
      <c r="AG1894" s="1" t="s">
        <v>463</v>
      </c>
      <c r="AH1894" s="1">
        <v>1.0</v>
      </c>
      <c r="AI1894" s="1">
        <v>2015.0</v>
      </c>
      <c r="AJ1894" s="1">
        <v>2015.0</v>
      </c>
      <c r="AK1894" s="1" t="s">
        <v>277</v>
      </c>
    </row>
    <row r="1895">
      <c r="A1895" s="1" t="s">
        <v>3472</v>
      </c>
      <c r="B1895" s="1" t="s">
        <v>3472</v>
      </c>
      <c r="C1895" s="1" t="s">
        <v>194</v>
      </c>
      <c r="E1895" s="1">
        <v>8.9168336E7</v>
      </c>
      <c r="F1895" s="2">
        <v>41897.0</v>
      </c>
      <c r="G1895" s="1" t="s">
        <v>458</v>
      </c>
      <c r="I1895" s="1" t="s">
        <v>458</v>
      </c>
      <c r="L1895" s="1" t="s">
        <v>194</v>
      </c>
      <c r="M1895" s="1">
        <v>9100.0</v>
      </c>
      <c r="N1895" s="1" t="s">
        <v>194</v>
      </c>
      <c r="O1895" s="1">
        <v>7.8577051E7</v>
      </c>
      <c r="P1895" s="1" t="s">
        <v>1680</v>
      </c>
      <c r="R1895" s="1" t="s">
        <v>1681</v>
      </c>
      <c r="S1895" s="1" t="s">
        <v>44</v>
      </c>
      <c r="T1895" s="1" t="s">
        <v>45</v>
      </c>
      <c r="U1895" s="1">
        <v>4.82211457E8</v>
      </c>
      <c r="W1895" s="1" t="s">
        <v>46</v>
      </c>
      <c r="X1895" s="1" t="s">
        <v>45</v>
      </c>
      <c r="Y1895" s="1">
        <v>4.82211457E8</v>
      </c>
      <c r="AB1895" s="1">
        <v>56117.0</v>
      </c>
      <c r="AC1895" s="2">
        <v>41897.0</v>
      </c>
      <c r="AD1895" s="1">
        <v>9100.0</v>
      </c>
      <c r="AE1895" s="1" t="s">
        <v>194</v>
      </c>
      <c r="AF1895" s="1" t="s">
        <v>3530</v>
      </c>
      <c r="AG1895" s="1" t="s">
        <v>463</v>
      </c>
      <c r="AH1895" s="1">
        <v>1.0</v>
      </c>
      <c r="AI1895" s="1">
        <v>2015.0</v>
      </c>
      <c r="AJ1895" s="1">
        <v>2014.0</v>
      </c>
      <c r="AK1895" s="1" t="s">
        <v>277</v>
      </c>
    </row>
    <row r="1896">
      <c r="A1896" s="1" t="s">
        <v>3515</v>
      </c>
      <c r="B1896" s="1" t="s">
        <v>3515</v>
      </c>
      <c r="C1896" s="1" t="s">
        <v>645</v>
      </c>
      <c r="E1896" s="1">
        <v>4.64793056E8</v>
      </c>
      <c r="F1896" s="2">
        <v>41921.0</v>
      </c>
      <c r="G1896" s="1" t="s">
        <v>710</v>
      </c>
      <c r="I1896" s="1" t="s">
        <v>710</v>
      </c>
      <c r="L1896" s="1" t="s">
        <v>647</v>
      </c>
      <c r="M1896" s="1">
        <v>1200.0</v>
      </c>
      <c r="N1896" s="1" t="s">
        <v>647</v>
      </c>
      <c r="O1896" s="1">
        <v>9.32004737E8</v>
      </c>
      <c r="P1896" s="1" t="s">
        <v>3531</v>
      </c>
      <c r="Q1896" s="1" t="s">
        <v>3532</v>
      </c>
      <c r="R1896" s="1" t="s">
        <v>3533</v>
      </c>
      <c r="S1896" s="1" t="s">
        <v>44</v>
      </c>
      <c r="T1896" s="1" t="s">
        <v>45</v>
      </c>
      <c r="U1896" s="1">
        <v>4.82021047E8</v>
      </c>
      <c r="W1896" s="1" t="s">
        <v>44</v>
      </c>
      <c r="X1896" s="1" t="s">
        <v>45</v>
      </c>
      <c r="Y1896" s="1">
        <v>4.8221285E8</v>
      </c>
      <c r="Z1896" s="1">
        <v>8.5899011E7</v>
      </c>
      <c r="AA1896" s="1" t="s">
        <v>3534</v>
      </c>
      <c r="AB1896" s="1">
        <v>88245.8</v>
      </c>
      <c r="AC1896" s="2">
        <v>41921.0</v>
      </c>
      <c r="AD1896" s="1">
        <v>1200.0</v>
      </c>
      <c r="AE1896" s="1" t="s">
        <v>647</v>
      </c>
      <c r="AF1896" s="1" t="s">
        <v>3535</v>
      </c>
      <c r="AG1896" s="1" t="s">
        <v>712</v>
      </c>
      <c r="AH1896" s="1">
        <v>1.0</v>
      </c>
      <c r="AI1896" s="1">
        <v>2015.0</v>
      </c>
      <c r="AJ1896" s="1">
        <v>2015.0</v>
      </c>
      <c r="AK1896" s="1" t="s">
        <v>713</v>
      </c>
    </row>
    <row r="1897">
      <c r="A1897" s="1" t="s">
        <v>3472</v>
      </c>
      <c r="B1897" s="1" t="s">
        <v>3472</v>
      </c>
      <c r="C1897" s="1" t="s">
        <v>194</v>
      </c>
      <c r="E1897" s="1">
        <v>8.9168336E7</v>
      </c>
      <c r="F1897" s="2">
        <v>41915.0</v>
      </c>
      <c r="G1897" s="1" t="s">
        <v>458</v>
      </c>
      <c r="I1897" s="1" t="s">
        <v>458</v>
      </c>
      <c r="L1897" s="1" t="s">
        <v>194</v>
      </c>
      <c r="M1897" s="1">
        <v>9100.0</v>
      </c>
      <c r="N1897" s="1" t="s">
        <v>194</v>
      </c>
      <c r="O1897" s="1">
        <v>4.2136734E7</v>
      </c>
      <c r="P1897" s="1" t="s">
        <v>557</v>
      </c>
      <c r="Q1897" s="1" t="s">
        <v>3536</v>
      </c>
      <c r="R1897" s="1" t="s">
        <v>558</v>
      </c>
      <c r="S1897" s="1" t="s">
        <v>44</v>
      </c>
      <c r="T1897" s="1" t="s">
        <v>45</v>
      </c>
      <c r="U1897" s="1">
        <v>4.82082204E8</v>
      </c>
      <c r="W1897" s="1" t="s">
        <v>44</v>
      </c>
      <c r="X1897" s="1" t="s">
        <v>45</v>
      </c>
      <c r="Y1897" s="1">
        <v>4.82082204E8</v>
      </c>
      <c r="Z1897" s="1">
        <v>1.00036128E8</v>
      </c>
      <c r="AA1897" s="1" t="s">
        <v>3537</v>
      </c>
      <c r="AB1897" s="1">
        <v>33883.0</v>
      </c>
      <c r="AC1897" s="2">
        <v>41915.0</v>
      </c>
      <c r="AD1897" s="1">
        <v>9100.0</v>
      </c>
      <c r="AE1897" s="1" t="s">
        <v>194</v>
      </c>
      <c r="AF1897" s="1" t="s">
        <v>3538</v>
      </c>
      <c r="AG1897" s="1" t="s">
        <v>463</v>
      </c>
      <c r="AH1897" s="1">
        <v>1.0</v>
      </c>
      <c r="AI1897" s="1">
        <v>2015.0</v>
      </c>
      <c r="AJ1897" s="1">
        <v>2015.0</v>
      </c>
      <c r="AK1897" s="1" t="s">
        <v>277</v>
      </c>
    </row>
    <row r="1898">
      <c r="A1898" s="1" t="s">
        <v>3515</v>
      </c>
      <c r="B1898" s="1" t="s">
        <v>3515</v>
      </c>
      <c r="C1898" s="1" t="s">
        <v>645</v>
      </c>
      <c r="E1898" s="1">
        <v>4.64793056E8</v>
      </c>
      <c r="F1898" s="2">
        <v>41928.0</v>
      </c>
      <c r="G1898" s="1" t="s">
        <v>710</v>
      </c>
      <c r="I1898" s="1" t="s">
        <v>710</v>
      </c>
      <c r="L1898" s="1" t="s">
        <v>647</v>
      </c>
      <c r="M1898" s="1">
        <v>1200.0</v>
      </c>
      <c r="N1898" s="1" t="s">
        <v>647</v>
      </c>
      <c r="O1898" s="1">
        <v>8.32093392E8</v>
      </c>
      <c r="P1898" s="1" t="s">
        <v>769</v>
      </c>
      <c r="Q1898" s="1" t="s">
        <v>3488</v>
      </c>
      <c r="R1898" s="1" t="s">
        <v>770</v>
      </c>
      <c r="S1898" s="1" t="s">
        <v>44</v>
      </c>
      <c r="T1898" s="1" t="s">
        <v>45</v>
      </c>
      <c r="U1898" s="1">
        <v>4.82354205E8</v>
      </c>
      <c r="W1898" s="1" t="s">
        <v>44</v>
      </c>
      <c r="X1898" s="1" t="s">
        <v>45</v>
      </c>
      <c r="Y1898" s="1">
        <v>4.82354205E8</v>
      </c>
      <c r="Z1898" s="1">
        <v>1.00034214E8</v>
      </c>
      <c r="AA1898" s="1" t="s">
        <v>3489</v>
      </c>
      <c r="AB1898" s="1">
        <v>142504.75</v>
      </c>
      <c r="AC1898" s="2">
        <v>41928.0</v>
      </c>
      <c r="AD1898" s="1">
        <v>1200.0</v>
      </c>
      <c r="AE1898" s="1" t="s">
        <v>647</v>
      </c>
      <c r="AF1898" s="1" t="s">
        <v>3539</v>
      </c>
      <c r="AG1898" s="1" t="s">
        <v>712</v>
      </c>
      <c r="AH1898" s="1">
        <v>1.0</v>
      </c>
      <c r="AI1898" s="1">
        <v>2015.0</v>
      </c>
      <c r="AJ1898" s="1">
        <v>2015.0</v>
      </c>
      <c r="AK1898" s="1" t="s">
        <v>713</v>
      </c>
    </row>
    <row r="1899">
      <c r="A1899" s="1" t="s">
        <v>3515</v>
      </c>
      <c r="B1899" s="1" t="s">
        <v>3515</v>
      </c>
      <c r="C1899" s="1" t="s">
        <v>645</v>
      </c>
      <c r="E1899" s="1">
        <v>4.64793056E8</v>
      </c>
      <c r="F1899" s="2">
        <v>41921.0</v>
      </c>
      <c r="G1899" s="1" t="s">
        <v>710</v>
      </c>
      <c r="I1899" s="1" t="s">
        <v>710</v>
      </c>
      <c r="L1899" s="1" t="s">
        <v>647</v>
      </c>
      <c r="M1899" s="1">
        <v>1200.0</v>
      </c>
      <c r="N1899" s="1" t="s">
        <v>647</v>
      </c>
      <c r="O1899" s="1">
        <v>8.31014068E8</v>
      </c>
      <c r="P1899" s="1" t="s">
        <v>515</v>
      </c>
      <c r="Q1899" s="1" t="s">
        <v>3503</v>
      </c>
      <c r="R1899" s="1" t="s">
        <v>516</v>
      </c>
      <c r="S1899" s="1" t="s">
        <v>44</v>
      </c>
      <c r="T1899" s="1" t="s">
        <v>45</v>
      </c>
      <c r="U1899" s="1">
        <v>4.82283685E8</v>
      </c>
      <c r="W1899" s="1" t="s">
        <v>46</v>
      </c>
      <c r="X1899" s="1" t="s">
        <v>45</v>
      </c>
      <c r="Y1899" s="1">
        <v>4.82283685E8</v>
      </c>
      <c r="Z1899" s="1">
        <v>9.60742484E8</v>
      </c>
      <c r="AB1899" s="1">
        <v>175161.18</v>
      </c>
      <c r="AC1899" s="2">
        <v>41921.0</v>
      </c>
      <c r="AD1899" s="1">
        <v>1200.0</v>
      </c>
      <c r="AE1899" s="1" t="s">
        <v>647</v>
      </c>
      <c r="AF1899" s="1" t="s">
        <v>3540</v>
      </c>
      <c r="AG1899" s="1" t="s">
        <v>712</v>
      </c>
      <c r="AH1899" s="1">
        <v>1.0</v>
      </c>
      <c r="AI1899" s="1">
        <v>2015.0</v>
      </c>
      <c r="AJ1899" s="1">
        <v>2015.0</v>
      </c>
      <c r="AK1899" s="1" t="s">
        <v>713</v>
      </c>
    </row>
    <row r="1900">
      <c r="A1900" s="1" t="s">
        <v>3515</v>
      </c>
      <c r="B1900" s="1" t="s">
        <v>3515</v>
      </c>
      <c r="C1900" s="1" t="s">
        <v>645</v>
      </c>
      <c r="E1900" s="1">
        <v>4.64793056E8</v>
      </c>
      <c r="F1900" s="2">
        <v>41977.0</v>
      </c>
      <c r="G1900" s="1" t="s">
        <v>710</v>
      </c>
      <c r="I1900" s="1" t="s">
        <v>710</v>
      </c>
      <c r="L1900" s="1" t="s">
        <v>647</v>
      </c>
      <c r="M1900" s="1">
        <v>1200.0</v>
      </c>
      <c r="N1900" s="1" t="s">
        <v>647</v>
      </c>
      <c r="O1900" s="1">
        <v>8.3082572E8</v>
      </c>
      <c r="P1900" s="1" t="s">
        <v>465</v>
      </c>
      <c r="Q1900" s="1" t="s">
        <v>554</v>
      </c>
      <c r="R1900" s="1" t="s">
        <v>555</v>
      </c>
      <c r="S1900" s="1" t="s">
        <v>44</v>
      </c>
      <c r="T1900" s="1" t="s">
        <v>45</v>
      </c>
      <c r="U1900" s="1">
        <v>4.82024061E8</v>
      </c>
      <c r="W1900" s="1" t="s">
        <v>44</v>
      </c>
      <c r="X1900" s="1" t="s">
        <v>45</v>
      </c>
      <c r="Y1900" s="1">
        <v>4.82023457E8</v>
      </c>
      <c r="Z1900" s="1">
        <v>1.6338926E8</v>
      </c>
      <c r="AA1900" s="1" t="s">
        <v>465</v>
      </c>
      <c r="AB1900" s="1">
        <v>233627.38</v>
      </c>
      <c r="AC1900" s="2">
        <v>41977.0</v>
      </c>
      <c r="AD1900" s="1">
        <v>1200.0</v>
      </c>
      <c r="AE1900" s="1" t="s">
        <v>647</v>
      </c>
      <c r="AF1900" s="1" t="s">
        <v>3541</v>
      </c>
      <c r="AG1900" s="1" t="s">
        <v>712</v>
      </c>
      <c r="AH1900" s="1">
        <v>1.0</v>
      </c>
      <c r="AI1900" s="1">
        <v>2015.0</v>
      </c>
      <c r="AJ1900" s="1">
        <v>2015.0</v>
      </c>
      <c r="AK1900" s="1" t="s">
        <v>713</v>
      </c>
    </row>
    <row r="1901">
      <c r="A1901" s="1" t="s">
        <v>3515</v>
      </c>
      <c r="B1901" s="1" t="s">
        <v>3515</v>
      </c>
      <c r="C1901" s="1" t="s">
        <v>645</v>
      </c>
      <c r="E1901" s="1">
        <v>4.64793056E8</v>
      </c>
      <c r="F1901" s="2">
        <v>41977.0</v>
      </c>
      <c r="G1901" s="1" t="s">
        <v>710</v>
      </c>
      <c r="I1901" s="1" t="s">
        <v>710</v>
      </c>
      <c r="L1901" s="1" t="s">
        <v>647</v>
      </c>
      <c r="M1901" s="1">
        <v>1200.0</v>
      </c>
      <c r="N1901" s="1" t="s">
        <v>647</v>
      </c>
      <c r="O1901" s="1">
        <v>8.29630537E8</v>
      </c>
      <c r="P1901" s="1" t="s">
        <v>531</v>
      </c>
      <c r="Q1901" s="1" t="s">
        <v>532</v>
      </c>
      <c r="R1901" s="1" t="s">
        <v>533</v>
      </c>
      <c r="S1901" s="1" t="s">
        <v>44</v>
      </c>
      <c r="T1901" s="1" t="s">
        <v>45</v>
      </c>
      <c r="U1901" s="1">
        <v>4.8219181E8</v>
      </c>
      <c r="W1901" s="1" t="s">
        <v>44</v>
      </c>
      <c r="X1901" s="1" t="s">
        <v>45</v>
      </c>
      <c r="Y1901" s="1">
        <v>4.8219181E8</v>
      </c>
      <c r="Z1901" s="1">
        <v>4.0576886E7</v>
      </c>
      <c r="AA1901" s="1" t="s">
        <v>3542</v>
      </c>
      <c r="AB1901" s="1">
        <v>232349.42</v>
      </c>
      <c r="AC1901" s="2">
        <v>41977.0</v>
      </c>
      <c r="AD1901" s="1">
        <v>1200.0</v>
      </c>
      <c r="AE1901" s="1" t="s">
        <v>647</v>
      </c>
      <c r="AF1901" s="1" t="s">
        <v>3543</v>
      </c>
      <c r="AG1901" s="1" t="s">
        <v>712</v>
      </c>
      <c r="AH1901" s="1">
        <v>1.0</v>
      </c>
      <c r="AI1901" s="1">
        <v>2015.0</v>
      </c>
      <c r="AJ1901" s="1">
        <v>2015.0</v>
      </c>
      <c r="AK1901" s="1" t="s">
        <v>713</v>
      </c>
    </row>
    <row r="1902">
      <c r="A1902" s="1" t="s">
        <v>3515</v>
      </c>
      <c r="B1902" s="1" t="s">
        <v>3515</v>
      </c>
      <c r="C1902" s="1" t="s">
        <v>645</v>
      </c>
      <c r="E1902" s="1">
        <v>4.64793056E8</v>
      </c>
      <c r="F1902" s="2">
        <v>41919.0</v>
      </c>
      <c r="G1902" s="1" t="s">
        <v>710</v>
      </c>
      <c r="I1902" s="1" t="s">
        <v>710</v>
      </c>
      <c r="L1902" s="1" t="s">
        <v>647</v>
      </c>
      <c r="M1902" s="1">
        <v>1200.0</v>
      </c>
      <c r="N1902" s="1" t="s">
        <v>647</v>
      </c>
      <c r="O1902" s="1">
        <v>1.52892667E8</v>
      </c>
      <c r="P1902" s="1" t="s">
        <v>638</v>
      </c>
      <c r="R1902" s="1" t="s">
        <v>639</v>
      </c>
      <c r="S1902" s="1" t="s">
        <v>44</v>
      </c>
      <c r="T1902" s="1" t="s">
        <v>45</v>
      </c>
      <c r="U1902" s="1">
        <v>4.82343358E8</v>
      </c>
      <c r="W1902" s="1" t="s">
        <v>46</v>
      </c>
      <c r="X1902" s="1" t="s">
        <v>45</v>
      </c>
      <c r="Y1902" s="1">
        <v>4.8234E8</v>
      </c>
      <c r="AB1902" s="1">
        <v>166901.03</v>
      </c>
      <c r="AC1902" s="2">
        <v>41919.0</v>
      </c>
      <c r="AD1902" s="1">
        <v>1200.0</v>
      </c>
      <c r="AE1902" s="1" t="s">
        <v>647</v>
      </c>
      <c r="AF1902" s="1" t="s">
        <v>3544</v>
      </c>
      <c r="AG1902" s="1" t="s">
        <v>712</v>
      </c>
      <c r="AH1902" s="1">
        <v>1.0</v>
      </c>
      <c r="AI1902" s="1">
        <v>2015.0</v>
      </c>
      <c r="AJ1902" s="1">
        <v>2015.0</v>
      </c>
      <c r="AK1902" s="1" t="s">
        <v>713</v>
      </c>
    </row>
    <row r="1903">
      <c r="A1903" s="1" t="s">
        <v>3515</v>
      </c>
      <c r="B1903" s="1" t="s">
        <v>3515</v>
      </c>
      <c r="C1903" s="1" t="s">
        <v>645</v>
      </c>
      <c r="E1903" s="1">
        <v>4.64793056E8</v>
      </c>
      <c r="F1903" s="2">
        <v>41928.0</v>
      </c>
      <c r="G1903" s="1" t="s">
        <v>710</v>
      </c>
      <c r="I1903" s="1" t="s">
        <v>710</v>
      </c>
      <c r="L1903" s="1" t="s">
        <v>647</v>
      </c>
      <c r="M1903" s="1">
        <v>1200.0</v>
      </c>
      <c r="N1903" s="1" t="s">
        <v>647</v>
      </c>
      <c r="O1903" s="1">
        <v>8.25304442E8</v>
      </c>
      <c r="P1903" s="1" t="s">
        <v>829</v>
      </c>
      <c r="R1903" s="1" t="s">
        <v>830</v>
      </c>
      <c r="S1903" s="1" t="s">
        <v>44</v>
      </c>
      <c r="T1903" s="1" t="s">
        <v>45</v>
      </c>
      <c r="U1903" s="1">
        <v>4.82351762E8</v>
      </c>
      <c r="W1903" s="1" t="s">
        <v>44</v>
      </c>
      <c r="X1903" s="1" t="s">
        <v>45</v>
      </c>
      <c r="Y1903" s="1">
        <v>4.82351762E8</v>
      </c>
      <c r="Z1903" s="1">
        <v>7.6328541E7</v>
      </c>
      <c r="AA1903" s="1" t="s">
        <v>3545</v>
      </c>
      <c r="AB1903" s="1">
        <v>114795.41</v>
      </c>
      <c r="AC1903" s="2">
        <v>41928.0</v>
      </c>
      <c r="AD1903" s="1">
        <v>1200.0</v>
      </c>
      <c r="AE1903" s="1" t="s">
        <v>647</v>
      </c>
      <c r="AF1903" s="1" t="s">
        <v>3546</v>
      </c>
      <c r="AG1903" s="1" t="s">
        <v>712</v>
      </c>
      <c r="AH1903" s="1">
        <v>1.0</v>
      </c>
      <c r="AI1903" s="1">
        <v>2015.0</v>
      </c>
      <c r="AJ1903" s="1">
        <v>2015.0</v>
      </c>
      <c r="AK1903" s="1" t="s">
        <v>713</v>
      </c>
    </row>
    <row r="1904">
      <c r="A1904" s="1" t="s">
        <v>3515</v>
      </c>
      <c r="B1904" s="1" t="s">
        <v>3515</v>
      </c>
      <c r="C1904" s="1" t="s">
        <v>645</v>
      </c>
      <c r="E1904" s="1">
        <v>4.64793056E8</v>
      </c>
      <c r="F1904" s="2">
        <v>41956.0</v>
      </c>
      <c r="G1904" s="1" t="s">
        <v>710</v>
      </c>
      <c r="I1904" s="1" t="s">
        <v>710</v>
      </c>
      <c r="L1904" s="1" t="s">
        <v>647</v>
      </c>
      <c r="M1904" s="1">
        <v>1200.0</v>
      </c>
      <c r="N1904" s="1" t="s">
        <v>647</v>
      </c>
      <c r="O1904" s="1">
        <v>7.97531279E8</v>
      </c>
      <c r="P1904" s="1" t="s">
        <v>496</v>
      </c>
      <c r="R1904" s="1" t="s">
        <v>497</v>
      </c>
      <c r="S1904" s="1" t="s">
        <v>44</v>
      </c>
      <c r="T1904" s="1" t="s">
        <v>45</v>
      </c>
      <c r="U1904" s="1">
        <v>4.82123323E8</v>
      </c>
      <c r="W1904" s="1" t="s">
        <v>498</v>
      </c>
      <c r="X1904" s="1" t="s">
        <v>45</v>
      </c>
      <c r="Y1904" s="1">
        <v>4.82123323E8</v>
      </c>
      <c r="Z1904" s="1">
        <v>2.0840815E7</v>
      </c>
      <c r="AA1904" s="1" t="s">
        <v>543</v>
      </c>
      <c r="AB1904" s="1">
        <v>132438.21</v>
      </c>
      <c r="AC1904" s="2">
        <v>41956.0</v>
      </c>
      <c r="AD1904" s="1">
        <v>1200.0</v>
      </c>
      <c r="AE1904" s="1" t="s">
        <v>647</v>
      </c>
      <c r="AF1904" s="1" t="s">
        <v>3547</v>
      </c>
      <c r="AG1904" s="1" t="s">
        <v>712</v>
      </c>
      <c r="AH1904" s="1">
        <v>1.0</v>
      </c>
      <c r="AI1904" s="1">
        <v>2015.0</v>
      </c>
      <c r="AJ1904" s="1">
        <v>2015.0</v>
      </c>
      <c r="AK1904" s="1" t="s">
        <v>713</v>
      </c>
    </row>
    <row r="1905">
      <c r="A1905" s="1" t="s">
        <v>3515</v>
      </c>
      <c r="B1905" s="1" t="s">
        <v>3515</v>
      </c>
      <c r="C1905" s="1" t="s">
        <v>645</v>
      </c>
      <c r="E1905" s="1">
        <v>4.64793056E8</v>
      </c>
      <c r="F1905" s="2">
        <v>41956.0</v>
      </c>
      <c r="G1905" s="1" t="s">
        <v>710</v>
      </c>
      <c r="I1905" s="1" t="s">
        <v>710</v>
      </c>
      <c r="L1905" s="1" t="s">
        <v>647</v>
      </c>
      <c r="M1905" s="1">
        <v>1200.0</v>
      </c>
      <c r="N1905" s="1" t="s">
        <v>647</v>
      </c>
      <c r="O1905" s="1">
        <v>7.97531295E8</v>
      </c>
      <c r="P1905" s="1" t="s">
        <v>582</v>
      </c>
      <c r="R1905" s="1" t="s">
        <v>583</v>
      </c>
      <c r="S1905" s="1" t="s">
        <v>44</v>
      </c>
      <c r="T1905" s="1" t="s">
        <v>45</v>
      </c>
      <c r="U1905" s="1">
        <v>4.82123452E8</v>
      </c>
      <c r="W1905" s="1" t="s">
        <v>44</v>
      </c>
      <c r="X1905" s="1" t="s">
        <v>45</v>
      </c>
      <c r="Y1905" s="1">
        <v>4.82123452E8</v>
      </c>
      <c r="AB1905" s="1">
        <v>78808.19</v>
      </c>
      <c r="AC1905" s="2">
        <v>41956.0</v>
      </c>
      <c r="AD1905" s="1">
        <v>1200.0</v>
      </c>
      <c r="AE1905" s="1" t="s">
        <v>647</v>
      </c>
      <c r="AF1905" s="1" t="s">
        <v>3548</v>
      </c>
      <c r="AG1905" s="1" t="s">
        <v>712</v>
      </c>
      <c r="AH1905" s="1">
        <v>1.0</v>
      </c>
      <c r="AI1905" s="1">
        <v>2015.0</v>
      </c>
      <c r="AJ1905" s="1">
        <v>2015.0</v>
      </c>
      <c r="AK1905" s="1" t="s">
        <v>713</v>
      </c>
    </row>
    <row r="1906">
      <c r="A1906" s="1" t="s">
        <v>3515</v>
      </c>
      <c r="B1906" s="1" t="s">
        <v>3515</v>
      </c>
      <c r="C1906" s="1" t="s">
        <v>645</v>
      </c>
      <c r="E1906" s="1">
        <v>4.64793056E8</v>
      </c>
      <c r="F1906" s="2">
        <v>41928.0</v>
      </c>
      <c r="G1906" s="1" t="s">
        <v>710</v>
      </c>
      <c r="I1906" s="1" t="s">
        <v>710</v>
      </c>
      <c r="L1906" s="1" t="s">
        <v>647</v>
      </c>
      <c r="M1906" s="1">
        <v>1200.0</v>
      </c>
      <c r="N1906" s="1" t="s">
        <v>647</v>
      </c>
      <c r="O1906" s="1">
        <v>7.97527715E8</v>
      </c>
      <c r="P1906" s="1" t="s">
        <v>567</v>
      </c>
      <c r="R1906" s="1" t="s">
        <v>568</v>
      </c>
      <c r="S1906" s="1" t="s">
        <v>44</v>
      </c>
      <c r="T1906" s="1" t="s">
        <v>45</v>
      </c>
      <c r="U1906" s="1">
        <v>4.82123134E8</v>
      </c>
      <c r="W1906" s="1" t="s">
        <v>498</v>
      </c>
      <c r="X1906" s="1" t="s">
        <v>45</v>
      </c>
      <c r="Y1906" s="1">
        <v>4.82123134E8</v>
      </c>
      <c r="Z1906" s="1">
        <v>9.60742484E8</v>
      </c>
      <c r="AB1906" s="1">
        <v>213022.28</v>
      </c>
      <c r="AC1906" s="2">
        <v>41928.0</v>
      </c>
      <c r="AD1906" s="1">
        <v>1200.0</v>
      </c>
      <c r="AE1906" s="1" t="s">
        <v>647</v>
      </c>
      <c r="AF1906" s="1" t="s">
        <v>3549</v>
      </c>
      <c r="AG1906" s="1" t="s">
        <v>712</v>
      </c>
      <c r="AH1906" s="1">
        <v>1.0</v>
      </c>
      <c r="AI1906" s="1">
        <v>2015.0</v>
      </c>
      <c r="AJ1906" s="1">
        <v>2015.0</v>
      </c>
      <c r="AK1906" s="1" t="s">
        <v>713</v>
      </c>
    </row>
    <row r="1907">
      <c r="A1907" s="1" t="s">
        <v>3515</v>
      </c>
      <c r="B1907" s="1" t="s">
        <v>3515</v>
      </c>
      <c r="C1907" s="1" t="s">
        <v>645</v>
      </c>
      <c r="E1907" s="1">
        <v>4.64793056E8</v>
      </c>
      <c r="F1907" s="2">
        <v>41837.0</v>
      </c>
      <c r="G1907" s="1" t="s">
        <v>710</v>
      </c>
      <c r="I1907" s="1" t="s">
        <v>710</v>
      </c>
      <c r="L1907" s="1" t="s">
        <v>647</v>
      </c>
      <c r="M1907" s="1">
        <v>1200.0</v>
      </c>
      <c r="N1907" s="1" t="s">
        <v>647</v>
      </c>
      <c r="O1907" s="1">
        <v>7.94990296E8</v>
      </c>
      <c r="P1907" s="1" t="s">
        <v>601</v>
      </c>
      <c r="R1907" s="1" t="s">
        <v>602</v>
      </c>
      <c r="S1907" s="1" t="s">
        <v>44</v>
      </c>
      <c r="T1907" s="1" t="s">
        <v>45</v>
      </c>
      <c r="U1907" s="1">
        <v>4.82032827E8</v>
      </c>
      <c r="W1907" s="1" t="s">
        <v>603</v>
      </c>
      <c r="X1907" s="1" t="s">
        <v>45</v>
      </c>
      <c r="Y1907" s="1">
        <v>4.82032827E8</v>
      </c>
      <c r="Z1907" s="1">
        <v>8.5898757E7</v>
      </c>
      <c r="AA1907" s="1" t="s">
        <v>3550</v>
      </c>
      <c r="AB1907" s="1">
        <v>67984.8</v>
      </c>
      <c r="AC1907" s="2">
        <v>41837.0</v>
      </c>
      <c r="AD1907" s="1">
        <v>1200.0</v>
      </c>
      <c r="AE1907" s="1" t="s">
        <v>647</v>
      </c>
      <c r="AF1907" s="1" t="s">
        <v>3551</v>
      </c>
      <c r="AG1907" s="1" t="s">
        <v>712</v>
      </c>
      <c r="AH1907" s="1">
        <v>1.0</v>
      </c>
      <c r="AI1907" s="1">
        <v>2015.0</v>
      </c>
      <c r="AJ1907" s="1">
        <v>2014.0</v>
      </c>
      <c r="AK1907" s="1" t="s">
        <v>713</v>
      </c>
    </row>
    <row r="1908">
      <c r="A1908" s="1" t="s">
        <v>3515</v>
      </c>
      <c r="B1908" s="1" t="s">
        <v>3515</v>
      </c>
      <c r="C1908" s="1" t="s">
        <v>645</v>
      </c>
      <c r="E1908" s="1">
        <v>4.64793056E8</v>
      </c>
      <c r="F1908" s="2">
        <v>41935.0</v>
      </c>
      <c r="G1908" s="1" t="s">
        <v>710</v>
      </c>
      <c r="I1908" s="1" t="s">
        <v>710</v>
      </c>
      <c r="L1908" s="1" t="s">
        <v>647</v>
      </c>
      <c r="M1908" s="1">
        <v>1200.0</v>
      </c>
      <c r="N1908" s="1" t="s">
        <v>647</v>
      </c>
      <c r="O1908" s="1">
        <v>7.93697355E8</v>
      </c>
      <c r="P1908" s="1" t="s">
        <v>691</v>
      </c>
      <c r="Q1908" s="1" t="s">
        <v>1194</v>
      </c>
      <c r="R1908" s="1" t="s">
        <v>692</v>
      </c>
      <c r="S1908" s="1" t="s">
        <v>44</v>
      </c>
      <c r="T1908" s="1" t="s">
        <v>45</v>
      </c>
      <c r="U1908" s="1">
        <v>4.82111554E8</v>
      </c>
      <c r="W1908" s="1" t="s">
        <v>44</v>
      </c>
      <c r="X1908" s="1" t="s">
        <v>45</v>
      </c>
      <c r="Y1908" s="1">
        <v>4.82111552E8</v>
      </c>
      <c r="Z1908" s="1">
        <v>5.1096188E7</v>
      </c>
      <c r="AA1908" s="1" t="s">
        <v>3552</v>
      </c>
      <c r="AB1908" s="1">
        <v>334449.01</v>
      </c>
      <c r="AC1908" s="2">
        <v>41935.0</v>
      </c>
      <c r="AD1908" s="1">
        <v>1200.0</v>
      </c>
      <c r="AE1908" s="1" t="s">
        <v>647</v>
      </c>
      <c r="AF1908" s="1" t="s">
        <v>3553</v>
      </c>
      <c r="AG1908" s="1" t="s">
        <v>712</v>
      </c>
      <c r="AH1908" s="1">
        <v>1.0</v>
      </c>
      <c r="AI1908" s="1">
        <v>2015.0</v>
      </c>
      <c r="AJ1908" s="1">
        <v>2015.0</v>
      </c>
      <c r="AK1908" s="1" t="s">
        <v>713</v>
      </c>
    </row>
    <row r="1909">
      <c r="A1909" s="1" t="s">
        <v>3515</v>
      </c>
      <c r="B1909" s="1" t="s">
        <v>3515</v>
      </c>
      <c r="C1909" s="1" t="s">
        <v>645</v>
      </c>
      <c r="E1909" s="1">
        <v>4.64793056E8</v>
      </c>
      <c r="F1909" s="2">
        <v>41928.0</v>
      </c>
      <c r="G1909" s="1" t="s">
        <v>710</v>
      </c>
      <c r="I1909" s="1" t="s">
        <v>710</v>
      </c>
      <c r="L1909" s="1" t="s">
        <v>647</v>
      </c>
      <c r="M1909" s="1">
        <v>1200.0</v>
      </c>
      <c r="N1909" s="1" t="s">
        <v>647</v>
      </c>
      <c r="O1909" s="1">
        <v>5.56265135E8</v>
      </c>
      <c r="P1909" s="1" t="s">
        <v>954</v>
      </c>
      <c r="Q1909" s="1" t="s">
        <v>3415</v>
      </c>
      <c r="R1909" s="1" t="s">
        <v>955</v>
      </c>
      <c r="S1909" s="1" t="s">
        <v>44</v>
      </c>
      <c r="T1909" s="1" t="s">
        <v>45</v>
      </c>
      <c r="U1909" s="1">
        <v>4.82192756E8</v>
      </c>
      <c r="W1909" s="1" t="s">
        <v>44</v>
      </c>
      <c r="X1909" s="1" t="s">
        <v>45</v>
      </c>
      <c r="Y1909" s="1">
        <v>4.82192756E8</v>
      </c>
      <c r="Z1909" s="1">
        <v>4.3603992E7</v>
      </c>
      <c r="AA1909" s="1" t="s">
        <v>3554</v>
      </c>
      <c r="AB1909" s="1">
        <v>46694.41</v>
      </c>
      <c r="AC1909" s="2">
        <v>41928.0</v>
      </c>
      <c r="AD1909" s="1">
        <v>1200.0</v>
      </c>
      <c r="AE1909" s="1" t="s">
        <v>647</v>
      </c>
      <c r="AF1909" s="1" t="s">
        <v>3555</v>
      </c>
      <c r="AG1909" s="1" t="s">
        <v>712</v>
      </c>
      <c r="AH1909" s="1">
        <v>1.0</v>
      </c>
      <c r="AI1909" s="1">
        <v>2015.0</v>
      </c>
      <c r="AJ1909" s="1">
        <v>2015.0</v>
      </c>
      <c r="AK1909" s="1" t="s">
        <v>713</v>
      </c>
    </row>
    <row r="1910">
      <c r="A1910" s="1" t="s">
        <v>3472</v>
      </c>
      <c r="B1910" s="1" t="s">
        <v>3472</v>
      </c>
      <c r="C1910" s="1" t="s">
        <v>194</v>
      </c>
      <c r="E1910" s="1">
        <v>8.9168336E7</v>
      </c>
      <c r="F1910" s="2">
        <v>41878.0</v>
      </c>
      <c r="G1910" s="1" t="s">
        <v>458</v>
      </c>
      <c r="I1910" s="1" t="s">
        <v>458</v>
      </c>
      <c r="L1910" s="1" t="s">
        <v>194</v>
      </c>
      <c r="M1910" s="1">
        <v>9100.0</v>
      </c>
      <c r="N1910" s="1" t="s">
        <v>194</v>
      </c>
      <c r="O1910" s="1">
        <v>9.62378779E8</v>
      </c>
      <c r="P1910" s="1" t="s">
        <v>478</v>
      </c>
      <c r="Q1910" s="1" t="s">
        <v>3556</v>
      </c>
      <c r="R1910" s="1" t="s">
        <v>479</v>
      </c>
      <c r="S1910" s="1" t="s">
        <v>44</v>
      </c>
      <c r="T1910" s="1" t="s">
        <v>45</v>
      </c>
      <c r="U1910" s="1">
        <v>4.82342225E8</v>
      </c>
      <c r="W1910" s="1" t="s">
        <v>44</v>
      </c>
      <c r="X1910" s="1" t="s">
        <v>45</v>
      </c>
      <c r="Y1910" s="1">
        <v>4.82342225E8</v>
      </c>
      <c r="Z1910" s="1">
        <v>4.0576886E7</v>
      </c>
      <c r="AA1910" s="1" t="s">
        <v>3542</v>
      </c>
      <c r="AB1910" s="1">
        <v>84331.0</v>
      </c>
      <c r="AC1910" s="2">
        <v>41878.0</v>
      </c>
      <c r="AD1910" s="1">
        <v>9100.0</v>
      </c>
      <c r="AE1910" s="1" t="s">
        <v>194</v>
      </c>
      <c r="AF1910" s="1" t="s">
        <v>3557</v>
      </c>
      <c r="AG1910" s="1" t="s">
        <v>463</v>
      </c>
      <c r="AH1910" s="1">
        <v>1.0</v>
      </c>
      <c r="AI1910" s="1">
        <v>2015.0</v>
      </c>
      <c r="AJ1910" s="1">
        <v>2014.0</v>
      </c>
      <c r="AK1910" s="1" t="s">
        <v>277</v>
      </c>
    </row>
    <row r="1911">
      <c r="A1911" s="1" t="s">
        <v>3472</v>
      </c>
      <c r="B1911" s="1" t="s">
        <v>3472</v>
      </c>
      <c r="C1911" s="1" t="s">
        <v>194</v>
      </c>
      <c r="E1911" s="1">
        <v>8.9168336E7</v>
      </c>
      <c r="F1911" s="2">
        <v>41878.0</v>
      </c>
      <c r="G1911" s="1" t="s">
        <v>458</v>
      </c>
      <c r="I1911" s="1" t="s">
        <v>458</v>
      </c>
      <c r="L1911" s="1" t="s">
        <v>194</v>
      </c>
      <c r="M1911" s="1">
        <v>9100.0</v>
      </c>
      <c r="N1911" s="1" t="s">
        <v>194</v>
      </c>
      <c r="O1911" s="1">
        <v>7.97527715E8</v>
      </c>
      <c r="P1911" s="1" t="s">
        <v>567</v>
      </c>
      <c r="Q1911" s="1" t="s">
        <v>3558</v>
      </c>
      <c r="R1911" s="1" t="s">
        <v>568</v>
      </c>
      <c r="S1911" s="1" t="s">
        <v>44</v>
      </c>
      <c r="T1911" s="1" t="s">
        <v>45</v>
      </c>
      <c r="U1911" s="1">
        <v>4.82123134E8</v>
      </c>
      <c r="W1911" s="1" t="s">
        <v>498</v>
      </c>
      <c r="X1911" s="1" t="s">
        <v>45</v>
      </c>
      <c r="Y1911" s="1">
        <v>4.82123134E8</v>
      </c>
      <c r="Z1911" s="1">
        <v>9.60742484E8</v>
      </c>
      <c r="AB1911" s="1">
        <v>30301.0</v>
      </c>
      <c r="AC1911" s="2">
        <v>41878.0</v>
      </c>
      <c r="AD1911" s="1">
        <v>9100.0</v>
      </c>
      <c r="AE1911" s="1" t="s">
        <v>194</v>
      </c>
      <c r="AF1911" s="1" t="s">
        <v>3559</v>
      </c>
      <c r="AG1911" s="1" t="s">
        <v>463</v>
      </c>
      <c r="AH1911" s="1">
        <v>1.0</v>
      </c>
      <c r="AI1911" s="1">
        <v>2015.0</v>
      </c>
      <c r="AJ1911" s="1">
        <v>2014.0</v>
      </c>
      <c r="AK1911" s="1" t="s">
        <v>277</v>
      </c>
    </row>
    <row r="1912">
      <c r="A1912" s="1" t="s">
        <v>3472</v>
      </c>
      <c r="B1912" s="1" t="s">
        <v>3472</v>
      </c>
      <c r="C1912" s="1" t="s">
        <v>194</v>
      </c>
      <c r="E1912" s="1">
        <v>8.9168336E7</v>
      </c>
      <c r="F1912" s="2">
        <v>41878.0</v>
      </c>
      <c r="G1912" s="1" t="s">
        <v>458</v>
      </c>
      <c r="I1912" s="1" t="s">
        <v>458</v>
      </c>
      <c r="L1912" s="1" t="s">
        <v>194</v>
      </c>
      <c r="M1912" s="1">
        <v>9100.0</v>
      </c>
      <c r="N1912" s="1" t="s">
        <v>194</v>
      </c>
      <c r="O1912" s="1">
        <v>3.7602699E7</v>
      </c>
      <c r="P1912" s="1" t="s">
        <v>535</v>
      </c>
      <c r="R1912" s="1" t="s">
        <v>536</v>
      </c>
      <c r="S1912" s="1" t="s">
        <v>44</v>
      </c>
      <c r="T1912" s="1" t="s">
        <v>45</v>
      </c>
      <c r="U1912" s="1">
        <v>4.82052545E8</v>
      </c>
      <c r="W1912" s="1" t="s">
        <v>46</v>
      </c>
      <c r="X1912" s="1" t="s">
        <v>45</v>
      </c>
      <c r="Y1912" s="1">
        <v>4.82052545E8</v>
      </c>
      <c r="Z1912" s="1">
        <v>1.00036375E8</v>
      </c>
      <c r="AA1912" s="1" t="s">
        <v>471</v>
      </c>
      <c r="AB1912" s="1">
        <v>50355.0</v>
      </c>
      <c r="AC1912" s="2">
        <v>41878.0</v>
      </c>
      <c r="AD1912" s="1">
        <v>9100.0</v>
      </c>
      <c r="AE1912" s="1" t="s">
        <v>194</v>
      </c>
      <c r="AF1912" s="1" t="s">
        <v>3560</v>
      </c>
      <c r="AG1912" s="1" t="s">
        <v>463</v>
      </c>
      <c r="AH1912" s="1">
        <v>1.0</v>
      </c>
      <c r="AI1912" s="1">
        <v>2015.0</v>
      </c>
      <c r="AJ1912" s="1">
        <v>2014.0</v>
      </c>
      <c r="AK1912" s="1" t="s">
        <v>277</v>
      </c>
    </row>
    <row r="1913">
      <c r="A1913" s="1" t="s">
        <v>3515</v>
      </c>
      <c r="B1913" s="1" t="s">
        <v>3515</v>
      </c>
      <c r="C1913" s="1" t="s">
        <v>645</v>
      </c>
      <c r="E1913" s="1">
        <v>4.64793056E8</v>
      </c>
      <c r="F1913" s="2">
        <v>41921.0</v>
      </c>
      <c r="G1913" s="1" t="s">
        <v>710</v>
      </c>
      <c r="I1913" s="1" t="s">
        <v>710</v>
      </c>
      <c r="L1913" s="1" t="s">
        <v>647</v>
      </c>
      <c r="M1913" s="1">
        <v>1200.0</v>
      </c>
      <c r="N1913" s="1" t="s">
        <v>647</v>
      </c>
      <c r="O1913" s="1">
        <v>1.69760451E8</v>
      </c>
      <c r="P1913" s="1" t="s">
        <v>772</v>
      </c>
      <c r="Q1913" s="1" t="s">
        <v>3454</v>
      </c>
      <c r="R1913" s="1" t="s">
        <v>773</v>
      </c>
      <c r="S1913" s="1" t="s">
        <v>44</v>
      </c>
      <c r="T1913" s="1" t="s">
        <v>45</v>
      </c>
      <c r="U1913" s="1">
        <v>4.82121788E8</v>
      </c>
      <c r="W1913" s="1" t="s">
        <v>44</v>
      </c>
      <c r="X1913" s="1" t="s">
        <v>45</v>
      </c>
      <c r="Y1913" s="1">
        <v>4.82121788E8</v>
      </c>
      <c r="Z1913" s="1">
        <v>3.9867106E7</v>
      </c>
      <c r="AA1913" s="1" t="s">
        <v>3455</v>
      </c>
      <c r="AB1913" s="1">
        <v>41514.85</v>
      </c>
      <c r="AC1913" s="2">
        <v>41921.0</v>
      </c>
      <c r="AD1913" s="1">
        <v>1200.0</v>
      </c>
      <c r="AE1913" s="1" t="s">
        <v>647</v>
      </c>
      <c r="AF1913" s="1" t="s">
        <v>3561</v>
      </c>
      <c r="AG1913" s="1" t="s">
        <v>712</v>
      </c>
      <c r="AH1913" s="1">
        <v>1.0</v>
      </c>
      <c r="AI1913" s="1">
        <v>2015.0</v>
      </c>
      <c r="AJ1913" s="1">
        <v>2015.0</v>
      </c>
      <c r="AK1913" s="1" t="s">
        <v>713</v>
      </c>
    </row>
    <row r="1914">
      <c r="A1914" s="1" t="s">
        <v>3515</v>
      </c>
      <c r="B1914" s="1" t="s">
        <v>3515</v>
      </c>
      <c r="C1914" s="1" t="s">
        <v>645</v>
      </c>
      <c r="E1914" s="1">
        <v>4.64793056E8</v>
      </c>
      <c r="F1914" s="2">
        <v>41921.0</v>
      </c>
      <c r="G1914" s="1" t="s">
        <v>710</v>
      </c>
      <c r="I1914" s="1" t="s">
        <v>710</v>
      </c>
      <c r="L1914" s="1" t="s">
        <v>647</v>
      </c>
      <c r="M1914" s="1">
        <v>1200.0</v>
      </c>
      <c r="N1914" s="1" t="s">
        <v>647</v>
      </c>
      <c r="O1914" s="1">
        <v>1.68568132E8</v>
      </c>
      <c r="P1914" s="1" t="s">
        <v>588</v>
      </c>
      <c r="R1914" s="1" t="s">
        <v>589</v>
      </c>
      <c r="S1914" s="1" t="s">
        <v>44</v>
      </c>
      <c r="T1914" s="1" t="s">
        <v>45</v>
      </c>
      <c r="U1914" s="1">
        <v>4.82143323E8</v>
      </c>
      <c r="W1914" s="1" t="s">
        <v>44</v>
      </c>
      <c r="X1914" s="1" t="s">
        <v>45</v>
      </c>
      <c r="Y1914" s="1">
        <v>4.82143323E8</v>
      </c>
      <c r="Z1914" s="1">
        <v>9.60742484E8</v>
      </c>
      <c r="AB1914" s="1">
        <v>174966.01</v>
      </c>
      <c r="AC1914" s="2">
        <v>41921.0</v>
      </c>
      <c r="AD1914" s="1">
        <v>1200.0</v>
      </c>
      <c r="AE1914" s="1" t="s">
        <v>647</v>
      </c>
      <c r="AF1914" s="1" t="s">
        <v>3562</v>
      </c>
      <c r="AG1914" s="1" t="s">
        <v>712</v>
      </c>
      <c r="AH1914" s="1">
        <v>1.0</v>
      </c>
      <c r="AI1914" s="1">
        <v>2015.0</v>
      </c>
      <c r="AJ1914" s="1">
        <v>2015.0</v>
      </c>
      <c r="AK1914" s="1" t="s">
        <v>713</v>
      </c>
    </row>
    <row r="1915">
      <c r="A1915" s="1" t="s">
        <v>3515</v>
      </c>
      <c r="B1915" s="1" t="s">
        <v>3515</v>
      </c>
      <c r="C1915" s="1" t="s">
        <v>645</v>
      </c>
      <c r="E1915" s="1">
        <v>4.64793056E8</v>
      </c>
      <c r="F1915" s="2">
        <v>41977.0</v>
      </c>
      <c r="G1915" s="1" t="s">
        <v>710</v>
      </c>
      <c r="I1915" s="1" t="s">
        <v>710</v>
      </c>
      <c r="L1915" s="1" t="s">
        <v>647</v>
      </c>
      <c r="M1915" s="1">
        <v>1200.0</v>
      </c>
      <c r="N1915" s="1" t="s">
        <v>647</v>
      </c>
      <c r="O1915" s="1">
        <v>1.6338926E8</v>
      </c>
      <c r="P1915" s="1" t="s">
        <v>465</v>
      </c>
      <c r="Q1915" s="1" t="s">
        <v>598</v>
      </c>
      <c r="R1915" s="1" t="s">
        <v>599</v>
      </c>
      <c r="S1915" s="1" t="s">
        <v>44</v>
      </c>
      <c r="T1915" s="1" t="s">
        <v>45</v>
      </c>
      <c r="U1915" s="1">
        <v>4.82023457E8</v>
      </c>
      <c r="W1915" s="1" t="s">
        <v>44</v>
      </c>
      <c r="X1915" s="1" t="s">
        <v>45</v>
      </c>
      <c r="Y1915" s="1">
        <v>4.82023457E8</v>
      </c>
      <c r="Z1915" s="1">
        <v>1.6338926E8</v>
      </c>
      <c r="AA1915" s="1" t="s">
        <v>465</v>
      </c>
      <c r="AB1915" s="1">
        <v>31141.13</v>
      </c>
      <c r="AC1915" s="2">
        <v>41977.0</v>
      </c>
      <c r="AD1915" s="1">
        <v>1200.0</v>
      </c>
      <c r="AE1915" s="1" t="s">
        <v>647</v>
      </c>
      <c r="AF1915" s="1" t="s">
        <v>3563</v>
      </c>
      <c r="AG1915" s="1" t="s">
        <v>712</v>
      </c>
      <c r="AH1915" s="1">
        <v>1.0</v>
      </c>
      <c r="AI1915" s="1">
        <v>2015.0</v>
      </c>
      <c r="AJ1915" s="1">
        <v>2015.0</v>
      </c>
      <c r="AK1915" s="1" t="s">
        <v>713</v>
      </c>
    </row>
    <row r="1916">
      <c r="A1916" s="1" t="s">
        <v>3515</v>
      </c>
      <c r="B1916" s="1" t="s">
        <v>3515</v>
      </c>
      <c r="C1916" s="1" t="s">
        <v>645</v>
      </c>
      <c r="E1916" s="1">
        <v>4.64793056E8</v>
      </c>
      <c r="F1916" s="2">
        <v>41942.0</v>
      </c>
      <c r="G1916" s="1" t="s">
        <v>710</v>
      </c>
      <c r="I1916" s="1" t="s">
        <v>710</v>
      </c>
      <c r="L1916" s="1" t="s">
        <v>647</v>
      </c>
      <c r="M1916" s="1">
        <v>1200.0</v>
      </c>
      <c r="N1916" s="1" t="s">
        <v>647</v>
      </c>
      <c r="O1916" s="1">
        <v>1.47777952E8</v>
      </c>
      <c r="P1916" s="1" t="s">
        <v>459</v>
      </c>
      <c r="Q1916" s="1" t="s">
        <v>626</v>
      </c>
      <c r="R1916" s="1" t="s">
        <v>627</v>
      </c>
      <c r="S1916" s="1" t="s">
        <v>44</v>
      </c>
      <c r="T1916" s="1" t="s">
        <v>45</v>
      </c>
      <c r="U1916" s="1">
        <v>4.82072112E8</v>
      </c>
      <c r="W1916" s="1" t="s">
        <v>44</v>
      </c>
      <c r="X1916" s="1" t="s">
        <v>45</v>
      </c>
      <c r="Y1916" s="1">
        <v>4.82072112E8</v>
      </c>
      <c r="Z1916" s="1">
        <v>7.6340843E7</v>
      </c>
      <c r="AA1916" s="1" t="s">
        <v>461</v>
      </c>
      <c r="AB1916" s="1">
        <v>218588.28</v>
      </c>
      <c r="AC1916" s="2">
        <v>41942.0</v>
      </c>
      <c r="AD1916" s="1">
        <v>1200.0</v>
      </c>
      <c r="AE1916" s="1" t="s">
        <v>647</v>
      </c>
      <c r="AF1916" s="1" t="s">
        <v>3564</v>
      </c>
      <c r="AG1916" s="1" t="s">
        <v>712</v>
      </c>
      <c r="AH1916" s="1">
        <v>1.0</v>
      </c>
      <c r="AI1916" s="1">
        <v>2015.0</v>
      </c>
      <c r="AJ1916" s="1">
        <v>2015.0</v>
      </c>
      <c r="AK1916" s="1" t="s">
        <v>713</v>
      </c>
    </row>
    <row r="1917">
      <c r="A1917" s="1" t="s">
        <v>3515</v>
      </c>
      <c r="B1917" s="1" t="s">
        <v>3515</v>
      </c>
      <c r="C1917" s="1" t="s">
        <v>645</v>
      </c>
      <c r="E1917" s="1">
        <v>4.64793056E8</v>
      </c>
      <c r="F1917" s="2">
        <v>41921.0</v>
      </c>
      <c r="G1917" s="1" t="s">
        <v>710</v>
      </c>
      <c r="I1917" s="1" t="s">
        <v>710</v>
      </c>
      <c r="L1917" s="1" t="s">
        <v>647</v>
      </c>
      <c r="M1917" s="1">
        <v>1200.0</v>
      </c>
      <c r="N1917" s="1" t="s">
        <v>647</v>
      </c>
      <c r="O1917" s="1">
        <v>1.38064923E8</v>
      </c>
      <c r="P1917" s="1" t="s">
        <v>585</v>
      </c>
      <c r="Q1917" s="1" t="s">
        <v>2989</v>
      </c>
      <c r="R1917" s="1" t="s">
        <v>586</v>
      </c>
      <c r="S1917" s="1" t="s">
        <v>44</v>
      </c>
      <c r="T1917" s="1" t="s">
        <v>45</v>
      </c>
      <c r="U1917" s="1">
        <v>4.82152861E8</v>
      </c>
      <c r="W1917" s="1" t="s">
        <v>44</v>
      </c>
      <c r="X1917" s="1" t="s">
        <v>45</v>
      </c>
      <c r="Y1917" s="1">
        <v>4.82152861E8</v>
      </c>
      <c r="Z1917" s="1">
        <v>9.60742484E8</v>
      </c>
      <c r="AB1917" s="1">
        <v>256677.27</v>
      </c>
      <c r="AC1917" s="2">
        <v>41921.0</v>
      </c>
      <c r="AD1917" s="1">
        <v>1200.0</v>
      </c>
      <c r="AE1917" s="1" t="s">
        <v>647</v>
      </c>
      <c r="AF1917" s="1" t="s">
        <v>3565</v>
      </c>
      <c r="AG1917" s="1" t="s">
        <v>712</v>
      </c>
      <c r="AH1917" s="1">
        <v>1.0</v>
      </c>
      <c r="AI1917" s="1">
        <v>2015.0</v>
      </c>
      <c r="AJ1917" s="1">
        <v>2015.0</v>
      </c>
      <c r="AK1917" s="1" t="s">
        <v>713</v>
      </c>
    </row>
    <row r="1918">
      <c r="A1918" s="1" t="s">
        <v>3515</v>
      </c>
      <c r="B1918" s="1" t="s">
        <v>3515</v>
      </c>
      <c r="C1918" s="1" t="s">
        <v>645</v>
      </c>
      <c r="E1918" s="1">
        <v>4.64793056E8</v>
      </c>
      <c r="F1918" s="2">
        <v>41921.0</v>
      </c>
      <c r="G1918" s="1" t="s">
        <v>710</v>
      </c>
      <c r="I1918" s="1" t="s">
        <v>710</v>
      </c>
      <c r="L1918" s="1" t="s">
        <v>647</v>
      </c>
      <c r="M1918" s="1">
        <v>1200.0</v>
      </c>
      <c r="N1918" s="1" t="s">
        <v>647</v>
      </c>
      <c r="O1918" s="1">
        <v>1.26224216E8</v>
      </c>
      <c r="P1918" s="1" t="s">
        <v>3566</v>
      </c>
      <c r="Q1918" s="1" t="s">
        <v>3567</v>
      </c>
      <c r="R1918" s="1" t="s">
        <v>3568</v>
      </c>
      <c r="S1918" s="1" t="s">
        <v>44</v>
      </c>
      <c r="T1918" s="1" t="s">
        <v>45</v>
      </c>
      <c r="U1918" s="1">
        <v>4.82351624E8</v>
      </c>
      <c r="W1918" s="1" t="s">
        <v>44</v>
      </c>
      <c r="X1918" s="1" t="s">
        <v>45</v>
      </c>
      <c r="Y1918" s="1">
        <v>4.82351624E8</v>
      </c>
      <c r="Z1918" s="1">
        <v>1.3635404E7</v>
      </c>
      <c r="AA1918" s="1" t="s">
        <v>3569</v>
      </c>
      <c r="AB1918" s="1">
        <v>25113.95</v>
      </c>
      <c r="AC1918" s="2">
        <v>41921.0</v>
      </c>
      <c r="AD1918" s="1">
        <v>1200.0</v>
      </c>
      <c r="AE1918" s="1" t="s">
        <v>647</v>
      </c>
      <c r="AF1918" s="1" t="s">
        <v>3570</v>
      </c>
      <c r="AG1918" s="1" t="s">
        <v>712</v>
      </c>
      <c r="AH1918" s="1">
        <v>1.0</v>
      </c>
      <c r="AI1918" s="1">
        <v>2015.0</v>
      </c>
      <c r="AJ1918" s="1">
        <v>2015.0</v>
      </c>
      <c r="AK1918" s="1" t="s">
        <v>713</v>
      </c>
    </row>
    <row r="1919">
      <c r="A1919" s="1" t="s">
        <v>3515</v>
      </c>
      <c r="B1919" s="1" t="s">
        <v>3515</v>
      </c>
      <c r="C1919" s="1" t="s">
        <v>645</v>
      </c>
      <c r="E1919" s="1">
        <v>4.64793056E8</v>
      </c>
      <c r="F1919" s="2">
        <v>41928.0</v>
      </c>
      <c r="G1919" s="1" t="s">
        <v>710</v>
      </c>
      <c r="I1919" s="1" t="s">
        <v>710</v>
      </c>
      <c r="L1919" s="1" t="s">
        <v>647</v>
      </c>
      <c r="M1919" s="1">
        <v>1200.0</v>
      </c>
      <c r="N1919" s="1" t="s">
        <v>647</v>
      </c>
      <c r="O1919" s="1">
        <v>1.23577707E8</v>
      </c>
      <c r="P1919" s="1" t="s">
        <v>563</v>
      </c>
      <c r="Q1919" s="1" t="s">
        <v>3571</v>
      </c>
      <c r="R1919" s="1" t="s">
        <v>565</v>
      </c>
      <c r="S1919" s="1" t="s">
        <v>44</v>
      </c>
      <c r="T1919" s="1" t="s">
        <v>45</v>
      </c>
      <c r="U1919" s="1">
        <v>4.8228333E8</v>
      </c>
      <c r="W1919" s="1" t="s">
        <v>44</v>
      </c>
      <c r="X1919" s="1" t="s">
        <v>45</v>
      </c>
      <c r="Y1919" s="1">
        <v>4.82283396E8</v>
      </c>
      <c r="Z1919" s="1">
        <v>9.60742484E8</v>
      </c>
      <c r="AB1919" s="1">
        <v>84144.87</v>
      </c>
      <c r="AC1919" s="2">
        <v>41928.0</v>
      </c>
      <c r="AD1919" s="1">
        <v>1200.0</v>
      </c>
      <c r="AE1919" s="1" t="s">
        <v>647</v>
      </c>
      <c r="AF1919" s="1" t="s">
        <v>3572</v>
      </c>
      <c r="AG1919" s="1" t="s">
        <v>712</v>
      </c>
      <c r="AH1919" s="1">
        <v>1.0</v>
      </c>
      <c r="AI1919" s="1">
        <v>2015.0</v>
      </c>
      <c r="AJ1919" s="1">
        <v>2015.0</v>
      </c>
      <c r="AK1919" s="1" t="s">
        <v>713</v>
      </c>
    </row>
    <row r="1920">
      <c r="A1920" s="1" t="s">
        <v>3515</v>
      </c>
      <c r="B1920" s="1" t="s">
        <v>3515</v>
      </c>
      <c r="C1920" s="1" t="s">
        <v>645</v>
      </c>
      <c r="E1920" s="1">
        <v>4.64793056E8</v>
      </c>
      <c r="F1920" s="2">
        <v>41928.0</v>
      </c>
      <c r="G1920" s="1" t="s">
        <v>710</v>
      </c>
      <c r="I1920" s="1" t="s">
        <v>710</v>
      </c>
      <c r="L1920" s="1" t="s">
        <v>647</v>
      </c>
      <c r="M1920" s="1">
        <v>1200.0</v>
      </c>
      <c r="N1920" s="1" t="s">
        <v>647</v>
      </c>
      <c r="O1920" s="1">
        <v>1.17726252E8</v>
      </c>
      <c r="P1920" s="1" t="s">
        <v>512</v>
      </c>
      <c r="R1920" s="1" t="s">
        <v>513</v>
      </c>
      <c r="S1920" s="1" t="s">
        <v>44</v>
      </c>
      <c r="T1920" s="1" t="s">
        <v>45</v>
      </c>
      <c r="U1920" s="1">
        <v>4.82193259E8</v>
      </c>
      <c r="W1920" s="1" t="s">
        <v>44</v>
      </c>
      <c r="X1920" s="1" t="s">
        <v>45</v>
      </c>
      <c r="Y1920" s="1">
        <v>4.82193259E8</v>
      </c>
      <c r="Z1920" s="1">
        <v>1.1889979E7</v>
      </c>
      <c r="AA1920" s="1" t="s">
        <v>3573</v>
      </c>
      <c r="AB1920" s="1">
        <v>209912.84</v>
      </c>
      <c r="AC1920" s="2">
        <v>41928.0</v>
      </c>
      <c r="AD1920" s="1">
        <v>1200.0</v>
      </c>
      <c r="AE1920" s="1" t="s">
        <v>647</v>
      </c>
      <c r="AF1920" s="1" t="s">
        <v>3574</v>
      </c>
      <c r="AG1920" s="1" t="s">
        <v>712</v>
      </c>
      <c r="AH1920" s="1">
        <v>1.0</v>
      </c>
      <c r="AI1920" s="1">
        <v>2015.0</v>
      </c>
      <c r="AJ1920" s="1">
        <v>2015.0</v>
      </c>
      <c r="AK1920" s="1" t="s">
        <v>713</v>
      </c>
    </row>
    <row r="1921">
      <c r="A1921" s="1" t="s">
        <v>3515</v>
      </c>
      <c r="B1921" s="1" t="s">
        <v>3515</v>
      </c>
      <c r="C1921" s="1" t="s">
        <v>645</v>
      </c>
      <c r="E1921" s="1">
        <v>4.64793056E8</v>
      </c>
      <c r="F1921" s="2">
        <v>41942.0</v>
      </c>
      <c r="G1921" s="1" t="s">
        <v>710</v>
      </c>
      <c r="I1921" s="1" t="s">
        <v>710</v>
      </c>
      <c r="L1921" s="1" t="s">
        <v>647</v>
      </c>
      <c r="M1921" s="1">
        <v>1200.0</v>
      </c>
      <c r="N1921" s="1" t="s">
        <v>647</v>
      </c>
      <c r="O1921" s="1">
        <v>9.6910162E8</v>
      </c>
      <c r="P1921" s="1" t="s">
        <v>579</v>
      </c>
      <c r="R1921" s="1" t="s">
        <v>580</v>
      </c>
      <c r="S1921" s="1" t="s">
        <v>44</v>
      </c>
      <c r="T1921" s="1" t="s">
        <v>45</v>
      </c>
      <c r="U1921" s="1">
        <v>4.82283905E8</v>
      </c>
      <c r="W1921" s="1" t="s">
        <v>287</v>
      </c>
      <c r="X1921" s="1" t="s">
        <v>45</v>
      </c>
      <c r="Y1921" s="1">
        <v>4.82283905E8</v>
      </c>
      <c r="Z1921" s="1">
        <v>7.2768195E7</v>
      </c>
      <c r="AA1921" s="1" t="s">
        <v>3575</v>
      </c>
      <c r="AB1921" s="1">
        <v>90051.31</v>
      </c>
      <c r="AC1921" s="2">
        <v>41942.0</v>
      </c>
      <c r="AD1921" s="1">
        <v>1200.0</v>
      </c>
      <c r="AE1921" s="1" t="s">
        <v>647</v>
      </c>
      <c r="AF1921" s="1" t="s">
        <v>3576</v>
      </c>
      <c r="AG1921" s="1" t="s">
        <v>712</v>
      </c>
      <c r="AH1921" s="1">
        <v>1.0</v>
      </c>
      <c r="AI1921" s="1">
        <v>2015.0</v>
      </c>
      <c r="AJ1921" s="1">
        <v>2015.0</v>
      </c>
      <c r="AK1921" s="1" t="s">
        <v>713</v>
      </c>
    </row>
    <row r="1922">
      <c r="A1922" s="1" t="s">
        <v>3515</v>
      </c>
      <c r="B1922" s="1" t="s">
        <v>3515</v>
      </c>
      <c r="C1922" s="1" t="s">
        <v>645</v>
      </c>
      <c r="E1922" s="1">
        <v>4.64793056E8</v>
      </c>
      <c r="F1922" s="2">
        <v>41928.0</v>
      </c>
      <c r="G1922" s="1" t="s">
        <v>710</v>
      </c>
      <c r="I1922" s="1" t="s">
        <v>710</v>
      </c>
      <c r="L1922" s="1" t="s">
        <v>647</v>
      </c>
      <c r="M1922" s="1">
        <v>1200.0</v>
      </c>
      <c r="N1922" s="1" t="s">
        <v>647</v>
      </c>
      <c r="O1922" s="1">
        <v>9.62378779E8</v>
      </c>
      <c r="P1922" s="1" t="s">
        <v>478</v>
      </c>
      <c r="R1922" s="1" t="s">
        <v>479</v>
      </c>
      <c r="S1922" s="1" t="s">
        <v>44</v>
      </c>
      <c r="T1922" s="1" t="s">
        <v>45</v>
      </c>
      <c r="U1922" s="1">
        <v>4.82342225E8</v>
      </c>
      <c r="W1922" s="1" t="s">
        <v>44</v>
      </c>
      <c r="X1922" s="1" t="s">
        <v>45</v>
      </c>
      <c r="Y1922" s="1">
        <v>4.82342225E8</v>
      </c>
      <c r="Z1922" s="1">
        <v>7.4262056E7</v>
      </c>
      <c r="AA1922" s="1" t="s">
        <v>3577</v>
      </c>
      <c r="AB1922" s="1">
        <v>314031.23</v>
      </c>
      <c r="AC1922" s="2">
        <v>41928.0</v>
      </c>
      <c r="AD1922" s="1">
        <v>1200.0</v>
      </c>
      <c r="AE1922" s="1" t="s">
        <v>647</v>
      </c>
      <c r="AF1922" s="1" t="s">
        <v>3578</v>
      </c>
      <c r="AG1922" s="1" t="s">
        <v>712</v>
      </c>
      <c r="AH1922" s="1">
        <v>1.0</v>
      </c>
      <c r="AI1922" s="1">
        <v>2015.0</v>
      </c>
      <c r="AJ1922" s="1">
        <v>2015.0</v>
      </c>
      <c r="AK1922" s="1" t="s">
        <v>713</v>
      </c>
    </row>
    <row r="1923">
      <c r="A1923" s="1" t="s">
        <v>3515</v>
      </c>
      <c r="B1923" s="1" t="s">
        <v>3515</v>
      </c>
      <c r="C1923" s="1" t="s">
        <v>645</v>
      </c>
      <c r="E1923" s="1">
        <v>4.64793056E8</v>
      </c>
      <c r="F1923" s="2">
        <v>41928.0</v>
      </c>
      <c r="G1923" s="1" t="s">
        <v>710</v>
      </c>
      <c r="I1923" s="1" t="s">
        <v>710</v>
      </c>
      <c r="L1923" s="1" t="s">
        <v>647</v>
      </c>
      <c r="M1923" s="1">
        <v>1200.0</v>
      </c>
      <c r="N1923" s="1" t="s">
        <v>647</v>
      </c>
      <c r="O1923" s="1">
        <v>9.62378779E8</v>
      </c>
      <c r="P1923" s="1" t="s">
        <v>478</v>
      </c>
      <c r="R1923" s="1" t="s">
        <v>479</v>
      </c>
      <c r="S1923" s="1" t="s">
        <v>44</v>
      </c>
      <c r="T1923" s="1" t="s">
        <v>45</v>
      </c>
      <c r="U1923" s="1">
        <v>4.82342225E8</v>
      </c>
      <c r="W1923" s="1" t="s">
        <v>44</v>
      </c>
      <c r="X1923" s="1" t="s">
        <v>45</v>
      </c>
      <c r="Y1923" s="1">
        <v>4.82342225E8</v>
      </c>
      <c r="AB1923" s="1">
        <v>190774.15</v>
      </c>
      <c r="AC1923" s="2">
        <v>41928.0</v>
      </c>
      <c r="AD1923" s="1">
        <v>1200.0</v>
      </c>
      <c r="AE1923" s="1" t="s">
        <v>647</v>
      </c>
      <c r="AF1923" s="1" t="s">
        <v>3579</v>
      </c>
      <c r="AG1923" s="1" t="s">
        <v>712</v>
      </c>
      <c r="AH1923" s="1">
        <v>1.0</v>
      </c>
      <c r="AI1923" s="1">
        <v>2015.0</v>
      </c>
      <c r="AJ1923" s="1">
        <v>2015.0</v>
      </c>
      <c r="AK1923" s="1" t="s">
        <v>713</v>
      </c>
    </row>
    <row r="1924">
      <c r="A1924" s="1" t="s">
        <v>3515</v>
      </c>
      <c r="B1924" s="1" t="s">
        <v>3515</v>
      </c>
      <c r="C1924" s="1" t="s">
        <v>645</v>
      </c>
      <c r="E1924" s="1">
        <v>4.64793056E8</v>
      </c>
      <c r="F1924" s="2">
        <v>41928.0</v>
      </c>
      <c r="G1924" s="1" t="s">
        <v>710</v>
      </c>
      <c r="I1924" s="1" t="s">
        <v>710</v>
      </c>
      <c r="L1924" s="1" t="s">
        <v>647</v>
      </c>
      <c r="M1924" s="1">
        <v>1200.0</v>
      </c>
      <c r="N1924" s="1" t="s">
        <v>647</v>
      </c>
      <c r="O1924" s="1">
        <v>7.8634042E7</v>
      </c>
      <c r="P1924" s="1" t="s">
        <v>2998</v>
      </c>
      <c r="R1924" s="1" t="s">
        <v>475</v>
      </c>
      <c r="S1924" s="1" t="s">
        <v>44</v>
      </c>
      <c r="T1924" s="1" t="s">
        <v>45</v>
      </c>
      <c r="U1924" s="1">
        <v>4.82133744E8</v>
      </c>
      <c r="W1924" s="1" t="s">
        <v>46</v>
      </c>
      <c r="X1924" s="1" t="s">
        <v>45</v>
      </c>
      <c r="Y1924" s="1">
        <v>4.8213E8</v>
      </c>
      <c r="AB1924" s="1">
        <v>63296.94</v>
      </c>
      <c r="AC1924" s="2">
        <v>41928.0</v>
      </c>
      <c r="AD1924" s="1">
        <v>1200.0</v>
      </c>
      <c r="AE1924" s="1" t="s">
        <v>647</v>
      </c>
      <c r="AF1924" s="1" t="s">
        <v>3580</v>
      </c>
      <c r="AG1924" s="1" t="s">
        <v>712</v>
      </c>
      <c r="AH1924" s="1">
        <v>1.0</v>
      </c>
      <c r="AI1924" s="1">
        <v>2015.0</v>
      </c>
      <c r="AJ1924" s="1">
        <v>2015.0</v>
      </c>
      <c r="AK1924" s="1" t="s">
        <v>713</v>
      </c>
    </row>
    <row r="1925">
      <c r="A1925" s="1" t="s">
        <v>3515</v>
      </c>
      <c r="B1925" s="1" t="s">
        <v>3515</v>
      </c>
      <c r="C1925" s="1" t="s">
        <v>645</v>
      </c>
      <c r="E1925" s="1">
        <v>4.64793056E8</v>
      </c>
      <c r="F1925" s="2">
        <v>41921.0</v>
      </c>
      <c r="G1925" s="1" t="s">
        <v>710</v>
      </c>
      <c r="I1925" s="1" t="s">
        <v>710</v>
      </c>
      <c r="L1925" s="1" t="s">
        <v>647</v>
      </c>
      <c r="M1925" s="1">
        <v>1200.0</v>
      </c>
      <c r="N1925" s="1" t="s">
        <v>647</v>
      </c>
      <c r="O1925" s="1">
        <v>7.1310154E7</v>
      </c>
      <c r="P1925" s="1" t="s">
        <v>3279</v>
      </c>
      <c r="R1925" s="1" t="s">
        <v>3280</v>
      </c>
      <c r="S1925" s="1" t="s">
        <v>44</v>
      </c>
      <c r="T1925" s="1" t="s">
        <v>45</v>
      </c>
      <c r="U1925" s="1">
        <v>4.82352953E8</v>
      </c>
      <c r="W1925" s="1" t="s">
        <v>46</v>
      </c>
      <c r="X1925" s="1" t="s">
        <v>45</v>
      </c>
      <c r="Y1925" s="1">
        <v>4.8235E8</v>
      </c>
      <c r="AB1925" s="1">
        <v>51597.58</v>
      </c>
      <c r="AC1925" s="2">
        <v>41921.0</v>
      </c>
      <c r="AD1925" s="1">
        <v>1200.0</v>
      </c>
      <c r="AE1925" s="1" t="s">
        <v>647</v>
      </c>
      <c r="AF1925" s="1" t="s">
        <v>3581</v>
      </c>
      <c r="AG1925" s="1" t="s">
        <v>712</v>
      </c>
      <c r="AH1925" s="1">
        <v>1.0</v>
      </c>
      <c r="AI1925" s="1">
        <v>2015.0</v>
      </c>
      <c r="AJ1925" s="1">
        <v>2015.0</v>
      </c>
      <c r="AK1925" s="1" t="s">
        <v>713</v>
      </c>
    </row>
    <row r="1926">
      <c r="A1926" s="1" t="s">
        <v>3515</v>
      </c>
      <c r="B1926" s="1" t="s">
        <v>3515</v>
      </c>
      <c r="C1926" s="1" t="s">
        <v>645</v>
      </c>
      <c r="E1926" s="1">
        <v>4.64793056E8</v>
      </c>
      <c r="F1926" s="2">
        <v>41921.0</v>
      </c>
      <c r="G1926" s="1" t="s">
        <v>710</v>
      </c>
      <c r="I1926" s="1" t="s">
        <v>710</v>
      </c>
      <c r="L1926" s="1" t="s">
        <v>647</v>
      </c>
      <c r="M1926" s="1">
        <v>1200.0</v>
      </c>
      <c r="N1926" s="1" t="s">
        <v>647</v>
      </c>
      <c r="O1926" s="1">
        <v>8.37565279E8</v>
      </c>
      <c r="P1926" s="1" t="s">
        <v>3189</v>
      </c>
      <c r="R1926" s="1" t="s">
        <v>3190</v>
      </c>
      <c r="S1926" s="1" t="s">
        <v>44</v>
      </c>
      <c r="T1926" s="1" t="s">
        <v>45</v>
      </c>
      <c r="U1926" s="1">
        <v>4.82041457E8</v>
      </c>
      <c r="W1926" s="1" t="s">
        <v>44</v>
      </c>
      <c r="X1926" s="1" t="s">
        <v>45</v>
      </c>
      <c r="Y1926" s="1">
        <v>4.82041457E8</v>
      </c>
      <c r="AB1926" s="1">
        <v>25496.48</v>
      </c>
      <c r="AC1926" s="2">
        <v>41921.0</v>
      </c>
      <c r="AD1926" s="1">
        <v>1200.0</v>
      </c>
      <c r="AE1926" s="1" t="s">
        <v>647</v>
      </c>
      <c r="AF1926" s="1" t="s">
        <v>3582</v>
      </c>
      <c r="AG1926" s="1" t="s">
        <v>712</v>
      </c>
      <c r="AH1926" s="1">
        <v>1.0</v>
      </c>
      <c r="AI1926" s="1">
        <v>2015.0</v>
      </c>
      <c r="AJ1926" s="1">
        <v>2015.0</v>
      </c>
      <c r="AK1926" s="1" t="s">
        <v>713</v>
      </c>
    </row>
    <row r="1927">
      <c r="A1927" s="1" t="s">
        <v>3515</v>
      </c>
      <c r="B1927" s="1" t="s">
        <v>3515</v>
      </c>
      <c r="C1927" s="1" t="s">
        <v>645</v>
      </c>
      <c r="E1927" s="1">
        <v>4.64793056E8</v>
      </c>
      <c r="F1927" s="2">
        <v>41921.0</v>
      </c>
      <c r="G1927" s="1" t="s">
        <v>710</v>
      </c>
      <c r="I1927" s="1" t="s">
        <v>710</v>
      </c>
      <c r="L1927" s="1" t="s">
        <v>647</v>
      </c>
      <c r="M1927" s="1">
        <v>1200.0</v>
      </c>
      <c r="N1927" s="1" t="s">
        <v>647</v>
      </c>
      <c r="O1927" s="1">
        <v>8.31014068E8</v>
      </c>
      <c r="P1927" s="1" t="s">
        <v>515</v>
      </c>
      <c r="R1927" s="1" t="s">
        <v>516</v>
      </c>
      <c r="S1927" s="1" t="s">
        <v>44</v>
      </c>
      <c r="T1927" s="1" t="s">
        <v>45</v>
      </c>
      <c r="U1927" s="1">
        <v>4.82283685E8</v>
      </c>
      <c r="W1927" s="1" t="s">
        <v>46</v>
      </c>
      <c r="X1927" s="1" t="s">
        <v>45</v>
      </c>
      <c r="Y1927" s="1">
        <v>4.82283685E8</v>
      </c>
      <c r="Z1927" s="1">
        <v>9.60742484E8</v>
      </c>
      <c r="AB1927" s="1">
        <v>317387.24</v>
      </c>
      <c r="AC1927" s="2">
        <v>41921.0</v>
      </c>
      <c r="AD1927" s="1">
        <v>1200.0</v>
      </c>
      <c r="AE1927" s="1" t="s">
        <v>647</v>
      </c>
      <c r="AF1927" s="1" t="s">
        <v>3583</v>
      </c>
      <c r="AG1927" s="1" t="s">
        <v>712</v>
      </c>
      <c r="AH1927" s="1">
        <v>1.0</v>
      </c>
      <c r="AI1927" s="1">
        <v>2015.0</v>
      </c>
      <c r="AJ1927" s="1">
        <v>2015.0</v>
      </c>
      <c r="AK1927" s="1" t="s">
        <v>713</v>
      </c>
    </row>
    <row r="1928">
      <c r="A1928" s="1" t="s">
        <v>3515</v>
      </c>
      <c r="B1928" s="1" t="s">
        <v>3515</v>
      </c>
      <c r="C1928" s="1" t="s">
        <v>645</v>
      </c>
      <c r="E1928" s="1">
        <v>4.64793056E8</v>
      </c>
      <c r="F1928" s="2">
        <v>41928.0</v>
      </c>
      <c r="G1928" s="1" t="s">
        <v>710</v>
      </c>
      <c r="I1928" s="1" t="s">
        <v>710</v>
      </c>
      <c r="L1928" s="1" t="s">
        <v>647</v>
      </c>
      <c r="M1928" s="1">
        <v>1200.0</v>
      </c>
      <c r="N1928" s="1" t="s">
        <v>647</v>
      </c>
      <c r="O1928" s="1">
        <v>8.30792151E8</v>
      </c>
      <c r="P1928" s="1" t="s">
        <v>594</v>
      </c>
      <c r="Q1928" s="1" t="s">
        <v>3443</v>
      </c>
      <c r="R1928" s="1" t="s">
        <v>596</v>
      </c>
      <c r="S1928" s="1" t="s">
        <v>44</v>
      </c>
      <c r="T1928" s="1" t="s">
        <v>45</v>
      </c>
      <c r="U1928" s="1">
        <v>4.82382356E8</v>
      </c>
      <c r="W1928" s="1" t="s">
        <v>44</v>
      </c>
      <c r="X1928" s="1" t="s">
        <v>45</v>
      </c>
      <c r="Y1928" s="1">
        <v>4.82382356E8</v>
      </c>
      <c r="Z1928" s="1">
        <v>9.60742484E8</v>
      </c>
      <c r="AB1928" s="1">
        <v>97610.07</v>
      </c>
      <c r="AC1928" s="2">
        <v>41928.0</v>
      </c>
      <c r="AD1928" s="1">
        <v>1200.0</v>
      </c>
      <c r="AE1928" s="1" t="s">
        <v>647</v>
      </c>
      <c r="AF1928" s="1" t="s">
        <v>3584</v>
      </c>
      <c r="AG1928" s="1" t="s">
        <v>712</v>
      </c>
      <c r="AH1928" s="1">
        <v>1.0</v>
      </c>
      <c r="AI1928" s="1">
        <v>2015.0</v>
      </c>
      <c r="AJ1928" s="1">
        <v>2015.0</v>
      </c>
      <c r="AK1928" s="1" t="s">
        <v>713</v>
      </c>
    </row>
    <row r="1929">
      <c r="A1929" s="1" t="s">
        <v>3515</v>
      </c>
      <c r="B1929" s="1" t="s">
        <v>3515</v>
      </c>
      <c r="C1929" s="1" t="s">
        <v>645</v>
      </c>
      <c r="E1929" s="1">
        <v>4.64793056E8</v>
      </c>
      <c r="F1929" s="2">
        <v>41977.0</v>
      </c>
      <c r="G1929" s="1" t="s">
        <v>710</v>
      </c>
      <c r="I1929" s="1" t="s">
        <v>710</v>
      </c>
      <c r="L1929" s="1" t="s">
        <v>647</v>
      </c>
      <c r="M1929" s="1">
        <v>1200.0</v>
      </c>
      <c r="N1929" s="1" t="s">
        <v>647</v>
      </c>
      <c r="O1929" s="1">
        <v>8.3082572E8</v>
      </c>
      <c r="P1929" s="1" t="s">
        <v>465</v>
      </c>
      <c r="Q1929" s="1" t="s">
        <v>554</v>
      </c>
      <c r="R1929" s="1" t="s">
        <v>555</v>
      </c>
      <c r="S1929" s="1" t="s">
        <v>44</v>
      </c>
      <c r="T1929" s="1" t="s">
        <v>45</v>
      </c>
      <c r="U1929" s="1">
        <v>4.82024061E8</v>
      </c>
      <c r="W1929" s="1" t="s">
        <v>44</v>
      </c>
      <c r="X1929" s="1" t="s">
        <v>45</v>
      </c>
      <c r="Y1929" s="1">
        <v>4.82023457E8</v>
      </c>
      <c r="Z1929" s="1">
        <v>1.6338926E8</v>
      </c>
      <c r="AA1929" s="1" t="s">
        <v>465</v>
      </c>
      <c r="AB1929" s="1">
        <v>43519.26</v>
      </c>
      <c r="AC1929" s="2">
        <v>41977.0</v>
      </c>
      <c r="AD1929" s="1">
        <v>1200.0</v>
      </c>
      <c r="AE1929" s="1" t="s">
        <v>647</v>
      </c>
      <c r="AF1929" s="1" t="s">
        <v>3585</v>
      </c>
      <c r="AG1929" s="1" t="s">
        <v>712</v>
      </c>
      <c r="AH1929" s="1">
        <v>1.0</v>
      </c>
      <c r="AI1929" s="1">
        <v>2015.0</v>
      </c>
      <c r="AJ1929" s="1">
        <v>2015.0</v>
      </c>
      <c r="AK1929" s="1" t="s">
        <v>713</v>
      </c>
    </row>
    <row r="1930">
      <c r="A1930" s="1" t="s">
        <v>3515</v>
      </c>
      <c r="B1930" s="1" t="s">
        <v>3515</v>
      </c>
      <c r="C1930" s="1" t="s">
        <v>645</v>
      </c>
      <c r="E1930" s="1">
        <v>4.64793056E8</v>
      </c>
      <c r="F1930" s="2">
        <v>41977.0</v>
      </c>
      <c r="G1930" s="1" t="s">
        <v>710</v>
      </c>
      <c r="I1930" s="1" t="s">
        <v>710</v>
      </c>
      <c r="L1930" s="1" t="s">
        <v>647</v>
      </c>
      <c r="M1930" s="1">
        <v>1200.0</v>
      </c>
      <c r="N1930" s="1" t="s">
        <v>647</v>
      </c>
      <c r="O1930" s="1">
        <v>8.29630537E8</v>
      </c>
      <c r="P1930" s="1" t="s">
        <v>531</v>
      </c>
      <c r="Q1930" s="1" t="s">
        <v>532</v>
      </c>
      <c r="R1930" s="1" t="s">
        <v>533</v>
      </c>
      <c r="S1930" s="1" t="s">
        <v>44</v>
      </c>
      <c r="T1930" s="1" t="s">
        <v>45</v>
      </c>
      <c r="U1930" s="1">
        <v>4.8219181E8</v>
      </c>
      <c r="W1930" s="1" t="s">
        <v>44</v>
      </c>
      <c r="X1930" s="1" t="s">
        <v>45</v>
      </c>
      <c r="Y1930" s="1">
        <v>4.8219181E8</v>
      </c>
      <c r="Z1930" s="1">
        <v>9.4800414E7</v>
      </c>
      <c r="AA1930" s="1" t="s">
        <v>3586</v>
      </c>
      <c r="AB1930" s="1">
        <v>347087.13</v>
      </c>
      <c r="AC1930" s="2">
        <v>41977.0</v>
      </c>
      <c r="AD1930" s="1">
        <v>1200.0</v>
      </c>
      <c r="AE1930" s="1" t="s">
        <v>647</v>
      </c>
      <c r="AF1930" s="1" t="s">
        <v>3587</v>
      </c>
      <c r="AG1930" s="1" t="s">
        <v>712</v>
      </c>
      <c r="AH1930" s="1">
        <v>1.0</v>
      </c>
      <c r="AI1930" s="1">
        <v>2015.0</v>
      </c>
      <c r="AJ1930" s="1">
        <v>2015.0</v>
      </c>
      <c r="AK1930" s="1" t="s">
        <v>713</v>
      </c>
    </row>
    <row r="1931">
      <c r="A1931" s="1" t="s">
        <v>3515</v>
      </c>
      <c r="B1931" s="1" t="s">
        <v>3515</v>
      </c>
      <c r="C1931" s="1" t="s">
        <v>645</v>
      </c>
      <c r="E1931" s="1">
        <v>4.64793056E8</v>
      </c>
      <c r="F1931" s="2">
        <v>41935.0</v>
      </c>
      <c r="G1931" s="1" t="s">
        <v>710</v>
      </c>
      <c r="I1931" s="1" t="s">
        <v>710</v>
      </c>
      <c r="L1931" s="1" t="s">
        <v>647</v>
      </c>
      <c r="M1931" s="1">
        <v>1200.0</v>
      </c>
      <c r="N1931" s="1" t="s">
        <v>647</v>
      </c>
      <c r="O1931" s="1">
        <v>8.29503312E8</v>
      </c>
      <c r="P1931" s="1" t="s">
        <v>622</v>
      </c>
      <c r="R1931" s="1" t="s">
        <v>623</v>
      </c>
      <c r="S1931" s="1" t="s">
        <v>44</v>
      </c>
      <c r="T1931" s="1" t="s">
        <v>45</v>
      </c>
      <c r="U1931" s="1">
        <v>4.82035715E8</v>
      </c>
      <c r="W1931" s="1" t="s">
        <v>603</v>
      </c>
      <c r="X1931" s="1" t="s">
        <v>45</v>
      </c>
      <c r="Y1931" s="1">
        <v>4.82035715E8</v>
      </c>
      <c r="AB1931" s="1">
        <v>101941.69</v>
      </c>
      <c r="AC1931" s="2">
        <v>41935.0</v>
      </c>
      <c r="AD1931" s="1">
        <v>1200.0</v>
      </c>
      <c r="AE1931" s="1" t="s">
        <v>647</v>
      </c>
      <c r="AF1931" s="1" t="s">
        <v>3588</v>
      </c>
      <c r="AG1931" s="1" t="s">
        <v>712</v>
      </c>
      <c r="AH1931" s="1">
        <v>1.0</v>
      </c>
      <c r="AI1931" s="1">
        <v>2015.0</v>
      </c>
      <c r="AJ1931" s="1">
        <v>2015.0</v>
      </c>
      <c r="AK1931" s="1" t="s">
        <v>713</v>
      </c>
    </row>
    <row r="1932">
      <c r="A1932" s="1" t="s">
        <v>3515</v>
      </c>
      <c r="B1932" s="1" t="s">
        <v>3515</v>
      </c>
      <c r="C1932" s="1" t="s">
        <v>645</v>
      </c>
      <c r="E1932" s="1">
        <v>4.64793056E8</v>
      </c>
      <c r="F1932" s="2">
        <v>41991.0</v>
      </c>
      <c r="G1932" s="1" t="s">
        <v>710</v>
      </c>
      <c r="I1932" s="1" t="s">
        <v>710</v>
      </c>
      <c r="L1932" s="1" t="s">
        <v>647</v>
      </c>
      <c r="M1932" s="1">
        <v>1200.0</v>
      </c>
      <c r="N1932" s="1" t="s">
        <v>647</v>
      </c>
      <c r="O1932" s="1">
        <v>7.8583404E7</v>
      </c>
      <c r="P1932" s="1" t="s">
        <v>65</v>
      </c>
      <c r="R1932" s="1" t="s">
        <v>1573</v>
      </c>
      <c r="S1932" s="1" t="s">
        <v>44</v>
      </c>
      <c r="T1932" s="1" t="s">
        <v>45</v>
      </c>
      <c r="U1932" s="1">
        <v>4.8207311E8</v>
      </c>
      <c r="W1932" s="1" t="s">
        <v>46</v>
      </c>
      <c r="X1932" s="1" t="s">
        <v>45</v>
      </c>
      <c r="Y1932" s="1">
        <v>4.8202E8</v>
      </c>
      <c r="AB1932" s="1">
        <v>238988.03</v>
      </c>
      <c r="AC1932" s="2">
        <v>41991.0</v>
      </c>
      <c r="AD1932" s="1">
        <v>1200.0</v>
      </c>
      <c r="AE1932" s="1" t="s">
        <v>647</v>
      </c>
      <c r="AF1932" s="1" t="s">
        <v>3589</v>
      </c>
      <c r="AG1932" s="1" t="s">
        <v>712</v>
      </c>
      <c r="AH1932" s="1">
        <v>1.0</v>
      </c>
      <c r="AI1932" s="1">
        <v>2015.0</v>
      </c>
      <c r="AJ1932" s="1">
        <v>2015.0</v>
      </c>
      <c r="AK1932" s="1" t="s">
        <v>713</v>
      </c>
    </row>
    <row r="1933">
      <c r="A1933" s="1" t="s">
        <v>3515</v>
      </c>
      <c r="B1933" s="1" t="s">
        <v>3515</v>
      </c>
      <c r="C1933" s="1" t="s">
        <v>645</v>
      </c>
      <c r="E1933" s="1">
        <v>4.64793056E8</v>
      </c>
      <c r="F1933" s="2">
        <v>41928.0</v>
      </c>
      <c r="G1933" s="1" t="s">
        <v>710</v>
      </c>
      <c r="I1933" s="1" t="s">
        <v>710</v>
      </c>
      <c r="L1933" s="1" t="s">
        <v>647</v>
      </c>
      <c r="M1933" s="1">
        <v>1200.0</v>
      </c>
      <c r="N1933" s="1" t="s">
        <v>647</v>
      </c>
      <c r="O1933" s="1">
        <v>7.97527715E8</v>
      </c>
      <c r="P1933" s="1" t="s">
        <v>567</v>
      </c>
      <c r="Q1933" s="1" t="s">
        <v>1673</v>
      </c>
      <c r="R1933" s="1" t="s">
        <v>568</v>
      </c>
      <c r="S1933" s="1" t="s">
        <v>44</v>
      </c>
      <c r="T1933" s="1" t="s">
        <v>45</v>
      </c>
      <c r="U1933" s="1">
        <v>4.82123134E8</v>
      </c>
      <c r="W1933" s="1" t="s">
        <v>498</v>
      </c>
      <c r="X1933" s="1" t="s">
        <v>45</v>
      </c>
      <c r="Y1933" s="1">
        <v>4.82123134E8</v>
      </c>
      <c r="Z1933" s="1">
        <v>9.60742484E8</v>
      </c>
      <c r="AB1933" s="1">
        <v>31723.68</v>
      </c>
      <c r="AC1933" s="2">
        <v>41928.0</v>
      </c>
      <c r="AD1933" s="1">
        <v>1200.0</v>
      </c>
      <c r="AE1933" s="1" t="s">
        <v>647</v>
      </c>
      <c r="AF1933" s="1" t="s">
        <v>3590</v>
      </c>
      <c r="AG1933" s="1" t="s">
        <v>712</v>
      </c>
      <c r="AH1933" s="1">
        <v>1.0</v>
      </c>
      <c r="AI1933" s="1">
        <v>2015.0</v>
      </c>
      <c r="AJ1933" s="1">
        <v>2015.0</v>
      </c>
      <c r="AK1933" s="1" t="s">
        <v>713</v>
      </c>
    </row>
    <row r="1934">
      <c r="A1934" s="1" t="s">
        <v>3515</v>
      </c>
      <c r="B1934" s="1" t="s">
        <v>3515</v>
      </c>
      <c r="C1934" s="1" t="s">
        <v>645</v>
      </c>
      <c r="E1934" s="1">
        <v>4.64793056E8</v>
      </c>
      <c r="F1934" s="2">
        <v>41928.0</v>
      </c>
      <c r="G1934" s="1" t="s">
        <v>710</v>
      </c>
      <c r="I1934" s="1" t="s">
        <v>710</v>
      </c>
      <c r="L1934" s="1" t="s">
        <v>647</v>
      </c>
      <c r="M1934" s="1">
        <v>1200.0</v>
      </c>
      <c r="N1934" s="1" t="s">
        <v>647</v>
      </c>
      <c r="O1934" s="1">
        <v>8.37388367E8</v>
      </c>
      <c r="P1934" s="1" t="s">
        <v>3272</v>
      </c>
      <c r="R1934" s="1" t="s">
        <v>3273</v>
      </c>
      <c r="S1934" s="1" t="s">
        <v>44</v>
      </c>
      <c r="T1934" s="1" t="s">
        <v>45</v>
      </c>
      <c r="U1934" s="1">
        <v>4.82342111E8</v>
      </c>
      <c r="W1934" s="1" t="s">
        <v>46</v>
      </c>
      <c r="X1934" s="1" t="s">
        <v>45</v>
      </c>
      <c r="Y1934" s="1">
        <v>4.8234E8</v>
      </c>
      <c r="AB1934" s="1">
        <v>49774.15</v>
      </c>
      <c r="AC1934" s="2">
        <v>41928.0</v>
      </c>
      <c r="AD1934" s="1">
        <v>1200.0</v>
      </c>
      <c r="AE1934" s="1" t="s">
        <v>647</v>
      </c>
      <c r="AF1934" s="1" t="s">
        <v>3591</v>
      </c>
      <c r="AG1934" s="1" t="s">
        <v>712</v>
      </c>
      <c r="AH1934" s="1">
        <v>1.0</v>
      </c>
      <c r="AI1934" s="1">
        <v>2015.0</v>
      </c>
      <c r="AJ1934" s="1">
        <v>2015.0</v>
      </c>
      <c r="AK1934" s="1" t="s">
        <v>713</v>
      </c>
    </row>
    <row r="1935">
      <c r="A1935" s="1" t="s">
        <v>3515</v>
      </c>
      <c r="B1935" s="1" t="s">
        <v>3515</v>
      </c>
      <c r="C1935" s="1" t="s">
        <v>645</v>
      </c>
      <c r="E1935" s="1">
        <v>4.64793056E8</v>
      </c>
      <c r="F1935" s="2">
        <v>41921.0</v>
      </c>
      <c r="G1935" s="1" t="s">
        <v>710</v>
      </c>
      <c r="I1935" s="1" t="s">
        <v>710</v>
      </c>
      <c r="L1935" s="1" t="s">
        <v>647</v>
      </c>
      <c r="M1935" s="1">
        <v>1200.0</v>
      </c>
      <c r="N1935" s="1" t="s">
        <v>647</v>
      </c>
      <c r="O1935" s="1">
        <v>6.10593329E8</v>
      </c>
      <c r="P1935" s="1" t="s">
        <v>926</v>
      </c>
      <c r="R1935" s="1" t="s">
        <v>927</v>
      </c>
      <c r="S1935" s="1" t="s">
        <v>44</v>
      </c>
      <c r="T1935" s="1" t="s">
        <v>45</v>
      </c>
      <c r="U1935" s="1">
        <v>4.82353325E8</v>
      </c>
      <c r="W1935" s="1" t="s">
        <v>928</v>
      </c>
      <c r="X1935" s="1" t="s">
        <v>45</v>
      </c>
      <c r="Y1935" s="1">
        <v>4.80761694E8</v>
      </c>
      <c r="Z1935" s="1">
        <v>8.5899409E7</v>
      </c>
      <c r="AA1935" s="1" t="s">
        <v>3592</v>
      </c>
      <c r="AB1935" s="1">
        <v>45995.03</v>
      </c>
      <c r="AC1935" s="2">
        <v>41921.0</v>
      </c>
      <c r="AD1935" s="1">
        <v>1200.0</v>
      </c>
      <c r="AE1935" s="1" t="s">
        <v>647</v>
      </c>
      <c r="AF1935" s="1" t="s">
        <v>3593</v>
      </c>
      <c r="AG1935" s="1" t="s">
        <v>712</v>
      </c>
      <c r="AH1935" s="1">
        <v>1.0</v>
      </c>
      <c r="AI1935" s="1">
        <v>2015.0</v>
      </c>
      <c r="AJ1935" s="1">
        <v>2015.0</v>
      </c>
      <c r="AK1935" s="1" t="s">
        <v>713</v>
      </c>
    </row>
    <row r="1936">
      <c r="A1936" s="1" t="s">
        <v>3515</v>
      </c>
      <c r="B1936" s="1" t="s">
        <v>3515</v>
      </c>
      <c r="C1936" s="1" t="s">
        <v>645</v>
      </c>
      <c r="E1936" s="1">
        <v>4.64793056E8</v>
      </c>
      <c r="F1936" s="2">
        <v>41921.0</v>
      </c>
      <c r="G1936" s="1" t="s">
        <v>710</v>
      </c>
      <c r="I1936" s="1" t="s">
        <v>710</v>
      </c>
      <c r="L1936" s="1" t="s">
        <v>647</v>
      </c>
      <c r="M1936" s="1">
        <v>1200.0</v>
      </c>
      <c r="N1936" s="1" t="s">
        <v>647</v>
      </c>
      <c r="O1936" s="1">
        <v>1.9366103E8</v>
      </c>
      <c r="P1936" s="1" t="s">
        <v>943</v>
      </c>
      <c r="Q1936" s="1" t="s">
        <v>944</v>
      </c>
      <c r="R1936" s="1" t="s">
        <v>945</v>
      </c>
      <c r="S1936" s="1" t="s">
        <v>44</v>
      </c>
      <c r="T1936" s="1" t="s">
        <v>45</v>
      </c>
      <c r="U1936" s="1">
        <v>4.82282283E8</v>
      </c>
      <c r="W1936" s="1" t="s">
        <v>44</v>
      </c>
      <c r="X1936" s="1" t="s">
        <v>45</v>
      </c>
      <c r="Y1936" s="1">
        <v>4.82282283E8</v>
      </c>
      <c r="Z1936" s="1">
        <v>8.4570431E7</v>
      </c>
      <c r="AA1936" s="1" t="s">
        <v>3594</v>
      </c>
      <c r="AB1936" s="1">
        <v>48475.08</v>
      </c>
      <c r="AC1936" s="2">
        <v>41921.0</v>
      </c>
      <c r="AD1936" s="1">
        <v>1200.0</v>
      </c>
      <c r="AE1936" s="1" t="s">
        <v>647</v>
      </c>
      <c r="AF1936" s="1" t="s">
        <v>3595</v>
      </c>
      <c r="AG1936" s="1" t="s">
        <v>712</v>
      </c>
      <c r="AH1936" s="1">
        <v>1.0</v>
      </c>
      <c r="AI1936" s="1">
        <v>2015.0</v>
      </c>
      <c r="AJ1936" s="1">
        <v>2015.0</v>
      </c>
      <c r="AK1936" s="1" t="s">
        <v>713</v>
      </c>
    </row>
    <row r="1937">
      <c r="A1937" s="1" t="s">
        <v>3515</v>
      </c>
      <c r="B1937" s="1" t="s">
        <v>3515</v>
      </c>
      <c r="C1937" s="1" t="s">
        <v>645</v>
      </c>
      <c r="E1937" s="1">
        <v>4.64793056E8</v>
      </c>
      <c r="F1937" s="2">
        <v>41977.0</v>
      </c>
      <c r="G1937" s="1" t="s">
        <v>710</v>
      </c>
      <c r="I1937" s="1" t="s">
        <v>710</v>
      </c>
      <c r="L1937" s="1" t="s">
        <v>647</v>
      </c>
      <c r="M1937" s="1">
        <v>1200.0</v>
      </c>
      <c r="N1937" s="1" t="s">
        <v>647</v>
      </c>
      <c r="O1937" s="1">
        <v>1.6338926E8</v>
      </c>
      <c r="P1937" s="1" t="s">
        <v>465</v>
      </c>
      <c r="Q1937" s="1" t="s">
        <v>598</v>
      </c>
      <c r="R1937" s="1" t="s">
        <v>599</v>
      </c>
      <c r="S1937" s="1" t="s">
        <v>44</v>
      </c>
      <c r="T1937" s="1" t="s">
        <v>45</v>
      </c>
      <c r="U1937" s="1">
        <v>4.82023457E8</v>
      </c>
      <c r="W1937" s="1" t="s">
        <v>44</v>
      </c>
      <c r="X1937" s="1" t="s">
        <v>45</v>
      </c>
      <c r="Y1937" s="1">
        <v>4.82023457E8</v>
      </c>
      <c r="Z1937" s="1">
        <v>1.6338926E8</v>
      </c>
      <c r="AA1937" s="1" t="s">
        <v>465</v>
      </c>
      <c r="AB1937" s="1">
        <v>466300.5</v>
      </c>
      <c r="AC1937" s="2">
        <v>41977.0</v>
      </c>
      <c r="AD1937" s="1">
        <v>1200.0</v>
      </c>
      <c r="AE1937" s="1" t="s">
        <v>647</v>
      </c>
      <c r="AF1937" s="1" t="s">
        <v>3596</v>
      </c>
      <c r="AG1937" s="1" t="s">
        <v>712</v>
      </c>
      <c r="AH1937" s="1">
        <v>1.0</v>
      </c>
      <c r="AI1937" s="1">
        <v>2015.0</v>
      </c>
      <c r="AJ1937" s="1">
        <v>2015.0</v>
      </c>
      <c r="AK1937" s="1" t="s">
        <v>713</v>
      </c>
    </row>
    <row r="1938">
      <c r="A1938" s="1" t="s">
        <v>3515</v>
      </c>
      <c r="B1938" s="1" t="s">
        <v>3515</v>
      </c>
      <c r="C1938" s="1" t="s">
        <v>645</v>
      </c>
      <c r="E1938" s="1">
        <v>4.64793056E8</v>
      </c>
      <c r="F1938" s="2">
        <v>41935.0</v>
      </c>
      <c r="G1938" s="1" t="s">
        <v>710</v>
      </c>
      <c r="I1938" s="1" t="s">
        <v>710</v>
      </c>
      <c r="L1938" s="1" t="s">
        <v>647</v>
      </c>
      <c r="M1938" s="1">
        <v>1200.0</v>
      </c>
      <c r="N1938" s="1" t="s">
        <v>647</v>
      </c>
      <c r="O1938" s="1">
        <v>1.52807538E8</v>
      </c>
      <c r="P1938" s="1" t="s">
        <v>591</v>
      </c>
      <c r="R1938" s="1" t="s">
        <v>592</v>
      </c>
      <c r="S1938" s="1" t="s">
        <v>44</v>
      </c>
      <c r="T1938" s="1" t="s">
        <v>45</v>
      </c>
      <c r="U1938" s="1">
        <v>4.82191161E8</v>
      </c>
      <c r="W1938" s="1" t="s">
        <v>44</v>
      </c>
      <c r="X1938" s="1" t="s">
        <v>45</v>
      </c>
      <c r="Y1938" s="1">
        <v>4.82191161E8</v>
      </c>
      <c r="Z1938" s="1">
        <v>2.084564E7</v>
      </c>
      <c r="AA1938" s="1" t="s">
        <v>3597</v>
      </c>
      <c r="AB1938" s="1">
        <v>31121.06</v>
      </c>
      <c r="AC1938" s="2">
        <v>41935.0</v>
      </c>
      <c r="AD1938" s="1">
        <v>1200.0</v>
      </c>
      <c r="AE1938" s="1" t="s">
        <v>647</v>
      </c>
      <c r="AF1938" s="1" t="s">
        <v>3598</v>
      </c>
      <c r="AG1938" s="1" t="s">
        <v>712</v>
      </c>
      <c r="AH1938" s="1">
        <v>1.0</v>
      </c>
      <c r="AI1938" s="1">
        <v>2015.0</v>
      </c>
      <c r="AJ1938" s="1">
        <v>2015.0</v>
      </c>
      <c r="AK1938" s="1" t="s">
        <v>713</v>
      </c>
    </row>
    <row r="1939">
      <c r="A1939" s="1" t="s">
        <v>3515</v>
      </c>
      <c r="B1939" s="1" t="s">
        <v>3515</v>
      </c>
      <c r="C1939" s="1" t="s">
        <v>645</v>
      </c>
      <c r="E1939" s="1">
        <v>4.64793056E8</v>
      </c>
      <c r="F1939" s="2">
        <v>41942.0</v>
      </c>
      <c r="G1939" s="1" t="s">
        <v>710</v>
      </c>
      <c r="I1939" s="1" t="s">
        <v>710</v>
      </c>
      <c r="L1939" s="1" t="s">
        <v>647</v>
      </c>
      <c r="M1939" s="1">
        <v>1200.0</v>
      </c>
      <c r="N1939" s="1" t="s">
        <v>647</v>
      </c>
      <c r="O1939" s="1">
        <v>1.47777952E8</v>
      </c>
      <c r="P1939" s="1" t="s">
        <v>459</v>
      </c>
      <c r="Q1939" s="1" t="s">
        <v>626</v>
      </c>
      <c r="R1939" s="1" t="s">
        <v>627</v>
      </c>
      <c r="S1939" s="1" t="s">
        <v>44</v>
      </c>
      <c r="T1939" s="1" t="s">
        <v>45</v>
      </c>
      <c r="U1939" s="1">
        <v>4.82072112E8</v>
      </c>
      <c r="W1939" s="1" t="s">
        <v>44</v>
      </c>
      <c r="X1939" s="1" t="s">
        <v>45</v>
      </c>
      <c r="Y1939" s="1">
        <v>4.82072112E8</v>
      </c>
      <c r="Z1939" s="1">
        <v>7.6340843E7</v>
      </c>
      <c r="AA1939" s="1" t="s">
        <v>461</v>
      </c>
      <c r="AB1939" s="1">
        <v>257375.35</v>
      </c>
      <c r="AC1939" s="2">
        <v>41942.0</v>
      </c>
      <c r="AD1939" s="1">
        <v>1200.0</v>
      </c>
      <c r="AE1939" s="1" t="s">
        <v>647</v>
      </c>
      <c r="AF1939" s="1" t="s">
        <v>3599</v>
      </c>
      <c r="AG1939" s="1" t="s">
        <v>712</v>
      </c>
      <c r="AH1939" s="1">
        <v>1.0</v>
      </c>
      <c r="AI1939" s="1">
        <v>2015.0</v>
      </c>
      <c r="AJ1939" s="1">
        <v>2015.0</v>
      </c>
      <c r="AK1939" s="1" t="s">
        <v>713</v>
      </c>
    </row>
    <row r="1940">
      <c r="A1940" s="1" t="s">
        <v>3515</v>
      </c>
      <c r="B1940" s="1" t="s">
        <v>3515</v>
      </c>
      <c r="C1940" s="1" t="s">
        <v>645</v>
      </c>
      <c r="E1940" s="1">
        <v>4.64793056E8</v>
      </c>
      <c r="F1940" s="2">
        <v>41921.0</v>
      </c>
      <c r="G1940" s="1" t="s">
        <v>710</v>
      </c>
      <c r="I1940" s="1" t="s">
        <v>710</v>
      </c>
      <c r="L1940" s="1" t="s">
        <v>647</v>
      </c>
      <c r="M1940" s="1">
        <v>1200.0</v>
      </c>
      <c r="N1940" s="1" t="s">
        <v>647</v>
      </c>
      <c r="O1940" s="1">
        <v>1.38064923E8</v>
      </c>
      <c r="P1940" s="1" t="s">
        <v>585</v>
      </c>
      <c r="R1940" s="1" t="s">
        <v>586</v>
      </c>
      <c r="S1940" s="1" t="s">
        <v>44</v>
      </c>
      <c r="T1940" s="1" t="s">
        <v>45</v>
      </c>
      <c r="U1940" s="1">
        <v>4.82152861E8</v>
      </c>
      <c r="W1940" s="1" t="s">
        <v>44</v>
      </c>
      <c r="X1940" s="1" t="s">
        <v>45</v>
      </c>
      <c r="Y1940" s="1">
        <v>4.82152861E8</v>
      </c>
      <c r="Z1940" s="1">
        <v>9.60742484E8</v>
      </c>
      <c r="AB1940" s="1">
        <v>104590.48</v>
      </c>
      <c r="AC1940" s="2">
        <v>41921.0</v>
      </c>
      <c r="AD1940" s="1">
        <v>1200.0</v>
      </c>
      <c r="AE1940" s="1" t="s">
        <v>647</v>
      </c>
      <c r="AF1940" s="1" t="s">
        <v>3600</v>
      </c>
      <c r="AG1940" s="1" t="s">
        <v>712</v>
      </c>
      <c r="AH1940" s="1">
        <v>1.0</v>
      </c>
      <c r="AI1940" s="1">
        <v>2015.0</v>
      </c>
      <c r="AJ1940" s="1">
        <v>2015.0</v>
      </c>
      <c r="AK1940" s="1" t="s">
        <v>713</v>
      </c>
    </row>
    <row r="1941">
      <c r="A1941" s="1" t="s">
        <v>3515</v>
      </c>
      <c r="B1941" s="1" t="s">
        <v>3515</v>
      </c>
      <c r="C1941" s="1" t="s">
        <v>645</v>
      </c>
      <c r="E1941" s="1">
        <v>4.64793056E8</v>
      </c>
      <c r="F1941" s="2">
        <v>41977.0</v>
      </c>
      <c r="G1941" s="1" t="s">
        <v>710</v>
      </c>
      <c r="I1941" s="1" t="s">
        <v>710</v>
      </c>
      <c r="L1941" s="1" t="s">
        <v>647</v>
      </c>
      <c r="M1941" s="1">
        <v>1200.0</v>
      </c>
      <c r="N1941" s="1" t="s">
        <v>647</v>
      </c>
      <c r="O1941" s="1">
        <v>1.36900474E8</v>
      </c>
      <c r="P1941" s="1" t="s">
        <v>930</v>
      </c>
      <c r="R1941" s="1" t="s">
        <v>931</v>
      </c>
      <c r="S1941" s="1" t="s">
        <v>44</v>
      </c>
      <c r="T1941" s="1" t="s">
        <v>45</v>
      </c>
      <c r="U1941" s="1">
        <v>4.82281222E8</v>
      </c>
      <c r="W1941" s="1" t="s">
        <v>44</v>
      </c>
      <c r="X1941" s="1" t="s">
        <v>45</v>
      </c>
      <c r="Y1941" s="1">
        <v>4.82281222E8</v>
      </c>
      <c r="Z1941" s="1">
        <v>4912929.0</v>
      </c>
      <c r="AB1941" s="1">
        <v>34641.76</v>
      </c>
      <c r="AC1941" s="2">
        <v>41977.0</v>
      </c>
      <c r="AD1941" s="1">
        <v>1200.0</v>
      </c>
      <c r="AE1941" s="1" t="s">
        <v>647</v>
      </c>
      <c r="AF1941" s="1" t="s">
        <v>3601</v>
      </c>
      <c r="AG1941" s="1" t="s">
        <v>712</v>
      </c>
      <c r="AH1941" s="1">
        <v>1.0</v>
      </c>
      <c r="AI1941" s="1">
        <v>2015.0</v>
      </c>
      <c r="AJ1941" s="1">
        <v>2015.0</v>
      </c>
      <c r="AK1941" s="1" t="s">
        <v>713</v>
      </c>
    </row>
    <row r="1942">
      <c r="A1942" s="1" t="s">
        <v>3515</v>
      </c>
      <c r="B1942" s="1" t="s">
        <v>3515</v>
      </c>
      <c r="C1942" s="1" t="s">
        <v>645</v>
      </c>
      <c r="E1942" s="1">
        <v>4.64793056E8</v>
      </c>
      <c r="F1942" s="2">
        <v>41914.0</v>
      </c>
      <c r="G1942" s="1" t="s">
        <v>710</v>
      </c>
      <c r="I1942" s="1" t="s">
        <v>710</v>
      </c>
      <c r="L1942" s="1" t="s">
        <v>647</v>
      </c>
      <c r="M1942" s="1">
        <v>1200.0</v>
      </c>
      <c r="N1942" s="1" t="s">
        <v>647</v>
      </c>
      <c r="O1942" s="1">
        <v>7.6340843E7</v>
      </c>
      <c r="P1942" s="1" t="s">
        <v>461</v>
      </c>
      <c r="R1942" s="1" t="s">
        <v>1599</v>
      </c>
      <c r="S1942" s="1" t="s">
        <v>44</v>
      </c>
      <c r="T1942" s="1" t="s">
        <v>45</v>
      </c>
      <c r="U1942" s="1">
        <v>4.8202301E8</v>
      </c>
      <c r="W1942" s="1" t="s">
        <v>44</v>
      </c>
      <c r="X1942" s="1" t="s">
        <v>45</v>
      </c>
      <c r="Y1942" s="1">
        <v>4.82023096E8</v>
      </c>
      <c r="Z1942" s="1">
        <v>7.6340843E7</v>
      </c>
      <c r="AA1942" s="1" t="s">
        <v>461</v>
      </c>
      <c r="AB1942" s="1">
        <v>102185.61</v>
      </c>
      <c r="AC1942" s="2">
        <v>41914.0</v>
      </c>
      <c r="AD1942" s="1">
        <v>1200.0</v>
      </c>
      <c r="AE1942" s="1" t="s">
        <v>647</v>
      </c>
      <c r="AF1942" s="1" t="s">
        <v>3602</v>
      </c>
      <c r="AG1942" s="1" t="s">
        <v>712</v>
      </c>
      <c r="AH1942" s="1">
        <v>1.0</v>
      </c>
      <c r="AI1942" s="1">
        <v>2015.0</v>
      </c>
      <c r="AJ1942" s="1">
        <v>2015.0</v>
      </c>
      <c r="AK1942" s="1" t="s">
        <v>713</v>
      </c>
    </row>
    <row r="1943">
      <c r="A1943" s="1" t="s">
        <v>3515</v>
      </c>
      <c r="B1943" s="1" t="s">
        <v>3515</v>
      </c>
      <c r="C1943" s="1" t="s">
        <v>645</v>
      </c>
      <c r="E1943" s="1">
        <v>4.64793056E8</v>
      </c>
      <c r="F1943" s="2">
        <v>41928.0</v>
      </c>
      <c r="G1943" s="1" t="s">
        <v>710</v>
      </c>
      <c r="I1943" s="1" t="s">
        <v>710</v>
      </c>
      <c r="L1943" s="1" t="s">
        <v>647</v>
      </c>
      <c r="M1943" s="1">
        <v>1200.0</v>
      </c>
      <c r="N1943" s="1" t="s">
        <v>647</v>
      </c>
      <c r="O1943" s="1">
        <v>1.17726252E8</v>
      </c>
      <c r="P1943" s="1" t="s">
        <v>512</v>
      </c>
      <c r="Q1943" s="1" t="s">
        <v>944</v>
      </c>
      <c r="R1943" s="1" t="s">
        <v>513</v>
      </c>
      <c r="S1943" s="1" t="s">
        <v>44</v>
      </c>
      <c r="T1943" s="1" t="s">
        <v>45</v>
      </c>
      <c r="U1943" s="1">
        <v>4.82193259E8</v>
      </c>
      <c r="W1943" s="1" t="s">
        <v>44</v>
      </c>
      <c r="X1943" s="1" t="s">
        <v>45</v>
      </c>
      <c r="Y1943" s="1">
        <v>4.82193259E8</v>
      </c>
      <c r="AB1943" s="1">
        <v>782750.24</v>
      </c>
      <c r="AC1943" s="2">
        <v>41928.0</v>
      </c>
      <c r="AD1943" s="1">
        <v>1200.0</v>
      </c>
      <c r="AE1943" s="1" t="s">
        <v>647</v>
      </c>
      <c r="AF1943" s="1" t="s">
        <v>3603</v>
      </c>
      <c r="AG1943" s="1" t="s">
        <v>712</v>
      </c>
      <c r="AH1943" s="1">
        <v>1.0</v>
      </c>
      <c r="AI1943" s="1">
        <v>2015.0</v>
      </c>
      <c r="AJ1943" s="1">
        <v>2015.0</v>
      </c>
      <c r="AK1943" s="1" t="s">
        <v>713</v>
      </c>
    </row>
    <row r="1944">
      <c r="A1944" s="1" t="s">
        <v>3515</v>
      </c>
      <c r="B1944" s="1" t="s">
        <v>3515</v>
      </c>
      <c r="C1944" s="1" t="s">
        <v>645</v>
      </c>
      <c r="E1944" s="1">
        <v>4.64793056E8</v>
      </c>
      <c r="F1944" s="2">
        <v>41919.0</v>
      </c>
      <c r="G1944" s="1" t="s">
        <v>710</v>
      </c>
      <c r="I1944" s="1" t="s">
        <v>710</v>
      </c>
      <c r="L1944" s="1" t="s">
        <v>647</v>
      </c>
      <c r="M1944" s="1">
        <v>1200.0</v>
      </c>
      <c r="N1944" s="1" t="s">
        <v>647</v>
      </c>
      <c r="O1944" s="1">
        <v>7.3832607E7</v>
      </c>
      <c r="P1944" s="1" t="s">
        <v>482</v>
      </c>
      <c r="R1944" s="1" t="s">
        <v>483</v>
      </c>
      <c r="S1944" s="1" t="s">
        <v>44</v>
      </c>
      <c r="T1944" s="1" t="s">
        <v>45</v>
      </c>
      <c r="U1944" s="1">
        <v>4.82074288E8</v>
      </c>
      <c r="W1944" s="1" t="s">
        <v>44</v>
      </c>
      <c r="X1944" s="1" t="s">
        <v>45</v>
      </c>
      <c r="Y1944" s="1">
        <v>4.82074288E8</v>
      </c>
      <c r="Z1944" s="1">
        <v>3.9867049E7</v>
      </c>
      <c r="AA1944" s="1" t="s">
        <v>3604</v>
      </c>
      <c r="AB1944" s="1">
        <v>398167.11</v>
      </c>
      <c r="AC1944" s="2">
        <v>41919.0</v>
      </c>
      <c r="AD1944" s="1">
        <v>1200.0</v>
      </c>
      <c r="AE1944" s="1" t="s">
        <v>647</v>
      </c>
      <c r="AF1944" s="1" t="s">
        <v>3605</v>
      </c>
      <c r="AG1944" s="1" t="s">
        <v>712</v>
      </c>
      <c r="AH1944" s="1">
        <v>1.0</v>
      </c>
      <c r="AI1944" s="1">
        <v>2015.0</v>
      </c>
      <c r="AJ1944" s="1">
        <v>2015.0</v>
      </c>
      <c r="AK1944" s="1" t="s">
        <v>713</v>
      </c>
    </row>
    <row r="1945">
      <c r="A1945" s="1" t="s">
        <v>3606</v>
      </c>
      <c r="B1945" s="1" t="s">
        <v>3606</v>
      </c>
      <c r="C1945" s="1" t="s">
        <v>194</v>
      </c>
      <c r="E1945" s="1">
        <v>1.1819503E7</v>
      </c>
      <c r="F1945" s="2">
        <v>41962.0</v>
      </c>
      <c r="G1945" s="1" t="s">
        <v>1905</v>
      </c>
      <c r="I1945" s="1" t="s">
        <v>1905</v>
      </c>
      <c r="L1945" s="1" t="s">
        <v>194</v>
      </c>
      <c r="M1945" s="1">
        <v>9100.0</v>
      </c>
      <c r="N1945" s="1" t="s">
        <v>194</v>
      </c>
      <c r="O1945" s="1">
        <v>1962224.0</v>
      </c>
      <c r="P1945" s="1" t="s">
        <v>52</v>
      </c>
      <c r="R1945" s="1" t="s">
        <v>1885</v>
      </c>
      <c r="S1945" s="1" t="s">
        <v>44</v>
      </c>
      <c r="T1945" s="1" t="s">
        <v>45</v>
      </c>
      <c r="U1945" s="1">
        <v>4.82021347E8</v>
      </c>
      <c r="W1945" s="1" t="s">
        <v>44</v>
      </c>
      <c r="X1945" s="1" t="s">
        <v>45</v>
      </c>
      <c r="Y1945" s="1">
        <v>4.82023424E8</v>
      </c>
      <c r="Z1945" s="1">
        <v>1962224.0</v>
      </c>
      <c r="AA1945" s="1" t="s">
        <v>52</v>
      </c>
      <c r="AB1945" s="1">
        <v>325543.0</v>
      </c>
      <c r="AC1945" s="2">
        <v>41962.0</v>
      </c>
      <c r="AD1945" s="1">
        <v>9100.0</v>
      </c>
      <c r="AE1945" s="1" t="s">
        <v>194</v>
      </c>
      <c r="AF1945" s="1" t="s">
        <v>3607</v>
      </c>
      <c r="AG1945" s="1" t="s">
        <v>1907</v>
      </c>
      <c r="AH1945" s="1">
        <v>1.0</v>
      </c>
      <c r="AI1945" s="1">
        <v>2015.0</v>
      </c>
      <c r="AJ1945" s="1">
        <v>2015.0</v>
      </c>
      <c r="AK1945" s="1" t="s">
        <v>1908</v>
      </c>
    </row>
    <row r="1946">
      <c r="A1946" s="1" t="s">
        <v>3515</v>
      </c>
      <c r="B1946" s="1" t="s">
        <v>3515</v>
      </c>
      <c r="C1946" s="1" t="s">
        <v>645</v>
      </c>
      <c r="E1946" s="1">
        <v>4.64793056E8</v>
      </c>
      <c r="F1946" s="2">
        <v>41851.0</v>
      </c>
      <c r="G1946" s="1" t="s">
        <v>710</v>
      </c>
      <c r="I1946" s="1" t="s">
        <v>710</v>
      </c>
      <c r="L1946" s="1" t="s">
        <v>647</v>
      </c>
      <c r="M1946" s="1">
        <v>1200.0</v>
      </c>
      <c r="N1946" s="1" t="s">
        <v>647</v>
      </c>
      <c r="O1946" s="1">
        <v>9.69821029E8</v>
      </c>
      <c r="P1946" s="1" t="s">
        <v>862</v>
      </c>
      <c r="R1946" s="1" t="s">
        <v>863</v>
      </c>
      <c r="S1946" s="1" t="s">
        <v>44</v>
      </c>
      <c r="T1946" s="1" t="s">
        <v>45</v>
      </c>
      <c r="U1946" s="1">
        <v>4.82042039E8</v>
      </c>
      <c r="W1946" s="1" t="s">
        <v>44</v>
      </c>
      <c r="X1946" s="1" t="s">
        <v>45</v>
      </c>
      <c r="Y1946" s="1">
        <v>4.8204E8</v>
      </c>
      <c r="AB1946" s="1">
        <v>196038.08</v>
      </c>
      <c r="AC1946" s="2">
        <v>41851.0</v>
      </c>
      <c r="AD1946" s="1">
        <v>1200.0</v>
      </c>
      <c r="AE1946" s="1" t="s">
        <v>647</v>
      </c>
      <c r="AF1946" s="1" t="s">
        <v>3608</v>
      </c>
      <c r="AG1946" s="1" t="s">
        <v>712</v>
      </c>
      <c r="AH1946" s="1">
        <v>1.0</v>
      </c>
      <c r="AI1946" s="1">
        <v>2015.0</v>
      </c>
      <c r="AJ1946" s="1">
        <v>2014.0</v>
      </c>
      <c r="AK1946" s="1" t="s">
        <v>713</v>
      </c>
    </row>
    <row r="1947">
      <c r="A1947" s="1" t="s">
        <v>3515</v>
      </c>
      <c r="B1947" s="1" t="s">
        <v>3515</v>
      </c>
      <c r="C1947" s="1" t="s">
        <v>645</v>
      </c>
      <c r="E1947" s="1">
        <v>4.64793056E8</v>
      </c>
      <c r="F1947" s="2">
        <v>41935.0</v>
      </c>
      <c r="G1947" s="1" t="s">
        <v>710</v>
      </c>
      <c r="I1947" s="1" t="s">
        <v>710</v>
      </c>
      <c r="L1947" s="1" t="s">
        <v>647</v>
      </c>
      <c r="M1947" s="1">
        <v>1200.0</v>
      </c>
      <c r="N1947" s="1" t="s">
        <v>647</v>
      </c>
      <c r="O1947" s="1">
        <v>7.8583963E7</v>
      </c>
      <c r="P1947" s="1" t="s">
        <v>526</v>
      </c>
      <c r="Q1947" s="1" t="s">
        <v>3501</v>
      </c>
      <c r="R1947" s="1" t="s">
        <v>3020</v>
      </c>
      <c r="S1947" s="1" t="s">
        <v>44</v>
      </c>
      <c r="T1947" s="1" t="s">
        <v>45</v>
      </c>
      <c r="U1947" s="1">
        <v>4.82091434E8</v>
      </c>
      <c r="W1947" s="1" t="s">
        <v>46</v>
      </c>
      <c r="X1947" s="1" t="s">
        <v>45</v>
      </c>
      <c r="Y1947" s="1">
        <v>4.8209E8</v>
      </c>
      <c r="Z1947" s="1">
        <v>5.3665132E7</v>
      </c>
      <c r="AB1947" s="1">
        <v>37392.02</v>
      </c>
      <c r="AC1947" s="2">
        <v>41935.0</v>
      </c>
      <c r="AD1947" s="1">
        <v>1200.0</v>
      </c>
      <c r="AE1947" s="1" t="s">
        <v>647</v>
      </c>
      <c r="AF1947" s="1" t="s">
        <v>3609</v>
      </c>
      <c r="AG1947" s="1" t="s">
        <v>712</v>
      </c>
      <c r="AH1947" s="1">
        <v>1.0</v>
      </c>
      <c r="AI1947" s="1">
        <v>2015.0</v>
      </c>
      <c r="AJ1947" s="1">
        <v>2015.0</v>
      </c>
      <c r="AK1947" s="1" t="s">
        <v>713</v>
      </c>
    </row>
    <row r="1948">
      <c r="A1948" s="1" t="s">
        <v>3515</v>
      </c>
      <c r="B1948" s="1" t="s">
        <v>3515</v>
      </c>
      <c r="C1948" s="1" t="s">
        <v>645</v>
      </c>
      <c r="E1948" s="1">
        <v>4.64793056E8</v>
      </c>
      <c r="F1948" s="2">
        <v>41977.0</v>
      </c>
      <c r="G1948" s="1" t="s">
        <v>710</v>
      </c>
      <c r="I1948" s="1" t="s">
        <v>710</v>
      </c>
      <c r="L1948" s="1" t="s">
        <v>647</v>
      </c>
      <c r="M1948" s="1">
        <v>1200.0</v>
      </c>
      <c r="N1948" s="1" t="s">
        <v>647</v>
      </c>
      <c r="O1948" s="1">
        <v>5.2874042E7</v>
      </c>
      <c r="P1948" s="1" t="s">
        <v>538</v>
      </c>
      <c r="R1948" s="1" t="s">
        <v>539</v>
      </c>
      <c r="S1948" s="1" t="s">
        <v>44</v>
      </c>
      <c r="T1948" s="1" t="s">
        <v>45</v>
      </c>
      <c r="U1948" s="1">
        <v>4.82091524E8</v>
      </c>
      <c r="W1948" s="1" t="s">
        <v>44</v>
      </c>
      <c r="X1948" s="1" t="s">
        <v>45</v>
      </c>
      <c r="Y1948" s="1">
        <v>4.82091524E8</v>
      </c>
      <c r="Z1948" s="1">
        <v>5.2173358E7</v>
      </c>
      <c r="AA1948" s="1" t="s">
        <v>3610</v>
      </c>
      <c r="AB1948" s="1">
        <v>226581.62</v>
      </c>
      <c r="AC1948" s="2">
        <v>41977.0</v>
      </c>
      <c r="AD1948" s="1">
        <v>1200.0</v>
      </c>
      <c r="AE1948" s="1" t="s">
        <v>647</v>
      </c>
      <c r="AF1948" s="1" t="s">
        <v>3611</v>
      </c>
      <c r="AG1948" s="1" t="s">
        <v>712</v>
      </c>
      <c r="AH1948" s="1">
        <v>1.0</v>
      </c>
      <c r="AI1948" s="1">
        <v>2015.0</v>
      </c>
      <c r="AJ1948" s="1">
        <v>2015.0</v>
      </c>
      <c r="AK1948" s="1" t="s">
        <v>713</v>
      </c>
    </row>
    <row r="1949">
      <c r="A1949" s="1" t="s">
        <v>3515</v>
      </c>
      <c r="B1949" s="1" t="s">
        <v>3515</v>
      </c>
      <c r="C1949" s="1" t="s">
        <v>645</v>
      </c>
      <c r="E1949" s="1">
        <v>4.64793056E8</v>
      </c>
      <c r="F1949" s="2">
        <v>41928.0</v>
      </c>
      <c r="G1949" s="1" t="s">
        <v>710</v>
      </c>
      <c r="I1949" s="1" t="s">
        <v>710</v>
      </c>
      <c r="L1949" s="1" t="s">
        <v>647</v>
      </c>
      <c r="M1949" s="1">
        <v>1200.0</v>
      </c>
      <c r="N1949" s="1" t="s">
        <v>647</v>
      </c>
      <c r="O1949" s="1">
        <v>9.0912429E7</v>
      </c>
      <c r="P1949" s="1" t="s">
        <v>521</v>
      </c>
      <c r="R1949" s="1" t="s">
        <v>522</v>
      </c>
      <c r="S1949" s="1" t="s">
        <v>44</v>
      </c>
      <c r="T1949" s="1" t="s">
        <v>45</v>
      </c>
      <c r="U1949" s="1">
        <v>4.82233314E8</v>
      </c>
      <c r="W1949" s="1" t="s">
        <v>44</v>
      </c>
      <c r="X1949" s="1" t="s">
        <v>45</v>
      </c>
      <c r="Y1949" s="1">
        <v>4.82233314E8</v>
      </c>
      <c r="AB1949" s="1">
        <v>267877.98</v>
      </c>
      <c r="AC1949" s="2">
        <v>41928.0</v>
      </c>
      <c r="AD1949" s="1">
        <v>1200.0</v>
      </c>
      <c r="AE1949" s="1" t="s">
        <v>647</v>
      </c>
      <c r="AF1949" s="1" t="s">
        <v>3612</v>
      </c>
      <c r="AG1949" s="1" t="s">
        <v>712</v>
      </c>
      <c r="AH1949" s="1">
        <v>1.0</v>
      </c>
      <c r="AI1949" s="1">
        <v>2015.0</v>
      </c>
      <c r="AJ1949" s="1">
        <v>2015.0</v>
      </c>
      <c r="AK1949" s="1" t="s">
        <v>713</v>
      </c>
    </row>
    <row r="1950">
      <c r="A1950" s="1" t="s">
        <v>3337</v>
      </c>
      <c r="B1950" s="1" t="s">
        <v>3337</v>
      </c>
      <c r="C1950" s="1" t="s">
        <v>194</v>
      </c>
      <c r="E1950" s="1">
        <v>3.9049236E7</v>
      </c>
      <c r="F1950" s="2">
        <v>41897.0</v>
      </c>
      <c r="G1950" s="1" t="s">
        <v>279</v>
      </c>
      <c r="I1950" s="1" t="s">
        <v>279</v>
      </c>
      <c r="L1950" s="1" t="s">
        <v>194</v>
      </c>
      <c r="M1950" s="1">
        <v>9100.0</v>
      </c>
      <c r="N1950" s="1" t="s">
        <v>194</v>
      </c>
      <c r="O1950" s="1">
        <v>3.9866801E7</v>
      </c>
      <c r="P1950" s="1" t="s">
        <v>612</v>
      </c>
      <c r="R1950" s="1" t="s">
        <v>613</v>
      </c>
      <c r="S1950" s="1" t="s">
        <v>44</v>
      </c>
      <c r="T1950" s="1" t="s">
        <v>45</v>
      </c>
      <c r="U1950" s="1">
        <v>4.8212E8</v>
      </c>
      <c r="W1950" s="1" t="s">
        <v>607</v>
      </c>
      <c r="X1950" s="1" t="s">
        <v>45</v>
      </c>
      <c r="Y1950" s="1">
        <v>4.82120012E8</v>
      </c>
      <c r="Z1950" s="1">
        <v>3.9866801E7</v>
      </c>
      <c r="AA1950" s="1" t="s">
        <v>612</v>
      </c>
      <c r="AB1950" s="1">
        <v>675000.0</v>
      </c>
      <c r="AC1950" s="2">
        <v>41897.0</v>
      </c>
      <c r="AD1950" s="1">
        <v>9100.0</v>
      </c>
      <c r="AE1950" s="1" t="s">
        <v>194</v>
      </c>
      <c r="AF1950" s="1" t="s">
        <v>3338</v>
      </c>
      <c r="AG1950" s="1" t="s">
        <v>3339</v>
      </c>
      <c r="AH1950" s="1">
        <v>1.0</v>
      </c>
      <c r="AI1950" s="1">
        <v>2015.0</v>
      </c>
      <c r="AJ1950" s="1">
        <v>2014.0</v>
      </c>
      <c r="AK1950" s="1" t="s">
        <v>285</v>
      </c>
    </row>
    <row r="1951">
      <c r="A1951" s="1" t="s">
        <v>3515</v>
      </c>
      <c r="B1951" s="1" t="s">
        <v>3515</v>
      </c>
      <c r="C1951" s="1" t="s">
        <v>645</v>
      </c>
      <c r="E1951" s="1">
        <v>4.64793056E8</v>
      </c>
      <c r="F1951" s="2">
        <v>41949.0</v>
      </c>
      <c r="G1951" s="1" t="s">
        <v>710</v>
      </c>
      <c r="I1951" s="1" t="s">
        <v>710</v>
      </c>
      <c r="L1951" s="1" t="s">
        <v>647</v>
      </c>
      <c r="M1951" s="1">
        <v>1200.0</v>
      </c>
      <c r="N1951" s="1" t="s">
        <v>647</v>
      </c>
      <c r="O1951" s="1">
        <v>4.2136734E7</v>
      </c>
      <c r="P1951" s="1" t="s">
        <v>557</v>
      </c>
      <c r="R1951" s="1" t="s">
        <v>558</v>
      </c>
      <c r="S1951" s="1" t="s">
        <v>44</v>
      </c>
      <c r="T1951" s="1" t="s">
        <v>45</v>
      </c>
      <c r="U1951" s="1">
        <v>4.82082204E8</v>
      </c>
      <c r="W1951" s="1" t="s">
        <v>44</v>
      </c>
      <c r="X1951" s="1" t="s">
        <v>45</v>
      </c>
      <c r="Y1951" s="1">
        <v>4.82082204E8</v>
      </c>
      <c r="AB1951" s="1">
        <v>170313.53</v>
      </c>
      <c r="AC1951" s="2">
        <v>41949.0</v>
      </c>
      <c r="AD1951" s="1">
        <v>1200.0</v>
      </c>
      <c r="AE1951" s="1" t="s">
        <v>647</v>
      </c>
      <c r="AF1951" s="1" t="s">
        <v>3613</v>
      </c>
      <c r="AG1951" s="1" t="s">
        <v>712</v>
      </c>
      <c r="AH1951" s="1">
        <v>1.0</v>
      </c>
      <c r="AI1951" s="1">
        <v>2015.0</v>
      </c>
      <c r="AJ1951" s="1">
        <v>2015.0</v>
      </c>
      <c r="AK1951" s="1" t="s">
        <v>713</v>
      </c>
    </row>
    <row r="1952">
      <c r="A1952" s="1" t="s">
        <v>3515</v>
      </c>
      <c r="B1952" s="1" t="s">
        <v>3515</v>
      </c>
      <c r="C1952" s="1" t="s">
        <v>645</v>
      </c>
      <c r="E1952" s="1">
        <v>4.64793056E8</v>
      </c>
      <c r="F1952" s="2">
        <v>41991.0</v>
      </c>
      <c r="G1952" s="1" t="s">
        <v>710</v>
      </c>
      <c r="I1952" s="1" t="s">
        <v>710</v>
      </c>
      <c r="L1952" s="1" t="s">
        <v>647</v>
      </c>
      <c r="M1952" s="1">
        <v>1200.0</v>
      </c>
      <c r="N1952" s="1" t="s">
        <v>647</v>
      </c>
      <c r="O1952" s="1">
        <v>8.4297738E7</v>
      </c>
      <c r="P1952" s="1" t="s">
        <v>3091</v>
      </c>
      <c r="Q1952" s="1" t="s">
        <v>3092</v>
      </c>
      <c r="R1952" s="1" t="s">
        <v>3093</v>
      </c>
      <c r="S1952" s="1" t="s">
        <v>44</v>
      </c>
      <c r="T1952" s="1" t="s">
        <v>45</v>
      </c>
      <c r="U1952" s="1">
        <v>4.8207341E8</v>
      </c>
      <c r="W1952" s="1" t="s">
        <v>44</v>
      </c>
      <c r="X1952" s="1" t="s">
        <v>45</v>
      </c>
      <c r="Y1952" s="1">
        <v>4.8207341E8</v>
      </c>
      <c r="Z1952" s="1">
        <v>8.4297738E7</v>
      </c>
      <c r="AA1952" s="1" t="s">
        <v>3091</v>
      </c>
      <c r="AB1952" s="1">
        <v>160892.79</v>
      </c>
      <c r="AC1952" s="2">
        <v>41991.0</v>
      </c>
      <c r="AD1952" s="1">
        <v>1200.0</v>
      </c>
      <c r="AE1952" s="1" t="s">
        <v>647</v>
      </c>
      <c r="AF1952" s="1" t="s">
        <v>3614</v>
      </c>
      <c r="AG1952" s="1" t="s">
        <v>712</v>
      </c>
      <c r="AH1952" s="1">
        <v>1.0</v>
      </c>
      <c r="AI1952" s="1">
        <v>2015.0</v>
      </c>
      <c r="AJ1952" s="1">
        <v>2015.0</v>
      </c>
      <c r="AK1952" s="1" t="s">
        <v>713</v>
      </c>
    </row>
    <row r="1953">
      <c r="A1953" s="1" t="s">
        <v>3515</v>
      </c>
      <c r="B1953" s="1" t="s">
        <v>3515</v>
      </c>
      <c r="C1953" s="1" t="s">
        <v>645</v>
      </c>
      <c r="E1953" s="1">
        <v>4.64793056E8</v>
      </c>
      <c r="F1953" s="2">
        <v>41956.0</v>
      </c>
      <c r="G1953" s="1" t="s">
        <v>710</v>
      </c>
      <c r="I1953" s="1" t="s">
        <v>710</v>
      </c>
      <c r="L1953" s="1" t="s">
        <v>647</v>
      </c>
      <c r="M1953" s="1">
        <v>1200.0</v>
      </c>
      <c r="N1953" s="1" t="s">
        <v>647</v>
      </c>
      <c r="O1953" s="1">
        <v>8.4297738E7</v>
      </c>
      <c r="P1953" s="1" t="s">
        <v>3091</v>
      </c>
      <c r="Q1953" s="1" t="s">
        <v>3092</v>
      </c>
      <c r="R1953" s="1" t="s">
        <v>3093</v>
      </c>
      <c r="S1953" s="1" t="s">
        <v>44</v>
      </c>
      <c r="T1953" s="1" t="s">
        <v>45</v>
      </c>
      <c r="U1953" s="1">
        <v>4.8207341E8</v>
      </c>
      <c r="W1953" s="1" t="s">
        <v>44</v>
      </c>
      <c r="X1953" s="1" t="s">
        <v>45</v>
      </c>
      <c r="Y1953" s="1">
        <v>4.8207341E8</v>
      </c>
      <c r="Z1953" s="1">
        <v>8.4297738E7</v>
      </c>
      <c r="AA1953" s="1" t="s">
        <v>3091</v>
      </c>
      <c r="AB1953" s="1">
        <v>112261.78</v>
      </c>
      <c r="AC1953" s="2">
        <v>41956.0</v>
      </c>
      <c r="AD1953" s="1">
        <v>1200.0</v>
      </c>
      <c r="AE1953" s="1" t="s">
        <v>647</v>
      </c>
      <c r="AF1953" s="1" t="s">
        <v>3615</v>
      </c>
      <c r="AG1953" s="1" t="s">
        <v>712</v>
      </c>
      <c r="AH1953" s="1">
        <v>1.0</v>
      </c>
      <c r="AI1953" s="1">
        <v>2015.0</v>
      </c>
      <c r="AJ1953" s="1">
        <v>2015.0</v>
      </c>
      <c r="AK1953" s="1" t="s">
        <v>713</v>
      </c>
    </row>
    <row r="1954">
      <c r="A1954" s="1" t="s">
        <v>3344</v>
      </c>
      <c r="B1954" s="1" t="s">
        <v>3344</v>
      </c>
      <c r="C1954" s="1" t="s">
        <v>194</v>
      </c>
      <c r="E1954" s="1">
        <v>8.9228048E7</v>
      </c>
      <c r="F1954" s="2">
        <v>41740.0</v>
      </c>
      <c r="G1954" s="1" t="s">
        <v>458</v>
      </c>
      <c r="I1954" s="1" t="s">
        <v>458</v>
      </c>
      <c r="L1954" s="1" t="s">
        <v>194</v>
      </c>
      <c r="M1954" s="1">
        <v>9100.0</v>
      </c>
      <c r="N1954" s="1" t="s">
        <v>194</v>
      </c>
      <c r="O1954" s="1">
        <v>7.8465647E7</v>
      </c>
      <c r="P1954" s="1" t="s">
        <v>1176</v>
      </c>
      <c r="R1954" s="1" t="s">
        <v>1178</v>
      </c>
      <c r="S1954" s="1" t="s">
        <v>44</v>
      </c>
      <c r="T1954" s="1" t="s">
        <v>45</v>
      </c>
      <c r="U1954" s="1">
        <v>4.82281142E8</v>
      </c>
      <c r="W1954" s="1" t="s">
        <v>44</v>
      </c>
      <c r="X1954" s="1" t="s">
        <v>45</v>
      </c>
      <c r="Y1954" s="1">
        <v>4.82281142E8</v>
      </c>
      <c r="Z1954" s="1">
        <v>1.00036367E8</v>
      </c>
      <c r="AA1954" s="1" t="s">
        <v>3616</v>
      </c>
      <c r="AB1954" s="1">
        <v>34824.0</v>
      </c>
      <c r="AC1954" s="2">
        <v>41740.0</v>
      </c>
      <c r="AD1954" s="1">
        <v>9100.0</v>
      </c>
      <c r="AE1954" s="1" t="s">
        <v>194</v>
      </c>
      <c r="AF1954" s="1" t="s">
        <v>3617</v>
      </c>
      <c r="AG1954" s="1" t="s">
        <v>463</v>
      </c>
      <c r="AH1954" s="1">
        <v>1.0</v>
      </c>
      <c r="AI1954" s="1">
        <v>2015.0</v>
      </c>
      <c r="AJ1954" s="1">
        <v>2014.0</v>
      </c>
      <c r="AK1954" s="1" t="s">
        <v>277</v>
      </c>
    </row>
    <row r="1955">
      <c r="A1955" s="1" t="s">
        <v>3515</v>
      </c>
      <c r="B1955" s="1" t="s">
        <v>3515</v>
      </c>
      <c r="C1955" s="1" t="s">
        <v>645</v>
      </c>
      <c r="E1955" s="1">
        <v>4.64793056E8</v>
      </c>
      <c r="F1955" s="2">
        <v>41935.0</v>
      </c>
      <c r="G1955" s="1" t="s">
        <v>710</v>
      </c>
      <c r="I1955" s="1" t="s">
        <v>710</v>
      </c>
      <c r="L1955" s="1" t="s">
        <v>647</v>
      </c>
      <c r="M1955" s="1">
        <v>1200.0</v>
      </c>
      <c r="N1955" s="1" t="s">
        <v>647</v>
      </c>
      <c r="O1955" s="1">
        <v>8.8328984E7</v>
      </c>
      <c r="P1955" s="1" t="s">
        <v>933</v>
      </c>
      <c r="R1955" s="1" t="s">
        <v>934</v>
      </c>
      <c r="S1955" s="1" t="s">
        <v>44</v>
      </c>
      <c r="T1955" s="1" t="s">
        <v>45</v>
      </c>
      <c r="U1955" s="1">
        <v>4.82274087E8</v>
      </c>
      <c r="W1955" s="1" t="s">
        <v>44</v>
      </c>
      <c r="X1955" s="1" t="s">
        <v>45</v>
      </c>
      <c r="Y1955" s="1">
        <v>4.8227E8</v>
      </c>
      <c r="AB1955" s="1">
        <v>56728.93</v>
      </c>
      <c r="AC1955" s="2">
        <v>41935.0</v>
      </c>
      <c r="AD1955" s="1">
        <v>1200.0</v>
      </c>
      <c r="AE1955" s="1" t="s">
        <v>647</v>
      </c>
      <c r="AF1955" s="1" t="s">
        <v>3618</v>
      </c>
      <c r="AG1955" s="1" t="s">
        <v>712</v>
      </c>
      <c r="AH1955" s="1">
        <v>1.0</v>
      </c>
      <c r="AI1955" s="1">
        <v>2015.0</v>
      </c>
      <c r="AJ1955" s="1">
        <v>2015.0</v>
      </c>
      <c r="AK1955" s="1" t="s">
        <v>713</v>
      </c>
    </row>
    <row r="1956">
      <c r="A1956" s="1" t="s">
        <v>3515</v>
      </c>
      <c r="B1956" s="1" t="s">
        <v>3515</v>
      </c>
      <c r="C1956" s="1" t="s">
        <v>645</v>
      </c>
      <c r="E1956" s="1">
        <v>4.64793056E8</v>
      </c>
      <c r="F1956" s="2">
        <v>41935.0</v>
      </c>
      <c r="G1956" s="1" t="s">
        <v>710</v>
      </c>
      <c r="I1956" s="1" t="s">
        <v>710</v>
      </c>
      <c r="L1956" s="1" t="s">
        <v>647</v>
      </c>
      <c r="M1956" s="1">
        <v>1200.0</v>
      </c>
      <c r="N1956" s="1" t="s">
        <v>647</v>
      </c>
      <c r="O1956" s="1">
        <v>7.0381949E7</v>
      </c>
      <c r="P1956" s="1" t="s">
        <v>605</v>
      </c>
      <c r="R1956" s="1" t="s">
        <v>606</v>
      </c>
      <c r="S1956" s="1" t="s">
        <v>44</v>
      </c>
      <c r="T1956" s="1" t="s">
        <v>45</v>
      </c>
      <c r="U1956" s="1">
        <v>4.82123033E8</v>
      </c>
      <c r="W1956" s="1" t="s">
        <v>607</v>
      </c>
      <c r="X1956" s="1" t="s">
        <v>45</v>
      </c>
      <c r="Y1956" s="1">
        <v>4.8212E8</v>
      </c>
      <c r="AB1956" s="1">
        <v>148394.56</v>
      </c>
      <c r="AC1956" s="2">
        <v>41935.0</v>
      </c>
      <c r="AD1956" s="1">
        <v>1200.0</v>
      </c>
      <c r="AE1956" s="1" t="s">
        <v>647</v>
      </c>
      <c r="AF1956" s="1" t="s">
        <v>3619</v>
      </c>
      <c r="AG1956" s="1" t="s">
        <v>712</v>
      </c>
      <c r="AH1956" s="1">
        <v>1.0</v>
      </c>
      <c r="AI1956" s="1">
        <v>2015.0</v>
      </c>
      <c r="AJ1956" s="1">
        <v>2015.0</v>
      </c>
      <c r="AK1956" s="1" t="s">
        <v>713</v>
      </c>
    </row>
    <row r="1957">
      <c r="A1957" s="1" t="s">
        <v>3344</v>
      </c>
      <c r="B1957" s="1" t="s">
        <v>3344</v>
      </c>
      <c r="C1957" s="1" t="s">
        <v>194</v>
      </c>
      <c r="E1957" s="1">
        <v>8.9228048E7</v>
      </c>
      <c r="F1957" s="2">
        <v>41705.0</v>
      </c>
      <c r="G1957" s="1" t="s">
        <v>458</v>
      </c>
      <c r="I1957" s="1" t="s">
        <v>458</v>
      </c>
      <c r="L1957" s="1" t="s">
        <v>194</v>
      </c>
      <c r="M1957" s="1">
        <v>9100.0</v>
      </c>
      <c r="N1957" s="1" t="s">
        <v>194</v>
      </c>
      <c r="O1957" s="1">
        <v>9.0912429E7</v>
      </c>
      <c r="P1957" s="1" t="s">
        <v>521</v>
      </c>
      <c r="Q1957" s="1" t="s">
        <v>3620</v>
      </c>
      <c r="R1957" s="1" t="s">
        <v>522</v>
      </c>
      <c r="S1957" s="1" t="s">
        <v>44</v>
      </c>
      <c r="T1957" s="1" t="s">
        <v>45</v>
      </c>
      <c r="U1957" s="1">
        <v>4.82233314E8</v>
      </c>
      <c r="W1957" s="1" t="s">
        <v>44</v>
      </c>
      <c r="X1957" s="1" t="s">
        <v>45</v>
      </c>
      <c r="Y1957" s="1">
        <v>4.82233314E8</v>
      </c>
      <c r="Z1957" s="1">
        <v>1.00036425E8</v>
      </c>
      <c r="AA1957" s="1" t="s">
        <v>3621</v>
      </c>
      <c r="AB1957" s="1">
        <v>26521.0</v>
      </c>
      <c r="AC1957" s="2">
        <v>41705.0</v>
      </c>
      <c r="AD1957" s="1">
        <v>9100.0</v>
      </c>
      <c r="AE1957" s="1" t="s">
        <v>194</v>
      </c>
      <c r="AF1957" s="1" t="s">
        <v>3622</v>
      </c>
      <c r="AG1957" s="1" t="s">
        <v>463</v>
      </c>
      <c r="AH1957" s="1">
        <v>1.0</v>
      </c>
      <c r="AI1957" s="1">
        <v>2015.0</v>
      </c>
      <c r="AJ1957" s="1">
        <v>2014.0</v>
      </c>
      <c r="AK1957" s="1" t="s">
        <v>277</v>
      </c>
    </row>
    <row r="1958">
      <c r="A1958" s="1" t="s">
        <v>3515</v>
      </c>
      <c r="B1958" s="1" t="s">
        <v>3515</v>
      </c>
      <c r="C1958" s="1" t="s">
        <v>645</v>
      </c>
      <c r="E1958" s="1">
        <v>4.64793056E8</v>
      </c>
      <c r="F1958" s="2">
        <v>41928.0</v>
      </c>
      <c r="G1958" s="1" t="s">
        <v>710</v>
      </c>
      <c r="I1958" s="1" t="s">
        <v>710</v>
      </c>
      <c r="L1958" s="1" t="s">
        <v>647</v>
      </c>
      <c r="M1958" s="1">
        <v>1200.0</v>
      </c>
      <c r="N1958" s="1" t="s">
        <v>647</v>
      </c>
      <c r="O1958" s="1">
        <v>7.8498569E7</v>
      </c>
      <c r="P1958" s="1" t="s">
        <v>1184</v>
      </c>
      <c r="R1958" s="1" t="s">
        <v>506</v>
      </c>
      <c r="S1958" s="1" t="s">
        <v>44</v>
      </c>
      <c r="T1958" s="1" t="s">
        <v>45</v>
      </c>
      <c r="U1958" s="1">
        <v>4.82123572E8</v>
      </c>
      <c r="W1958" s="1" t="s">
        <v>498</v>
      </c>
      <c r="X1958" s="1" t="s">
        <v>45</v>
      </c>
      <c r="Y1958" s="1">
        <v>4.82123572E8</v>
      </c>
      <c r="Z1958" s="1">
        <v>4.5031663E7</v>
      </c>
      <c r="AA1958" s="1" t="s">
        <v>3623</v>
      </c>
      <c r="AB1958" s="1">
        <v>51588.37</v>
      </c>
      <c r="AC1958" s="2">
        <v>41928.0</v>
      </c>
      <c r="AD1958" s="1">
        <v>1200.0</v>
      </c>
      <c r="AE1958" s="1" t="s">
        <v>647</v>
      </c>
      <c r="AF1958" s="1" t="s">
        <v>3624</v>
      </c>
      <c r="AG1958" s="1" t="s">
        <v>712</v>
      </c>
      <c r="AH1958" s="1">
        <v>1.0</v>
      </c>
      <c r="AI1958" s="1">
        <v>2015.0</v>
      </c>
      <c r="AJ1958" s="1">
        <v>2015.0</v>
      </c>
      <c r="AK1958" s="1" t="s">
        <v>713</v>
      </c>
    </row>
    <row r="1959">
      <c r="A1959" s="1" t="s">
        <v>3515</v>
      </c>
      <c r="B1959" s="1" t="s">
        <v>3515</v>
      </c>
      <c r="C1959" s="1" t="s">
        <v>645</v>
      </c>
      <c r="E1959" s="1">
        <v>4.64793056E8</v>
      </c>
      <c r="F1959" s="2">
        <v>41969.0</v>
      </c>
      <c r="G1959" s="1" t="s">
        <v>710</v>
      </c>
      <c r="I1959" s="1" t="s">
        <v>710</v>
      </c>
      <c r="L1959" s="1" t="s">
        <v>647</v>
      </c>
      <c r="M1959" s="1">
        <v>1200.0</v>
      </c>
      <c r="N1959" s="1" t="s">
        <v>647</v>
      </c>
      <c r="O1959" s="1">
        <v>3.9866801E7</v>
      </c>
      <c r="P1959" s="1" t="s">
        <v>612</v>
      </c>
      <c r="R1959" s="1" t="s">
        <v>613</v>
      </c>
      <c r="S1959" s="1" t="s">
        <v>44</v>
      </c>
      <c r="T1959" s="1" t="s">
        <v>45</v>
      </c>
      <c r="U1959" s="1">
        <v>4.8212E8</v>
      </c>
      <c r="W1959" s="1" t="s">
        <v>607</v>
      </c>
      <c r="X1959" s="1" t="s">
        <v>45</v>
      </c>
      <c r="Y1959" s="1">
        <v>4.82120012E8</v>
      </c>
      <c r="Z1959" s="1">
        <v>3.9866801E7</v>
      </c>
      <c r="AA1959" s="1" t="s">
        <v>612</v>
      </c>
      <c r="AB1959" s="1">
        <v>723724.54</v>
      </c>
      <c r="AC1959" s="2">
        <v>41969.0</v>
      </c>
      <c r="AD1959" s="1">
        <v>1200.0</v>
      </c>
      <c r="AE1959" s="1" t="s">
        <v>647</v>
      </c>
      <c r="AF1959" s="1" t="s">
        <v>3625</v>
      </c>
      <c r="AG1959" s="1" t="s">
        <v>712</v>
      </c>
      <c r="AH1959" s="1">
        <v>1.0</v>
      </c>
      <c r="AI1959" s="1">
        <v>2015.0</v>
      </c>
      <c r="AJ1959" s="1">
        <v>2015.0</v>
      </c>
      <c r="AK1959" s="1" t="s">
        <v>713</v>
      </c>
    </row>
    <row r="1960">
      <c r="A1960" s="1" t="s">
        <v>3344</v>
      </c>
      <c r="B1960" s="1" t="s">
        <v>3344</v>
      </c>
      <c r="C1960" s="1" t="s">
        <v>194</v>
      </c>
      <c r="E1960" s="1">
        <v>8.9228048E7</v>
      </c>
      <c r="F1960" s="2">
        <v>41761.0</v>
      </c>
      <c r="G1960" s="1" t="s">
        <v>458</v>
      </c>
      <c r="I1960" s="1" t="s">
        <v>458</v>
      </c>
      <c r="L1960" s="1" t="s">
        <v>194</v>
      </c>
      <c r="M1960" s="1">
        <v>9100.0</v>
      </c>
      <c r="N1960" s="1" t="s">
        <v>194</v>
      </c>
      <c r="O1960" s="1">
        <v>2.496865E7</v>
      </c>
      <c r="P1960" s="1" t="s">
        <v>609</v>
      </c>
      <c r="R1960" s="1" t="s">
        <v>610</v>
      </c>
      <c r="S1960" s="1" t="s">
        <v>44</v>
      </c>
      <c r="T1960" s="1" t="s">
        <v>45</v>
      </c>
      <c r="U1960" s="1">
        <v>4.8235168E8</v>
      </c>
      <c r="W1960" s="1" t="s">
        <v>46</v>
      </c>
      <c r="X1960" s="1" t="s">
        <v>45</v>
      </c>
      <c r="Y1960" s="1">
        <v>4.8235168E8</v>
      </c>
      <c r="AB1960" s="1">
        <v>32229.0</v>
      </c>
      <c r="AC1960" s="2">
        <v>41761.0</v>
      </c>
      <c r="AD1960" s="1">
        <v>9100.0</v>
      </c>
      <c r="AE1960" s="1" t="s">
        <v>194</v>
      </c>
      <c r="AF1960" s="1" t="s">
        <v>3626</v>
      </c>
      <c r="AG1960" s="1" t="s">
        <v>3627</v>
      </c>
      <c r="AH1960" s="1">
        <v>1.0</v>
      </c>
      <c r="AI1960" s="1">
        <v>2015.0</v>
      </c>
      <c r="AJ1960" s="1">
        <v>2014.0</v>
      </c>
      <c r="AK1960" s="1" t="s">
        <v>277</v>
      </c>
    </row>
    <row r="1961">
      <c r="A1961" s="1" t="s">
        <v>3515</v>
      </c>
      <c r="B1961" s="1" t="s">
        <v>3515</v>
      </c>
      <c r="C1961" s="1" t="s">
        <v>645</v>
      </c>
      <c r="E1961" s="1">
        <v>4.64793056E8</v>
      </c>
      <c r="F1961" s="2">
        <v>41977.0</v>
      </c>
      <c r="G1961" s="1" t="s">
        <v>710</v>
      </c>
      <c r="I1961" s="1" t="s">
        <v>710</v>
      </c>
      <c r="L1961" s="1" t="s">
        <v>647</v>
      </c>
      <c r="M1961" s="1">
        <v>1200.0</v>
      </c>
      <c r="N1961" s="1" t="s">
        <v>647</v>
      </c>
      <c r="O1961" s="1">
        <v>7.6340843E7</v>
      </c>
      <c r="P1961" s="1" t="s">
        <v>461</v>
      </c>
      <c r="Q1961" s="1" t="s">
        <v>1194</v>
      </c>
      <c r="R1961" s="1" t="s">
        <v>1599</v>
      </c>
      <c r="S1961" s="1" t="s">
        <v>44</v>
      </c>
      <c r="T1961" s="1" t="s">
        <v>45</v>
      </c>
      <c r="U1961" s="1">
        <v>4.8202301E8</v>
      </c>
      <c r="W1961" s="1" t="s">
        <v>44</v>
      </c>
      <c r="X1961" s="1" t="s">
        <v>45</v>
      </c>
      <c r="Y1961" s="1">
        <v>4.82023096E8</v>
      </c>
      <c r="Z1961" s="1">
        <v>7.6340843E7</v>
      </c>
      <c r="AA1961" s="1" t="s">
        <v>461</v>
      </c>
      <c r="AB1961" s="3">
        <v>1.160374095E7</v>
      </c>
      <c r="AC1961" s="2">
        <v>41977.0</v>
      </c>
      <c r="AD1961" s="1">
        <v>1200.0</v>
      </c>
      <c r="AE1961" s="1" t="s">
        <v>647</v>
      </c>
      <c r="AF1961" s="1" t="s">
        <v>3628</v>
      </c>
      <c r="AG1961" s="1" t="s">
        <v>712</v>
      </c>
      <c r="AH1961" s="1">
        <v>1.0</v>
      </c>
      <c r="AI1961" s="1">
        <v>2015.0</v>
      </c>
      <c r="AJ1961" s="1">
        <v>2015.0</v>
      </c>
      <c r="AK1961" s="1" t="s">
        <v>713</v>
      </c>
    </row>
    <row r="1962">
      <c r="A1962" s="1" t="s">
        <v>3515</v>
      </c>
      <c r="B1962" s="1" t="s">
        <v>3515</v>
      </c>
      <c r="C1962" s="1" t="s">
        <v>645</v>
      </c>
      <c r="E1962" s="1">
        <v>4.64793056E8</v>
      </c>
      <c r="F1962" s="2">
        <v>41914.0</v>
      </c>
      <c r="G1962" s="1" t="s">
        <v>710</v>
      </c>
      <c r="I1962" s="1" t="s">
        <v>710</v>
      </c>
      <c r="L1962" s="1" t="s">
        <v>647</v>
      </c>
      <c r="M1962" s="1">
        <v>1200.0</v>
      </c>
      <c r="N1962" s="1" t="s">
        <v>647</v>
      </c>
      <c r="O1962" s="1">
        <v>7.6340843E7</v>
      </c>
      <c r="P1962" s="1" t="s">
        <v>461</v>
      </c>
      <c r="R1962" s="1" t="s">
        <v>1599</v>
      </c>
      <c r="S1962" s="1" t="s">
        <v>44</v>
      </c>
      <c r="T1962" s="1" t="s">
        <v>45</v>
      </c>
      <c r="U1962" s="1">
        <v>4.8202301E8</v>
      </c>
      <c r="W1962" s="1" t="s">
        <v>44</v>
      </c>
      <c r="X1962" s="1" t="s">
        <v>45</v>
      </c>
      <c r="Y1962" s="1">
        <v>4.82023096E8</v>
      </c>
      <c r="Z1962" s="1">
        <v>7.6340843E7</v>
      </c>
      <c r="AA1962" s="1" t="s">
        <v>461</v>
      </c>
      <c r="AB1962" s="1">
        <v>1000802.98</v>
      </c>
      <c r="AC1962" s="2">
        <v>41914.0</v>
      </c>
      <c r="AD1962" s="1">
        <v>1200.0</v>
      </c>
      <c r="AE1962" s="1" t="s">
        <v>647</v>
      </c>
      <c r="AF1962" s="1" t="s">
        <v>3629</v>
      </c>
      <c r="AG1962" s="1" t="s">
        <v>712</v>
      </c>
      <c r="AH1962" s="1">
        <v>1.0</v>
      </c>
      <c r="AI1962" s="1">
        <v>2015.0</v>
      </c>
      <c r="AJ1962" s="1">
        <v>2015.0</v>
      </c>
      <c r="AK1962" s="1" t="s">
        <v>713</v>
      </c>
    </row>
    <row r="1963">
      <c r="A1963" s="1" t="s">
        <v>3515</v>
      </c>
      <c r="B1963" s="1" t="s">
        <v>3515</v>
      </c>
      <c r="C1963" s="1" t="s">
        <v>645</v>
      </c>
      <c r="E1963" s="1">
        <v>4.64793056E8</v>
      </c>
      <c r="F1963" s="2">
        <v>41928.0</v>
      </c>
      <c r="G1963" s="1" t="s">
        <v>710</v>
      </c>
      <c r="I1963" s="1" t="s">
        <v>710</v>
      </c>
      <c r="L1963" s="1" t="s">
        <v>647</v>
      </c>
      <c r="M1963" s="1">
        <v>1200.0</v>
      </c>
      <c r="N1963" s="1" t="s">
        <v>647</v>
      </c>
      <c r="O1963" s="1">
        <v>7.0381949E7</v>
      </c>
      <c r="P1963" s="1" t="s">
        <v>605</v>
      </c>
      <c r="R1963" s="1" t="s">
        <v>606</v>
      </c>
      <c r="S1963" s="1" t="s">
        <v>44</v>
      </c>
      <c r="T1963" s="1" t="s">
        <v>45</v>
      </c>
      <c r="U1963" s="1">
        <v>4.82123033E8</v>
      </c>
      <c r="W1963" s="1" t="s">
        <v>607</v>
      </c>
      <c r="X1963" s="1" t="s">
        <v>45</v>
      </c>
      <c r="Y1963" s="1">
        <v>4.8212E8</v>
      </c>
      <c r="AB1963" s="1">
        <v>44516.13</v>
      </c>
      <c r="AC1963" s="2">
        <v>41928.0</v>
      </c>
      <c r="AD1963" s="1">
        <v>1200.0</v>
      </c>
      <c r="AE1963" s="1" t="s">
        <v>647</v>
      </c>
      <c r="AF1963" s="1" t="s">
        <v>3630</v>
      </c>
      <c r="AG1963" s="1" t="s">
        <v>712</v>
      </c>
      <c r="AH1963" s="1">
        <v>1.0</v>
      </c>
      <c r="AI1963" s="1">
        <v>2015.0</v>
      </c>
      <c r="AJ1963" s="1">
        <v>2015.0</v>
      </c>
      <c r="AK1963" s="1" t="s">
        <v>713</v>
      </c>
    </row>
    <row r="1964">
      <c r="A1964" s="1" t="s">
        <v>3344</v>
      </c>
      <c r="B1964" s="1" t="s">
        <v>3344</v>
      </c>
      <c r="C1964" s="1" t="s">
        <v>194</v>
      </c>
      <c r="E1964" s="1">
        <v>8.9228048E7</v>
      </c>
      <c r="F1964" s="2">
        <v>41793.0</v>
      </c>
      <c r="G1964" s="1" t="s">
        <v>458</v>
      </c>
      <c r="I1964" s="1" t="s">
        <v>458</v>
      </c>
      <c r="L1964" s="1" t="s">
        <v>194</v>
      </c>
      <c r="M1964" s="1">
        <v>9100.0</v>
      </c>
      <c r="N1964" s="1" t="s">
        <v>194</v>
      </c>
      <c r="O1964" s="1">
        <v>1.47777952E8</v>
      </c>
      <c r="P1964" s="1" t="s">
        <v>459</v>
      </c>
      <c r="Q1964" s="1" t="s">
        <v>626</v>
      </c>
      <c r="R1964" s="1" t="s">
        <v>627</v>
      </c>
      <c r="S1964" s="1" t="s">
        <v>44</v>
      </c>
      <c r="T1964" s="1" t="s">
        <v>45</v>
      </c>
      <c r="U1964" s="1">
        <v>4.82072112E8</v>
      </c>
      <c r="W1964" s="1" t="s">
        <v>44</v>
      </c>
      <c r="X1964" s="1" t="s">
        <v>45</v>
      </c>
      <c r="Y1964" s="1">
        <v>4.82072112E8</v>
      </c>
      <c r="Z1964" s="1">
        <v>7.6340843E7</v>
      </c>
      <c r="AA1964" s="1" t="s">
        <v>461</v>
      </c>
      <c r="AB1964" s="1">
        <v>127735.0</v>
      </c>
      <c r="AC1964" s="2">
        <v>41793.0</v>
      </c>
      <c r="AD1964" s="1">
        <v>9100.0</v>
      </c>
      <c r="AE1964" s="1" t="s">
        <v>194</v>
      </c>
      <c r="AF1964" s="1" t="s">
        <v>3631</v>
      </c>
      <c r="AG1964" s="1" t="s">
        <v>463</v>
      </c>
      <c r="AH1964" s="1">
        <v>1.0</v>
      </c>
      <c r="AI1964" s="1">
        <v>2015.0</v>
      </c>
      <c r="AJ1964" s="1">
        <v>2014.0</v>
      </c>
      <c r="AK1964" s="1" t="s">
        <v>277</v>
      </c>
    </row>
    <row r="1965">
      <c r="A1965" s="1" t="s">
        <v>1913</v>
      </c>
      <c r="B1965" s="1" t="s">
        <v>1913</v>
      </c>
      <c r="C1965" s="1" t="s">
        <v>645</v>
      </c>
      <c r="E1965" s="1">
        <v>1.4642656E8</v>
      </c>
      <c r="F1965" s="2">
        <v>41984.0</v>
      </c>
      <c r="G1965" s="1" t="s">
        <v>710</v>
      </c>
      <c r="I1965" s="1" t="s">
        <v>710</v>
      </c>
      <c r="L1965" s="1" t="s">
        <v>647</v>
      </c>
      <c r="M1965" s="1">
        <v>1200.0</v>
      </c>
      <c r="N1965" s="1" t="s">
        <v>647</v>
      </c>
      <c r="O1965" s="1">
        <v>8.76992343E8</v>
      </c>
      <c r="P1965" s="1" t="s">
        <v>550</v>
      </c>
      <c r="R1965" s="1" t="s">
        <v>551</v>
      </c>
      <c r="S1965" s="1" t="s">
        <v>44</v>
      </c>
      <c r="T1965" s="1" t="s">
        <v>45</v>
      </c>
      <c r="U1965" s="1">
        <v>4.82102451E8</v>
      </c>
      <c r="W1965" s="1" t="s">
        <v>44</v>
      </c>
      <c r="X1965" s="1" t="s">
        <v>45</v>
      </c>
      <c r="Y1965" s="1">
        <v>4.82102451E8</v>
      </c>
      <c r="AB1965" s="1">
        <v>56225.1</v>
      </c>
      <c r="AC1965" s="2">
        <v>41984.0</v>
      </c>
      <c r="AD1965" s="1">
        <v>1200.0</v>
      </c>
      <c r="AE1965" s="1" t="s">
        <v>647</v>
      </c>
      <c r="AF1965" s="1" t="s">
        <v>3632</v>
      </c>
      <c r="AG1965" s="1" t="s">
        <v>712</v>
      </c>
      <c r="AH1965" s="1">
        <v>1.0</v>
      </c>
      <c r="AI1965" s="1">
        <v>2015.0</v>
      </c>
      <c r="AJ1965" s="1">
        <v>2015.0</v>
      </c>
      <c r="AK1965" s="1" t="s">
        <v>713</v>
      </c>
    </row>
    <row r="1966">
      <c r="A1966" s="1" t="s">
        <v>1913</v>
      </c>
      <c r="B1966" s="1" t="s">
        <v>1913</v>
      </c>
      <c r="C1966" s="1" t="s">
        <v>645</v>
      </c>
      <c r="E1966" s="1">
        <v>1.4642656E8</v>
      </c>
      <c r="F1966" s="2">
        <v>41984.0</v>
      </c>
      <c r="G1966" s="1" t="s">
        <v>710</v>
      </c>
      <c r="I1966" s="1" t="s">
        <v>710</v>
      </c>
      <c r="L1966" s="1" t="s">
        <v>647</v>
      </c>
      <c r="M1966" s="1">
        <v>1200.0</v>
      </c>
      <c r="N1966" s="1" t="s">
        <v>647</v>
      </c>
      <c r="O1966" s="1">
        <v>1.47777952E8</v>
      </c>
      <c r="P1966" s="1" t="s">
        <v>459</v>
      </c>
      <c r="Q1966" s="1" t="s">
        <v>626</v>
      </c>
      <c r="R1966" s="1" t="s">
        <v>627</v>
      </c>
      <c r="S1966" s="1" t="s">
        <v>44</v>
      </c>
      <c r="T1966" s="1" t="s">
        <v>45</v>
      </c>
      <c r="U1966" s="1">
        <v>4.82072112E8</v>
      </c>
      <c r="W1966" s="1" t="s">
        <v>44</v>
      </c>
      <c r="X1966" s="1" t="s">
        <v>45</v>
      </c>
      <c r="Y1966" s="1">
        <v>4.82072112E8</v>
      </c>
      <c r="Z1966" s="1">
        <v>7.6340843E7</v>
      </c>
      <c r="AA1966" s="1" t="s">
        <v>461</v>
      </c>
      <c r="AB1966" s="1">
        <v>55393.28</v>
      </c>
      <c r="AC1966" s="2">
        <v>41984.0</v>
      </c>
      <c r="AD1966" s="1">
        <v>1200.0</v>
      </c>
      <c r="AE1966" s="1" t="s">
        <v>647</v>
      </c>
      <c r="AF1966" s="1" t="s">
        <v>3633</v>
      </c>
      <c r="AG1966" s="1" t="s">
        <v>712</v>
      </c>
      <c r="AH1966" s="1">
        <v>1.0</v>
      </c>
      <c r="AI1966" s="1">
        <v>2015.0</v>
      </c>
      <c r="AJ1966" s="1">
        <v>2015.0</v>
      </c>
      <c r="AK1966" s="1" t="s">
        <v>713</v>
      </c>
    </row>
    <row r="1967">
      <c r="A1967" s="1" t="s">
        <v>1913</v>
      </c>
      <c r="B1967" s="1" t="s">
        <v>1913</v>
      </c>
      <c r="C1967" s="1" t="s">
        <v>645</v>
      </c>
      <c r="E1967" s="1">
        <v>1.4642656E8</v>
      </c>
      <c r="F1967" s="2">
        <v>41991.0</v>
      </c>
      <c r="G1967" s="1" t="s">
        <v>710</v>
      </c>
      <c r="I1967" s="1" t="s">
        <v>710</v>
      </c>
      <c r="L1967" s="1" t="s">
        <v>647</v>
      </c>
      <c r="M1967" s="1">
        <v>1200.0</v>
      </c>
      <c r="N1967" s="1" t="s">
        <v>647</v>
      </c>
      <c r="O1967" s="1">
        <v>9.62104118E8</v>
      </c>
      <c r="P1967" s="1" t="s">
        <v>634</v>
      </c>
      <c r="R1967" s="1" t="s">
        <v>635</v>
      </c>
      <c r="S1967" s="1" t="s">
        <v>44</v>
      </c>
      <c r="T1967" s="1" t="s">
        <v>45</v>
      </c>
      <c r="U1967" s="1">
        <v>4.82351111E8</v>
      </c>
      <c r="W1967" s="1" t="s">
        <v>46</v>
      </c>
      <c r="X1967" s="1" t="s">
        <v>45</v>
      </c>
      <c r="Y1967" s="1">
        <v>4.82351111E8</v>
      </c>
      <c r="AB1967" s="1">
        <v>79578.36</v>
      </c>
      <c r="AC1967" s="2">
        <v>41991.0</v>
      </c>
      <c r="AD1967" s="1">
        <v>1200.0</v>
      </c>
      <c r="AE1967" s="1" t="s">
        <v>647</v>
      </c>
      <c r="AF1967" s="1" t="s">
        <v>3634</v>
      </c>
      <c r="AG1967" s="1" t="s">
        <v>712</v>
      </c>
      <c r="AH1967" s="1">
        <v>1.0</v>
      </c>
      <c r="AI1967" s="1">
        <v>2015.0</v>
      </c>
      <c r="AJ1967" s="1">
        <v>2015.0</v>
      </c>
      <c r="AK1967" s="1" t="s">
        <v>713</v>
      </c>
    </row>
    <row r="1968">
      <c r="A1968" s="1" t="s">
        <v>1913</v>
      </c>
      <c r="B1968" s="1" t="s">
        <v>1913</v>
      </c>
      <c r="C1968" s="1" t="s">
        <v>645</v>
      </c>
      <c r="E1968" s="1">
        <v>1.4642656E8</v>
      </c>
      <c r="F1968" s="2">
        <v>41991.0</v>
      </c>
      <c r="G1968" s="1" t="s">
        <v>710</v>
      </c>
      <c r="I1968" s="1" t="s">
        <v>710</v>
      </c>
      <c r="L1968" s="1" t="s">
        <v>647</v>
      </c>
      <c r="M1968" s="1">
        <v>1200.0</v>
      </c>
      <c r="N1968" s="1" t="s">
        <v>647</v>
      </c>
      <c r="O1968" s="1">
        <v>3.9866801E7</v>
      </c>
      <c r="P1968" s="1" t="s">
        <v>612</v>
      </c>
      <c r="R1968" s="1" t="s">
        <v>613</v>
      </c>
      <c r="S1968" s="1" t="s">
        <v>44</v>
      </c>
      <c r="T1968" s="1" t="s">
        <v>45</v>
      </c>
      <c r="U1968" s="1">
        <v>4.8212E8</v>
      </c>
      <c r="W1968" s="1" t="s">
        <v>607</v>
      </c>
      <c r="X1968" s="1" t="s">
        <v>45</v>
      </c>
      <c r="Y1968" s="1">
        <v>4.82120012E8</v>
      </c>
      <c r="Z1968" s="1">
        <v>3.9866801E7</v>
      </c>
      <c r="AA1968" s="1" t="s">
        <v>612</v>
      </c>
      <c r="AB1968" s="1">
        <v>260760.96</v>
      </c>
      <c r="AC1968" s="2">
        <v>41991.0</v>
      </c>
      <c r="AD1968" s="1">
        <v>1200.0</v>
      </c>
      <c r="AE1968" s="1" t="s">
        <v>647</v>
      </c>
      <c r="AF1968" s="1" t="s">
        <v>3635</v>
      </c>
      <c r="AG1968" s="1" t="s">
        <v>712</v>
      </c>
      <c r="AH1968" s="1">
        <v>1.0</v>
      </c>
      <c r="AI1968" s="1">
        <v>2015.0</v>
      </c>
      <c r="AJ1968" s="1">
        <v>2015.0</v>
      </c>
      <c r="AK1968" s="1" t="s">
        <v>713</v>
      </c>
    </row>
    <row r="1969">
      <c r="A1969" s="1" t="s">
        <v>3515</v>
      </c>
      <c r="B1969" s="1" t="s">
        <v>3515</v>
      </c>
      <c r="C1969" s="1" t="s">
        <v>645</v>
      </c>
      <c r="E1969" s="1">
        <v>4.64793056E8</v>
      </c>
      <c r="F1969" s="2">
        <v>41977.0</v>
      </c>
      <c r="G1969" s="1" t="s">
        <v>710</v>
      </c>
      <c r="I1969" s="1" t="s">
        <v>710</v>
      </c>
      <c r="L1969" s="1" t="s">
        <v>647</v>
      </c>
      <c r="M1969" s="1">
        <v>1200.0</v>
      </c>
      <c r="N1969" s="1" t="s">
        <v>647</v>
      </c>
      <c r="O1969" s="1">
        <v>5.2874042E7</v>
      </c>
      <c r="P1969" s="1" t="s">
        <v>538</v>
      </c>
      <c r="R1969" s="1" t="s">
        <v>539</v>
      </c>
      <c r="S1969" s="1" t="s">
        <v>44</v>
      </c>
      <c r="T1969" s="1" t="s">
        <v>45</v>
      </c>
      <c r="U1969" s="1">
        <v>4.82091524E8</v>
      </c>
      <c r="W1969" s="1" t="s">
        <v>44</v>
      </c>
      <c r="X1969" s="1" t="s">
        <v>45</v>
      </c>
      <c r="Y1969" s="1">
        <v>4.82091524E8</v>
      </c>
      <c r="AB1969" s="1">
        <v>725654.37</v>
      </c>
      <c r="AC1969" s="2">
        <v>41977.0</v>
      </c>
      <c r="AD1969" s="1">
        <v>1200.0</v>
      </c>
      <c r="AE1969" s="1" t="s">
        <v>647</v>
      </c>
      <c r="AF1969" s="1" t="s">
        <v>3636</v>
      </c>
      <c r="AG1969" s="1" t="s">
        <v>712</v>
      </c>
      <c r="AH1969" s="1">
        <v>1.0</v>
      </c>
      <c r="AI1969" s="1">
        <v>2015.0</v>
      </c>
      <c r="AJ1969" s="1">
        <v>2015.0</v>
      </c>
      <c r="AK1969" s="1" t="s">
        <v>713</v>
      </c>
    </row>
    <row r="1970">
      <c r="A1970" s="1" t="s">
        <v>3515</v>
      </c>
      <c r="B1970" s="1" t="s">
        <v>3515</v>
      </c>
      <c r="C1970" s="1" t="s">
        <v>645</v>
      </c>
      <c r="E1970" s="1">
        <v>4.64793056E8</v>
      </c>
      <c r="F1970" s="2">
        <v>41949.0</v>
      </c>
      <c r="G1970" s="1" t="s">
        <v>710</v>
      </c>
      <c r="I1970" s="1" t="s">
        <v>710</v>
      </c>
      <c r="L1970" s="1" t="s">
        <v>647</v>
      </c>
      <c r="M1970" s="1">
        <v>1200.0</v>
      </c>
      <c r="N1970" s="1" t="s">
        <v>647</v>
      </c>
      <c r="O1970" s="1">
        <v>8.38496842E8</v>
      </c>
      <c r="P1970" s="1" t="s">
        <v>810</v>
      </c>
      <c r="R1970" s="1" t="s">
        <v>811</v>
      </c>
      <c r="S1970" s="1" t="s">
        <v>44</v>
      </c>
      <c r="T1970" s="1" t="s">
        <v>45</v>
      </c>
      <c r="U1970" s="1">
        <v>4.82231359E8</v>
      </c>
      <c r="W1970" s="1" t="s">
        <v>46</v>
      </c>
      <c r="X1970" s="1" t="s">
        <v>45</v>
      </c>
      <c r="Y1970" s="1">
        <v>4.8223E8</v>
      </c>
      <c r="Z1970" s="1">
        <v>8.38496842E8</v>
      </c>
      <c r="AA1970" s="1" t="s">
        <v>810</v>
      </c>
      <c r="AB1970" s="1">
        <v>257449.38</v>
      </c>
      <c r="AC1970" s="2">
        <v>41949.0</v>
      </c>
      <c r="AD1970" s="1">
        <v>1200.0</v>
      </c>
      <c r="AE1970" s="1" t="s">
        <v>647</v>
      </c>
      <c r="AF1970" s="1" t="s">
        <v>3637</v>
      </c>
      <c r="AG1970" s="1" t="s">
        <v>712</v>
      </c>
      <c r="AH1970" s="1">
        <v>1.0</v>
      </c>
      <c r="AI1970" s="1">
        <v>2015.0</v>
      </c>
      <c r="AJ1970" s="1">
        <v>2015.0</v>
      </c>
      <c r="AK1970" s="1" t="s">
        <v>713</v>
      </c>
    </row>
    <row r="1971">
      <c r="A1971" s="1" t="s">
        <v>3515</v>
      </c>
      <c r="B1971" s="1" t="s">
        <v>3515</v>
      </c>
      <c r="C1971" s="1" t="s">
        <v>645</v>
      </c>
      <c r="E1971" s="1">
        <v>4.64793056E8</v>
      </c>
      <c r="F1971" s="2">
        <v>41921.0</v>
      </c>
      <c r="G1971" s="1" t="s">
        <v>710</v>
      </c>
      <c r="I1971" s="1" t="s">
        <v>710</v>
      </c>
      <c r="L1971" s="1" t="s">
        <v>647</v>
      </c>
      <c r="M1971" s="1">
        <v>1200.0</v>
      </c>
      <c r="N1971" s="1" t="s">
        <v>647</v>
      </c>
      <c r="O1971" s="1">
        <v>5.1205881E7</v>
      </c>
      <c r="P1971" s="1" t="s">
        <v>3258</v>
      </c>
      <c r="R1971" s="1" t="s">
        <v>3259</v>
      </c>
      <c r="S1971" s="1" t="s">
        <v>44</v>
      </c>
      <c r="T1971" s="1" t="s">
        <v>45</v>
      </c>
      <c r="U1971" s="1">
        <v>4.82193265E8</v>
      </c>
      <c r="W1971" s="1" t="s">
        <v>44</v>
      </c>
      <c r="X1971" s="1" t="s">
        <v>45</v>
      </c>
      <c r="Y1971" s="1">
        <v>4.82193265E8</v>
      </c>
      <c r="AB1971" s="1">
        <v>39620.8</v>
      </c>
      <c r="AC1971" s="2">
        <v>41921.0</v>
      </c>
      <c r="AD1971" s="1">
        <v>1200.0</v>
      </c>
      <c r="AE1971" s="1" t="s">
        <v>647</v>
      </c>
      <c r="AF1971" s="1" t="s">
        <v>3638</v>
      </c>
      <c r="AG1971" s="1" t="s">
        <v>712</v>
      </c>
      <c r="AH1971" s="1">
        <v>1.0</v>
      </c>
      <c r="AI1971" s="1">
        <v>2015.0</v>
      </c>
      <c r="AJ1971" s="1">
        <v>2015.0</v>
      </c>
      <c r="AK1971" s="1" t="s">
        <v>713</v>
      </c>
    </row>
    <row r="1972">
      <c r="A1972" s="1" t="s">
        <v>3344</v>
      </c>
      <c r="B1972" s="1" t="s">
        <v>3344</v>
      </c>
      <c r="C1972" s="1" t="s">
        <v>194</v>
      </c>
      <c r="E1972" s="1">
        <v>8.9228048E7</v>
      </c>
      <c r="F1972" s="2">
        <v>41682.0</v>
      </c>
      <c r="G1972" s="1" t="s">
        <v>458</v>
      </c>
      <c r="I1972" s="1" t="s">
        <v>458</v>
      </c>
      <c r="L1972" s="1" t="s">
        <v>194</v>
      </c>
      <c r="M1972" s="1">
        <v>9100.0</v>
      </c>
      <c r="N1972" s="1" t="s">
        <v>194</v>
      </c>
      <c r="O1972" s="1">
        <v>4.2136734E7</v>
      </c>
      <c r="P1972" s="1" t="s">
        <v>557</v>
      </c>
      <c r="Q1972" s="1" t="s">
        <v>3639</v>
      </c>
      <c r="R1972" s="1" t="s">
        <v>558</v>
      </c>
      <c r="S1972" s="1" t="s">
        <v>44</v>
      </c>
      <c r="T1972" s="1" t="s">
        <v>45</v>
      </c>
      <c r="U1972" s="1">
        <v>4.82082204E8</v>
      </c>
      <c r="W1972" s="1" t="s">
        <v>44</v>
      </c>
      <c r="X1972" s="1" t="s">
        <v>45</v>
      </c>
      <c r="Y1972" s="1">
        <v>4.82082204E8</v>
      </c>
      <c r="Z1972" s="1">
        <v>5.1516482E7</v>
      </c>
      <c r="AB1972" s="1">
        <v>71635.0</v>
      </c>
      <c r="AC1972" s="2">
        <v>41682.0</v>
      </c>
      <c r="AD1972" s="1">
        <v>9100.0</v>
      </c>
      <c r="AE1972" s="1" t="s">
        <v>194</v>
      </c>
      <c r="AF1972" s="1" t="s">
        <v>3640</v>
      </c>
      <c r="AG1972" s="1" t="s">
        <v>463</v>
      </c>
      <c r="AH1972" s="1">
        <v>1.0</v>
      </c>
      <c r="AI1972" s="1">
        <v>2015.0</v>
      </c>
      <c r="AJ1972" s="1">
        <v>2014.0</v>
      </c>
      <c r="AK1972" s="1" t="s">
        <v>277</v>
      </c>
    </row>
    <row r="1973">
      <c r="A1973" s="1" t="s">
        <v>3515</v>
      </c>
      <c r="B1973" s="1" t="s">
        <v>3515</v>
      </c>
      <c r="C1973" s="1" t="s">
        <v>645</v>
      </c>
      <c r="E1973" s="1">
        <v>4.64793056E8</v>
      </c>
      <c r="F1973" s="2">
        <v>41949.0</v>
      </c>
      <c r="G1973" s="1" t="s">
        <v>710</v>
      </c>
      <c r="I1973" s="1" t="s">
        <v>710</v>
      </c>
      <c r="L1973" s="1" t="s">
        <v>647</v>
      </c>
      <c r="M1973" s="1">
        <v>1200.0</v>
      </c>
      <c r="N1973" s="1" t="s">
        <v>647</v>
      </c>
      <c r="O1973" s="1">
        <v>4.2136734E7</v>
      </c>
      <c r="P1973" s="1" t="s">
        <v>557</v>
      </c>
      <c r="R1973" s="1" t="s">
        <v>558</v>
      </c>
      <c r="S1973" s="1" t="s">
        <v>44</v>
      </c>
      <c r="T1973" s="1" t="s">
        <v>45</v>
      </c>
      <c r="U1973" s="1">
        <v>4.82082204E8</v>
      </c>
      <c r="W1973" s="1" t="s">
        <v>44</v>
      </c>
      <c r="X1973" s="1" t="s">
        <v>45</v>
      </c>
      <c r="Y1973" s="1">
        <v>4.82082204E8</v>
      </c>
      <c r="Z1973" s="1">
        <v>7.927615E7</v>
      </c>
      <c r="AA1973" s="1" t="s">
        <v>3641</v>
      </c>
      <c r="AB1973" s="1">
        <v>45066.14</v>
      </c>
      <c r="AC1973" s="2">
        <v>41949.0</v>
      </c>
      <c r="AD1973" s="1">
        <v>1200.0</v>
      </c>
      <c r="AE1973" s="1" t="s">
        <v>647</v>
      </c>
      <c r="AF1973" s="1" t="s">
        <v>3642</v>
      </c>
      <c r="AG1973" s="1" t="s">
        <v>712</v>
      </c>
      <c r="AH1973" s="1">
        <v>1.0</v>
      </c>
      <c r="AI1973" s="1">
        <v>2015.0</v>
      </c>
      <c r="AJ1973" s="1">
        <v>2015.0</v>
      </c>
      <c r="AK1973" s="1" t="s">
        <v>713</v>
      </c>
    </row>
    <row r="1974">
      <c r="A1974" s="1" t="s">
        <v>1913</v>
      </c>
      <c r="B1974" s="1" t="s">
        <v>1913</v>
      </c>
      <c r="C1974" s="1" t="s">
        <v>645</v>
      </c>
      <c r="E1974" s="1">
        <v>1.4642656E8</v>
      </c>
      <c r="F1974" s="2">
        <v>41999.0</v>
      </c>
      <c r="G1974" s="1" t="s">
        <v>710</v>
      </c>
      <c r="I1974" s="1" t="s">
        <v>710</v>
      </c>
      <c r="L1974" s="1" t="s">
        <v>647</v>
      </c>
      <c r="M1974" s="1">
        <v>1200.0</v>
      </c>
      <c r="N1974" s="1" t="s">
        <v>647</v>
      </c>
      <c r="O1974" s="1">
        <v>7.6340843E7</v>
      </c>
      <c r="P1974" s="1" t="s">
        <v>461</v>
      </c>
      <c r="R1974" s="1" t="s">
        <v>1599</v>
      </c>
      <c r="S1974" s="1" t="s">
        <v>44</v>
      </c>
      <c r="T1974" s="1" t="s">
        <v>45</v>
      </c>
      <c r="U1974" s="1">
        <v>4.8202301E8</v>
      </c>
      <c r="W1974" s="1" t="s">
        <v>44</v>
      </c>
      <c r="X1974" s="1" t="s">
        <v>45</v>
      </c>
      <c r="Y1974" s="1">
        <v>4.82023096E8</v>
      </c>
      <c r="Z1974" s="1">
        <v>7.6340843E7</v>
      </c>
      <c r="AA1974" s="1" t="s">
        <v>461</v>
      </c>
      <c r="AB1974" s="1">
        <v>5514432.56</v>
      </c>
      <c r="AC1974" s="2">
        <v>41999.0</v>
      </c>
      <c r="AD1974" s="1">
        <v>1200.0</v>
      </c>
      <c r="AE1974" s="1" t="s">
        <v>647</v>
      </c>
      <c r="AF1974" s="1" t="s">
        <v>3643</v>
      </c>
      <c r="AG1974" s="1" t="s">
        <v>712</v>
      </c>
      <c r="AH1974" s="1">
        <v>1.0</v>
      </c>
      <c r="AI1974" s="1">
        <v>2015.0</v>
      </c>
      <c r="AJ1974" s="1">
        <v>2015.0</v>
      </c>
      <c r="AK1974" s="1" t="s">
        <v>713</v>
      </c>
    </row>
    <row r="1975">
      <c r="A1975" s="1" t="s">
        <v>3515</v>
      </c>
      <c r="B1975" s="1" t="s">
        <v>3515</v>
      </c>
      <c r="C1975" s="1" t="s">
        <v>645</v>
      </c>
      <c r="E1975" s="1">
        <v>4.64793056E8</v>
      </c>
      <c r="F1975" s="2">
        <v>41928.0</v>
      </c>
      <c r="G1975" s="1" t="s">
        <v>710</v>
      </c>
      <c r="I1975" s="1" t="s">
        <v>710</v>
      </c>
      <c r="L1975" s="1" t="s">
        <v>647</v>
      </c>
      <c r="M1975" s="1">
        <v>1200.0</v>
      </c>
      <c r="N1975" s="1" t="s">
        <v>647</v>
      </c>
      <c r="O1975" s="1">
        <v>3.7602699E7</v>
      </c>
      <c r="P1975" s="1" t="s">
        <v>535</v>
      </c>
      <c r="R1975" s="1" t="s">
        <v>536</v>
      </c>
      <c r="S1975" s="1" t="s">
        <v>44</v>
      </c>
      <c r="T1975" s="1" t="s">
        <v>45</v>
      </c>
      <c r="U1975" s="1">
        <v>4.82052545E8</v>
      </c>
      <c r="W1975" s="1" t="s">
        <v>46</v>
      </c>
      <c r="X1975" s="1" t="s">
        <v>45</v>
      </c>
      <c r="Y1975" s="1">
        <v>4.82052545E8</v>
      </c>
      <c r="AB1975" s="1">
        <v>44551.07</v>
      </c>
      <c r="AC1975" s="2">
        <v>41928.0</v>
      </c>
      <c r="AD1975" s="1">
        <v>1200.0</v>
      </c>
      <c r="AE1975" s="1" t="s">
        <v>647</v>
      </c>
      <c r="AF1975" s="1" t="s">
        <v>3644</v>
      </c>
      <c r="AG1975" s="1" t="s">
        <v>712</v>
      </c>
      <c r="AH1975" s="1">
        <v>1.0</v>
      </c>
      <c r="AI1975" s="1">
        <v>2015.0</v>
      </c>
      <c r="AJ1975" s="1">
        <v>2015.0</v>
      </c>
      <c r="AK1975" s="1" t="s">
        <v>713</v>
      </c>
    </row>
    <row r="1976">
      <c r="A1976" s="1" t="s">
        <v>3515</v>
      </c>
      <c r="B1976" s="1" t="s">
        <v>3515</v>
      </c>
      <c r="C1976" s="1" t="s">
        <v>645</v>
      </c>
      <c r="E1976" s="1">
        <v>4.64793056E8</v>
      </c>
      <c r="F1976" s="2">
        <v>41767.0</v>
      </c>
      <c r="G1976" s="1" t="s">
        <v>710</v>
      </c>
      <c r="I1976" s="1" t="s">
        <v>710</v>
      </c>
      <c r="L1976" s="1" t="s">
        <v>647</v>
      </c>
      <c r="M1976" s="1">
        <v>1200.0</v>
      </c>
      <c r="N1976" s="1" t="s">
        <v>647</v>
      </c>
      <c r="O1976" s="1">
        <v>8.59589231E8</v>
      </c>
      <c r="P1976" s="1" t="s">
        <v>901</v>
      </c>
      <c r="R1976" s="1" t="s">
        <v>902</v>
      </c>
      <c r="S1976" s="1" t="s">
        <v>44</v>
      </c>
      <c r="T1976" s="1" t="s">
        <v>45</v>
      </c>
      <c r="U1976" s="1">
        <v>4.82391326E8</v>
      </c>
      <c r="W1976" s="1" t="s">
        <v>46</v>
      </c>
      <c r="X1976" s="1" t="s">
        <v>45</v>
      </c>
      <c r="Y1976" s="1">
        <v>4.8239E8</v>
      </c>
      <c r="AB1976" s="1">
        <v>36666.87</v>
      </c>
      <c r="AC1976" s="2">
        <v>41767.0</v>
      </c>
      <c r="AD1976" s="1">
        <v>1200.0</v>
      </c>
      <c r="AE1976" s="1" t="s">
        <v>647</v>
      </c>
      <c r="AF1976" s="1" t="s">
        <v>3645</v>
      </c>
      <c r="AG1976" s="1" t="s">
        <v>712</v>
      </c>
      <c r="AH1976" s="1">
        <v>1.0</v>
      </c>
      <c r="AI1976" s="1">
        <v>2015.0</v>
      </c>
      <c r="AJ1976" s="1">
        <v>2014.0</v>
      </c>
      <c r="AK1976" s="1" t="s">
        <v>713</v>
      </c>
    </row>
    <row r="1977">
      <c r="A1977" s="1" t="s">
        <v>3344</v>
      </c>
      <c r="B1977" s="1" t="s">
        <v>3344</v>
      </c>
      <c r="C1977" s="1" t="s">
        <v>194</v>
      </c>
      <c r="E1977" s="1">
        <v>8.9228048E7</v>
      </c>
      <c r="F1977" s="2">
        <v>41729.0</v>
      </c>
      <c r="G1977" s="1" t="s">
        <v>458</v>
      </c>
      <c r="I1977" s="1" t="s">
        <v>458</v>
      </c>
      <c r="L1977" s="1" t="s">
        <v>194</v>
      </c>
      <c r="M1977" s="1">
        <v>9100.0</v>
      </c>
      <c r="N1977" s="1" t="s">
        <v>194</v>
      </c>
      <c r="O1977" s="1">
        <v>9.65778702E8</v>
      </c>
      <c r="P1977" s="1" t="s">
        <v>493</v>
      </c>
      <c r="Q1977" s="1" t="s">
        <v>3646</v>
      </c>
      <c r="R1977" s="1" t="s">
        <v>494</v>
      </c>
      <c r="S1977" s="1" t="s">
        <v>44</v>
      </c>
      <c r="T1977" s="1" t="s">
        <v>45</v>
      </c>
      <c r="U1977" s="1">
        <v>4.82082475E8</v>
      </c>
      <c r="W1977" s="1" t="s">
        <v>44</v>
      </c>
      <c r="X1977" s="1" t="s">
        <v>45</v>
      </c>
      <c r="Y1977" s="1">
        <v>4.82082475E8</v>
      </c>
      <c r="Z1977" s="1">
        <v>1.84200426E8</v>
      </c>
      <c r="AB1977" s="1">
        <v>111929.0</v>
      </c>
      <c r="AC1977" s="2">
        <v>41729.0</v>
      </c>
      <c r="AD1977" s="1">
        <v>9100.0</v>
      </c>
      <c r="AE1977" s="1" t="s">
        <v>194</v>
      </c>
      <c r="AF1977" s="1" t="s">
        <v>3647</v>
      </c>
      <c r="AG1977" s="1" t="s">
        <v>463</v>
      </c>
      <c r="AH1977" s="1">
        <v>1.0</v>
      </c>
      <c r="AI1977" s="1">
        <v>2015.0</v>
      </c>
      <c r="AJ1977" s="1">
        <v>2014.0</v>
      </c>
      <c r="AK1977" s="1" t="s">
        <v>277</v>
      </c>
    </row>
    <row r="1978">
      <c r="A1978" s="1" t="s">
        <v>1913</v>
      </c>
      <c r="B1978" s="1" t="s">
        <v>1913</v>
      </c>
      <c r="C1978" s="1" t="s">
        <v>645</v>
      </c>
      <c r="E1978" s="1">
        <v>1.4642656E8</v>
      </c>
      <c r="F1978" s="2">
        <v>41977.0</v>
      </c>
      <c r="G1978" s="1" t="s">
        <v>710</v>
      </c>
      <c r="I1978" s="1" t="s">
        <v>710</v>
      </c>
      <c r="L1978" s="1" t="s">
        <v>647</v>
      </c>
      <c r="M1978" s="1">
        <v>1200.0</v>
      </c>
      <c r="N1978" s="1" t="s">
        <v>647</v>
      </c>
      <c r="O1978" s="1">
        <v>7.0381949E7</v>
      </c>
      <c r="P1978" s="1" t="s">
        <v>605</v>
      </c>
      <c r="R1978" s="1" t="s">
        <v>606</v>
      </c>
      <c r="S1978" s="1" t="s">
        <v>44</v>
      </c>
      <c r="T1978" s="1" t="s">
        <v>45</v>
      </c>
      <c r="U1978" s="1">
        <v>4.82123033E8</v>
      </c>
      <c r="W1978" s="1" t="s">
        <v>607</v>
      </c>
      <c r="X1978" s="1" t="s">
        <v>45</v>
      </c>
      <c r="Y1978" s="1">
        <v>4.8212E8</v>
      </c>
      <c r="AB1978" s="1">
        <v>33528.42</v>
      </c>
      <c r="AC1978" s="2">
        <v>41977.0</v>
      </c>
      <c r="AD1978" s="1">
        <v>1200.0</v>
      </c>
      <c r="AE1978" s="1" t="s">
        <v>647</v>
      </c>
      <c r="AF1978" s="1" t="s">
        <v>3648</v>
      </c>
      <c r="AG1978" s="1" t="s">
        <v>712</v>
      </c>
      <c r="AH1978" s="1">
        <v>1.0</v>
      </c>
      <c r="AI1978" s="1">
        <v>2015.0</v>
      </c>
      <c r="AJ1978" s="1">
        <v>2015.0</v>
      </c>
      <c r="AK1978" s="1" t="s">
        <v>713</v>
      </c>
    </row>
    <row r="1979">
      <c r="A1979" s="1" t="s">
        <v>3344</v>
      </c>
      <c r="B1979" s="1" t="s">
        <v>3344</v>
      </c>
      <c r="C1979" s="1" t="s">
        <v>194</v>
      </c>
      <c r="E1979" s="1">
        <v>8.9228048E7</v>
      </c>
      <c r="F1979" s="2">
        <v>41729.0</v>
      </c>
      <c r="G1979" s="1" t="s">
        <v>458</v>
      </c>
      <c r="I1979" s="1" t="s">
        <v>458</v>
      </c>
      <c r="L1979" s="1" t="s">
        <v>194</v>
      </c>
      <c r="M1979" s="1">
        <v>9100.0</v>
      </c>
      <c r="N1979" s="1" t="s">
        <v>194</v>
      </c>
      <c r="O1979" s="1">
        <v>9.62949843E8</v>
      </c>
      <c r="P1979" s="1" t="s">
        <v>619</v>
      </c>
      <c r="R1979" s="1" t="s">
        <v>620</v>
      </c>
      <c r="S1979" s="1" t="s">
        <v>44</v>
      </c>
      <c r="T1979" s="1" t="s">
        <v>45</v>
      </c>
      <c r="U1979" s="1">
        <v>4.82042306E8</v>
      </c>
      <c r="W1979" s="1" t="s">
        <v>44</v>
      </c>
      <c r="X1979" s="1" t="s">
        <v>45</v>
      </c>
      <c r="Y1979" s="1">
        <v>4.82042306E8</v>
      </c>
      <c r="Z1979" s="1">
        <v>7.2587041E7</v>
      </c>
      <c r="AA1979" s="1" t="s">
        <v>3649</v>
      </c>
      <c r="AB1979" s="1">
        <v>89718.0</v>
      </c>
      <c r="AC1979" s="2">
        <v>41729.0</v>
      </c>
      <c r="AD1979" s="1">
        <v>9100.0</v>
      </c>
      <c r="AE1979" s="1" t="s">
        <v>194</v>
      </c>
      <c r="AF1979" s="1" t="s">
        <v>3650</v>
      </c>
      <c r="AG1979" s="1" t="s">
        <v>463</v>
      </c>
      <c r="AH1979" s="1">
        <v>1.0</v>
      </c>
      <c r="AI1979" s="1">
        <v>2015.0</v>
      </c>
      <c r="AJ1979" s="1">
        <v>2014.0</v>
      </c>
      <c r="AK1979" s="1" t="s">
        <v>277</v>
      </c>
    </row>
    <row r="1980">
      <c r="A1980" s="1" t="s">
        <v>1913</v>
      </c>
      <c r="B1980" s="1" t="s">
        <v>1913</v>
      </c>
      <c r="C1980" s="1" t="s">
        <v>645</v>
      </c>
      <c r="E1980" s="1">
        <v>1.4642656E8</v>
      </c>
      <c r="F1980" s="2">
        <v>41991.0</v>
      </c>
      <c r="G1980" s="1" t="s">
        <v>710</v>
      </c>
      <c r="I1980" s="1" t="s">
        <v>710</v>
      </c>
      <c r="L1980" s="1" t="s">
        <v>647</v>
      </c>
      <c r="M1980" s="1">
        <v>1200.0</v>
      </c>
      <c r="N1980" s="1" t="s">
        <v>647</v>
      </c>
      <c r="O1980" s="1">
        <v>9.0912429E7</v>
      </c>
      <c r="P1980" s="1" t="s">
        <v>521</v>
      </c>
      <c r="R1980" s="1" t="s">
        <v>522</v>
      </c>
      <c r="S1980" s="1" t="s">
        <v>44</v>
      </c>
      <c r="T1980" s="1" t="s">
        <v>45</v>
      </c>
      <c r="U1980" s="1">
        <v>4.82233314E8</v>
      </c>
      <c r="W1980" s="1" t="s">
        <v>44</v>
      </c>
      <c r="X1980" s="1" t="s">
        <v>45</v>
      </c>
      <c r="Y1980" s="1">
        <v>4.82233314E8</v>
      </c>
      <c r="AB1980" s="1">
        <v>29100.54</v>
      </c>
      <c r="AC1980" s="2">
        <v>41991.0</v>
      </c>
      <c r="AD1980" s="1">
        <v>1200.0</v>
      </c>
      <c r="AE1980" s="1" t="s">
        <v>647</v>
      </c>
      <c r="AF1980" s="1" t="s">
        <v>3651</v>
      </c>
      <c r="AG1980" s="1" t="s">
        <v>712</v>
      </c>
      <c r="AH1980" s="1">
        <v>1.0</v>
      </c>
      <c r="AI1980" s="1">
        <v>2015.0</v>
      </c>
      <c r="AJ1980" s="1">
        <v>2015.0</v>
      </c>
      <c r="AK1980" s="1" t="s">
        <v>713</v>
      </c>
    </row>
    <row r="1981">
      <c r="A1981" s="1" t="s">
        <v>3344</v>
      </c>
      <c r="B1981" s="1" t="s">
        <v>3344</v>
      </c>
      <c r="C1981" s="1" t="s">
        <v>194</v>
      </c>
      <c r="E1981" s="1">
        <v>8.9228048E7</v>
      </c>
      <c r="F1981" s="2">
        <v>41975.0</v>
      </c>
      <c r="G1981" s="1" t="s">
        <v>458</v>
      </c>
      <c r="I1981" s="1" t="s">
        <v>458</v>
      </c>
      <c r="L1981" s="1" t="s">
        <v>194</v>
      </c>
      <c r="M1981" s="1">
        <v>9100.0</v>
      </c>
      <c r="N1981" s="1" t="s">
        <v>194</v>
      </c>
      <c r="O1981" s="1">
        <v>7.8811813E7</v>
      </c>
      <c r="P1981" s="1" t="s">
        <v>2629</v>
      </c>
      <c r="R1981" s="1">
        <v>16411.0</v>
      </c>
      <c r="S1981" s="1" t="s">
        <v>44</v>
      </c>
      <c r="T1981" s="1" t="s">
        <v>45</v>
      </c>
      <c r="U1981" s="1">
        <v>48225.0</v>
      </c>
      <c r="W1981" s="1" t="s">
        <v>46</v>
      </c>
      <c r="X1981" s="1" t="s">
        <v>45</v>
      </c>
      <c r="Y1981" s="1">
        <v>4.8238E8</v>
      </c>
      <c r="AB1981" s="1">
        <v>80452.0</v>
      </c>
      <c r="AC1981" s="2">
        <v>41975.0</v>
      </c>
      <c r="AD1981" s="1">
        <v>9100.0</v>
      </c>
      <c r="AE1981" s="1" t="s">
        <v>194</v>
      </c>
      <c r="AF1981" s="1" t="s">
        <v>3652</v>
      </c>
      <c r="AG1981" s="1" t="s">
        <v>463</v>
      </c>
      <c r="AH1981" s="1">
        <v>1.0</v>
      </c>
      <c r="AI1981" s="1">
        <v>2015.0</v>
      </c>
      <c r="AJ1981" s="1">
        <v>2015.0</v>
      </c>
      <c r="AK1981" s="1" t="s">
        <v>277</v>
      </c>
    </row>
    <row r="1982">
      <c r="A1982" s="1" t="s">
        <v>1913</v>
      </c>
      <c r="B1982" s="1" t="s">
        <v>1913</v>
      </c>
      <c r="C1982" s="1" t="s">
        <v>645</v>
      </c>
      <c r="E1982" s="1">
        <v>1.4642656E8</v>
      </c>
      <c r="F1982" s="2">
        <v>41969.0</v>
      </c>
      <c r="G1982" s="1" t="s">
        <v>710</v>
      </c>
      <c r="I1982" s="1" t="s">
        <v>710</v>
      </c>
      <c r="L1982" s="1" t="s">
        <v>647</v>
      </c>
      <c r="M1982" s="1">
        <v>1200.0</v>
      </c>
      <c r="N1982" s="1" t="s">
        <v>647</v>
      </c>
      <c r="O1982" s="1">
        <v>1.98438892E8</v>
      </c>
      <c r="P1982" s="1" t="s">
        <v>505</v>
      </c>
      <c r="R1982" s="1" t="s">
        <v>506</v>
      </c>
      <c r="S1982" s="1" t="s">
        <v>44</v>
      </c>
      <c r="T1982" s="1" t="s">
        <v>45</v>
      </c>
      <c r="U1982" s="1">
        <v>4.82123572E8</v>
      </c>
      <c r="W1982" s="1" t="s">
        <v>498</v>
      </c>
      <c r="X1982" s="1" t="s">
        <v>45</v>
      </c>
      <c r="Y1982" s="1">
        <v>4.82123572E8</v>
      </c>
      <c r="Z1982" s="1">
        <v>1.98438892E8</v>
      </c>
      <c r="AA1982" s="1" t="s">
        <v>505</v>
      </c>
      <c r="AB1982" s="1">
        <v>39841.2</v>
      </c>
      <c r="AC1982" s="2">
        <v>41969.0</v>
      </c>
      <c r="AD1982" s="1">
        <v>1200.0</v>
      </c>
      <c r="AE1982" s="1" t="s">
        <v>647</v>
      </c>
      <c r="AF1982" s="1" t="s">
        <v>3653</v>
      </c>
      <c r="AG1982" s="1" t="s">
        <v>712</v>
      </c>
      <c r="AH1982" s="1">
        <v>1.0</v>
      </c>
      <c r="AI1982" s="1">
        <v>2015.0</v>
      </c>
      <c r="AJ1982" s="1">
        <v>2015.0</v>
      </c>
      <c r="AK1982" s="1" t="s">
        <v>713</v>
      </c>
    </row>
    <row r="1983">
      <c r="A1983" s="1" t="s">
        <v>3515</v>
      </c>
      <c r="B1983" s="1" t="s">
        <v>3515</v>
      </c>
      <c r="C1983" s="1" t="s">
        <v>645</v>
      </c>
      <c r="E1983" s="1">
        <v>4.64793056E8</v>
      </c>
      <c r="F1983" s="2">
        <v>41921.0</v>
      </c>
      <c r="G1983" s="1" t="s">
        <v>710</v>
      </c>
      <c r="I1983" s="1" t="s">
        <v>710</v>
      </c>
      <c r="L1983" s="1" t="s">
        <v>647</v>
      </c>
      <c r="M1983" s="1">
        <v>1200.0</v>
      </c>
      <c r="N1983" s="1" t="s">
        <v>647</v>
      </c>
      <c r="O1983" s="1">
        <v>2.2561935E7</v>
      </c>
      <c r="P1983" s="1" t="s">
        <v>2631</v>
      </c>
      <c r="R1983" s="1" t="s">
        <v>2632</v>
      </c>
      <c r="S1983" s="1" t="s">
        <v>44</v>
      </c>
      <c r="T1983" s="1" t="s">
        <v>45</v>
      </c>
      <c r="U1983" s="1">
        <v>4.8238E8</v>
      </c>
      <c r="W1983" s="1" t="s">
        <v>44</v>
      </c>
      <c r="X1983" s="1" t="s">
        <v>45</v>
      </c>
      <c r="Y1983" s="1">
        <v>4.82382124E8</v>
      </c>
      <c r="AB1983" s="1">
        <v>147960.63</v>
      </c>
      <c r="AC1983" s="2">
        <v>41921.0</v>
      </c>
      <c r="AD1983" s="1">
        <v>1200.0</v>
      </c>
      <c r="AE1983" s="1" t="s">
        <v>647</v>
      </c>
      <c r="AF1983" s="1" t="s">
        <v>3654</v>
      </c>
      <c r="AG1983" s="1" t="s">
        <v>712</v>
      </c>
      <c r="AH1983" s="1">
        <v>1.0</v>
      </c>
      <c r="AI1983" s="1">
        <v>2015.0</v>
      </c>
      <c r="AJ1983" s="1">
        <v>2015.0</v>
      </c>
      <c r="AK1983" s="1" t="s">
        <v>713</v>
      </c>
    </row>
    <row r="1984">
      <c r="A1984" s="1" t="s">
        <v>3344</v>
      </c>
      <c r="B1984" s="1" t="s">
        <v>3344</v>
      </c>
      <c r="C1984" s="1" t="s">
        <v>194</v>
      </c>
      <c r="E1984" s="1">
        <v>8.9228048E7</v>
      </c>
      <c r="F1984" s="2">
        <v>41703.0</v>
      </c>
      <c r="G1984" s="1" t="s">
        <v>458</v>
      </c>
      <c r="I1984" s="1" t="s">
        <v>458</v>
      </c>
      <c r="L1984" s="1" t="s">
        <v>194</v>
      </c>
      <c r="M1984" s="1">
        <v>9100.0</v>
      </c>
      <c r="N1984" s="1" t="s">
        <v>194</v>
      </c>
      <c r="O1984" s="1">
        <v>3790107.0</v>
      </c>
      <c r="P1984" s="1" t="s">
        <v>576</v>
      </c>
      <c r="Q1984" s="1" t="s">
        <v>3476</v>
      </c>
      <c r="R1984" s="1" t="s">
        <v>577</v>
      </c>
      <c r="S1984" s="1" t="s">
        <v>44</v>
      </c>
      <c r="T1984" s="1" t="s">
        <v>45</v>
      </c>
      <c r="U1984" s="1">
        <v>4.82343284E8</v>
      </c>
      <c r="W1984" s="1" t="s">
        <v>44</v>
      </c>
      <c r="X1984" s="1" t="s">
        <v>45</v>
      </c>
      <c r="Y1984" s="1">
        <v>4.82343284E8</v>
      </c>
      <c r="Z1984" s="1">
        <v>5.2643442E7</v>
      </c>
      <c r="AA1984" s="1" t="s">
        <v>3655</v>
      </c>
      <c r="AB1984" s="1">
        <v>47237.0</v>
      </c>
      <c r="AC1984" s="2">
        <v>41703.0</v>
      </c>
      <c r="AD1984" s="1">
        <v>9100.0</v>
      </c>
      <c r="AE1984" s="1" t="s">
        <v>194</v>
      </c>
      <c r="AF1984" s="1" t="s">
        <v>3656</v>
      </c>
      <c r="AG1984" s="1" t="s">
        <v>463</v>
      </c>
      <c r="AH1984" s="1">
        <v>1.0</v>
      </c>
      <c r="AI1984" s="1">
        <v>2015.0</v>
      </c>
      <c r="AJ1984" s="1">
        <v>2014.0</v>
      </c>
      <c r="AK1984" s="1" t="s">
        <v>277</v>
      </c>
    </row>
    <row r="1985">
      <c r="A1985" s="1" t="s">
        <v>3344</v>
      </c>
      <c r="B1985" s="1" t="s">
        <v>3344</v>
      </c>
      <c r="C1985" s="1" t="s">
        <v>194</v>
      </c>
      <c r="E1985" s="1">
        <v>8.9228048E7</v>
      </c>
      <c r="F1985" s="2">
        <v>41708.0</v>
      </c>
      <c r="G1985" s="1" t="s">
        <v>458</v>
      </c>
      <c r="I1985" s="1" t="s">
        <v>458</v>
      </c>
      <c r="L1985" s="1" t="s">
        <v>194</v>
      </c>
      <c r="M1985" s="1">
        <v>9100.0</v>
      </c>
      <c r="N1985" s="1" t="s">
        <v>194</v>
      </c>
      <c r="O1985" s="1">
        <v>1.38064923E8</v>
      </c>
      <c r="P1985" s="1" t="s">
        <v>585</v>
      </c>
      <c r="Q1985" s="1" t="s">
        <v>1698</v>
      </c>
      <c r="R1985" s="1" t="s">
        <v>586</v>
      </c>
      <c r="S1985" s="1" t="s">
        <v>44</v>
      </c>
      <c r="T1985" s="1" t="s">
        <v>45</v>
      </c>
      <c r="U1985" s="1">
        <v>4.82152861E8</v>
      </c>
      <c r="W1985" s="1" t="s">
        <v>44</v>
      </c>
      <c r="X1985" s="1" t="s">
        <v>45</v>
      </c>
      <c r="Y1985" s="1">
        <v>4.82152861E8</v>
      </c>
      <c r="Z1985" s="1">
        <v>9.60742484E8</v>
      </c>
      <c r="AB1985" s="1">
        <v>37581.0</v>
      </c>
      <c r="AC1985" s="2">
        <v>41708.0</v>
      </c>
      <c r="AD1985" s="1">
        <v>9100.0</v>
      </c>
      <c r="AE1985" s="1" t="s">
        <v>194</v>
      </c>
      <c r="AF1985" s="1" t="s">
        <v>3657</v>
      </c>
      <c r="AG1985" s="1" t="s">
        <v>463</v>
      </c>
      <c r="AH1985" s="1">
        <v>1.0</v>
      </c>
      <c r="AI1985" s="1">
        <v>2015.0</v>
      </c>
      <c r="AJ1985" s="1">
        <v>2014.0</v>
      </c>
      <c r="AK1985" s="1" t="s">
        <v>277</v>
      </c>
    </row>
    <row r="1986">
      <c r="A1986" s="1" t="s">
        <v>3307</v>
      </c>
      <c r="B1986" s="1" t="s">
        <v>3307</v>
      </c>
      <c r="C1986" s="1" t="s">
        <v>389</v>
      </c>
      <c r="E1986" s="1">
        <v>2.3358788E7</v>
      </c>
      <c r="F1986" s="2">
        <v>41495.0</v>
      </c>
      <c r="G1986" s="1" t="s">
        <v>397</v>
      </c>
      <c r="I1986" s="1" t="s">
        <v>397</v>
      </c>
      <c r="L1986" s="1" t="s">
        <v>391</v>
      </c>
      <c r="M1986" s="1">
        <v>1600.0</v>
      </c>
      <c r="N1986" s="1" t="s">
        <v>391</v>
      </c>
      <c r="O1986" s="1">
        <v>9.68755756E8</v>
      </c>
      <c r="P1986" s="1" t="s">
        <v>1806</v>
      </c>
      <c r="R1986" s="1" t="s">
        <v>1807</v>
      </c>
      <c r="S1986" s="1" t="s">
        <v>44</v>
      </c>
      <c r="T1986" s="1" t="s">
        <v>45</v>
      </c>
      <c r="U1986" s="1">
        <v>4.82262917E8</v>
      </c>
      <c r="W1986" s="1" t="s">
        <v>46</v>
      </c>
      <c r="X1986" s="1" t="s">
        <v>45</v>
      </c>
      <c r="Y1986" s="1">
        <v>4.82022943E8</v>
      </c>
      <c r="AB1986" s="1">
        <v>1511291.0</v>
      </c>
      <c r="AC1986" s="2">
        <v>41495.0</v>
      </c>
      <c r="AD1986" s="1">
        <v>1600.0</v>
      </c>
      <c r="AE1986" s="1" t="s">
        <v>391</v>
      </c>
      <c r="AF1986" s="1" t="s">
        <v>3658</v>
      </c>
      <c r="AG1986" s="1" t="s">
        <v>3334</v>
      </c>
      <c r="AH1986" s="1">
        <v>1.0</v>
      </c>
      <c r="AI1986" s="1">
        <v>2015.0</v>
      </c>
      <c r="AJ1986" s="1">
        <v>2013.0</v>
      </c>
      <c r="AK1986" s="1" t="s">
        <v>3309</v>
      </c>
    </row>
    <row r="1987">
      <c r="A1987" s="1" t="s">
        <v>3344</v>
      </c>
      <c r="B1987" s="1" t="s">
        <v>3344</v>
      </c>
      <c r="C1987" s="1" t="s">
        <v>194</v>
      </c>
      <c r="E1987" s="1">
        <v>8.9228048E7</v>
      </c>
      <c r="F1987" s="2">
        <v>41739.0</v>
      </c>
      <c r="G1987" s="1" t="s">
        <v>458</v>
      </c>
      <c r="I1987" s="1" t="s">
        <v>458</v>
      </c>
      <c r="L1987" s="1" t="s">
        <v>194</v>
      </c>
      <c r="M1987" s="1">
        <v>9100.0</v>
      </c>
      <c r="N1987" s="1" t="s">
        <v>194</v>
      </c>
      <c r="O1987" s="1">
        <v>7.8577051E7</v>
      </c>
      <c r="P1987" s="1" t="s">
        <v>1680</v>
      </c>
      <c r="Q1987" s="1" t="s">
        <v>3659</v>
      </c>
      <c r="R1987" s="1" t="s">
        <v>1681</v>
      </c>
      <c r="S1987" s="1" t="s">
        <v>44</v>
      </c>
      <c r="T1987" s="1" t="s">
        <v>45</v>
      </c>
      <c r="U1987" s="1">
        <v>4.82211457E8</v>
      </c>
      <c r="W1987" s="1" t="s">
        <v>46</v>
      </c>
      <c r="X1987" s="1" t="s">
        <v>45</v>
      </c>
      <c r="Y1987" s="1">
        <v>4.82211487E8</v>
      </c>
      <c r="Z1987" s="1">
        <v>5.2592581E7</v>
      </c>
      <c r="AA1987" s="1" t="s">
        <v>3660</v>
      </c>
      <c r="AB1987" s="1">
        <v>115985.0</v>
      </c>
      <c r="AC1987" s="2">
        <v>41739.0</v>
      </c>
      <c r="AD1987" s="1">
        <v>9100.0</v>
      </c>
      <c r="AE1987" s="1" t="s">
        <v>194</v>
      </c>
      <c r="AF1987" s="1" t="s">
        <v>3661</v>
      </c>
      <c r="AG1987" s="1" t="s">
        <v>463</v>
      </c>
      <c r="AH1987" s="1">
        <v>1.0</v>
      </c>
      <c r="AI1987" s="1">
        <v>2015.0</v>
      </c>
      <c r="AJ1987" s="1">
        <v>2014.0</v>
      </c>
      <c r="AK1987" s="1" t="s">
        <v>277</v>
      </c>
    </row>
    <row r="1988">
      <c r="A1988" s="1" t="s">
        <v>3344</v>
      </c>
      <c r="B1988" s="1" t="s">
        <v>3344</v>
      </c>
      <c r="C1988" s="1" t="s">
        <v>194</v>
      </c>
      <c r="E1988" s="1">
        <v>8.9228048E7</v>
      </c>
      <c r="F1988" s="2">
        <v>41739.0</v>
      </c>
      <c r="G1988" s="1" t="s">
        <v>458</v>
      </c>
      <c r="I1988" s="1" t="s">
        <v>458</v>
      </c>
      <c r="L1988" s="1" t="s">
        <v>194</v>
      </c>
      <c r="M1988" s="1">
        <v>9100.0</v>
      </c>
      <c r="N1988" s="1" t="s">
        <v>194</v>
      </c>
      <c r="O1988" s="1">
        <v>8.30649195E8</v>
      </c>
      <c r="P1988" s="1" t="s">
        <v>545</v>
      </c>
      <c r="Q1988" s="1" t="s">
        <v>3662</v>
      </c>
      <c r="R1988" s="1" t="s">
        <v>547</v>
      </c>
      <c r="S1988" s="1" t="s">
        <v>44</v>
      </c>
      <c r="T1988" s="1" t="s">
        <v>45</v>
      </c>
      <c r="U1988" s="1">
        <v>4.82071E8</v>
      </c>
      <c r="W1988" s="1" t="s">
        <v>44</v>
      </c>
      <c r="X1988" s="1" t="s">
        <v>45</v>
      </c>
      <c r="Y1988" s="1">
        <v>4.82071E8</v>
      </c>
      <c r="Z1988" s="1">
        <v>3.0190425E7</v>
      </c>
      <c r="AA1988" s="1" t="s">
        <v>3663</v>
      </c>
      <c r="AB1988" s="1">
        <v>112232.0</v>
      </c>
      <c r="AC1988" s="2">
        <v>41739.0</v>
      </c>
      <c r="AD1988" s="1">
        <v>9100.0</v>
      </c>
      <c r="AE1988" s="1" t="s">
        <v>194</v>
      </c>
      <c r="AF1988" s="1" t="s">
        <v>3664</v>
      </c>
      <c r="AG1988" s="1" t="s">
        <v>463</v>
      </c>
      <c r="AH1988" s="1">
        <v>1.0</v>
      </c>
      <c r="AI1988" s="1">
        <v>2015.0</v>
      </c>
      <c r="AJ1988" s="1">
        <v>2014.0</v>
      </c>
      <c r="AK1988" s="1" t="s">
        <v>277</v>
      </c>
    </row>
    <row r="1989">
      <c r="A1989" s="1" t="s">
        <v>3344</v>
      </c>
      <c r="B1989" s="1" t="s">
        <v>3344</v>
      </c>
      <c r="C1989" s="1" t="s">
        <v>194</v>
      </c>
      <c r="E1989" s="1">
        <v>8.9228048E7</v>
      </c>
      <c r="F1989" s="2">
        <v>41752.0</v>
      </c>
      <c r="G1989" s="1" t="s">
        <v>458</v>
      </c>
      <c r="I1989" s="1" t="s">
        <v>458</v>
      </c>
      <c r="L1989" s="1" t="s">
        <v>194</v>
      </c>
      <c r="M1989" s="1">
        <v>9100.0</v>
      </c>
      <c r="N1989" s="1" t="s">
        <v>194</v>
      </c>
      <c r="O1989" s="1">
        <v>6.6707493E7</v>
      </c>
      <c r="P1989" s="1" t="s">
        <v>541</v>
      </c>
      <c r="Q1989" s="1" t="s">
        <v>3665</v>
      </c>
      <c r="R1989" s="1" t="s">
        <v>542</v>
      </c>
      <c r="S1989" s="1" t="s">
        <v>44</v>
      </c>
      <c r="T1989" s="1" t="s">
        <v>45</v>
      </c>
      <c r="U1989" s="1">
        <v>4.8210252E8</v>
      </c>
      <c r="W1989" s="1" t="s">
        <v>44</v>
      </c>
      <c r="X1989" s="1" t="s">
        <v>45</v>
      </c>
      <c r="Y1989" s="1">
        <v>4.8210252E8</v>
      </c>
      <c r="Z1989" s="1">
        <v>8.69062901E8</v>
      </c>
      <c r="AA1989" s="1" t="s">
        <v>552</v>
      </c>
      <c r="AB1989" s="1">
        <v>71341.0</v>
      </c>
      <c r="AC1989" s="2">
        <v>41752.0</v>
      </c>
      <c r="AD1989" s="1">
        <v>9100.0</v>
      </c>
      <c r="AE1989" s="1" t="s">
        <v>194</v>
      </c>
      <c r="AF1989" s="1" t="s">
        <v>3666</v>
      </c>
      <c r="AG1989" s="1" t="s">
        <v>463</v>
      </c>
      <c r="AH1989" s="1">
        <v>1.0</v>
      </c>
      <c r="AI1989" s="1">
        <v>2015.0</v>
      </c>
      <c r="AJ1989" s="1">
        <v>2014.0</v>
      </c>
      <c r="AK1989" s="1" t="s">
        <v>277</v>
      </c>
    </row>
    <row r="1990">
      <c r="A1990" s="1" t="s">
        <v>1913</v>
      </c>
      <c r="B1990" s="1" t="s">
        <v>1913</v>
      </c>
      <c r="C1990" s="1" t="s">
        <v>645</v>
      </c>
      <c r="E1990" s="1">
        <v>1.4642656E8</v>
      </c>
      <c r="F1990" s="2">
        <v>41999.0</v>
      </c>
      <c r="G1990" s="1" t="s">
        <v>710</v>
      </c>
      <c r="I1990" s="1" t="s">
        <v>710</v>
      </c>
      <c r="L1990" s="1" t="s">
        <v>647</v>
      </c>
      <c r="M1990" s="1">
        <v>1200.0</v>
      </c>
      <c r="N1990" s="1" t="s">
        <v>647</v>
      </c>
      <c r="O1990" s="1">
        <v>8.4297738E7</v>
      </c>
      <c r="P1990" s="1" t="s">
        <v>3091</v>
      </c>
      <c r="Q1990" s="1" t="s">
        <v>3092</v>
      </c>
      <c r="R1990" s="1" t="s">
        <v>3093</v>
      </c>
      <c r="S1990" s="1" t="s">
        <v>44</v>
      </c>
      <c r="T1990" s="1" t="s">
        <v>45</v>
      </c>
      <c r="U1990" s="1">
        <v>4.8207341E8</v>
      </c>
      <c r="W1990" s="1" t="s">
        <v>44</v>
      </c>
      <c r="X1990" s="1" t="s">
        <v>45</v>
      </c>
      <c r="Y1990" s="1">
        <v>4.8207341E8</v>
      </c>
      <c r="Z1990" s="1">
        <v>8.4297738E7</v>
      </c>
      <c r="AA1990" s="1" t="s">
        <v>3091</v>
      </c>
      <c r="AB1990" s="1">
        <v>61904.6</v>
      </c>
      <c r="AC1990" s="2">
        <v>41999.0</v>
      </c>
      <c r="AD1990" s="1">
        <v>1200.0</v>
      </c>
      <c r="AE1990" s="1" t="s">
        <v>647</v>
      </c>
      <c r="AF1990" s="1" t="s">
        <v>3667</v>
      </c>
      <c r="AG1990" s="1" t="s">
        <v>712</v>
      </c>
      <c r="AH1990" s="1">
        <v>1.0</v>
      </c>
      <c r="AI1990" s="1">
        <v>2015.0</v>
      </c>
      <c r="AJ1990" s="1">
        <v>2015.0</v>
      </c>
      <c r="AK1990" s="1" t="s">
        <v>713</v>
      </c>
    </row>
    <row r="1991">
      <c r="A1991" s="1" t="s">
        <v>1913</v>
      </c>
      <c r="B1991" s="1" t="s">
        <v>1913</v>
      </c>
      <c r="C1991" s="1" t="s">
        <v>645</v>
      </c>
      <c r="E1991" s="1">
        <v>1.4642656E8</v>
      </c>
      <c r="F1991" s="2">
        <v>41999.0</v>
      </c>
      <c r="G1991" s="1" t="s">
        <v>710</v>
      </c>
      <c r="I1991" s="1" t="s">
        <v>710</v>
      </c>
      <c r="L1991" s="1" t="s">
        <v>647</v>
      </c>
      <c r="M1991" s="1">
        <v>1200.0</v>
      </c>
      <c r="N1991" s="1" t="s">
        <v>647</v>
      </c>
      <c r="O1991" s="1">
        <v>7.97531295E8</v>
      </c>
      <c r="P1991" s="1" t="s">
        <v>582</v>
      </c>
      <c r="R1991" s="1" t="s">
        <v>583</v>
      </c>
      <c r="S1991" s="1" t="s">
        <v>44</v>
      </c>
      <c r="T1991" s="1" t="s">
        <v>45</v>
      </c>
      <c r="U1991" s="1">
        <v>4.82123452E8</v>
      </c>
      <c r="W1991" s="1" t="s">
        <v>44</v>
      </c>
      <c r="X1991" s="1" t="s">
        <v>45</v>
      </c>
      <c r="Y1991" s="1">
        <v>4.82123452E8</v>
      </c>
      <c r="AB1991" s="1">
        <v>25925.69</v>
      </c>
      <c r="AC1991" s="2">
        <v>41999.0</v>
      </c>
      <c r="AD1991" s="1">
        <v>1200.0</v>
      </c>
      <c r="AE1991" s="1" t="s">
        <v>647</v>
      </c>
      <c r="AF1991" s="1" t="s">
        <v>3668</v>
      </c>
      <c r="AG1991" s="1" t="s">
        <v>712</v>
      </c>
      <c r="AH1991" s="1">
        <v>1.0</v>
      </c>
      <c r="AI1991" s="1">
        <v>2015.0</v>
      </c>
      <c r="AJ1991" s="1">
        <v>2015.0</v>
      </c>
      <c r="AK1991" s="1" t="s">
        <v>713</v>
      </c>
    </row>
    <row r="1992">
      <c r="A1992" s="1" t="s">
        <v>1913</v>
      </c>
      <c r="B1992" s="1" t="s">
        <v>1913</v>
      </c>
      <c r="C1992" s="1" t="s">
        <v>645</v>
      </c>
      <c r="E1992" s="1">
        <v>1.4642656E8</v>
      </c>
      <c r="F1992" s="2">
        <v>41991.0</v>
      </c>
      <c r="G1992" s="1" t="s">
        <v>710</v>
      </c>
      <c r="I1992" s="1" t="s">
        <v>710</v>
      </c>
      <c r="L1992" s="1" t="s">
        <v>647</v>
      </c>
      <c r="M1992" s="1">
        <v>1200.0</v>
      </c>
      <c r="N1992" s="1" t="s">
        <v>647</v>
      </c>
      <c r="O1992" s="1">
        <v>2.5773859E7</v>
      </c>
      <c r="P1992" s="1" t="s">
        <v>872</v>
      </c>
      <c r="R1992" s="1" t="s">
        <v>873</v>
      </c>
      <c r="S1992" s="1" t="s">
        <v>44</v>
      </c>
      <c r="T1992" s="1" t="s">
        <v>45</v>
      </c>
      <c r="U1992" s="1">
        <v>4.82042042E8</v>
      </c>
      <c r="W1992" s="1" t="s">
        <v>44</v>
      </c>
      <c r="X1992" s="1" t="s">
        <v>45</v>
      </c>
      <c r="Y1992" s="1">
        <v>4.82042042E8</v>
      </c>
      <c r="AB1992" s="1">
        <v>61704.9</v>
      </c>
      <c r="AC1992" s="2">
        <v>41991.0</v>
      </c>
      <c r="AD1992" s="1">
        <v>1200.0</v>
      </c>
      <c r="AE1992" s="1" t="s">
        <v>647</v>
      </c>
      <c r="AF1992" s="1" t="s">
        <v>3669</v>
      </c>
      <c r="AG1992" s="1" t="s">
        <v>712</v>
      </c>
      <c r="AH1992" s="1">
        <v>1.0</v>
      </c>
      <c r="AI1992" s="1">
        <v>2015.0</v>
      </c>
      <c r="AJ1992" s="1">
        <v>2015.0</v>
      </c>
      <c r="AK1992" s="1" t="s">
        <v>713</v>
      </c>
    </row>
    <row r="1993">
      <c r="A1993" s="1" t="s">
        <v>3369</v>
      </c>
      <c r="B1993" s="1" t="s">
        <v>3369</v>
      </c>
      <c r="C1993" s="1" t="s">
        <v>194</v>
      </c>
      <c r="E1993" s="1">
        <v>1.0181861E7</v>
      </c>
      <c r="F1993" s="2">
        <v>41619.0</v>
      </c>
      <c r="G1993" s="1" t="s">
        <v>685</v>
      </c>
      <c r="I1993" s="1" t="s">
        <v>685</v>
      </c>
      <c r="L1993" s="1" t="s">
        <v>194</v>
      </c>
      <c r="M1993" s="1">
        <v>9100.0</v>
      </c>
      <c r="N1993" s="1" t="s">
        <v>194</v>
      </c>
      <c r="O1993" s="1">
        <v>7.93697355E8</v>
      </c>
      <c r="P1993" s="1" t="s">
        <v>691</v>
      </c>
      <c r="Q1993" s="1" t="s">
        <v>1194</v>
      </c>
      <c r="R1993" s="1" t="s">
        <v>692</v>
      </c>
      <c r="S1993" s="1" t="s">
        <v>44</v>
      </c>
      <c r="T1993" s="1" t="s">
        <v>45</v>
      </c>
      <c r="U1993" s="1">
        <v>4.82111554E8</v>
      </c>
      <c r="W1993" s="1" t="s">
        <v>44</v>
      </c>
      <c r="X1993" s="1" t="s">
        <v>45</v>
      </c>
      <c r="Y1993" s="1">
        <v>4.82111552E8</v>
      </c>
      <c r="AB1993" s="1">
        <v>113096.0</v>
      </c>
      <c r="AC1993" s="2">
        <v>41619.0</v>
      </c>
      <c r="AD1993" s="1">
        <v>9100.0</v>
      </c>
      <c r="AE1993" s="1" t="s">
        <v>194</v>
      </c>
      <c r="AF1993" s="1" t="s">
        <v>3670</v>
      </c>
      <c r="AG1993" s="1" t="s">
        <v>3343</v>
      </c>
      <c r="AH1993" s="1">
        <v>1.0</v>
      </c>
      <c r="AI1993" s="1">
        <v>2015.0</v>
      </c>
      <c r="AJ1993" s="1">
        <v>2014.0</v>
      </c>
      <c r="AK1993" s="1" t="s">
        <v>688</v>
      </c>
    </row>
    <row r="1994">
      <c r="A1994" s="1" t="s">
        <v>1913</v>
      </c>
      <c r="B1994" s="1" t="s">
        <v>1913</v>
      </c>
      <c r="C1994" s="1" t="s">
        <v>645</v>
      </c>
      <c r="E1994" s="1">
        <v>1.4642656E8</v>
      </c>
      <c r="F1994" s="2">
        <v>41984.0</v>
      </c>
      <c r="G1994" s="1" t="s">
        <v>710</v>
      </c>
      <c r="I1994" s="1" t="s">
        <v>710</v>
      </c>
      <c r="L1994" s="1" t="s">
        <v>647</v>
      </c>
      <c r="M1994" s="1">
        <v>1200.0</v>
      </c>
      <c r="N1994" s="1" t="s">
        <v>647</v>
      </c>
      <c r="O1994" s="1">
        <v>1.23577707E8</v>
      </c>
      <c r="P1994" s="1" t="s">
        <v>563</v>
      </c>
      <c r="R1994" s="1" t="s">
        <v>565</v>
      </c>
      <c r="S1994" s="1" t="s">
        <v>44</v>
      </c>
      <c r="T1994" s="1" t="s">
        <v>45</v>
      </c>
      <c r="U1994" s="1">
        <v>4.8228333E8</v>
      </c>
      <c r="W1994" s="1" t="s">
        <v>44</v>
      </c>
      <c r="X1994" s="1" t="s">
        <v>45</v>
      </c>
      <c r="Y1994" s="1">
        <v>4.82283396E8</v>
      </c>
      <c r="Z1994" s="1">
        <v>9.60742484E8</v>
      </c>
      <c r="AB1994" s="1">
        <v>68268.6</v>
      </c>
      <c r="AC1994" s="2">
        <v>41984.0</v>
      </c>
      <c r="AD1994" s="1">
        <v>1200.0</v>
      </c>
      <c r="AE1994" s="1" t="s">
        <v>647</v>
      </c>
      <c r="AF1994" s="1" t="s">
        <v>3671</v>
      </c>
      <c r="AG1994" s="1" t="s">
        <v>712</v>
      </c>
      <c r="AH1994" s="1">
        <v>1.0</v>
      </c>
      <c r="AI1994" s="1">
        <v>2015.0</v>
      </c>
      <c r="AJ1994" s="1">
        <v>2015.0</v>
      </c>
      <c r="AK1994" s="1" t="s">
        <v>713</v>
      </c>
    </row>
    <row r="1995">
      <c r="A1995" s="1" t="s">
        <v>1913</v>
      </c>
      <c r="B1995" s="1" t="s">
        <v>1913</v>
      </c>
      <c r="C1995" s="1" t="s">
        <v>645</v>
      </c>
      <c r="E1995" s="1">
        <v>1.4642656E8</v>
      </c>
      <c r="F1995" s="2">
        <v>41984.0</v>
      </c>
      <c r="G1995" s="1" t="s">
        <v>710</v>
      </c>
      <c r="I1995" s="1" t="s">
        <v>710</v>
      </c>
      <c r="L1995" s="1" t="s">
        <v>647</v>
      </c>
      <c r="M1995" s="1">
        <v>1200.0</v>
      </c>
      <c r="N1995" s="1" t="s">
        <v>647</v>
      </c>
      <c r="O1995" s="1">
        <v>8.38496842E8</v>
      </c>
      <c r="P1995" s="1" t="s">
        <v>810</v>
      </c>
      <c r="R1995" s="1" t="s">
        <v>811</v>
      </c>
      <c r="S1995" s="1" t="s">
        <v>44</v>
      </c>
      <c r="T1995" s="1" t="s">
        <v>45</v>
      </c>
      <c r="U1995" s="1">
        <v>4.82231359E8</v>
      </c>
      <c r="W1995" s="1" t="s">
        <v>44</v>
      </c>
      <c r="X1995" s="1" t="s">
        <v>45</v>
      </c>
      <c r="Y1995" s="1">
        <v>4.82231359E8</v>
      </c>
      <c r="Z1995" s="1">
        <v>8.38496842E8</v>
      </c>
      <c r="AA1995" s="1" t="s">
        <v>810</v>
      </c>
      <c r="AB1995" s="1">
        <v>39860.74</v>
      </c>
      <c r="AC1995" s="2">
        <v>41984.0</v>
      </c>
      <c r="AD1995" s="1">
        <v>1200.0</v>
      </c>
      <c r="AE1995" s="1" t="s">
        <v>647</v>
      </c>
      <c r="AF1995" s="1" t="s">
        <v>3672</v>
      </c>
      <c r="AG1995" s="1" t="s">
        <v>712</v>
      </c>
      <c r="AH1995" s="1">
        <v>1.0</v>
      </c>
      <c r="AI1995" s="1">
        <v>2015.0</v>
      </c>
      <c r="AJ1995" s="1">
        <v>2015.0</v>
      </c>
      <c r="AK1995" s="1" t="s">
        <v>713</v>
      </c>
    </row>
    <row r="1996">
      <c r="A1996" s="1" t="s">
        <v>3369</v>
      </c>
      <c r="B1996" s="1" t="s">
        <v>3369</v>
      </c>
      <c r="C1996" s="1" t="s">
        <v>194</v>
      </c>
      <c r="E1996" s="1">
        <v>1.0181861E7</v>
      </c>
      <c r="F1996" s="2">
        <v>41733.0</v>
      </c>
      <c r="G1996" s="1" t="s">
        <v>685</v>
      </c>
      <c r="I1996" s="1" t="s">
        <v>685</v>
      </c>
      <c r="L1996" s="1" t="s">
        <v>194</v>
      </c>
      <c r="M1996" s="1">
        <v>9100.0</v>
      </c>
      <c r="N1996" s="1" t="s">
        <v>194</v>
      </c>
      <c r="O1996" s="1">
        <v>7.6340843E7</v>
      </c>
      <c r="P1996" s="1" t="s">
        <v>461</v>
      </c>
      <c r="R1996" s="1" t="s">
        <v>1599</v>
      </c>
      <c r="S1996" s="1" t="s">
        <v>44</v>
      </c>
      <c r="T1996" s="1" t="s">
        <v>45</v>
      </c>
      <c r="U1996" s="1">
        <v>4.8202301E8</v>
      </c>
      <c r="W1996" s="1" t="s">
        <v>44</v>
      </c>
      <c r="X1996" s="1" t="s">
        <v>45</v>
      </c>
      <c r="Y1996" s="1">
        <v>4.82023096E8</v>
      </c>
      <c r="Z1996" s="1">
        <v>7.6340843E7</v>
      </c>
      <c r="AA1996" s="1" t="s">
        <v>461</v>
      </c>
      <c r="AB1996" s="1">
        <v>88871.0</v>
      </c>
      <c r="AC1996" s="2">
        <v>41733.0</v>
      </c>
      <c r="AD1996" s="1">
        <v>9100.0</v>
      </c>
      <c r="AE1996" s="1" t="s">
        <v>194</v>
      </c>
      <c r="AF1996" s="1" t="s">
        <v>3673</v>
      </c>
      <c r="AG1996" s="1" t="s">
        <v>3343</v>
      </c>
      <c r="AH1996" s="1">
        <v>1.0</v>
      </c>
      <c r="AI1996" s="1">
        <v>2015.0</v>
      </c>
      <c r="AJ1996" s="1">
        <v>2014.0</v>
      </c>
      <c r="AK1996" s="1" t="s">
        <v>688</v>
      </c>
    </row>
    <row r="1997">
      <c r="A1997" s="1" t="s">
        <v>3515</v>
      </c>
      <c r="B1997" s="1" t="s">
        <v>3515</v>
      </c>
      <c r="C1997" s="1" t="s">
        <v>645</v>
      </c>
      <c r="E1997" s="1">
        <v>4.64793056E8</v>
      </c>
      <c r="F1997" s="2">
        <v>41928.0</v>
      </c>
      <c r="G1997" s="1" t="s">
        <v>710</v>
      </c>
      <c r="I1997" s="1" t="s">
        <v>710</v>
      </c>
      <c r="L1997" s="1" t="s">
        <v>647</v>
      </c>
      <c r="M1997" s="1">
        <v>1200.0</v>
      </c>
      <c r="N1997" s="1" t="s">
        <v>647</v>
      </c>
      <c r="O1997" s="1">
        <v>1.6388758E7</v>
      </c>
      <c r="P1997" s="1" t="s">
        <v>3139</v>
      </c>
      <c r="Q1997" s="1" t="s">
        <v>3140</v>
      </c>
      <c r="R1997" s="1" t="s">
        <v>281</v>
      </c>
      <c r="S1997" s="1" t="s">
        <v>44</v>
      </c>
      <c r="T1997" s="1" t="s">
        <v>45</v>
      </c>
      <c r="U1997" s="1">
        <v>4.82033277E8</v>
      </c>
      <c r="W1997" s="1" t="s">
        <v>603</v>
      </c>
      <c r="X1997" s="1" t="s">
        <v>45</v>
      </c>
      <c r="Y1997" s="1">
        <v>4.82033277E8</v>
      </c>
      <c r="Z1997" s="1">
        <v>7.4246091E7</v>
      </c>
      <c r="AA1997" s="1" t="s">
        <v>3674</v>
      </c>
      <c r="AB1997" s="1">
        <v>30653.2</v>
      </c>
      <c r="AC1997" s="2">
        <v>41928.0</v>
      </c>
      <c r="AD1997" s="1">
        <v>1200.0</v>
      </c>
      <c r="AE1997" s="1" t="s">
        <v>647</v>
      </c>
      <c r="AF1997" s="1" t="s">
        <v>3675</v>
      </c>
      <c r="AG1997" s="1" t="s">
        <v>712</v>
      </c>
      <c r="AH1997" s="1">
        <v>1.0</v>
      </c>
      <c r="AI1997" s="1">
        <v>2015.0</v>
      </c>
      <c r="AJ1997" s="1">
        <v>2015.0</v>
      </c>
      <c r="AK1997" s="1" t="s">
        <v>713</v>
      </c>
    </row>
    <row r="1998">
      <c r="A1998" s="1" t="s">
        <v>3369</v>
      </c>
      <c r="B1998" s="1" t="s">
        <v>3369</v>
      </c>
      <c r="C1998" s="1" t="s">
        <v>194</v>
      </c>
      <c r="E1998" s="1">
        <v>1.0181861E7</v>
      </c>
      <c r="F1998" s="2">
        <v>41717.0</v>
      </c>
      <c r="G1998" s="1" t="s">
        <v>685</v>
      </c>
      <c r="I1998" s="1" t="s">
        <v>685</v>
      </c>
      <c r="L1998" s="1" t="s">
        <v>194</v>
      </c>
      <c r="M1998" s="1">
        <v>9100.0</v>
      </c>
      <c r="N1998" s="1" t="s">
        <v>194</v>
      </c>
      <c r="O1998" s="1">
        <v>3.9866801E7</v>
      </c>
      <c r="P1998" s="1" t="s">
        <v>612</v>
      </c>
      <c r="R1998" s="1" t="s">
        <v>613</v>
      </c>
      <c r="S1998" s="1" t="s">
        <v>44</v>
      </c>
      <c r="T1998" s="1" t="s">
        <v>45</v>
      </c>
      <c r="U1998" s="1">
        <v>4.8212E8</v>
      </c>
      <c r="W1998" s="1" t="s">
        <v>607</v>
      </c>
      <c r="X1998" s="1" t="s">
        <v>45</v>
      </c>
      <c r="Y1998" s="1">
        <v>4.82120012E8</v>
      </c>
      <c r="Z1998" s="1">
        <v>3.9866801E7</v>
      </c>
      <c r="AA1998" s="1" t="s">
        <v>612</v>
      </c>
      <c r="AB1998" s="1">
        <v>91222.0</v>
      </c>
      <c r="AC1998" s="2">
        <v>41717.0</v>
      </c>
      <c r="AD1998" s="1">
        <v>9100.0</v>
      </c>
      <c r="AE1998" s="1" t="s">
        <v>194</v>
      </c>
      <c r="AF1998" s="1" t="s">
        <v>3676</v>
      </c>
      <c r="AG1998" s="1" t="s">
        <v>3677</v>
      </c>
      <c r="AH1998" s="1">
        <v>1.0</v>
      </c>
      <c r="AI1998" s="1">
        <v>2015.0</v>
      </c>
      <c r="AJ1998" s="1">
        <v>2014.0</v>
      </c>
      <c r="AK1998" s="1" t="s">
        <v>688</v>
      </c>
    </row>
    <row r="1999">
      <c r="A1999" s="1" t="s">
        <v>3515</v>
      </c>
      <c r="B1999" s="1" t="s">
        <v>3515</v>
      </c>
      <c r="C1999" s="1" t="s">
        <v>645</v>
      </c>
      <c r="E1999" s="1">
        <v>4.64793056E8</v>
      </c>
      <c r="F1999" s="2">
        <v>41919.0</v>
      </c>
      <c r="G1999" s="1" t="s">
        <v>710</v>
      </c>
      <c r="I1999" s="1" t="s">
        <v>710</v>
      </c>
      <c r="L1999" s="1" t="s">
        <v>647</v>
      </c>
      <c r="M1999" s="1">
        <v>1200.0</v>
      </c>
      <c r="N1999" s="1" t="s">
        <v>647</v>
      </c>
      <c r="O1999" s="1">
        <v>1.6388758E7</v>
      </c>
      <c r="P1999" s="1" t="s">
        <v>3139</v>
      </c>
      <c r="Q1999" s="1" t="s">
        <v>3140</v>
      </c>
      <c r="R1999" s="1" t="s">
        <v>281</v>
      </c>
      <c r="S1999" s="1" t="s">
        <v>44</v>
      </c>
      <c r="T1999" s="1" t="s">
        <v>45</v>
      </c>
      <c r="U1999" s="1">
        <v>4.82033277E8</v>
      </c>
      <c r="W1999" s="1" t="s">
        <v>603</v>
      </c>
      <c r="X1999" s="1" t="s">
        <v>45</v>
      </c>
      <c r="Y1999" s="1">
        <v>4.82033277E8</v>
      </c>
      <c r="Z1999" s="1">
        <v>1.4152813E7</v>
      </c>
      <c r="AA1999" s="1" t="s">
        <v>3678</v>
      </c>
      <c r="AB1999" s="1">
        <v>100420.93</v>
      </c>
      <c r="AC1999" s="2">
        <v>41919.0</v>
      </c>
      <c r="AD1999" s="1">
        <v>1200.0</v>
      </c>
      <c r="AE1999" s="1" t="s">
        <v>647</v>
      </c>
      <c r="AF1999" s="1" t="s">
        <v>3679</v>
      </c>
      <c r="AG1999" s="1" t="s">
        <v>712</v>
      </c>
      <c r="AH1999" s="1">
        <v>1.0</v>
      </c>
      <c r="AI1999" s="1">
        <v>2015.0</v>
      </c>
      <c r="AJ1999" s="1">
        <v>2015.0</v>
      </c>
      <c r="AK1999" s="1" t="s">
        <v>713</v>
      </c>
    </row>
    <row r="2000">
      <c r="A2000" s="1" t="s">
        <v>3378</v>
      </c>
      <c r="B2000" s="1" t="s">
        <v>3378</v>
      </c>
      <c r="C2000" s="1" t="s">
        <v>194</v>
      </c>
      <c r="E2000" s="1">
        <v>1.3225274E7</v>
      </c>
      <c r="F2000" s="2">
        <v>41914.0</v>
      </c>
      <c r="G2000" s="1" t="s">
        <v>1228</v>
      </c>
      <c r="I2000" s="1" t="s">
        <v>1228</v>
      </c>
      <c r="L2000" s="1" t="s">
        <v>194</v>
      </c>
      <c r="M2000" s="1">
        <v>9100.0</v>
      </c>
      <c r="N2000" s="1" t="s">
        <v>194</v>
      </c>
      <c r="O2000" s="1">
        <v>9.58138059E8</v>
      </c>
      <c r="P2000" s="1" t="s">
        <v>2723</v>
      </c>
      <c r="R2000" s="1" t="s">
        <v>2724</v>
      </c>
      <c r="S2000" s="1" t="s">
        <v>44</v>
      </c>
      <c r="T2000" s="1" t="s">
        <v>45</v>
      </c>
      <c r="U2000" s="1">
        <v>4.82193968E8</v>
      </c>
      <c r="W2000" s="1" t="s">
        <v>44</v>
      </c>
      <c r="X2000" s="1" t="s">
        <v>45</v>
      </c>
      <c r="Y2000" s="1">
        <v>4.8219363E8</v>
      </c>
      <c r="AB2000" s="1">
        <v>80000.0</v>
      </c>
      <c r="AC2000" s="2">
        <v>41914.0</v>
      </c>
      <c r="AD2000" s="1">
        <v>9100.0</v>
      </c>
      <c r="AE2000" s="1" t="s">
        <v>194</v>
      </c>
      <c r="AF2000" s="1" t="s">
        <v>3680</v>
      </c>
      <c r="AG2000" s="1" t="s">
        <v>1232</v>
      </c>
      <c r="AH2000" s="1">
        <v>1.0</v>
      </c>
      <c r="AI2000" s="1">
        <v>2015.0</v>
      </c>
      <c r="AJ2000" s="1">
        <v>2015.0</v>
      </c>
      <c r="AK2000" s="1" t="s">
        <v>1233</v>
      </c>
    </row>
    <row r="2001">
      <c r="A2001" s="1" t="s">
        <v>3378</v>
      </c>
      <c r="B2001" s="1" t="s">
        <v>3378</v>
      </c>
      <c r="C2001" s="1" t="s">
        <v>194</v>
      </c>
      <c r="E2001" s="1">
        <v>1.3225274E7</v>
      </c>
      <c r="F2001" s="2">
        <v>41932.0</v>
      </c>
      <c r="G2001" s="1" t="s">
        <v>1228</v>
      </c>
      <c r="I2001" s="1" t="s">
        <v>1228</v>
      </c>
      <c r="L2001" s="1" t="s">
        <v>194</v>
      </c>
      <c r="M2001" s="1">
        <v>9100.0</v>
      </c>
      <c r="N2001" s="1" t="s">
        <v>194</v>
      </c>
      <c r="O2001" s="1">
        <v>6.13353846E8</v>
      </c>
      <c r="P2001" s="1" t="s">
        <v>1229</v>
      </c>
      <c r="R2001" s="1" t="s">
        <v>1230</v>
      </c>
      <c r="S2001" s="1" t="s">
        <v>44</v>
      </c>
      <c r="T2001" s="1" t="s">
        <v>45</v>
      </c>
      <c r="U2001" s="1">
        <v>4.82013473E8</v>
      </c>
      <c r="W2001" s="1" t="s">
        <v>44</v>
      </c>
      <c r="X2001" s="1" t="s">
        <v>45</v>
      </c>
      <c r="Y2001" s="1">
        <v>4.82013473E8</v>
      </c>
      <c r="AB2001" s="1">
        <v>100000.0</v>
      </c>
      <c r="AC2001" s="2">
        <v>41932.0</v>
      </c>
      <c r="AD2001" s="1">
        <v>9100.0</v>
      </c>
      <c r="AE2001" s="1" t="s">
        <v>194</v>
      </c>
      <c r="AF2001" s="1" t="s">
        <v>3681</v>
      </c>
      <c r="AG2001" s="1" t="s">
        <v>3682</v>
      </c>
      <c r="AH2001" s="1">
        <v>1.0</v>
      </c>
      <c r="AI2001" s="1">
        <v>2015.0</v>
      </c>
      <c r="AJ2001" s="1">
        <v>2015.0</v>
      </c>
      <c r="AK2001" s="1" t="s">
        <v>1233</v>
      </c>
    </row>
    <row r="2002">
      <c r="A2002" s="1" t="s">
        <v>1913</v>
      </c>
      <c r="B2002" s="1" t="s">
        <v>1913</v>
      </c>
      <c r="C2002" s="1" t="s">
        <v>645</v>
      </c>
      <c r="E2002" s="1">
        <v>1.4642656E8</v>
      </c>
      <c r="F2002" s="2">
        <v>42008.0</v>
      </c>
      <c r="G2002" s="1" t="s">
        <v>710</v>
      </c>
      <c r="I2002" s="1" t="s">
        <v>710</v>
      </c>
      <c r="L2002" s="1" t="s">
        <v>647</v>
      </c>
      <c r="M2002" s="1">
        <v>1200.0</v>
      </c>
      <c r="N2002" s="1" t="s">
        <v>647</v>
      </c>
      <c r="O2002" s="1">
        <v>1.52892667E8</v>
      </c>
      <c r="P2002" s="1" t="s">
        <v>638</v>
      </c>
      <c r="R2002" s="1" t="s">
        <v>639</v>
      </c>
      <c r="S2002" s="1" t="s">
        <v>44</v>
      </c>
      <c r="T2002" s="1" t="s">
        <v>45</v>
      </c>
      <c r="U2002" s="1">
        <v>4.82343358E8</v>
      </c>
      <c r="W2002" s="1" t="s">
        <v>46</v>
      </c>
      <c r="X2002" s="1" t="s">
        <v>45</v>
      </c>
      <c r="Y2002" s="1">
        <v>4.82343358E8</v>
      </c>
      <c r="AB2002" s="1">
        <v>42592.14</v>
      </c>
      <c r="AC2002" s="2">
        <v>42008.0</v>
      </c>
      <c r="AD2002" s="1">
        <v>1200.0</v>
      </c>
      <c r="AE2002" s="1" t="s">
        <v>647</v>
      </c>
      <c r="AF2002" s="1" t="s">
        <v>3683</v>
      </c>
      <c r="AG2002" s="1" t="s">
        <v>712</v>
      </c>
      <c r="AH2002" s="1">
        <v>1.0</v>
      </c>
      <c r="AI2002" s="1">
        <v>2015.0</v>
      </c>
      <c r="AJ2002" s="1">
        <v>2015.0</v>
      </c>
      <c r="AK2002" s="1" t="s">
        <v>713</v>
      </c>
    </row>
    <row r="2003">
      <c r="A2003" s="1" t="s">
        <v>3378</v>
      </c>
      <c r="B2003" s="1" t="s">
        <v>3378</v>
      </c>
      <c r="C2003" s="1" t="s">
        <v>194</v>
      </c>
      <c r="E2003" s="1">
        <v>1.3225274E7</v>
      </c>
      <c r="F2003" s="2">
        <v>41914.0</v>
      </c>
      <c r="G2003" s="1" t="s">
        <v>1228</v>
      </c>
      <c r="I2003" s="1" t="s">
        <v>1228</v>
      </c>
      <c r="L2003" s="1" t="s">
        <v>194</v>
      </c>
      <c r="M2003" s="1">
        <v>9100.0</v>
      </c>
      <c r="N2003" s="1" t="s">
        <v>194</v>
      </c>
      <c r="O2003" s="1">
        <v>7.6340843E7</v>
      </c>
      <c r="P2003" s="1" t="s">
        <v>461</v>
      </c>
      <c r="R2003" s="1" t="s">
        <v>1599</v>
      </c>
      <c r="S2003" s="1" t="s">
        <v>44</v>
      </c>
      <c r="T2003" s="1" t="s">
        <v>45</v>
      </c>
      <c r="U2003" s="1">
        <v>4.8202301E8</v>
      </c>
      <c r="W2003" s="1" t="s">
        <v>44</v>
      </c>
      <c r="X2003" s="1" t="s">
        <v>45</v>
      </c>
      <c r="Y2003" s="1">
        <v>4.82023096E8</v>
      </c>
      <c r="Z2003" s="1">
        <v>7.6340843E7</v>
      </c>
      <c r="AA2003" s="1" t="s">
        <v>461</v>
      </c>
      <c r="AB2003" s="1">
        <v>60000.0</v>
      </c>
      <c r="AC2003" s="2">
        <v>41914.0</v>
      </c>
      <c r="AD2003" s="1">
        <v>9100.0</v>
      </c>
      <c r="AE2003" s="1" t="s">
        <v>194</v>
      </c>
      <c r="AF2003" s="1" t="s">
        <v>3684</v>
      </c>
      <c r="AG2003" s="1" t="s">
        <v>1232</v>
      </c>
      <c r="AH2003" s="1">
        <v>1.0</v>
      </c>
      <c r="AI2003" s="1">
        <v>2015.0</v>
      </c>
      <c r="AJ2003" s="1">
        <v>2015.0</v>
      </c>
      <c r="AK2003" s="1" t="s">
        <v>1233</v>
      </c>
    </row>
    <row r="2004">
      <c r="A2004" s="1" t="s">
        <v>1913</v>
      </c>
      <c r="B2004" s="1" t="s">
        <v>1913</v>
      </c>
      <c r="C2004" s="1" t="s">
        <v>645</v>
      </c>
      <c r="E2004" s="1">
        <v>1.4642656E8</v>
      </c>
      <c r="F2004" s="2">
        <v>41999.0</v>
      </c>
      <c r="G2004" s="1" t="s">
        <v>710</v>
      </c>
      <c r="I2004" s="1" t="s">
        <v>710</v>
      </c>
      <c r="L2004" s="1" t="s">
        <v>647</v>
      </c>
      <c r="M2004" s="1">
        <v>1200.0</v>
      </c>
      <c r="N2004" s="1" t="s">
        <v>647</v>
      </c>
      <c r="O2004" s="1">
        <v>8.3082572E8</v>
      </c>
      <c r="P2004" s="1" t="s">
        <v>465</v>
      </c>
      <c r="Q2004" s="1" t="s">
        <v>554</v>
      </c>
      <c r="R2004" s="1" t="s">
        <v>555</v>
      </c>
      <c r="S2004" s="1" t="s">
        <v>44</v>
      </c>
      <c r="T2004" s="1" t="s">
        <v>45</v>
      </c>
      <c r="U2004" s="1">
        <v>4.82024061E8</v>
      </c>
      <c r="W2004" s="1" t="s">
        <v>44</v>
      </c>
      <c r="X2004" s="1" t="s">
        <v>45</v>
      </c>
      <c r="Y2004" s="1">
        <v>4.82023457E8</v>
      </c>
      <c r="Z2004" s="1">
        <v>1.6338926E8</v>
      </c>
      <c r="AA2004" s="1" t="s">
        <v>465</v>
      </c>
      <c r="AB2004" s="1">
        <v>65730.22</v>
      </c>
      <c r="AC2004" s="2">
        <v>41999.0</v>
      </c>
      <c r="AD2004" s="1">
        <v>1200.0</v>
      </c>
      <c r="AE2004" s="1" t="s">
        <v>647</v>
      </c>
      <c r="AF2004" s="1" t="s">
        <v>3685</v>
      </c>
      <c r="AG2004" s="1" t="s">
        <v>712</v>
      </c>
      <c r="AH2004" s="1">
        <v>1.0</v>
      </c>
      <c r="AI2004" s="1">
        <v>2015.0</v>
      </c>
      <c r="AJ2004" s="1">
        <v>2015.0</v>
      </c>
      <c r="AK2004" s="1" t="s">
        <v>713</v>
      </c>
    </row>
    <row r="2005">
      <c r="A2005" s="1" t="s">
        <v>3378</v>
      </c>
      <c r="B2005" s="1" t="s">
        <v>3378</v>
      </c>
      <c r="C2005" s="1" t="s">
        <v>194</v>
      </c>
      <c r="E2005" s="1">
        <v>1.3225274E7</v>
      </c>
      <c r="F2005" s="2">
        <v>41922.0</v>
      </c>
      <c r="G2005" s="1" t="s">
        <v>1228</v>
      </c>
      <c r="I2005" s="1" t="s">
        <v>1228</v>
      </c>
      <c r="L2005" s="1" t="s">
        <v>194</v>
      </c>
      <c r="M2005" s="1">
        <v>9100.0</v>
      </c>
      <c r="N2005" s="1" t="s">
        <v>194</v>
      </c>
      <c r="O2005" s="1">
        <v>1962224.0</v>
      </c>
      <c r="P2005" s="1" t="s">
        <v>52</v>
      </c>
      <c r="R2005" s="1" t="s">
        <v>1885</v>
      </c>
      <c r="S2005" s="1" t="s">
        <v>44</v>
      </c>
      <c r="T2005" s="1" t="s">
        <v>45</v>
      </c>
      <c r="U2005" s="1">
        <v>4.82021347E8</v>
      </c>
      <c r="W2005" s="1" t="s">
        <v>44</v>
      </c>
      <c r="X2005" s="1" t="s">
        <v>45</v>
      </c>
      <c r="Y2005" s="1">
        <v>4.82023424E8</v>
      </c>
      <c r="Z2005" s="1">
        <v>1962224.0</v>
      </c>
      <c r="AA2005" s="1" t="s">
        <v>52</v>
      </c>
      <c r="AB2005" s="1">
        <v>80000.0</v>
      </c>
      <c r="AC2005" s="2">
        <v>41922.0</v>
      </c>
      <c r="AD2005" s="1">
        <v>9100.0</v>
      </c>
      <c r="AE2005" s="1" t="s">
        <v>194</v>
      </c>
      <c r="AF2005" s="1" t="s">
        <v>3686</v>
      </c>
      <c r="AG2005" s="1" t="s">
        <v>1232</v>
      </c>
      <c r="AH2005" s="1">
        <v>1.0</v>
      </c>
      <c r="AI2005" s="1">
        <v>2015.0</v>
      </c>
      <c r="AJ2005" s="1">
        <v>2015.0</v>
      </c>
      <c r="AK2005" s="1" t="s">
        <v>1233</v>
      </c>
    </row>
    <row r="2006">
      <c r="A2006" s="1" t="s">
        <v>3515</v>
      </c>
      <c r="B2006" s="1" t="s">
        <v>3515</v>
      </c>
      <c r="C2006" s="1" t="s">
        <v>645</v>
      </c>
      <c r="E2006" s="1">
        <v>4.64793056E8</v>
      </c>
      <c r="F2006" s="2">
        <v>41956.0</v>
      </c>
      <c r="G2006" s="1" t="s">
        <v>710</v>
      </c>
      <c r="I2006" s="1" t="s">
        <v>710</v>
      </c>
      <c r="L2006" s="1" t="s">
        <v>647</v>
      </c>
      <c r="M2006" s="1">
        <v>1200.0</v>
      </c>
      <c r="N2006" s="1" t="s">
        <v>647</v>
      </c>
      <c r="O2006" s="1">
        <v>6533863.0</v>
      </c>
      <c r="P2006" s="1" t="s">
        <v>3194</v>
      </c>
      <c r="Q2006" s="1" t="s">
        <v>3195</v>
      </c>
      <c r="R2006" s="1" t="s">
        <v>3196</v>
      </c>
      <c r="S2006" s="1" t="s">
        <v>44</v>
      </c>
      <c r="T2006" s="1" t="s">
        <v>45</v>
      </c>
      <c r="U2006" s="1">
        <v>4.82261894E8</v>
      </c>
      <c r="W2006" s="1" t="s">
        <v>3197</v>
      </c>
      <c r="X2006" s="1" t="s">
        <v>45</v>
      </c>
      <c r="Y2006" s="1">
        <v>4.81339647E8</v>
      </c>
      <c r="Z2006" s="1">
        <v>6533863.0</v>
      </c>
      <c r="AB2006" s="1">
        <v>477256.11</v>
      </c>
      <c r="AC2006" s="2">
        <v>41956.0</v>
      </c>
      <c r="AD2006" s="1">
        <v>1200.0</v>
      </c>
      <c r="AE2006" s="1" t="s">
        <v>647</v>
      </c>
      <c r="AF2006" s="1" t="s">
        <v>3687</v>
      </c>
      <c r="AG2006" s="1" t="s">
        <v>712</v>
      </c>
      <c r="AH2006" s="1">
        <v>1.0</v>
      </c>
      <c r="AI2006" s="1">
        <v>2015.0</v>
      </c>
      <c r="AJ2006" s="1">
        <v>2015.0</v>
      </c>
      <c r="AK2006" s="1" t="s">
        <v>713</v>
      </c>
    </row>
    <row r="2007">
      <c r="A2007" s="1" t="s">
        <v>1913</v>
      </c>
      <c r="B2007" s="1" t="s">
        <v>1913</v>
      </c>
      <c r="C2007" s="1" t="s">
        <v>645</v>
      </c>
      <c r="E2007" s="1">
        <v>1.4642656E8</v>
      </c>
      <c r="F2007" s="2">
        <v>41956.0</v>
      </c>
      <c r="G2007" s="1" t="s">
        <v>710</v>
      </c>
      <c r="I2007" s="1" t="s">
        <v>710</v>
      </c>
      <c r="L2007" s="1" t="s">
        <v>647</v>
      </c>
      <c r="M2007" s="1">
        <v>1200.0</v>
      </c>
      <c r="N2007" s="1" t="s">
        <v>647</v>
      </c>
      <c r="O2007" s="1">
        <v>8.29630537E8</v>
      </c>
      <c r="P2007" s="1" t="s">
        <v>531</v>
      </c>
      <c r="Q2007" s="1" t="s">
        <v>532</v>
      </c>
      <c r="R2007" s="1" t="s">
        <v>533</v>
      </c>
      <c r="S2007" s="1" t="s">
        <v>44</v>
      </c>
      <c r="T2007" s="1" t="s">
        <v>45</v>
      </c>
      <c r="U2007" s="1">
        <v>4.8219181E8</v>
      </c>
      <c r="W2007" s="1" t="s">
        <v>44</v>
      </c>
      <c r="X2007" s="1" t="s">
        <v>45</v>
      </c>
      <c r="Y2007" s="1">
        <v>4.8219181E8</v>
      </c>
      <c r="AB2007" s="1">
        <v>52561.62</v>
      </c>
      <c r="AC2007" s="2">
        <v>41956.0</v>
      </c>
      <c r="AD2007" s="1">
        <v>1200.0</v>
      </c>
      <c r="AE2007" s="1" t="s">
        <v>647</v>
      </c>
      <c r="AF2007" s="1" t="s">
        <v>3688</v>
      </c>
      <c r="AG2007" s="1" t="s">
        <v>712</v>
      </c>
      <c r="AH2007" s="1">
        <v>1.0</v>
      </c>
      <c r="AI2007" s="1">
        <v>2015.0</v>
      </c>
      <c r="AJ2007" s="1">
        <v>2015.0</v>
      </c>
      <c r="AK2007" s="1" t="s">
        <v>713</v>
      </c>
    </row>
    <row r="2008">
      <c r="A2008" s="1" t="s">
        <v>1913</v>
      </c>
      <c r="B2008" s="1" t="s">
        <v>1913</v>
      </c>
      <c r="C2008" s="1" t="s">
        <v>645</v>
      </c>
      <c r="E2008" s="1">
        <v>1.4642656E8</v>
      </c>
      <c r="F2008" s="2">
        <v>41984.0</v>
      </c>
      <c r="G2008" s="1" t="s">
        <v>710</v>
      </c>
      <c r="I2008" s="1" t="s">
        <v>710</v>
      </c>
      <c r="L2008" s="1" t="s">
        <v>647</v>
      </c>
      <c r="M2008" s="1">
        <v>1200.0</v>
      </c>
      <c r="N2008" s="1" t="s">
        <v>647</v>
      </c>
      <c r="O2008" s="1">
        <v>8.29503312E8</v>
      </c>
      <c r="P2008" s="1" t="s">
        <v>622</v>
      </c>
      <c r="R2008" s="1" t="s">
        <v>623</v>
      </c>
      <c r="S2008" s="1" t="s">
        <v>44</v>
      </c>
      <c r="T2008" s="1" t="s">
        <v>45</v>
      </c>
      <c r="U2008" s="1">
        <v>4.82035715E8</v>
      </c>
      <c r="W2008" s="1" t="s">
        <v>603</v>
      </c>
      <c r="X2008" s="1" t="s">
        <v>45</v>
      </c>
      <c r="Y2008" s="1">
        <v>4.82035715E8</v>
      </c>
      <c r="AB2008" s="1">
        <v>66395.88</v>
      </c>
      <c r="AC2008" s="2">
        <v>41984.0</v>
      </c>
      <c r="AD2008" s="1">
        <v>1200.0</v>
      </c>
      <c r="AE2008" s="1" t="s">
        <v>647</v>
      </c>
      <c r="AF2008" s="1" t="s">
        <v>3689</v>
      </c>
      <c r="AG2008" s="1" t="s">
        <v>712</v>
      </c>
      <c r="AH2008" s="1">
        <v>1.0</v>
      </c>
      <c r="AI2008" s="1">
        <v>2015.0</v>
      </c>
      <c r="AJ2008" s="1">
        <v>2015.0</v>
      </c>
      <c r="AK2008" s="1" t="s">
        <v>713</v>
      </c>
    </row>
    <row r="2009">
      <c r="A2009" s="1" t="s">
        <v>1913</v>
      </c>
      <c r="B2009" s="1" t="s">
        <v>1913</v>
      </c>
      <c r="C2009" s="1" t="s">
        <v>645</v>
      </c>
      <c r="E2009" s="1">
        <v>1.4642656E8</v>
      </c>
      <c r="F2009" s="2">
        <v>41977.0</v>
      </c>
      <c r="G2009" s="1" t="s">
        <v>710</v>
      </c>
      <c r="I2009" s="1" t="s">
        <v>710</v>
      </c>
      <c r="L2009" s="1" t="s">
        <v>647</v>
      </c>
      <c r="M2009" s="1">
        <v>1200.0</v>
      </c>
      <c r="N2009" s="1" t="s">
        <v>647</v>
      </c>
      <c r="O2009" s="1">
        <v>7.93697355E8</v>
      </c>
      <c r="P2009" s="1" t="s">
        <v>691</v>
      </c>
      <c r="Q2009" s="1" t="s">
        <v>1194</v>
      </c>
      <c r="R2009" s="1" t="s">
        <v>692</v>
      </c>
      <c r="S2009" s="1" t="s">
        <v>44</v>
      </c>
      <c r="T2009" s="1" t="s">
        <v>45</v>
      </c>
      <c r="U2009" s="1">
        <v>4.82111554E8</v>
      </c>
      <c r="W2009" s="1" t="s">
        <v>44</v>
      </c>
      <c r="X2009" s="1" t="s">
        <v>45</v>
      </c>
      <c r="Y2009" s="1">
        <v>4.82111552E8</v>
      </c>
      <c r="AB2009" s="1">
        <v>32394.98</v>
      </c>
      <c r="AC2009" s="2">
        <v>41977.0</v>
      </c>
      <c r="AD2009" s="1">
        <v>1200.0</v>
      </c>
      <c r="AE2009" s="1" t="s">
        <v>647</v>
      </c>
      <c r="AF2009" s="1" t="s">
        <v>3690</v>
      </c>
      <c r="AG2009" s="1" t="s">
        <v>712</v>
      </c>
      <c r="AH2009" s="1">
        <v>1.0</v>
      </c>
      <c r="AI2009" s="1">
        <v>2015.0</v>
      </c>
      <c r="AJ2009" s="1">
        <v>2015.0</v>
      </c>
      <c r="AK2009" s="1" t="s">
        <v>713</v>
      </c>
    </row>
    <row r="2010">
      <c r="A2010" s="1" t="s">
        <v>3310</v>
      </c>
      <c r="B2010" s="1" t="s">
        <v>3310</v>
      </c>
      <c r="C2010" s="1" t="s">
        <v>389</v>
      </c>
      <c r="E2010" s="1">
        <v>5.1970484E7</v>
      </c>
      <c r="F2010" s="2">
        <v>41918.0</v>
      </c>
      <c r="G2010" s="1" t="s">
        <v>1875</v>
      </c>
      <c r="I2010" s="1" t="s">
        <v>1875</v>
      </c>
      <c r="L2010" s="1" t="s">
        <v>391</v>
      </c>
      <c r="M2010" s="1">
        <v>1600.0</v>
      </c>
      <c r="N2010" s="1" t="s">
        <v>391</v>
      </c>
      <c r="O2010" s="1">
        <v>9.68755756E8</v>
      </c>
      <c r="P2010" s="1" t="s">
        <v>1806</v>
      </c>
      <c r="R2010" s="1" t="s">
        <v>1807</v>
      </c>
      <c r="S2010" s="1" t="s">
        <v>44</v>
      </c>
      <c r="T2010" s="1" t="s">
        <v>45</v>
      </c>
      <c r="U2010" s="1">
        <v>4.82262917E8</v>
      </c>
      <c r="W2010" s="1" t="s">
        <v>46</v>
      </c>
      <c r="X2010" s="1" t="s">
        <v>45</v>
      </c>
      <c r="Y2010" s="1">
        <v>4.82022943E8</v>
      </c>
      <c r="AB2010" s="1">
        <v>253394.0</v>
      </c>
      <c r="AC2010" s="2">
        <v>41918.0</v>
      </c>
      <c r="AD2010" s="1">
        <v>1600.0</v>
      </c>
      <c r="AE2010" s="1" t="s">
        <v>391</v>
      </c>
      <c r="AF2010" s="1" t="s">
        <v>3691</v>
      </c>
      <c r="AG2010" s="1" t="s">
        <v>3692</v>
      </c>
      <c r="AH2010" s="1">
        <v>1.0</v>
      </c>
      <c r="AI2010" s="1">
        <v>2015.0</v>
      </c>
      <c r="AJ2010" s="1">
        <v>2015.0</v>
      </c>
      <c r="AK2010" s="1" t="s">
        <v>1878</v>
      </c>
    </row>
    <row r="2011">
      <c r="A2011" s="1" t="s">
        <v>1913</v>
      </c>
      <c r="B2011" s="1" t="s">
        <v>1913</v>
      </c>
      <c r="C2011" s="1" t="s">
        <v>645</v>
      </c>
      <c r="E2011" s="1">
        <v>1.4642656E8</v>
      </c>
      <c r="F2011" s="2">
        <v>41977.0</v>
      </c>
      <c r="G2011" s="1" t="s">
        <v>710</v>
      </c>
      <c r="I2011" s="1" t="s">
        <v>710</v>
      </c>
      <c r="L2011" s="1" t="s">
        <v>647</v>
      </c>
      <c r="M2011" s="1">
        <v>1200.0</v>
      </c>
      <c r="N2011" s="1" t="s">
        <v>647</v>
      </c>
      <c r="O2011" s="1">
        <v>8.0463354E7</v>
      </c>
      <c r="P2011" s="1" t="s">
        <v>518</v>
      </c>
      <c r="R2011" s="1" t="s">
        <v>519</v>
      </c>
      <c r="S2011" s="1" t="s">
        <v>44</v>
      </c>
      <c r="T2011" s="1" t="s">
        <v>45</v>
      </c>
      <c r="U2011" s="1">
        <v>4.82102105E8</v>
      </c>
      <c r="W2011" s="1" t="s">
        <v>44</v>
      </c>
      <c r="X2011" s="1" t="s">
        <v>45</v>
      </c>
      <c r="Y2011" s="1">
        <v>4.82102105E8</v>
      </c>
      <c r="Z2011" s="1">
        <v>8.0463354E7</v>
      </c>
      <c r="AA2011" s="1" t="s">
        <v>518</v>
      </c>
      <c r="AB2011" s="1">
        <v>54128.34</v>
      </c>
      <c r="AC2011" s="2">
        <v>41977.0</v>
      </c>
      <c r="AD2011" s="1">
        <v>1200.0</v>
      </c>
      <c r="AE2011" s="1" t="s">
        <v>647</v>
      </c>
      <c r="AF2011" s="1" t="s">
        <v>3693</v>
      </c>
      <c r="AG2011" s="1" t="s">
        <v>712</v>
      </c>
      <c r="AH2011" s="1">
        <v>1.0</v>
      </c>
      <c r="AI2011" s="1">
        <v>2015.0</v>
      </c>
      <c r="AJ2011" s="1">
        <v>2015.0</v>
      </c>
      <c r="AK2011" s="1" t="s">
        <v>713</v>
      </c>
    </row>
    <row r="2012">
      <c r="A2012" s="1" t="s">
        <v>1913</v>
      </c>
      <c r="B2012" s="1" t="s">
        <v>1913</v>
      </c>
      <c r="C2012" s="1" t="s">
        <v>645</v>
      </c>
      <c r="E2012" s="1">
        <v>1.4642656E8</v>
      </c>
      <c r="F2012" s="2">
        <v>41984.0</v>
      </c>
      <c r="G2012" s="1" t="s">
        <v>710</v>
      </c>
      <c r="I2012" s="1" t="s">
        <v>710</v>
      </c>
      <c r="L2012" s="1" t="s">
        <v>647</v>
      </c>
      <c r="M2012" s="1">
        <v>1200.0</v>
      </c>
      <c r="N2012" s="1" t="s">
        <v>647</v>
      </c>
      <c r="O2012" s="1">
        <v>1.17726252E8</v>
      </c>
      <c r="P2012" s="1" t="s">
        <v>512</v>
      </c>
      <c r="R2012" s="1" t="s">
        <v>513</v>
      </c>
      <c r="S2012" s="1" t="s">
        <v>44</v>
      </c>
      <c r="T2012" s="1" t="s">
        <v>45</v>
      </c>
      <c r="U2012" s="1">
        <v>4.82193259E8</v>
      </c>
      <c r="W2012" s="1" t="s">
        <v>44</v>
      </c>
      <c r="X2012" s="1" t="s">
        <v>45</v>
      </c>
      <c r="Y2012" s="1">
        <v>4.82193259E8</v>
      </c>
      <c r="AB2012" s="1">
        <v>45150.42</v>
      </c>
      <c r="AC2012" s="2">
        <v>41984.0</v>
      </c>
      <c r="AD2012" s="1">
        <v>1200.0</v>
      </c>
      <c r="AE2012" s="1" t="s">
        <v>647</v>
      </c>
      <c r="AF2012" s="1" t="s">
        <v>3694</v>
      </c>
      <c r="AG2012" s="1" t="s">
        <v>712</v>
      </c>
      <c r="AH2012" s="1">
        <v>1.0</v>
      </c>
      <c r="AI2012" s="1">
        <v>2015.0</v>
      </c>
      <c r="AJ2012" s="1">
        <v>2015.0</v>
      </c>
      <c r="AK2012" s="1" t="s">
        <v>713</v>
      </c>
    </row>
    <row r="2013">
      <c r="A2013" s="1" t="s">
        <v>3397</v>
      </c>
      <c r="B2013" s="1" t="s">
        <v>3397</v>
      </c>
      <c r="C2013" s="1" t="s">
        <v>194</v>
      </c>
      <c r="E2013" s="1">
        <v>2.29266E7</v>
      </c>
      <c r="F2013" s="2">
        <v>41374.0</v>
      </c>
      <c r="G2013" s="1" t="s">
        <v>3398</v>
      </c>
      <c r="I2013" s="1" t="s">
        <v>3398</v>
      </c>
      <c r="L2013" s="1" t="s">
        <v>194</v>
      </c>
      <c r="M2013" s="1">
        <v>9100.0</v>
      </c>
      <c r="N2013" s="1" t="s">
        <v>194</v>
      </c>
      <c r="O2013" s="1">
        <v>6.02807237E8</v>
      </c>
      <c r="P2013" s="1" t="s">
        <v>3399</v>
      </c>
      <c r="R2013" s="1" t="s">
        <v>3400</v>
      </c>
      <c r="S2013" s="1" t="s">
        <v>44</v>
      </c>
      <c r="T2013" s="1" t="s">
        <v>45</v>
      </c>
      <c r="U2013" s="1">
        <v>4.82273809E8</v>
      </c>
      <c r="W2013" s="1" t="s">
        <v>46</v>
      </c>
      <c r="X2013" s="1" t="s">
        <v>45</v>
      </c>
      <c r="Y2013" s="1">
        <v>4.82194068E8</v>
      </c>
      <c r="AB2013" s="1">
        <v>109997.0</v>
      </c>
      <c r="AC2013" s="2">
        <v>41374.0</v>
      </c>
      <c r="AD2013" s="1">
        <v>9100.0</v>
      </c>
      <c r="AE2013" s="1" t="s">
        <v>194</v>
      </c>
      <c r="AF2013" s="1" t="s">
        <v>3695</v>
      </c>
      <c r="AG2013" s="1" t="s">
        <v>3402</v>
      </c>
      <c r="AH2013" s="1">
        <v>1.0</v>
      </c>
      <c r="AI2013" s="1">
        <v>2015.0</v>
      </c>
      <c r="AJ2013" s="1">
        <v>2013.0</v>
      </c>
      <c r="AK2013" s="1" t="s">
        <v>3403</v>
      </c>
    </row>
    <row r="2014">
      <c r="A2014" s="1" t="s">
        <v>1913</v>
      </c>
      <c r="B2014" s="1" t="s">
        <v>1913</v>
      </c>
      <c r="C2014" s="1" t="s">
        <v>645</v>
      </c>
      <c r="E2014" s="1">
        <v>1.4642656E8</v>
      </c>
      <c r="F2014" s="2">
        <v>41984.0</v>
      </c>
      <c r="G2014" s="1" t="s">
        <v>710</v>
      </c>
      <c r="I2014" s="1" t="s">
        <v>710</v>
      </c>
      <c r="L2014" s="1" t="s">
        <v>647</v>
      </c>
      <c r="M2014" s="1">
        <v>1200.0</v>
      </c>
      <c r="N2014" s="1" t="s">
        <v>647</v>
      </c>
      <c r="O2014" s="1">
        <v>9.48021373E8</v>
      </c>
      <c r="P2014" s="1" t="s">
        <v>501</v>
      </c>
      <c r="R2014" s="1" t="s">
        <v>502</v>
      </c>
      <c r="S2014" s="1" t="s">
        <v>44</v>
      </c>
      <c r="T2014" s="1" t="s">
        <v>45</v>
      </c>
      <c r="U2014" s="1">
        <v>4.82072901E8</v>
      </c>
      <c r="W2014" s="1" t="s">
        <v>44</v>
      </c>
      <c r="X2014" s="1" t="s">
        <v>45</v>
      </c>
      <c r="Y2014" s="1">
        <v>4.82072901E8</v>
      </c>
      <c r="AB2014" s="1">
        <v>65786.94</v>
      </c>
      <c r="AC2014" s="2">
        <v>41984.0</v>
      </c>
      <c r="AD2014" s="1">
        <v>1200.0</v>
      </c>
      <c r="AE2014" s="1" t="s">
        <v>647</v>
      </c>
      <c r="AF2014" s="1" t="s">
        <v>3696</v>
      </c>
      <c r="AG2014" s="1" t="s">
        <v>712</v>
      </c>
      <c r="AH2014" s="1">
        <v>1.0</v>
      </c>
      <c r="AI2014" s="1">
        <v>2015.0</v>
      </c>
      <c r="AJ2014" s="1">
        <v>2015.0</v>
      </c>
      <c r="AK2014" s="1" t="s">
        <v>713</v>
      </c>
    </row>
    <row r="2015">
      <c r="A2015" s="1" t="s">
        <v>3397</v>
      </c>
      <c r="B2015" s="1" t="s">
        <v>3397</v>
      </c>
      <c r="C2015" s="1" t="s">
        <v>194</v>
      </c>
      <c r="E2015" s="1">
        <v>2.29266E7</v>
      </c>
      <c r="F2015" s="2">
        <v>41374.0</v>
      </c>
      <c r="G2015" s="1" t="s">
        <v>3398</v>
      </c>
      <c r="I2015" s="1" t="s">
        <v>3398</v>
      </c>
      <c r="L2015" s="1" t="s">
        <v>194</v>
      </c>
      <c r="M2015" s="1">
        <v>9100.0</v>
      </c>
      <c r="N2015" s="1" t="s">
        <v>194</v>
      </c>
      <c r="O2015" s="1">
        <v>6.02807237E8</v>
      </c>
      <c r="P2015" s="1" t="s">
        <v>3399</v>
      </c>
      <c r="R2015" s="1" t="s">
        <v>3400</v>
      </c>
      <c r="S2015" s="1" t="s">
        <v>44</v>
      </c>
      <c r="T2015" s="1" t="s">
        <v>45</v>
      </c>
      <c r="U2015" s="1">
        <v>4.82273809E8</v>
      </c>
      <c r="W2015" s="1" t="s">
        <v>46</v>
      </c>
      <c r="X2015" s="1" t="s">
        <v>45</v>
      </c>
      <c r="Y2015" s="1">
        <v>4.82194068E8</v>
      </c>
      <c r="AB2015" s="1">
        <v>109997.0</v>
      </c>
      <c r="AC2015" s="2">
        <v>41374.0</v>
      </c>
      <c r="AD2015" s="1">
        <v>9100.0</v>
      </c>
      <c r="AE2015" s="1" t="s">
        <v>194</v>
      </c>
      <c r="AF2015" s="1" t="s">
        <v>3695</v>
      </c>
      <c r="AG2015" s="1" t="s">
        <v>3402</v>
      </c>
      <c r="AH2015" s="1">
        <v>1.0</v>
      </c>
      <c r="AI2015" s="1">
        <v>2015.0</v>
      </c>
      <c r="AJ2015" s="1">
        <v>2013.0</v>
      </c>
      <c r="AK2015" s="1" t="s">
        <v>3403</v>
      </c>
    </row>
    <row r="2016">
      <c r="A2016" s="1" t="s">
        <v>3397</v>
      </c>
      <c r="B2016" s="1" t="s">
        <v>3397</v>
      </c>
      <c r="C2016" s="1" t="s">
        <v>194</v>
      </c>
      <c r="E2016" s="1">
        <v>2.29266E7</v>
      </c>
      <c r="F2016" s="2">
        <v>41858.0</v>
      </c>
      <c r="G2016" s="1" t="s">
        <v>3398</v>
      </c>
      <c r="I2016" s="1" t="s">
        <v>3398</v>
      </c>
      <c r="L2016" s="1" t="s">
        <v>194</v>
      </c>
      <c r="M2016" s="1">
        <v>9100.0</v>
      </c>
      <c r="N2016" s="1" t="s">
        <v>194</v>
      </c>
      <c r="O2016" s="1">
        <v>7.8583963E7</v>
      </c>
      <c r="P2016" s="1" t="s">
        <v>526</v>
      </c>
      <c r="Q2016" s="1" t="s">
        <v>3501</v>
      </c>
      <c r="R2016" s="1" t="s">
        <v>3020</v>
      </c>
      <c r="S2016" s="1" t="s">
        <v>44</v>
      </c>
      <c r="T2016" s="1" t="s">
        <v>45</v>
      </c>
      <c r="U2016" s="1">
        <v>4.82091434E8</v>
      </c>
      <c r="W2016" s="1" t="s">
        <v>46</v>
      </c>
      <c r="X2016" s="1" t="s">
        <v>45</v>
      </c>
      <c r="Y2016" s="1">
        <v>4.82091434E8</v>
      </c>
      <c r="Z2016" s="1">
        <v>5.3665132E7</v>
      </c>
      <c r="AB2016" s="1">
        <v>400000.0</v>
      </c>
      <c r="AC2016" s="2">
        <v>41858.0</v>
      </c>
      <c r="AD2016" s="1">
        <v>9100.0</v>
      </c>
      <c r="AE2016" s="1" t="s">
        <v>194</v>
      </c>
      <c r="AF2016" s="1" t="s">
        <v>3697</v>
      </c>
      <c r="AG2016" s="1" t="s">
        <v>3462</v>
      </c>
      <c r="AH2016" s="1">
        <v>1.0</v>
      </c>
      <c r="AI2016" s="1">
        <v>2015.0</v>
      </c>
      <c r="AJ2016" s="1">
        <v>2014.0</v>
      </c>
      <c r="AK2016" s="1" t="s">
        <v>3403</v>
      </c>
    </row>
    <row r="2017">
      <c r="A2017" s="1" t="s">
        <v>1913</v>
      </c>
      <c r="B2017" s="1" t="s">
        <v>1913</v>
      </c>
      <c r="C2017" s="1" t="s">
        <v>645</v>
      </c>
      <c r="E2017" s="1">
        <v>1.4642656E8</v>
      </c>
      <c r="F2017" s="2">
        <v>41977.0</v>
      </c>
      <c r="G2017" s="1" t="s">
        <v>710</v>
      </c>
      <c r="I2017" s="1" t="s">
        <v>710</v>
      </c>
      <c r="L2017" s="1" t="s">
        <v>647</v>
      </c>
      <c r="M2017" s="1">
        <v>1200.0</v>
      </c>
      <c r="N2017" s="1" t="s">
        <v>647</v>
      </c>
      <c r="O2017" s="1">
        <v>9.62378779E8</v>
      </c>
      <c r="P2017" s="1" t="s">
        <v>478</v>
      </c>
      <c r="R2017" s="1" t="s">
        <v>479</v>
      </c>
      <c r="S2017" s="1" t="s">
        <v>44</v>
      </c>
      <c r="T2017" s="1" t="s">
        <v>45</v>
      </c>
      <c r="U2017" s="1">
        <v>4.82342225E8</v>
      </c>
      <c r="W2017" s="1" t="s">
        <v>44</v>
      </c>
      <c r="X2017" s="1" t="s">
        <v>45</v>
      </c>
      <c r="Y2017" s="1">
        <v>4.82342225E8</v>
      </c>
      <c r="AB2017" s="1">
        <v>28210.81</v>
      </c>
      <c r="AC2017" s="2">
        <v>41977.0</v>
      </c>
      <c r="AD2017" s="1">
        <v>1200.0</v>
      </c>
      <c r="AE2017" s="1" t="s">
        <v>647</v>
      </c>
      <c r="AF2017" s="1" t="s">
        <v>3698</v>
      </c>
      <c r="AG2017" s="1" t="s">
        <v>712</v>
      </c>
      <c r="AH2017" s="1">
        <v>1.0</v>
      </c>
      <c r="AI2017" s="1">
        <v>2015.0</v>
      </c>
      <c r="AJ2017" s="1">
        <v>2015.0</v>
      </c>
      <c r="AK2017" s="1" t="s">
        <v>713</v>
      </c>
    </row>
    <row r="2018">
      <c r="A2018" s="1" t="s">
        <v>1913</v>
      </c>
      <c r="B2018" s="1" t="s">
        <v>1913</v>
      </c>
      <c r="C2018" s="1" t="s">
        <v>645</v>
      </c>
      <c r="E2018" s="1">
        <v>1.4642656E8</v>
      </c>
      <c r="F2018" s="2">
        <v>41999.0</v>
      </c>
      <c r="G2018" s="1" t="s">
        <v>710</v>
      </c>
      <c r="I2018" s="1" t="s">
        <v>710</v>
      </c>
      <c r="L2018" s="1" t="s">
        <v>647</v>
      </c>
      <c r="M2018" s="1">
        <v>1200.0</v>
      </c>
      <c r="N2018" s="1" t="s">
        <v>647</v>
      </c>
      <c r="O2018" s="1">
        <v>7.97531295E8</v>
      </c>
      <c r="P2018" s="1" t="s">
        <v>582</v>
      </c>
      <c r="R2018" s="1" t="s">
        <v>583</v>
      </c>
      <c r="S2018" s="1" t="s">
        <v>44</v>
      </c>
      <c r="T2018" s="1" t="s">
        <v>45</v>
      </c>
      <c r="U2018" s="1">
        <v>4.82123452E8</v>
      </c>
      <c r="W2018" s="1" t="s">
        <v>44</v>
      </c>
      <c r="X2018" s="1" t="s">
        <v>45</v>
      </c>
      <c r="Y2018" s="1">
        <v>4.82123452E8</v>
      </c>
      <c r="AB2018" s="1">
        <v>52628.94</v>
      </c>
      <c r="AC2018" s="2">
        <v>41999.0</v>
      </c>
      <c r="AD2018" s="1">
        <v>1200.0</v>
      </c>
      <c r="AE2018" s="1" t="s">
        <v>647</v>
      </c>
      <c r="AF2018" s="1" t="s">
        <v>3699</v>
      </c>
      <c r="AG2018" s="1" t="s">
        <v>712</v>
      </c>
      <c r="AH2018" s="1">
        <v>1.0</v>
      </c>
      <c r="AI2018" s="1">
        <v>2015.0</v>
      </c>
      <c r="AJ2018" s="1">
        <v>2015.0</v>
      </c>
      <c r="AK2018" s="1" t="s">
        <v>713</v>
      </c>
    </row>
    <row r="2019">
      <c r="A2019" s="1" t="s">
        <v>3397</v>
      </c>
      <c r="B2019" s="1" t="s">
        <v>3397</v>
      </c>
      <c r="C2019" s="1" t="s">
        <v>194</v>
      </c>
      <c r="E2019" s="1">
        <v>2.29266E7</v>
      </c>
      <c r="F2019" s="2">
        <v>41334.0</v>
      </c>
      <c r="G2019" s="1" t="s">
        <v>3398</v>
      </c>
      <c r="I2019" s="1" t="s">
        <v>3398</v>
      </c>
      <c r="L2019" s="1" t="s">
        <v>194</v>
      </c>
      <c r="M2019" s="1">
        <v>9100.0</v>
      </c>
      <c r="N2019" s="1" t="s">
        <v>194</v>
      </c>
      <c r="O2019" s="1">
        <v>8582033.0</v>
      </c>
      <c r="P2019" s="1" t="s">
        <v>667</v>
      </c>
      <c r="Q2019" s="1" t="s">
        <v>3700</v>
      </c>
      <c r="R2019" s="1" t="s">
        <v>3701</v>
      </c>
      <c r="S2019" s="1" t="s">
        <v>44</v>
      </c>
      <c r="T2019" s="1" t="s">
        <v>45</v>
      </c>
      <c r="U2019" s="1">
        <v>4.82382848E8</v>
      </c>
      <c r="W2019" s="1" t="s">
        <v>46</v>
      </c>
      <c r="X2019" s="1" t="s">
        <v>45</v>
      </c>
      <c r="Y2019" s="1">
        <v>4.82382849E8</v>
      </c>
      <c r="Z2019" s="1">
        <v>7.2761299E7</v>
      </c>
      <c r="AA2019" s="1" t="s">
        <v>667</v>
      </c>
      <c r="AB2019" s="1">
        <v>106053.0</v>
      </c>
      <c r="AC2019" s="2">
        <v>41334.0</v>
      </c>
      <c r="AD2019" s="1">
        <v>9100.0</v>
      </c>
      <c r="AE2019" s="1" t="s">
        <v>194</v>
      </c>
      <c r="AF2019" s="1" t="s">
        <v>3702</v>
      </c>
      <c r="AG2019" s="1" t="s">
        <v>3402</v>
      </c>
      <c r="AH2019" s="1">
        <v>1.0</v>
      </c>
      <c r="AI2019" s="1">
        <v>2015.0</v>
      </c>
      <c r="AJ2019" s="1">
        <v>2013.0</v>
      </c>
      <c r="AK2019" s="1" t="s">
        <v>3403</v>
      </c>
    </row>
    <row r="2020">
      <c r="A2020" s="1" t="s">
        <v>3397</v>
      </c>
      <c r="B2020" s="1" t="s">
        <v>3397</v>
      </c>
      <c r="C2020" s="1" t="s">
        <v>194</v>
      </c>
      <c r="E2020" s="1">
        <v>2.29266E7</v>
      </c>
      <c r="F2020" s="2">
        <v>41660.0</v>
      </c>
      <c r="G2020" s="1" t="s">
        <v>3398</v>
      </c>
      <c r="I2020" s="1" t="s">
        <v>3398</v>
      </c>
      <c r="L2020" s="1" t="s">
        <v>194</v>
      </c>
      <c r="M2020" s="1">
        <v>9100.0</v>
      </c>
      <c r="N2020" s="1" t="s">
        <v>194</v>
      </c>
      <c r="O2020" s="1">
        <v>1.0030049E8</v>
      </c>
      <c r="P2020" s="1" t="s">
        <v>461</v>
      </c>
      <c r="Q2020" s="1" t="s">
        <v>570</v>
      </c>
      <c r="R2020" s="1" t="s">
        <v>571</v>
      </c>
      <c r="S2020" s="1" t="s">
        <v>44</v>
      </c>
      <c r="T2020" s="1" t="s">
        <v>45</v>
      </c>
      <c r="U2020" s="1">
        <v>4.82382941E8</v>
      </c>
      <c r="W2020" s="1" t="s">
        <v>44</v>
      </c>
      <c r="X2020" s="1" t="s">
        <v>45</v>
      </c>
      <c r="Y2020" s="1">
        <v>4.82382947E8</v>
      </c>
      <c r="AB2020" s="1">
        <v>125000.0</v>
      </c>
      <c r="AC2020" s="2">
        <v>41660.0</v>
      </c>
      <c r="AD2020" s="1">
        <v>9100.0</v>
      </c>
      <c r="AE2020" s="1" t="s">
        <v>194</v>
      </c>
      <c r="AF2020" s="1" t="s">
        <v>3703</v>
      </c>
      <c r="AG2020" s="1" t="s">
        <v>3402</v>
      </c>
      <c r="AH2020" s="1">
        <v>1.0</v>
      </c>
      <c r="AI2020" s="1">
        <v>2015.0</v>
      </c>
      <c r="AJ2020" s="1">
        <v>2014.0</v>
      </c>
      <c r="AK2020" s="1" t="s">
        <v>3403</v>
      </c>
    </row>
    <row r="2021">
      <c r="A2021" s="1" t="s">
        <v>3413</v>
      </c>
      <c r="B2021" s="1" t="s">
        <v>3413</v>
      </c>
      <c r="C2021" s="1" t="s">
        <v>194</v>
      </c>
      <c r="E2021" s="1">
        <v>5.21188032E8</v>
      </c>
      <c r="F2021" s="2">
        <v>41988.0</v>
      </c>
      <c r="G2021" s="1" t="s">
        <v>1168</v>
      </c>
      <c r="I2021" s="1" t="s">
        <v>1168</v>
      </c>
      <c r="L2021" s="1" t="s">
        <v>194</v>
      </c>
      <c r="M2021" s="1">
        <v>9100.0</v>
      </c>
      <c r="N2021" s="1" t="s">
        <v>194</v>
      </c>
      <c r="O2021" s="1">
        <v>8.76992343E8</v>
      </c>
      <c r="P2021" s="1" t="s">
        <v>550</v>
      </c>
      <c r="Q2021" s="1" t="s">
        <v>3704</v>
      </c>
      <c r="R2021" s="1" t="s">
        <v>551</v>
      </c>
      <c r="S2021" s="1" t="s">
        <v>44</v>
      </c>
      <c r="T2021" s="1" t="s">
        <v>45</v>
      </c>
      <c r="U2021" s="1">
        <v>4.82102451E8</v>
      </c>
      <c r="W2021" s="1" t="s">
        <v>44</v>
      </c>
      <c r="X2021" s="1" t="s">
        <v>45</v>
      </c>
      <c r="Y2021" s="1">
        <v>4.82102451E8</v>
      </c>
      <c r="Z2021" s="1">
        <v>8.3939306E7</v>
      </c>
      <c r="AA2021" s="1" t="s">
        <v>3705</v>
      </c>
      <c r="AB2021" s="1">
        <v>696432.0</v>
      </c>
      <c r="AC2021" s="2">
        <v>41988.0</v>
      </c>
      <c r="AD2021" s="1">
        <v>9100.0</v>
      </c>
      <c r="AE2021" s="1" t="s">
        <v>194</v>
      </c>
      <c r="AF2021" s="1" t="s">
        <v>3706</v>
      </c>
      <c r="AG2021" s="1" t="s">
        <v>1170</v>
      </c>
      <c r="AH2021" s="1">
        <v>1.0</v>
      </c>
      <c r="AI2021" s="1">
        <v>2015.0</v>
      </c>
      <c r="AJ2021" s="1">
        <v>2015.0</v>
      </c>
      <c r="AK2021" s="1" t="s">
        <v>1171</v>
      </c>
    </row>
    <row r="2022">
      <c r="A2022" s="1" t="s">
        <v>3413</v>
      </c>
      <c r="B2022" s="1" t="s">
        <v>3413</v>
      </c>
      <c r="C2022" s="1" t="s">
        <v>194</v>
      </c>
      <c r="E2022" s="1">
        <v>5.21188032E8</v>
      </c>
      <c r="F2022" s="2">
        <v>41886.0</v>
      </c>
      <c r="G2022" s="1" t="s">
        <v>1168</v>
      </c>
      <c r="I2022" s="1" t="s">
        <v>1168</v>
      </c>
      <c r="L2022" s="1" t="s">
        <v>194</v>
      </c>
      <c r="M2022" s="1">
        <v>9100.0</v>
      </c>
      <c r="N2022" s="1" t="s">
        <v>194</v>
      </c>
      <c r="O2022" s="1">
        <v>2.496865E7</v>
      </c>
      <c r="P2022" s="1" t="s">
        <v>609</v>
      </c>
      <c r="R2022" s="1" t="s">
        <v>610</v>
      </c>
      <c r="S2022" s="1" t="s">
        <v>44</v>
      </c>
      <c r="T2022" s="1" t="s">
        <v>45</v>
      </c>
      <c r="U2022" s="1">
        <v>4.8235168E8</v>
      </c>
      <c r="W2022" s="1" t="s">
        <v>46</v>
      </c>
      <c r="X2022" s="1" t="s">
        <v>45</v>
      </c>
      <c r="Y2022" s="1">
        <v>4.8235168E8</v>
      </c>
      <c r="AB2022" s="1">
        <v>155386.0</v>
      </c>
      <c r="AC2022" s="2">
        <v>41886.0</v>
      </c>
      <c r="AD2022" s="1">
        <v>9100.0</v>
      </c>
      <c r="AE2022" s="1" t="s">
        <v>194</v>
      </c>
      <c r="AF2022" s="1" t="s">
        <v>3707</v>
      </c>
      <c r="AG2022" s="1" t="s">
        <v>3000</v>
      </c>
      <c r="AH2022" s="1">
        <v>1.0</v>
      </c>
      <c r="AI2022" s="1">
        <v>2015.0</v>
      </c>
      <c r="AJ2022" s="1">
        <v>2014.0</v>
      </c>
      <c r="AK2022" s="1" t="s">
        <v>1171</v>
      </c>
    </row>
    <row r="2023">
      <c r="A2023" s="1" t="s">
        <v>3413</v>
      </c>
      <c r="B2023" s="1" t="s">
        <v>3413</v>
      </c>
      <c r="C2023" s="1" t="s">
        <v>194</v>
      </c>
      <c r="E2023" s="1">
        <v>5.21188032E8</v>
      </c>
      <c r="F2023" s="2">
        <v>41982.0</v>
      </c>
      <c r="G2023" s="1" t="s">
        <v>1168</v>
      </c>
      <c r="I2023" s="1" t="s">
        <v>1168</v>
      </c>
      <c r="L2023" s="1" t="s">
        <v>194</v>
      </c>
      <c r="M2023" s="1">
        <v>9100.0</v>
      </c>
      <c r="N2023" s="1" t="s">
        <v>194</v>
      </c>
      <c r="O2023" s="1">
        <v>9.6910162E8</v>
      </c>
      <c r="P2023" s="1" t="s">
        <v>579</v>
      </c>
      <c r="Q2023" s="1" t="s">
        <v>3708</v>
      </c>
      <c r="R2023" s="1" t="s">
        <v>580</v>
      </c>
      <c r="S2023" s="1" t="s">
        <v>44</v>
      </c>
      <c r="T2023" s="1" t="s">
        <v>45</v>
      </c>
      <c r="U2023" s="1">
        <v>4.82283905E8</v>
      </c>
      <c r="W2023" s="1" t="s">
        <v>287</v>
      </c>
      <c r="X2023" s="1" t="s">
        <v>45</v>
      </c>
      <c r="Y2023" s="1">
        <v>4.82283905E8</v>
      </c>
      <c r="Z2023" s="1">
        <v>4.0578882E7</v>
      </c>
      <c r="AA2023" s="1" t="s">
        <v>3709</v>
      </c>
      <c r="AB2023" s="1">
        <v>356989.0</v>
      </c>
      <c r="AC2023" s="2">
        <v>41982.0</v>
      </c>
      <c r="AD2023" s="1">
        <v>9100.0</v>
      </c>
      <c r="AE2023" s="1" t="s">
        <v>194</v>
      </c>
      <c r="AF2023" s="1" t="s">
        <v>3710</v>
      </c>
      <c r="AG2023" s="1" t="s">
        <v>1170</v>
      </c>
      <c r="AH2023" s="1">
        <v>1.0</v>
      </c>
      <c r="AI2023" s="1">
        <v>2015.0</v>
      </c>
      <c r="AJ2023" s="1">
        <v>2015.0</v>
      </c>
      <c r="AK2023" s="1" t="s">
        <v>1171</v>
      </c>
    </row>
    <row r="2024">
      <c r="A2024" s="1" t="s">
        <v>1913</v>
      </c>
      <c r="B2024" s="1" t="s">
        <v>1913</v>
      </c>
      <c r="C2024" s="1" t="s">
        <v>645</v>
      </c>
      <c r="E2024" s="1">
        <v>1.4642656E8</v>
      </c>
      <c r="F2024" s="2">
        <v>41977.0</v>
      </c>
      <c r="G2024" s="1" t="s">
        <v>710</v>
      </c>
      <c r="I2024" s="1" t="s">
        <v>710</v>
      </c>
      <c r="L2024" s="1" t="s">
        <v>647</v>
      </c>
      <c r="M2024" s="1">
        <v>1200.0</v>
      </c>
      <c r="N2024" s="1" t="s">
        <v>647</v>
      </c>
      <c r="O2024" s="1">
        <v>1.52807538E8</v>
      </c>
      <c r="P2024" s="1" t="s">
        <v>591</v>
      </c>
      <c r="R2024" s="1" t="s">
        <v>592</v>
      </c>
      <c r="S2024" s="1" t="s">
        <v>44</v>
      </c>
      <c r="T2024" s="1" t="s">
        <v>45</v>
      </c>
      <c r="U2024" s="1">
        <v>4.82191161E8</v>
      </c>
      <c r="W2024" s="1" t="s">
        <v>44</v>
      </c>
      <c r="X2024" s="1" t="s">
        <v>45</v>
      </c>
      <c r="Y2024" s="1">
        <v>4.82191161E8</v>
      </c>
      <c r="AB2024" s="1">
        <v>28583.46</v>
      </c>
      <c r="AC2024" s="2">
        <v>41977.0</v>
      </c>
      <c r="AD2024" s="1">
        <v>1200.0</v>
      </c>
      <c r="AE2024" s="1" t="s">
        <v>647</v>
      </c>
      <c r="AF2024" s="1" t="s">
        <v>3711</v>
      </c>
      <c r="AG2024" s="1" t="s">
        <v>712</v>
      </c>
      <c r="AH2024" s="1">
        <v>1.0</v>
      </c>
      <c r="AI2024" s="1">
        <v>2015.0</v>
      </c>
      <c r="AJ2024" s="1">
        <v>2015.0</v>
      </c>
      <c r="AK2024" s="1" t="s">
        <v>713</v>
      </c>
    </row>
    <row r="2025">
      <c r="A2025" s="1" t="s">
        <v>3413</v>
      </c>
      <c r="B2025" s="1" t="s">
        <v>3413</v>
      </c>
      <c r="C2025" s="1" t="s">
        <v>194</v>
      </c>
      <c r="E2025" s="1">
        <v>5.21188032E8</v>
      </c>
      <c r="F2025" s="2">
        <v>41948.0</v>
      </c>
      <c r="G2025" s="1" t="s">
        <v>1168</v>
      </c>
      <c r="I2025" s="1" t="s">
        <v>1168</v>
      </c>
      <c r="L2025" s="1" t="s">
        <v>194</v>
      </c>
      <c r="M2025" s="1">
        <v>9100.0</v>
      </c>
      <c r="N2025" s="1" t="s">
        <v>194</v>
      </c>
      <c r="O2025" s="1">
        <v>7.6340843E7</v>
      </c>
      <c r="P2025" s="1" t="s">
        <v>461</v>
      </c>
      <c r="R2025" s="1" t="s">
        <v>1599</v>
      </c>
      <c r="S2025" s="1" t="s">
        <v>44</v>
      </c>
      <c r="T2025" s="1" t="s">
        <v>45</v>
      </c>
      <c r="U2025" s="1">
        <v>4.8202301E8</v>
      </c>
      <c r="W2025" s="1" t="s">
        <v>44</v>
      </c>
      <c r="X2025" s="1" t="s">
        <v>45</v>
      </c>
      <c r="Y2025" s="1">
        <v>4.82023096E8</v>
      </c>
      <c r="Z2025" s="1">
        <v>7.6340843E7</v>
      </c>
      <c r="AA2025" s="1" t="s">
        <v>461</v>
      </c>
      <c r="AB2025" s="1">
        <v>200587.0</v>
      </c>
      <c r="AC2025" s="2">
        <v>41948.0</v>
      </c>
      <c r="AD2025" s="1">
        <v>9100.0</v>
      </c>
      <c r="AE2025" s="1" t="s">
        <v>194</v>
      </c>
      <c r="AF2025" s="1" t="s">
        <v>3712</v>
      </c>
      <c r="AG2025" s="1" t="s">
        <v>1170</v>
      </c>
      <c r="AH2025" s="1">
        <v>1.0</v>
      </c>
      <c r="AI2025" s="1">
        <v>2015.0</v>
      </c>
      <c r="AJ2025" s="1">
        <v>2015.0</v>
      </c>
      <c r="AK2025" s="1" t="s">
        <v>1171</v>
      </c>
    </row>
    <row r="2026">
      <c r="A2026" s="1" t="s">
        <v>3413</v>
      </c>
      <c r="B2026" s="1" t="s">
        <v>3413</v>
      </c>
      <c r="C2026" s="1" t="s">
        <v>194</v>
      </c>
      <c r="E2026" s="1">
        <v>5.21188032E8</v>
      </c>
      <c r="F2026" s="2">
        <v>41955.0</v>
      </c>
      <c r="G2026" s="1" t="s">
        <v>1168</v>
      </c>
      <c r="I2026" s="1" t="s">
        <v>1168</v>
      </c>
      <c r="L2026" s="1" t="s">
        <v>194</v>
      </c>
      <c r="M2026" s="1">
        <v>9100.0</v>
      </c>
      <c r="N2026" s="1" t="s">
        <v>194</v>
      </c>
      <c r="O2026" s="1">
        <v>5.2874042E7</v>
      </c>
      <c r="P2026" s="1" t="s">
        <v>538</v>
      </c>
      <c r="Q2026" s="1" t="s">
        <v>3713</v>
      </c>
      <c r="R2026" s="1" t="s">
        <v>539</v>
      </c>
      <c r="S2026" s="1" t="s">
        <v>44</v>
      </c>
      <c r="T2026" s="1" t="s">
        <v>45</v>
      </c>
      <c r="U2026" s="1">
        <v>4.82091524E8</v>
      </c>
      <c r="W2026" s="1" t="s">
        <v>44</v>
      </c>
      <c r="X2026" s="1" t="s">
        <v>45</v>
      </c>
      <c r="Y2026" s="1">
        <v>4.82091524E8</v>
      </c>
      <c r="Z2026" s="1">
        <v>1.3032514E8</v>
      </c>
      <c r="AA2026" s="1" t="s">
        <v>819</v>
      </c>
      <c r="AB2026" s="1">
        <v>1485116.0</v>
      </c>
      <c r="AC2026" s="2">
        <v>41955.0</v>
      </c>
      <c r="AD2026" s="1">
        <v>9100.0</v>
      </c>
      <c r="AE2026" s="1" t="s">
        <v>194</v>
      </c>
      <c r="AF2026" s="1" t="s">
        <v>3714</v>
      </c>
      <c r="AG2026" s="1" t="s">
        <v>1170</v>
      </c>
      <c r="AH2026" s="1">
        <v>1.0</v>
      </c>
      <c r="AI2026" s="1">
        <v>2015.0</v>
      </c>
      <c r="AJ2026" s="1">
        <v>2015.0</v>
      </c>
      <c r="AK2026" s="1" t="s">
        <v>1171</v>
      </c>
    </row>
    <row r="2027">
      <c r="A2027" s="1" t="s">
        <v>3413</v>
      </c>
      <c r="B2027" s="1" t="s">
        <v>3413</v>
      </c>
      <c r="C2027" s="1" t="s">
        <v>194</v>
      </c>
      <c r="E2027" s="1">
        <v>5.21188032E8</v>
      </c>
      <c r="F2027" s="2">
        <v>41968.0</v>
      </c>
      <c r="G2027" s="1" t="s">
        <v>1168</v>
      </c>
      <c r="I2027" s="1" t="s">
        <v>1168</v>
      </c>
      <c r="L2027" s="1" t="s">
        <v>194</v>
      </c>
      <c r="M2027" s="1">
        <v>9100.0</v>
      </c>
      <c r="N2027" s="1" t="s">
        <v>194</v>
      </c>
      <c r="O2027" s="1">
        <v>7.97531279E8</v>
      </c>
      <c r="P2027" s="1" t="s">
        <v>496</v>
      </c>
      <c r="Q2027" s="1" t="s">
        <v>3357</v>
      </c>
      <c r="R2027" s="1" t="s">
        <v>497</v>
      </c>
      <c r="S2027" s="1" t="s">
        <v>44</v>
      </c>
      <c r="T2027" s="1" t="s">
        <v>45</v>
      </c>
      <c r="U2027" s="1">
        <v>4.82123323E8</v>
      </c>
      <c r="W2027" s="1" t="s">
        <v>498</v>
      </c>
      <c r="X2027" s="1" t="s">
        <v>45</v>
      </c>
      <c r="Y2027" s="1">
        <v>4.82123323E8</v>
      </c>
      <c r="Z2027" s="1">
        <v>1.00035849E8</v>
      </c>
      <c r="AB2027" s="1">
        <v>447806.0</v>
      </c>
      <c r="AC2027" s="2">
        <v>41968.0</v>
      </c>
      <c r="AD2027" s="1">
        <v>9100.0</v>
      </c>
      <c r="AE2027" s="1" t="s">
        <v>194</v>
      </c>
      <c r="AF2027" s="1" t="s">
        <v>3715</v>
      </c>
      <c r="AG2027" s="1" t="s">
        <v>1170</v>
      </c>
      <c r="AH2027" s="1">
        <v>1.0</v>
      </c>
      <c r="AI2027" s="1">
        <v>2015.0</v>
      </c>
      <c r="AJ2027" s="1">
        <v>2015.0</v>
      </c>
      <c r="AK2027" s="1" t="s">
        <v>1171</v>
      </c>
    </row>
    <row r="2028">
      <c r="A2028" s="1" t="s">
        <v>1913</v>
      </c>
      <c r="B2028" s="1" t="s">
        <v>1913</v>
      </c>
      <c r="C2028" s="1" t="s">
        <v>645</v>
      </c>
      <c r="E2028" s="1">
        <v>1.4642656E8</v>
      </c>
      <c r="F2028" s="2">
        <v>41984.0</v>
      </c>
      <c r="G2028" s="1" t="s">
        <v>710</v>
      </c>
      <c r="I2028" s="1" t="s">
        <v>710</v>
      </c>
      <c r="L2028" s="1" t="s">
        <v>647</v>
      </c>
      <c r="M2028" s="1">
        <v>1200.0</v>
      </c>
      <c r="N2028" s="1" t="s">
        <v>647</v>
      </c>
      <c r="O2028" s="1">
        <v>1.47777952E8</v>
      </c>
      <c r="P2028" s="1" t="s">
        <v>459</v>
      </c>
      <c r="Q2028" s="1" t="s">
        <v>626</v>
      </c>
      <c r="R2028" s="1" t="s">
        <v>627</v>
      </c>
      <c r="S2028" s="1" t="s">
        <v>44</v>
      </c>
      <c r="T2028" s="1" t="s">
        <v>45</v>
      </c>
      <c r="U2028" s="1">
        <v>4.82072112E8</v>
      </c>
      <c r="W2028" s="1" t="s">
        <v>44</v>
      </c>
      <c r="X2028" s="1" t="s">
        <v>45</v>
      </c>
      <c r="Y2028" s="1">
        <v>4.82072112E8</v>
      </c>
      <c r="Z2028" s="1">
        <v>7.6340843E7</v>
      </c>
      <c r="AA2028" s="1" t="s">
        <v>461</v>
      </c>
      <c r="AB2028" s="1">
        <v>48258.56</v>
      </c>
      <c r="AC2028" s="2">
        <v>41984.0</v>
      </c>
      <c r="AD2028" s="1">
        <v>1200.0</v>
      </c>
      <c r="AE2028" s="1" t="s">
        <v>647</v>
      </c>
      <c r="AF2028" s="1" t="s">
        <v>3716</v>
      </c>
      <c r="AG2028" s="1" t="s">
        <v>712</v>
      </c>
      <c r="AH2028" s="1">
        <v>1.0</v>
      </c>
      <c r="AI2028" s="1">
        <v>2015.0</v>
      </c>
      <c r="AJ2028" s="1">
        <v>2015.0</v>
      </c>
      <c r="AK2028" s="1" t="s">
        <v>713</v>
      </c>
    </row>
    <row r="2029">
      <c r="A2029" s="1" t="s">
        <v>3413</v>
      </c>
      <c r="B2029" s="1" t="s">
        <v>3413</v>
      </c>
      <c r="C2029" s="1" t="s">
        <v>194</v>
      </c>
      <c r="E2029" s="1">
        <v>5.21188032E8</v>
      </c>
      <c r="F2029" s="2">
        <v>41934.0</v>
      </c>
      <c r="G2029" s="1" t="s">
        <v>1168</v>
      </c>
      <c r="I2029" s="1" t="s">
        <v>1168</v>
      </c>
      <c r="L2029" s="1" t="s">
        <v>194</v>
      </c>
      <c r="M2029" s="1">
        <v>9100.0</v>
      </c>
      <c r="N2029" s="1" t="s">
        <v>194</v>
      </c>
      <c r="O2029" s="1">
        <v>7.8346351E7</v>
      </c>
      <c r="P2029" s="1" t="s">
        <v>615</v>
      </c>
      <c r="R2029" s="1" t="s">
        <v>1708</v>
      </c>
      <c r="S2029" s="1" t="s">
        <v>44</v>
      </c>
      <c r="T2029" s="1" t="s">
        <v>45</v>
      </c>
      <c r="U2029" s="1">
        <v>4.82074457E8</v>
      </c>
      <c r="W2029" s="1" t="s">
        <v>44</v>
      </c>
      <c r="X2029" s="1" t="s">
        <v>45</v>
      </c>
      <c r="Y2029" s="1">
        <v>4.82074298E8</v>
      </c>
      <c r="Z2029" s="1">
        <v>1.00035435E8</v>
      </c>
      <c r="AA2029" s="1" t="s">
        <v>3717</v>
      </c>
      <c r="AB2029" s="1">
        <v>1.4677955E7</v>
      </c>
      <c r="AC2029" s="2">
        <v>41934.0</v>
      </c>
      <c r="AD2029" s="1">
        <v>9100.0</v>
      </c>
      <c r="AE2029" s="1" t="s">
        <v>194</v>
      </c>
      <c r="AF2029" s="1" t="s">
        <v>3718</v>
      </c>
      <c r="AG2029" s="1" t="s">
        <v>1170</v>
      </c>
      <c r="AH2029" s="1">
        <v>1.0</v>
      </c>
      <c r="AI2029" s="1">
        <v>2015.0</v>
      </c>
      <c r="AJ2029" s="1">
        <v>2015.0</v>
      </c>
      <c r="AK2029" s="1" t="s">
        <v>1171</v>
      </c>
    </row>
    <row r="2030">
      <c r="A2030" s="1" t="s">
        <v>1913</v>
      </c>
      <c r="B2030" s="1" t="s">
        <v>1913</v>
      </c>
      <c r="C2030" s="1" t="s">
        <v>645</v>
      </c>
      <c r="E2030" s="1">
        <v>1.4642656E8</v>
      </c>
      <c r="F2030" s="2">
        <v>42006.0</v>
      </c>
      <c r="G2030" s="1" t="s">
        <v>710</v>
      </c>
      <c r="I2030" s="1" t="s">
        <v>710</v>
      </c>
      <c r="L2030" s="1" t="s">
        <v>647</v>
      </c>
      <c r="M2030" s="1">
        <v>1200.0</v>
      </c>
      <c r="N2030" s="1" t="s">
        <v>647</v>
      </c>
      <c r="O2030" s="1">
        <v>8.30649195E8</v>
      </c>
      <c r="P2030" s="1" t="s">
        <v>545</v>
      </c>
      <c r="R2030" s="1" t="s">
        <v>547</v>
      </c>
      <c r="S2030" s="1" t="s">
        <v>44</v>
      </c>
      <c r="T2030" s="1" t="s">
        <v>45</v>
      </c>
      <c r="U2030" s="1">
        <v>4.82071E8</v>
      </c>
      <c r="W2030" s="1" t="s">
        <v>44</v>
      </c>
      <c r="X2030" s="1" t="s">
        <v>45</v>
      </c>
      <c r="Y2030" s="1">
        <v>4.82071E8</v>
      </c>
      <c r="AB2030" s="1">
        <v>68183.04</v>
      </c>
      <c r="AC2030" s="2">
        <v>42006.0</v>
      </c>
      <c r="AD2030" s="1">
        <v>1200.0</v>
      </c>
      <c r="AE2030" s="1" t="s">
        <v>647</v>
      </c>
      <c r="AF2030" s="1" t="s">
        <v>3719</v>
      </c>
      <c r="AG2030" s="1" t="s">
        <v>712</v>
      </c>
      <c r="AH2030" s="1">
        <v>1.0</v>
      </c>
      <c r="AI2030" s="1">
        <v>2015.0</v>
      </c>
      <c r="AJ2030" s="1">
        <v>2015.0</v>
      </c>
      <c r="AK2030" s="1" t="s">
        <v>713</v>
      </c>
    </row>
    <row r="2031">
      <c r="A2031" s="1" t="s">
        <v>3413</v>
      </c>
      <c r="B2031" s="1" t="s">
        <v>3413</v>
      </c>
      <c r="C2031" s="1" t="s">
        <v>194</v>
      </c>
      <c r="E2031" s="1">
        <v>5.21188032E8</v>
      </c>
      <c r="F2031" s="2">
        <v>41922.0</v>
      </c>
      <c r="G2031" s="1" t="s">
        <v>1168</v>
      </c>
      <c r="I2031" s="1" t="s">
        <v>1168</v>
      </c>
      <c r="L2031" s="1" t="s">
        <v>194</v>
      </c>
      <c r="M2031" s="1">
        <v>9100.0</v>
      </c>
      <c r="N2031" s="1" t="s">
        <v>194</v>
      </c>
      <c r="O2031" s="1">
        <v>7.3832607E7</v>
      </c>
      <c r="P2031" s="1" t="s">
        <v>482</v>
      </c>
      <c r="Q2031" s="1" t="s">
        <v>3720</v>
      </c>
      <c r="R2031" s="1" t="s">
        <v>483</v>
      </c>
      <c r="S2031" s="1" t="s">
        <v>44</v>
      </c>
      <c r="T2031" s="1" t="s">
        <v>45</v>
      </c>
      <c r="U2031" s="1">
        <v>4.82074288E8</v>
      </c>
      <c r="W2031" s="1" t="s">
        <v>44</v>
      </c>
      <c r="X2031" s="1" t="s">
        <v>45</v>
      </c>
      <c r="Y2031" s="1">
        <v>4.82074288E8</v>
      </c>
      <c r="Z2031" s="1">
        <v>1.23474314E8</v>
      </c>
      <c r="AA2031" s="1" t="s">
        <v>3721</v>
      </c>
      <c r="AB2031" s="1">
        <v>1076417.0</v>
      </c>
      <c r="AC2031" s="2">
        <v>41922.0</v>
      </c>
      <c r="AD2031" s="1">
        <v>9100.0</v>
      </c>
      <c r="AE2031" s="1" t="s">
        <v>194</v>
      </c>
      <c r="AF2031" s="1" t="s">
        <v>3722</v>
      </c>
      <c r="AG2031" s="1" t="s">
        <v>1170</v>
      </c>
      <c r="AH2031" s="1">
        <v>1.0</v>
      </c>
      <c r="AI2031" s="1">
        <v>2015.0</v>
      </c>
      <c r="AJ2031" s="1">
        <v>2015.0</v>
      </c>
      <c r="AK2031" s="1" t="s">
        <v>1171</v>
      </c>
    </row>
    <row r="2032">
      <c r="A2032" s="1" t="s">
        <v>1913</v>
      </c>
      <c r="B2032" s="1" t="s">
        <v>1913</v>
      </c>
      <c r="C2032" s="1" t="s">
        <v>645</v>
      </c>
      <c r="E2032" s="1">
        <v>1.4642656E8</v>
      </c>
      <c r="F2032" s="2">
        <v>41999.0</v>
      </c>
      <c r="G2032" s="1" t="s">
        <v>710</v>
      </c>
      <c r="I2032" s="1" t="s">
        <v>710</v>
      </c>
      <c r="L2032" s="1" t="s">
        <v>647</v>
      </c>
      <c r="M2032" s="1">
        <v>1200.0</v>
      </c>
      <c r="N2032" s="1" t="s">
        <v>647</v>
      </c>
      <c r="O2032" s="1">
        <v>4.2136734E7</v>
      </c>
      <c r="P2032" s="1" t="s">
        <v>557</v>
      </c>
      <c r="R2032" s="1" t="s">
        <v>558</v>
      </c>
      <c r="S2032" s="1" t="s">
        <v>44</v>
      </c>
      <c r="T2032" s="1" t="s">
        <v>45</v>
      </c>
      <c r="U2032" s="1">
        <v>4.82082204E8</v>
      </c>
      <c r="W2032" s="1" t="s">
        <v>44</v>
      </c>
      <c r="X2032" s="1" t="s">
        <v>45</v>
      </c>
      <c r="Y2032" s="1">
        <v>4.82082204E8</v>
      </c>
      <c r="AB2032" s="1">
        <v>27052.81</v>
      </c>
      <c r="AC2032" s="2">
        <v>41999.0</v>
      </c>
      <c r="AD2032" s="1">
        <v>1200.0</v>
      </c>
      <c r="AE2032" s="1" t="s">
        <v>647</v>
      </c>
      <c r="AF2032" s="1" t="s">
        <v>3723</v>
      </c>
      <c r="AG2032" s="1" t="s">
        <v>712</v>
      </c>
      <c r="AH2032" s="1">
        <v>1.0</v>
      </c>
      <c r="AI2032" s="1">
        <v>2015.0</v>
      </c>
      <c r="AJ2032" s="1">
        <v>2015.0</v>
      </c>
      <c r="AK2032" s="1" t="s">
        <v>713</v>
      </c>
    </row>
    <row r="2033">
      <c r="A2033" s="1" t="s">
        <v>1913</v>
      </c>
      <c r="B2033" s="1" t="s">
        <v>1913</v>
      </c>
      <c r="C2033" s="1" t="s">
        <v>645</v>
      </c>
      <c r="E2033" s="1">
        <v>1.4642656E8</v>
      </c>
      <c r="F2033" s="2">
        <v>41999.0</v>
      </c>
      <c r="G2033" s="1" t="s">
        <v>710</v>
      </c>
      <c r="I2033" s="1" t="s">
        <v>710</v>
      </c>
      <c r="L2033" s="1" t="s">
        <v>647</v>
      </c>
      <c r="M2033" s="1">
        <v>1200.0</v>
      </c>
      <c r="N2033" s="1" t="s">
        <v>647</v>
      </c>
      <c r="O2033" s="1">
        <v>7.97531279E8</v>
      </c>
      <c r="P2033" s="1" t="s">
        <v>496</v>
      </c>
      <c r="R2033" s="1" t="s">
        <v>497</v>
      </c>
      <c r="S2033" s="1" t="s">
        <v>44</v>
      </c>
      <c r="T2033" s="1" t="s">
        <v>45</v>
      </c>
      <c r="U2033" s="1">
        <v>4.82123323E8</v>
      </c>
      <c r="W2033" s="1" t="s">
        <v>498</v>
      </c>
      <c r="X2033" s="1" t="s">
        <v>45</v>
      </c>
      <c r="Y2033" s="1">
        <v>4.82123323E8</v>
      </c>
      <c r="AB2033" s="1">
        <v>79706.88</v>
      </c>
      <c r="AC2033" s="2">
        <v>41999.0</v>
      </c>
      <c r="AD2033" s="1">
        <v>1200.0</v>
      </c>
      <c r="AE2033" s="1" t="s">
        <v>647</v>
      </c>
      <c r="AF2033" s="1" t="s">
        <v>3724</v>
      </c>
      <c r="AG2033" s="1" t="s">
        <v>712</v>
      </c>
      <c r="AH2033" s="1">
        <v>1.0</v>
      </c>
      <c r="AI2033" s="1">
        <v>2015.0</v>
      </c>
      <c r="AJ2033" s="1">
        <v>2015.0</v>
      </c>
      <c r="AK2033" s="1" t="s">
        <v>713</v>
      </c>
    </row>
    <row r="2034">
      <c r="A2034" s="1" t="s">
        <v>3413</v>
      </c>
      <c r="B2034" s="1" t="s">
        <v>3413</v>
      </c>
      <c r="C2034" s="1" t="s">
        <v>194</v>
      </c>
      <c r="E2034" s="1">
        <v>5.21188032E8</v>
      </c>
      <c r="F2034" s="2">
        <v>41904.0</v>
      </c>
      <c r="G2034" s="1" t="s">
        <v>1168</v>
      </c>
      <c r="I2034" s="1" t="s">
        <v>1168</v>
      </c>
      <c r="L2034" s="1" t="s">
        <v>194</v>
      </c>
      <c r="M2034" s="1">
        <v>9100.0</v>
      </c>
      <c r="N2034" s="1" t="s">
        <v>194</v>
      </c>
      <c r="O2034" s="1">
        <v>1.47552186E8</v>
      </c>
      <c r="P2034" s="1" t="s">
        <v>822</v>
      </c>
      <c r="R2034" s="1" t="s">
        <v>823</v>
      </c>
      <c r="S2034" s="1" t="s">
        <v>44</v>
      </c>
      <c r="T2034" s="1" t="s">
        <v>45</v>
      </c>
      <c r="U2034" s="1">
        <v>4.82191857E8</v>
      </c>
      <c r="W2034" s="1" t="s">
        <v>44</v>
      </c>
      <c r="X2034" s="1" t="s">
        <v>45</v>
      </c>
      <c r="Y2034" s="1">
        <v>4.82191857E8</v>
      </c>
      <c r="Z2034" s="1">
        <v>5.56790715E8</v>
      </c>
      <c r="AA2034" s="1" t="s">
        <v>3725</v>
      </c>
      <c r="AB2034" s="1">
        <v>163750.0</v>
      </c>
      <c r="AC2034" s="2">
        <v>41904.0</v>
      </c>
      <c r="AD2034" s="1">
        <v>9100.0</v>
      </c>
      <c r="AE2034" s="1" t="s">
        <v>194</v>
      </c>
      <c r="AF2034" s="1" t="s">
        <v>3726</v>
      </c>
      <c r="AG2034" s="1" t="s">
        <v>1170</v>
      </c>
      <c r="AH2034" s="1">
        <v>1.0</v>
      </c>
      <c r="AI2034" s="1">
        <v>2015.0</v>
      </c>
      <c r="AJ2034" s="1">
        <v>2014.0</v>
      </c>
      <c r="AK2034" s="1" t="s">
        <v>1171</v>
      </c>
    </row>
    <row r="2035">
      <c r="A2035" s="1" t="s">
        <v>1913</v>
      </c>
      <c r="B2035" s="1" t="s">
        <v>1913</v>
      </c>
      <c r="C2035" s="1" t="s">
        <v>645</v>
      </c>
      <c r="E2035" s="1">
        <v>1.4642656E8</v>
      </c>
      <c r="F2035" s="2">
        <v>41977.0</v>
      </c>
      <c r="G2035" s="1" t="s">
        <v>710</v>
      </c>
      <c r="I2035" s="1" t="s">
        <v>710</v>
      </c>
      <c r="L2035" s="1" t="s">
        <v>647</v>
      </c>
      <c r="M2035" s="1">
        <v>1200.0</v>
      </c>
      <c r="N2035" s="1" t="s">
        <v>647</v>
      </c>
      <c r="O2035" s="1">
        <v>1.38064923E8</v>
      </c>
      <c r="P2035" s="1" t="s">
        <v>585</v>
      </c>
      <c r="R2035" s="1" t="s">
        <v>586</v>
      </c>
      <c r="S2035" s="1" t="s">
        <v>44</v>
      </c>
      <c r="T2035" s="1" t="s">
        <v>45</v>
      </c>
      <c r="U2035" s="1">
        <v>4.82152861E8</v>
      </c>
      <c r="W2035" s="1" t="s">
        <v>44</v>
      </c>
      <c r="X2035" s="1" t="s">
        <v>45</v>
      </c>
      <c r="Y2035" s="1">
        <v>4.82152861E8</v>
      </c>
      <c r="Z2035" s="1">
        <v>9.60742484E8</v>
      </c>
      <c r="AB2035" s="1">
        <v>63143.1</v>
      </c>
      <c r="AC2035" s="2">
        <v>41977.0</v>
      </c>
      <c r="AD2035" s="1">
        <v>1200.0</v>
      </c>
      <c r="AE2035" s="1" t="s">
        <v>647</v>
      </c>
      <c r="AF2035" s="1" t="s">
        <v>3727</v>
      </c>
      <c r="AG2035" s="1" t="s">
        <v>712</v>
      </c>
      <c r="AH2035" s="1">
        <v>1.0</v>
      </c>
      <c r="AI2035" s="1">
        <v>2015.0</v>
      </c>
      <c r="AJ2035" s="1">
        <v>2015.0</v>
      </c>
      <c r="AK2035" s="1" t="s">
        <v>713</v>
      </c>
    </row>
    <row r="2036">
      <c r="A2036" s="1" t="s">
        <v>1913</v>
      </c>
      <c r="B2036" s="1" t="s">
        <v>1913</v>
      </c>
      <c r="C2036" s="1" t="s">
        <v>645</v>
      </c>
      <c r="E2036" s="1">
        <v>1.4642656E8</v>
      </c>
      <c r="F2036" s="2">
        <v>41991.0</v>
      </c>
      <c r="G2036" s="1" t="s">
        <v>710</v>
      </c>
      <c r="I2036" s="1" t="s">
        <v>710</v>
      </c>
      <c r="L2036" s="1" t="s">
        <v>647</v>
      </c>
      <c r="M2036" s="1">
        <v>1200.0</v>
      </c>
      <c r="N2036" s="1" t="s">
        <v>647</v>
      </c>
      <c r="O2036" s="1">
        <v>9.62104118E8</v>
      </c>
      <c r="P2036" s="1" t="s">
        <v>634</v>
      </c>
      <c r="R2036" s="1" t="s">
        <v>635</v>
      </c>
      <c r="S2036" s="1" t="s">
        <v>44</v>
      </c>
      <c r="T2036" s="1" t="s">
        <v>45</v>
      </c>
      <c r="U2036" s="1">
        <v>4.82351111E8</v>
      </c>
      <c r="W2036" s="1" t="s">
        <v>46</v>
      </c>
      <c r="X2036" s="1" t="s">
        <v>45</v>
      </c>
      <c r="Y2036" s="1">
        <v>4.82351111E8</v>
      </c>
      <c r="AB2036" s="1">
        <v>38825.81</v>
      </c>
      <c r="AC2036" s="2">
        <v>41991.0</v>
      </c>
      <c r="AD2036" s="1">
        <v>1200.0</v>
      </c>
      <c r="AE2036" s="1" t="s">
        <v>647</v>
      </c>
      <c r="AF2036" s="1" t="s">
        <v>3728</v>
      </c>
      <c r="AG2036" s="1" t="s">
        <v>712</v>
      </c>
      <c r="AH2036" s="1">
        <v>1.0</v>
      </c>
      <c r="AI2036" s="1">
        <v>2015.0</v>
      </c>
      <c r="AJ2036" s="1">
        <v>2015.0</v>
      </c>
      <c r="AK2036" s="1" t="s">
        <v>713</v>
      </c>
    </row>
    <row r="2037">
      <c r="A2037" s="1" t="s">
        <v>1913</v>
      </c>
      <c r="B2037" s="1" t="s">
        <v>1913</v>
      </c>
      <c r="C2037" s="1" t="s">
        <v>645</v>
      </c>
      <c r="E2037" s="1">
        <v>1.4642656E8</v>
      </c>
      <c r="F2037" s="2">
        <v>42006.0</v>
      </c>
      <c r="G2037" s="1" t="s">
        <v>710</v>
      </c>
      <c r="I2037" s="1" t="s">
        <v>710</v>
      </c>
      <c r="L2037" s="1" t="s">
        <v>647</v>
      </c>
      <c r="M2037" s="1">
        <v>1200.0</v>
      </c>
      <c r="N2037" s="1" t="s">
        <v>647</v>
      </c>
      <c r="O2037" s="1">
        <v>6.6707493E7</v>
      </c>
      <c r="P2037" s="1" t="s">
        <v>541</v>
      </c>
      <c r="R2037" s="1" t="s">
        <v>542</v>
      </c>
      <c r="S2037" s="1" t="s">
        <v>44</v>
      </c>
      <c r="T2037" s="1" t="s">
        <v>45</v>
      </c>
      <c r="U2037" s="1">
        <v>4.8210252E8</v>
      </c>
      <c r="W2037" s="1" t="s">
        <v>44</v>
      </c>
      <c r="X2037" s="1" t="s">
        <v>45</v>
      </c>
      <c r="Y2037" s="1">
        <v>4.8210252E8</v>
      </c>
      <c r="AB2037" s="1">
        <v>69720.96</v>
      </c>
      <c r="AC2037" s="2">
        <v>42006.0</v>
      </c>
      <c r="AD2037" s="1">
        <v>1200.0</v>
      </c>
      <c r="AE2037" s="1" t="s">
        <v>647</v>
      </c>
      <c r="AF2037" s="1" t="s">
        <v>3729</v>
      </c>
      <c r="AG2037" s="1" t="s">
        <v>712</v>
      </c>
      <c r="AH2037" s="1">
        <v>1.0</v>
      </c>
      <c r="AI2037" s="1">
        <v>2015.0</v>
      </c>
      <c r="AJ2037" s="1">
        <v>2015.0</v>
      </c>
      <c r="AK2037" s="1" t="s">
        <v>713</v>
      </c>
    </row>
    <row r="2038">
      <c r="A2038" s="1" t="s">
        <v>1913</v>
      </c>
      <c r="B2038" s="1" t="s">
        <v>1913</v>
      </c>
      <c r="C2038" s="1" t="s">
        <v>645</v>
      </c>
      <c r="E2038" s="1">
        <v>1.4642656E8</v>
      </c>
      <c r="F2038" s="2">
        <v>41977.0</v>
      </c>
      <c r="G2038" s="1" t="s">
        <v>710</v>
      </c>
      <c r="I2038" s="1" t="s">
        <v>710</v>
      </c>
      <c r="L2038" s="1" t="s">
        <v>647</v>
      </c>
      <c r="M2038" s="1">
        <v>1200.0</v>
      </c>
      <c r="N2038" s="1" t="s">
        <v>647</v>
      </c>
      <c r="O2038" s="1">
        <v>9.65349769E8</v>
      </c>
      <c r="P2038" s="1" t="s">
        <v>465</v>
      </c>
      <c r="Q2038" s="1" t="s">
        <v>466</v>
      </c>
      <c r="R2038" s="1" t="s">
        <v>467</v>
      </c>
      <c r="S2038" s="1" t="s">
        <v>44</v>
      </c>
      <c r="T2038" s="1" t="s">
        <v>45</v>
      </c>
      <c r="U2038" s="1">
        <v>4.8202322E8</v>
      </c>
      <c r="W2038" s="1" t="s">
        <v>44</v>
      </c>
      <c r="X2038" s="1" t="s">
        <v>45</v>
      </c>
      <c r="Y2038" s="1">
        <v>4.8202322E8</v>
      </c>
      <c r="Z2038" s="1">
        <v>1.6338926E8</v>
      </c>
      <c r="AA2038" s="1" t="s">
        <v>465</v>
      </c>
      <c r="AB2038" s="1">
        <v>71717.7</v>
      </c>
      <c r="AC2038" s="2">
        <v>41977.0</v>
      </c>
      <c r="AD2038" s="1">
        <v>1200.0</v>
      </c>
      <c r="AE2038" s="1" t="s">
        <v>647</v>
      </c>
      <c r="AF2038" s="1" t="s">
        <v>3730</v>
      </c>
      <c r="AG2038" s="1" t="s">
        <v>712</v>
      </c>
      <c r="AH2038" s="1">
        <v>1.0</v>
      </c>
      <c r="AI2038" s="1">
        <v>2015.0</v>
      </c>
      <c r="AJ2038" s="1">
        <v>2015.0</v>
      </c>
      <c r="AK2038" s="1" t="s">
        <v>713</v>
      </c>
    </row>
    <row r="2039">
      <c r="A2039" s="1" t="s">
        <v>3413</v>
      </c>
      <c r="B2039" s="1" t="s">
        <v>3413</v>
      </c>
      <c r="C2039" s="1" t="s">
        <v>194</v>
      </c>
      <c r="E2039" s="1">
        <v>5.21188032E8</v>
      </c>
      <c r="F2039" s="2">
        <v>41878.0</v>
      </c>
      <c r="G2039" s="1" t="s">
        <v>1168</v>
      </c>
      <c r="I2039" s="1" t="s">
        <v>1168</v>
      </c>
      <c r="L2039" s="1" t="s">
        <v>194</v>
      </c>
      <c r="M2039" s="1">
        <v>9100.0</v>
      </c>
      <c r="N2039" s="1" t="s">
        <v>194</v>
      </c>
      <c r="O2039" s="1">
        <v>8.31014068E8</v>
      </c>
      <c r="P2039" s="1" t="s">
        <v>515</v>
      </c>
      <c r="Q2039" s="1" t="s">
        <v>3731</v>
      </c>
      <c r="R2039" s="1" t="s">
        <v>516</v>
      </c>
      <c r="S2039" s="1" t="s">
        <v>44</v>
      </c>
      <c r="T2039" s="1" t="s">
        <v>45</v>
      </c>
      <c r="U2039" s="1">
        <v>4.82283685E8</v>
      </c>
      <c r="W2039" s="1" t="s">
        <v>46</v>
      </c>
      <c r="X2039" s="1" t="s">
        <v>45</v>
      </c>
      <c r="Y2039" s="1">
        <v>4.82283685E8</v>
      </c>
      <c r="Z2039" s="1">
        <v>9.60742484E8</v>
      </c>
      <c r="AB2039" s="1">
        <v>456037.0</v>
      </c>
      <c r="AC2039" s="2">
        <v>41878.0</v>
      </c>
      <c r="AD2039" s="1">
        <v>9100.0</v>
      </c>
      <c r="AE2039" s="1" t="s">
        <v>194</v>
      </c>
      <c r="AF2039" s="1" t="s">
        <v>3732</v>
      </c>
      <c r="AG2039" s="1" t="s">
        <v>1170</v>
      </c>
      <c r="AH2039" s="1">
        <v>1.0</v>
      </c>
      <c r="AI2039" s="1">
        <v>2015.0</v>
      </c>
      <c r="AJ2039" s="1">
        <v>2014.0</v>
      </c>
      <c r="AK2039" s="1" t="s">
        <v>1171</v>
      </c>
    </row>
    <row r="2040">
      <c r="A2040" s="1" t="s">
        <v>3413</v>
      </c>
      <c r="B2040" s="1" t="s">
        <v>3413</v>
      </c>
      <c r="C2040" s="1" t="s">
        <v>194</v>
      </c>
      <c r="E2040" s="1">
        <v>5.21188032E8</v>
      </c>
      <c r="F2040" s="2">
        <v>41878.0</v>
      </c>
      <c r="G2040" s="1" t="s">
        <v>1168</v>
      </c>
      <c r="I2040" s="1" t="s">
        <v>1168</v>
      </c>
      <c r="L2040" s="1" t="s">
        <v>194</v>
      </c>
      <c r="M2040" s="1">
        <v>9100.0</v>
      </c>
      <c r="N2040" s="1" t="s">
        <v>194</v>
      </c>
      <c r="O2040" s="1">
        <v>1.38064923E8</v>
      </c>
      <c r="P2040" s="1" t="s">
        <v>585</v>
      </c>
      <c r="R2040" s="1" t="s">
        <v>586</v>
      </c>
      <c r="S2040" s="1" t="s">
        <v>44</v>
      </c>
      <c r="T2040" s="1" t="s">
        <v>45</v>
      </c>
      <c r="U2040" s="1">
        <v>4.82152861E8</v>
      </c>
      <c r="W2040" s="1" t="s">
        <v>44</v>
      </c>
      <c r="X2040" s="1" t="s">
        <v>45</v>
      </c>
      <c r="Y2040" s="1">
        <v>4.82152861E8</v>
      </c>
      <c r="Z2040" s="1">
        <v>9.60742484E8</v>
      </c>
      <c r="AB2040" s="1">
        <v>389506.0</v>
      </c>
      <c r="AC2040" s="2">
        <v>41878.0</v>
      </c>
      <c r="AD2040" s="1">
        <v>9100.0</v>
      </c>
      <c r="AE2040" s="1" t="s">
        <v>194</v>
      </c>
      <c r="AF2040" s="1" t="s">
        <v>3733</v>
      </c>
      <c r="AG2040" s="1" t="s">
        <v>1170</v>
      </c>
      <c r="AH2040" s="1">
        <v>1.0</v>
      </c>
      <c r="AI2040" s="1">
        <v>2015.0</v>
      </c>
      <c r="AJ2040" s="1">
        <v>2014.0</v>
      </c>
      <c r="AK2040" s="1" t="s">
        <v>1171</v>
      </c>
    </row>
    <row r="2041">
      <c r="A2041" s="1" t="s">
        <v>3413</v>
      </c>
      <c r="B2041" s="1" t="s">
        <v>3413</v>
      </c>
      <c r="C2041" s="1" t="s">
        <v>194</v>
      </c>
      <c r="E2041" s="1">
        <v>5.21188032E8</v>
      </c>
      <c r="F2041" s="2">
        <v>41960.0</v>
      </c>
      <c r="G2041" s="1" t="s">
        <v>1168</v>
      </c>
      <c r="I2041" s="1" t="s">
        <v>1168</v>
      </c>
      <c r="L2041" s="1" t="s">
        <v>194</v>
      </c>
      <c r="M2041" s="1">
        <v>9100.0</v>
      </c>
      <c r="N2041" s="1" t="s">
        <v>194</v>
      </c>
      <c r="O2041" s="1">
        <v>1.0030049E8</v>
      </c>
      <c r="P2041" s="1" t="s">
        <v>461</v>
      </c>
      <c r="Q2041" s="1" t="s">
        <v>570</v>
      </c>
      <c r="R2041" s="1" t="s">
        <v>571</v>
      </c>
      <c r="S2041" s="1" t="s">
        <v>44</v>
      </c>
      <c r="T2041" s="1" t="s">
        <v>45</v>
      </c>
      <c r="U2041" s="1">
        <v>4.82382941E8</v>
      </c>
      <c r="W2041" s="1" t="s">
        <v>44</v>
      </c>
      <c r="X2041" s="1" t="s">
        <v>45</v>
      </c>
      <c r="Y2041" s="1">
        <v>4.82382941E8</v>
      </c>
      <c r="AB2041" s="1">
        <v>200634.0</v>
      </c>
      <c r="AC2041" s="2">
        <v>41960.0</v>
      </c>
      <c r="AD2041" s="1">
        <v>9100.0</v>
      </c>
      <c r="AE2041" s="1" t="s">
        <v>194</v>
      </c>
      <c r="AF2041" s="1" t="s">
        <v>3734</v>
      </c>
      <c r="AG2041" s="1" t="s">
        <v>3000</v>
      </c>
      <c r="AH2041" s="1">
        <v>1.0</v>
      </c>
      <c r="AI2041" s="1">
        <v>2015.0</v>
      </c>
      <c r="AJ2041" s="1">
        <v>2015.0</v>
      </c>
      <c r="AK2041" s="1" t="s">
        <v>1171</v>
      </c>
    </row>
    <row r="2042">
      <c r="A2042" s="1" t="s">
        <v>1913</v>
      </c>
      <c r="B2042" s="1" t="s">
        <v>1913</v>
      </c>
      <c r="C2042" s="1" t="s">
        <v>645</v>
      </c>
      <c r="E2042" s="1">
        <v>1.4642656E8</v>
      </c>
      <c r="F2042" s="2">
        <v>41977.0</v>
      </c>
      <c r="G2042" s="1" t="s">
        <v>710</v>
      </c>
      <c r="I2042" s="1" t="s">
        <v>710</v>
      </c>
      <c r="L2042" s="1" t="s">
        <v>647</v>
      </c>
      <c r="M2042" s="1">
        <v>1200.0</v>
      </c>
      <c r="N2042" s="1" t="s">
        <v>647</v>
      </c>
      <c r="O2042" s="1">
        <v>8.30792151E8</v>
      </c>
      <c r="P2042" s="1" t="s">
        <v>594</v>
      </c>
      <c r="R2042" s="1" t="s">
        <v>596</v>
      </c>
      <c r="S2042" s="1" t="s">
        <v>44</v>
      </c>
      <c r="T2042" s="1" t="s">
        <v>45</v>
      </c>
      <c r="U2042" s="1">
        <v>4.82382356E8</v>
      </c>
      <c r="W2042" s="1" t="s">
        <v>44</v>
      </c>
      <c r="X2042" s="1" t="s">
        <v>45</v>
      </c>
      <c r="Y2042" s="1">
        <v>4.82382356E8</v>
      </c>
      <c r="Z2042" s="1">
        <v>9.60742484E8</v>
      </c>
      <c r="AB2042" s="1">
        <v>64385.46</v>
      </c>
      <c r="AC2042" s="2">
        <v>41977.0</v>
      </c>
      <c r="AD2042" s="1">
        <v>1200.0</v>
      </c>
      <c r="AE2042" s="1" t="s">
        <v>647</v>
      </c>
      <c r="AF2042" s="1" t="s">
        <v>3735</v>
      </c>
      <c r="AG2042" s="1" t="s">
        <v>712</v>
      </c>
      <c r="AH2042" s="1">
        <v>1.0</v>
      </c>
      <c r="AI2042" s="1">
        <v>2015.0</v>
      </c>
      <c r="AJ2042" s="1">
        <v>2015.0</v>
      </c>
      <c r="AK2042" s="1" t="s">
        <v>713</v>
      </c>
    </row>
    <row r="2043">
      <c r="A2043" s="1" t="s">
        <v>3413</v>
      </c>
      <c r="B2043" s="1" t="s">
        <v>3413</v>
      </c>
      <c r="C2043" s="1" t="s">
        <v>194</v>
      </c>
      <c r="E2043" s="1">
        <v>5.21188032E8</v>
      </c>
      <c r="F2043" s="2">
        <v>41949.0</v>
      </c>
      <c r="G2043" s="1" t="s">
        <v>1168</v>
      </c>
      <c r="I2043" s="1" t="s">
        <v>1168</v>
      </c>
      <c r="L2043" s="1" t="s">
        <v>194</v>
      </c>
      <c r="M2043" s="1">
        <v>9100.0</v>
      </c>
      <c r="N2043" s="1" t="s">
        <v>194</v>
      </c>
      <c r="O2043" s="1">
        <v>2.2561935E7</v>
      </c>
      <c r="P2043" s="1" t="s">
        <v>2631</v>
      </c>
      <c r="R2043" s="1" t="s">
        <v>2632</v>
      </c>
      <c r="S2043" s="1" t="s">
        <v>44</v>
      </c>
      <c r="T2043" s="1" t="s">
        <v>45</v>
      </c>
      <c r="U2043" s="1">
        <v>4.8238E8</v>
      </c>
      <c r="W2043" s="1" t="s">
        <v>44</v>
      </c>
      <c r="X2043" s="1" t="s">
        <v>45</v>
      </c>
      <c r="Y2043" s="1">
        <v>4.82382124E8</v>
      </c>
      <c r="AB2043" s="1">
        <v>284889.0</v>
      </c>
      <c r="AC2043" s="2">
        <v>41949.0</v>
      </c>
      <c r="AD2043" s="1">
        <v>9100.0</v>
      </c>
      <c r="AE2043" s="1" t="s">
        <v>194</v>
      </c>
      <c r="AF2043" s="1" t="s">
        <v>3736</v>
      </c>
      <c r="AG2043" s="1" t="s">
        <v>3000</v>
      </c>
      <c r="AH2043" s="1">
        <v>1.0</v>
      </c>
      <c r="AI2043" s="1">
        <v>2015.0</v>
      </c>
      <c r="AJ2043" s="1">
        <v>2015.0</v>
      </c>
      <c r="AK2043" s="1" t="s">
        <v>1171</v>
      </c>
    </row>
    <row r="2044">
      <c r="A2044" s="1" t="s">
        <v>1913</v>
      </c>
      <c r="B2044" s="1" t="s">
        <v>1913</v>
      </c>
      <c r="C2044" s="1" t="s">
        <v>645</v>
      </c>
      <c r="E2044" s="1">
        <v>1.4642656E8</v>
      </c>
      <c r="F2044" s="2">
        <v>41977.0</v>
      </c>
      <c r="G2044" s="1" t="s">
        <v>710</v>
      </c>
      <c r="I2044" s="1" t="s">
        <v>710</v>
      </c>
      <c r="L2044" s="1" t="s">
        <v>647</v>
      </c>
      <c r="M2044" s="1">
        <v>1200.0</v>
      </c>
      <c r="N2044" s="1" t="s">
        <v>647</v>
      </c>
      <c r="O2044" s="1">
        <v>7.93697355E8</v>
      </c>
      <c r="P2044" s="1" t="s">
        <v>691</v>
      </c>
      <c r="Q2044" s="1" t="s">
        <v>1194</v>
      </c>
      <c r="R2044" s="1" t="s">
        <v>692</v>
      </c>
      <c r="S2044" s="1" t="s">
        <v>44</v>
      </c>
      <c r="T2044" s="1" t="s">
        <v>45</v>
      </c>
      <c r="U2044" s="1">
        <v>4.82111554E8</v>
      </c>
      <c r="W2044" s="1" t="s">
        <v>44</v>
      </c>
      <c r="X2044" s="1" t="s">
        <v>45</v>
      </c>
      <c r="Y2044" s="1">
        <v>4.82111552E8</v>
      </c>
      <c r="AB2044" s="1">
        <v>65857.32</v>
      </c>
      <c r="AC2044" s="2">
        <v>41977.0</v>
      </c>
      <c r="AD2044" s="1">
        <v>1200.0</v>
      </c>
      <c r="AE2044" s="1" t="s">
        <v>647</v>
      </c>
      <c r="AF2044" s="1" t="s">
        <v>3737</v>
      </c>
      <c r="AG2044" s="1" t="s">
        <v>712</v>
      </c>
      <c r="AH2044" s="1">
        <v>1.0</v>
      </c>
      <c r="AI2044" s="1">
        <v>2015.0</v>
      </c>
      <c r="AJ2044" s="1">
        <v>2015.0</v>
      </c>
      <c r="AK2044" s="1" t="s">
        <v>713</v>
      </c>
    </row>
    <row r="2045">
      <c r="A2045" s="1" t="s">
        <v>3472</v>
      </c>
      <c r="B2045" s="1" t="s">
        <v>3472</v>
      </c>
      <c r="C2045" s="1" t="s">
        <v>194</v>
      </c>
      <c r="E2045" s="1">
        <v>8.9168336E7</v>
      </c>
      <c r="F2045" s="2">
        <v>41955.0</v>
      </c>
      <c r="G2045" s="1" t="s">
        <v>458</v>
      </c>
      <c r="I2045" s="1" t="s">
        <v>458</v>
      </c>
      <c r="L2045" s="1" t="s">
        <v>194</v>
      </c>
      <c r="M2045" s="1">
        <v>9100.0</v>
      </c>
      <c r="N2045" s="1" t="s">
        <v>194</v>
      </c>
      <c r="O2045" s="1">
        <v>5.2874042E7</v>
      </c>
      <c r="P2045" s="1" t="s">
        <v>538</v>
      </c>
      <c r="Q2045" s="1" t="s">
        <v>3659</v>
      </c>
      <c r="R2045" s="1" t="s">
        <v>539</v>
      </c>
      <c r="S2045" s="1" t="s">
        <v>44</v>
      </c>
      <c r="T2045" s="1" t="s">
        <v>45</v>
      </c>
      <c r="U2045" s="1">
        <v>4.82091524E8</v>
      </c>
      <c r="W2045" s="1" t="s">
        <v>44</v>
      </c>
      <c r="X2045" s="1" t="s">
        <v>45</v>
      </c>
      <c r="Y2045" s="1">
        <v>4.82091524E8</v>
      </c>
      <c r="Z2045" s="1">
        <v>9.60742484E8</v>
      </c>
      <c r="AB2045" s="1">
        <v>273139.0</v>
      </c>
      <c r="AC2045" s="2">
        <v>41955.0</v>
      </c>
      <c r="AD2045" s="1">
        <v>9100.0</v>
      </c>
      <c r="AE2045" s="1" t="s">
        <v>194</v>
      </c>
      <c r="AF2045" s="1" t="s">
        <v>3738</v>
      </c>
      <c r="AG2045" s="1" t="s">
        <v>463</v>
      </c>
      <c r="AH2045" s="1">
        <v>1.0</v>
      </c>
      <c r="AI2045" s="1">
        <v>2015.0</v>
      </c>
      <c r="AJ2045" s="1">
        <v>2015.0</v>
      </c>
      <c r="AK2045" s="1" t="s">
        <v>277</v>
      </c>
    </row>
    <row r="2046">
      <c r="A2046" s="1" t="s">
        <v>3472</v>
      </c>
      <c r="B2046" s="1" t="s">
        <v>3472</v>
      </c>
      <c r="C2046" s="1" t="s">
        <v>194</v>
      </c>
      <c r="E2046" s="1">
        <v>8.9168336E7</v>
      </c>
      <c r="F2046" s="2">
        <v>41949.0</v>
      </c>
      <c r="G2046" s="1" t="s">
        <v>458</v>
      </c>
      <c r="I2046" s="1" t="s">
        <v>458</v>
      </c>
      <c r="L2046" s="1" t="s">
        <v>194</v>
      </c>
      <c r="M2046" s="1">
        <v>9100.0</v>
      </c>
      <c r="N2046" s="1" t="s">
        <v>194</v>
      </c>
      <c r="O2046" s="1">
        <v>9.62949843E8</v>
      </c>
      <c r="P2046" s="1" t="s">
        <v>619</v>
      </c>
      <c r="Q2046" s="1" t="s">
        <v>3357</v>
      </c>
      <c r="R2046" s="1" t="s">
        <v>620</v>
      </c>
      <c r="S2046" s="1" t="s">
        <v>44</v>
      </c>
      <c r="T2046" s="1" t="s">
        <v>45</v>
      </c>
      <c r="U2046" s="1">
        <v>4.82042306E8</v>
      </c>
      <c r="W2046" s="1" t="s">
        <v>44</v>
      </c>
      <c r="X2046" s="1" t="s">
        <v>45</v>
      </c>
      <c r="Y2046" s="1">
        <v>4.82042306E8</v>
      </c>
      <c r="Z2046" s="1">
        <v>1.00035849E8</v>
      </c>
      <c r="AB2046" s="1">
        <v>40209.0</v>
      </c>
      <c r="AC2046" s="2">
        <v>41949.0</v>
      </c>
      <c r="AD2046" s="1">
        <v>9100.0</v>
      </c>
      <c r="AE2046" s="1" t="s">
        <v>194</v>
      </c>
      <c r="AF2046" s="1" t="s">
        <v>3739</v>
      </c>
      <c r="AG2046" s="1" t="s">
        <v>463</v>
      </c>
      <c r="AH2046" s="1">
        <v>1.0</v>
      </c>
      <c r="AI2046" s="1">
        <v>2015.0</v>
      </c>
      <c r="AJ2046" s="1">
        <v>2015.0</v>
      </c>
      <c r="AK2046" s="1" t="s">
        <v>277</v>
      </c>
    </row>
    <row r="2047">
      <c r="A2047" s="1" t="s">
        <v>1913</v>
      </c>
      <c r="B2047" s="1" t="s">
        <v>1913</v>
      </c>
      <c r="C2047" s="1" t="s">
        <v>645</v>
      </c>
      <c r="E2047" s="1">
        <v>1.4642656E8</v>
      </c>
      <c r="F2047" s="2">
        <v>41991.0</v>
      </c>
      <c r="G2047" s="1" t="s">
        <v>710</v>
      </c>
      <c r="I2047" s="1" t="s">
        <v>710</v>
      </c>
      <c r="L2047" s="1" t="s">
        <v>647</v>
      </c>
      <c r="M2047" s="1">
        <v>1200.0</v>
      </c>
      <c r="N2047" s="1" t="s">
        <v>647</v>
      </c>
      <c r="O2047" s="1">
        <v>9.0912429E7</v>
      </c>
      <c r="P2047" s="1" t="s">
        <v>521</v>
      </c>
      <c r="R2047" s="1" t="s">
        <v>522</v>
      </c>
      <c r="S2047" s="1" t="s">
        <v>44</v>
      </c>
      <c r="T2047" s="1" t="s">
        <v>45</v>
      </c>
      <c r="U2047" s="1">
        <v>4.82233314E8</v>
      </c>
      <c r="W2047" s="1" t="s">
        <v>44</v>
      </c>
      <c r="X2047" s="1" t="s">
        <v>45</v>
      </c>
      <c r="Y2047" s="1">
        <v>4.82233314E8</v>
      </c>
      <c r="AB2047" s="1">
        <v>59171.22</v>
      </c>
      <c r="AC2047" s="2">
        <v>41991.0</v>
      </c>
      <c r="AD2047" s="1">
        <v>1200.0</v>
      </c>
      <c r="AE2047" s="1" t="s">
        <v>647</v>
      </c>
      <c r="AF2047" s="1" t="s">
        <v>3740</v>
      </c>
      <c r="AG2047" s="1" t="s">
        <v>712</v>
      </c>
      <c r="AH2047" s="1">
        <v>1.0</v>
      </c>
      <c r="AI2047" s="1">
        <v>2015.0</v>
      </c>
      <c r="AJ2047" s="1">
        <v>2015.0</v>
      </c>
      <c r="AK2047" s="1" t="s">
        <v>713</v>
      </c>
    </row>
    <row r="2048">
      <c r="A2048" s="1" t="s">
        <v>1913</v>
      </c>
      <c r="B2048" s="1" t="s">
        <v>1913</v>
      </c>
      <c r="C2048" s="1" t="s">
        <v>645</v>
      </c>
      <c r="E2048" s="1">
        <v>1.4642656E8</v>
      </c>
      <c r="F2048" s="2">
        <v>41977.0</v>
      </c>
      <c r="G2048" s="1" t="s">
        <v>710</v>
      </c>
      <c r="I2048" s="1" t="s">
        <v>710</v>
      </c>
      <c r="L2048" s="1" t="s">
        <v>647</v>
      </c>
      <c r="M2048" s="1">
        <v>1200.0</v>
      </c>
      <c r="N2048" s="1" t="s">
        <v>647</v>
      </c>
      <c r="O2048" s="1">
        <v>3.7602699E7</v>
      </c>
      <c r="P2048" s="1" t="s">
        <v>535</v>
      </c>
      <c r="R2048" s="1" t="s">
        <v>536</v>
      </c>
      <c r="S2048" s="1" t="s">
        <v>44</v>
      </c>
      <c r="T2048" s="1" t="s">
        <v>45</v>
      </c>
      <c r="U2048" s="1">
        <v>4.82052545E8</v>
      </c>
      <c r="W2048" s="1" t="s">
        <v>46</v>
      </c>
      <c r="X2048" s="1" t="s">
        <v>45</v>
      </c>
      <c r="Y2048" s="1">
        <v>4.82052545E8</v>
      </c>
      <c r="AB2048" s="1">
        <v>67020.12</v>
      </c>
      <c r="AC2048" s="2">
        <v>41977.0</v>
      </c>
      <c r="AD2048" s="1">
        <v>1200.0</v>
      </c>
      <c r="AE2048" s="1" t="s">
        <v>647</v>
      </c>
      <c r="AF2048" s="1" t="s">
        <v>3741</v>
      </c>
      <c r="AG2048" s="1" t="s">
        <v>712</v>
      </c>
      <c r="AH2048" s="1">
        <v>1.0</v>
      </c>
      <c r="AI2048" s="1">
        <v>2015.0</v>
      </c>
      <c r="AJ2048" s="1">
        <v>2015.0</v>
      </c>
      <c r="AK2048" s="1" t="s">
        <v>713</v>
      </c>
    </row>
    <row r="2049">
      <c r="A2049" s="1" t="s">
        <v>3472</v>
      </c>
      <c r="B2049" s="1" t="s">
        <v>3472</v>
      </c>
      <c r="C2049" s="1" t="s">
        <v>194</v>
      </c>
      <c r="E2049" s="1">
        <v>8.9168336E7</v>
      </c>
      <c r="F2049" s="2">
        <v>41897.0</v>
      </c>
      <c r="G2049" s="1" t="s">
        <v>458</v>
      </c>
      <c r="I2049" s="1" t="s">
        <v>458</v>
      </c>
      <c r="L2049" s="1" t="s">
        <v>194</v>
      </c>
      <c r="M2049" s="1">
        <v>9100.0</v>
      </c>
      <c r="N2049" s="1" t="s">
        <v>194</v>
      </c>
      <c r="O2049" s="1">
        <v>7.0381949E7</v>
      </c>
      <c r="P2049" s="1" t="s">
        <v>605</v>
      </c>
      <c r="R2049" s="1" t="s">
        <v>606</v>
      </c>
      <c r="S2049" s="1" t="s">
        <v>44</v>
      </c>
      <c r="T2049" s="1" t="s">
        <v>45</v>
      </c>
      <c r="U2049" s="1">
        <v>4.82123033E8</v>
      </c>
      <c r="W2049" s="1" t="s">
        <v>607</v>
      </c>
      <c r="X2049" s="1" t="s">
        <v>45</v>
      </c>
      <c r="Y2049" s="1">
        <v>4.82123033E8</v>
      </c>
      <c r="AB2049" s="1">
        <v>34812.0</v>
      </c>
      <c r="AC2049" s="2">
        <v>41897.0</v>
      </c>
      <c r="AD2049" s="1">
        <v>9100.0</v>
      </c>
      <c r="AE2049" s="1" t="s">
        <v>194</v>
      </c>
      <c r="AF2049" s="1" t="s">
        <v>3742</v>
      </c>
      <c r="AG2049" s="1" t="s">
        <v>463</v>
      </c>
      <c r="AH2049" s="1">
        <v>1.0</v>
      </c>
      <c r="AI2049" s="1">
        <v>2015.0</v>
      </c>
      <c r="AJ2049" s="1">
        <v>2014.0</v>
      </c>
      <c r="AK2049" s="1" t="s">
        <v>277</v>
      </c>
    </row>
    <row r="2050">
      <c r="A2050" s="1" t="s">
        <v>3472</v>
      </c>
      <c r="B2050" s="1" t="s">
        <v>3472</v>
      </c>
      <c r="C2050" s="1" t="s">
        <v>194</v>
      </c>
      <c r="E2050" s="1">
        <v>8.9168336E7</v>
      </c>
      <c r="F2050" s="2">
        <v>41934.0</v>
      </c>
      <c r="G2050" s="1" t="s">
        <v>458</v>
      </c>
      <c r="I2050" s="1" t="s">
        <v>458</v>
      </c>
      <c r="L2050" s="1" t="s">
        <v>194</v>
      </c>
      <c r="M2050" s="1">
        <v>9100.0</v>
      </c>
      <c r="N2050" s="1" t="s">
        <v>194</v>
      </c>
      <c r="O2050" s="1">
        <v>7.8346351E7</v>
      </c>
      <c r="P2050" s="1" t="s">
        <v>615</v>
      </c>
      <c r="R2050" s="1" t="s">
        <v>1708</v>
      </c>
      <c r="S2050" s="1" t="s">
        <v>44</v>
      </c>
      <c r="T2050" s="1" t="s">
        <v>45</v>
      </c>
      <c r="U2050" s="1">
        <v>4.82074457E8</v>
      </c>
      <c r="W2050" s="1" t="s">
        <v>44</v>
      </c>
      <c r="X2050" s="1" t="s">
        <v>45</v>
      </c>
      <c r="Y2050" s="1">
        <v>4.82074298E8</v>
      </c>
      <c r="Z2050" s="1">
        <v>9.67815499E8</v>
      </c>
      <c r="AA2050" s="1" t="s">
        <v>3743</v>
      </c>
      <c r="AB2050" s="1">
        <v>2237903.0</v>
      </c>
      <c r="AC2050" s="2">
        <v>41934.0</v>
      </c>
      <c r="AD2050" s="1">
        <v>9100.0</v>
      </c>
      <c r="AE2050" s="1" t="s">
        <v>194</v>
      </c>
      <c r="AF2050" s="1" t="s">
        <v>3744</v>
      </c>
      <c r="AG2050" s="1" t="s">
        <v>463</v>
      </c>
      <c r="AH2050" s="1">
        <v>1.0</v>
      </c>
      <c r="AI2050" s="1">
        <v>2015.0</v>
      </c>
      <c r="AJ2050" s="1">
        <v>2015.0</v>
      </c>
      <c r="AK2050" s="1" t="s">
        <v>277</v>
      </c>
    </row>
    <row r="2051">
      <c r="A2051" s="1" t="s">
        <v>3472</v>
      </c>
      <c r="B2051" s="1" t="s">
        <v>3472</v>
      </c>
      <c r="C2051" s="1" t="s">
        <v>194</v>
      </c>
      <c r="E2051" s="1">
        <v>8.9168336E7</v>
      </c>
      <c r="F2051" s="2">
        <v>41935.0</v>
      </c>
      <c r="G2051" s="1" t="s">
        <v>458</v>
      </c>
      <c r="I2051" s="1" t="s">
        <v>458</v>
      </c>
      <c r="L2051" s="1" t="s">
        <v>194</v>
      </c>
      <c r="M2051" s="1">
        <v>9100.0</v>
      </c>
      <c r="N2051" s="1" t="s">
        <v>194</v>
      </c>
      <c r="O2051" s="1">
        <v>9.65778702E8</v>
      </c>
      <c r="P2051" s="1" t="s">
        <v>493</v>
      </c>
      <c r="Q2051" s="1" t="s">
        <v>3745</v>
      </c>
      <c r="R2051" s="1" t="s">
        <v>494</v>
      </c>
      <c r="S2051" s="1" t="s">
        <v>44</v>
      </c>
      <c r="T2051" s="1" t="s">
        <v>45</v>
      </c>
      <c r="U2051" s="1">
        <v>4.82082475E8</v>
      </c>
      <c r="W2051" s="1" t="s">
        <v>44</v>
      </c>
      <c r="X2051" s="1" t="s">
        <v>45</v>
      </c>
      <c r="Y2051" s="1">
        <v>4.82082475E8</v>
      </c>
      <c r="Z2051" s="1">
        <v>4.0917864E7</v>
      </c>
      <c r="AB2051" s="1">
        <v>30745.0</v>
      </c>
      <c r="AC2051" s="2">
        <v>41935.0</v>
      </c>
      <c r="AD2051" s="1">
        <v>9100.0</v>
      </c>
      <c r="AE2051" s="1" t="s">
        <v>194</v>
      </c>
      <c r="AF2051" s="1" t="s">
        <v>3746</v>
      </c>
      <c r="AG2051" s="1" t="s">
        <v>463</v>
      </c>
      <c r="AH2051" s="1">
        <v>1.0</v>
      </c>
      <c r="AI2051" s="1">
        <v>2015.0</v>
      </c>
      <c r="AJ2051" s="1">
        <v>2015.0</v>
      </c>
      <c r="AK2051" s="1" t="s">
        <v>277</v>
      </c>
    </row>
    <row r="2052">
      <c r="A2052" s="1" t="s">
        <v>3472</v>
      </c>
      <c r="B2052" s="1" t="s">
        <v>3472</v>
      </c>
      <c r="C2052" s="1" t="s">
        <v>194</v>
      </c>
      <c r="E2052" s="1">
        <v>8.9168336E7</v>
      </c>
      <c r="F2052" s="2">
        <v>41932.0</v>
      </c>
      <c r="G2052" s="1" t="s">
        <v>458</v>
      </c>
      <c r="I2052" s="1" t="s">
        <v>458</v>
      </c>
      <c r="L2052" s="1" t="s">
        <v>194</v>
      </c>
      <c r="M2052" s="1">
        <v>9100.0</v>
      </c>
      <c r="N2052" s="1" t="s">
        <v>194</v>
      </c>
      <c r="O2052" s="1">
        <v>3537326.0</v>
      </c>
      <c r="P2052" s="1" t="s">
        <v>560</v>
      </c>
      <c r="R2052" s="1" t="s">
        <v>561</v>
      </c>
      <c r="S2052" s="1" t="s">
        <v>44</v>
      </c>
      <c r="T2052" s="1" t="s">
        <v>45</v>
      </c>
      <c r="U2052" s="1">
        <v>4.8212177E8</v>
      </c>
      <c r="W2052" s="1" t="s">
        <v>498</v>
      </c>
      <c r="X2052" s="1" t="s">
        <v>45</v>
      </c>
      <c r="Y2052" s="1">
        <v>4.82121754E8</v>
      </c>
      <c r="Z2052" s="1">
        <v>3537326.0</v>
      </c>
      <c r="AA2052" s="1" t="s">
        <v>560</v>
      </c>
      <c r="AB2052" s="1">
        <v>64833.0</v>
      </c>
      <c r="AC2052" s="2">
        <v>41932.0</v>
      </c>
      <c r="AD2052" s="1">
        <v>9100.0</v>
      </c>
      <c r="AE2052" s="1" t="s">
        <v>194</v>
      </c>
      <c r="AF2052" s="1" t="s">
        <v>3747</v>
      </c>
      <c r="AG2052" s="1" t="s">
        <v>463</v>
      </c>
      <c r="AH2052" s="1">
        <v>1.0</v>
      </c>
      <c r="AI2052" s="1">
        <v>2015.0</v>
      </c>
      <c r="AJ2052" s="1">
        <v>2015.0</v>
      </c>
      <c r="AK2052" s="1" t="s">
        <v>277</v>
      </c>
    </row>
    <row r="2053">
      <c r="A2053" s="1" t="s">
        <v>3472</v>
      </c>
      <c r="B2053" s="1" t="s">
        <v>3472</v>
      </c>
      <c r="C2053" s="1" t="s">
        <v>194</v>
      </c>
      <c r="E2053" s="1">
        <v>8.9168336E7</v>
      </c>
      <c r="F2053" s="2">
        <v>41922.0</v>
      </c>
      <c r="G2053" s="1" t="s">
        <v>458</v>
      </c>
      <c r="I2053" s="1" t="s">
        <v>458</v>
      </c>
      <c r="L2053" s="1" t="s">
        <v>194</v>
      </c>
      <c r="M2053" s="1">
        <v>9100.0</v>
      </c>
      <c r="N2053" s="1" t="s">
        <v>194</v>
      </c>
      <c r="O2053" s="1">
        <v>7.8583963E7</v>
      </c>
      <c r="P2053" s="1" t="s">
        <v>526</v>
      </c>
      <c r="Q2053" s="1" t="s">
        <v>3501</v>
      </c>
      <c r="R2053" s="1" t="s">
        <v>3020</v>
      </c>
      <c r="S2053" s="1" t="s">
        <v>44</v>
      </c>
      <c r="T2053" s="1" t="s">
        <v>45</v>
      </c>
      <c r="U2053" s="1">
        <v>4.82091434E8</v>
      </c>
      <c r="W2053" s="1" t="s">
        <v>46</v>
      </c>
      <c r="X2053" s="1" t="s">
        <v>45</v>
      </c>
      <c r="Y2053" s="1">
        <v>4.82091434E8</v>
      </c>
      <c r="Z2053" s="1">
        <v>5.3665132E7</v>
      </c>
      <c r="AB2053" s="1">
        <v>59640.0</v>
      </c>
      <c r="AC2053" s="2">
        <v>41922.0</v>
      </c>
      <c r="AD2053" s="1">
        <v>9100.0</v>
      </c>
      <c r="AE2053" s="1" t="s">
        <v>194</v>
      </c>
      <c r="AF2053" s="1" t="s">
        <v>3748</v>
      </c>
      <c r="AG2053" s="1" t="s">
        <v>463</v>
      </c>
      <c r="AH2053" s="1">
        <v>1.0</v>
      </c>
      <c r="AI2053" s="1">
        <v>2015.0</v>
      </c>
      <c r="AJ2053" s="1">
        <v>2015.0</v>
      </c>
      <c r="AK2053" s="1" t="s">
        <v>277</v>
      </c>
    </row>
    <row r="2054">
      <c r="A2054" s="1" t="s">
        <v>1913</v>
      </c>
      <c r="B2054" s="1" t="s">
        <v>1913</v>
      </c>
      <c r="C2054" s="1" t="s">
        <v>645</v>
      </c>
      <c r="E2054" s="1">
        <v>1.4642656E8</v>
      </c>
      <c r="F2054" s="2">
        <v>41977.0</v>
      </c>
      <c r="G2054" s="1" t="s">
        <v>710</v>
      </c>
      <c r="I2054" s="1" t="s">
        <v>710</v>
      </c>
      <c r="L2054" s="1" t="s">
        <v>647</v>
      </c>
      <c r="M2054" s="1">
        <v>1200.0</v>
      </c>
      <c r="N2054" s="1" t="s">
        <v>647</v>
      </c>
      <c r="O2054" s="1">
        <v>8.31014068E8</v>
      </c>
      <c r="P2054" s="1" t="s">
        <v>515</v>
      </c>
      <c r="R2054" s="1" t="s">
        <v>516</v>
      </c>
      <c r="S2054" s="1" t="s">
        <v>44</v>
      </c>
      <c r="T2054" s="1" t="s">
        <v>45</v>
      </c>
      <c r="U2054" s="1">
        <v>4.82283685E8</v>
      </c>
      <c r="W2054" s="1" t="s">
        <v>46</v>
      </c>
      <c r="X2054" s="1" t="s">
        <v>45</v>
      </c>
      <c r="Y2054" s="1">
        <v>4.82283685E8</v>
      </c>
      <c r="Z2054" s="1">
        <v>9.60742484E8</v>
      </c>
      <c r="AB2054" s="1">
        <v>68332.86</v>
      </c>
      <c r="AC2054" s="2">
        <v>41977.0</v>
      </c>
      <c r="AD2054" s="1">
        <v>1200.0</v>
      </c>
      <c r="AE2054" s="1" t="s">
        <v>647</v>
      </c>
      <c r="AF2054" s="1" t="s">
        <v>3749</v>
      </c>
      <c r="AG2054" s="1" t="s">
        <v>712</v>
      </c>
      <c r="AH2054" s="1">
        <v>1.0</v>
      </c>
      <c r="AI2054" s="1">
        <v>2015.0</v>
      </c>
      <c r="AJ2054" s="1">
        <v>2015.0</v>
      </c>
      <c r="AK2054" s="1" t="s">
        <v>713</v>
      </c>
    </row>
    <row r="2055">
      <c r="A2055" s="1" t="s">
        <v>3750</v>
      </c>
      <c r="B2055" s="1" t="s">
        <v>3750</v>
      </c>
      <c r="C2055" s="1" t="s">
        <v>129</v>
      </c>
      <c r="E2055" s="1">
        <v>2.466944E7</v>
      </c>
      <c r="F2055" s="2">
        <v>41913.0</v>
      </c>
      <c r="G2055" s="1" t="s">
        <v>3751</v>
      </c>
      <c r="I2055" s="1" t="s">
        <v>3751</v>
      </c>
      <c r="L2055" s="1" t="s">
        <v>40</v>
      </c>
      <c r="M2055" s="1">
        <v>7500.0</v>
      </c>
      <c r="N2055" s="1" t="s">
        <v>40</v>
      </c>
      <c r="O2055" s="1">
        <v>7.8074923E8</v>
      </c>
      <c r="P2055" s="1" t="s">
        <v>419</v>
      </c>
      <c r="R2055" s="1" t="s">
        <v>420</v>
      </c>
      <c r="S2055" s="1" t="s">
        <v>44</v>
      </c>
      <c r="T2055" s="1" t="s">
        <v>45</v>
      </c>
      <c r="U2055" s="1">
        <v>4.82082365E8</v>
      </c>
      <c r="W2055" s="1" t="s">
        <v>44</v>
      </c>
      <c r="X2055" s="1" t="s">
        <v>45</v>
      </c>
      <c r="Y2055" s="1">
        <v>4.82082365E8</v>
      </c>
      <c r="AB2055" s="1">
        <v>177320.0</v>
      </c>
      <c r="AC2055" s="2">
        <v>41913.0</v>
      </c>
      <c r="AD2055" s="1">
        <v>7500.0</v>
      </c>
      <c r="AE2055" s="1" t="s">
        <v>40</v>
      </c>
      <c r="AF2055" s="1" t="s">
        <v>2817</v>
      </c>
      <c r="AG2055" s="1" t="s">
        <v>3752</v>
      </c>
      <c r="AH2055" s="1">
        <v>11.0</v>
      </c>
      <c r="AI2055" s="1">
        <v>2014.0</v>
      </c>
      <c r="AJ2055" s="1">
        <v>2015.0</v>
      </c>
      <c r="AK2055" s="1" t="s">
        <v>1275</v>
      </c>
    </row>
    <row r="2056">
      <c r="A2056" s="1" t="s">
        <v>3472</v>
      </c>
      <c r="B2056" s="1" t="s">
        <v>3472</v>
      </c>
      <c r="C2056" s="1" t="s">
        <v>194</v>
      </c>
      <c r="E2056" s="1">
        <v>8.9168336E7</v>
      </c>
      <c r="F2056" s="2">
        <v>41897.0</v>
      </c>
      <c r="G2056" s="1" t="s">
        <v>458</v>
      </c>
      <c r="I2056" s="1" t="s">
        <v>458</v>
      </c>
      <c r="L2056" s="1" t="s">
        <v>194</v>
      </c>
      <c r="M2056" s="1">
        <v>9100.0</v>
      </c>
      <c r="N2056" s="1" t="s">
        <v>194</v>
      </c>
      <c r="O2056" s="1">
        <v>1.17726252E8</v>
      </c>
      <c r="P2056" s="1" t="s">
        <v>512</v>
      </c>
      <c r="R2056" s="1" t="s">
        <v>513</v>
      </c>
      <c r="S2056" s="1" t="s">
        <v>44</v>
      </c>
      <c r="T2056" s="1" t="s">
        <v>45</v>
      </c>
      <c r="U2056" s="1">
        <v>4.82193259E8</v>
      </c>
      <c r="W2056" s="1" t="s">
        <v>44</v>
      </c>
      <c r="X2056" s="1" t="s">
        <v>45</v>
      </c>
      <c r="Y2056" s="1">
        <v>4.82193259E8</v>
      </c>
      <c r="Z2056" s="1">
        <v>5.56790715E8</v>
      </c>
      <c r="AA2056" s="1" t="s">
        <v>3725</v>
      </c>
      <c r="AB2056" s="1">
        <v>26000.0</v>
      </c>
      <c r="AC2056" s="2">
        <v>41897.0</v>
      </c>
      <c r="AD2056" s="1">
        <v>9100.0</v>
      </c>
      <c r="AE2056" s="1" t="s">
        <v>194</v>
      </c>
      <c r="AF2056" s="1" t="s">
        <v>3753</v>
      </c>
      <c r="AG2056" s="1" t="s">
        <v>463</v>
      </c>
      <c r="AH2056" s="1">
        <v>1.0</v>
      </c>
      <c r="AI2056" s="1">
        <v>2015.0</v>
      </c>
      <c r="AJ2056" s="1">
        <v>2014.0</v>
      </c>
      <c r="AK2056" s="1" t="s">
        <v>277</v>
      </c>
    </row>
    <row r="2057">
      <c r="A2057" s="1" t="s">
        <v>3472</v>
      </c>
      <c r="B2057" s="1" t="s">
        <v>3472</v>
      </c>
      <c r="C2057" s="1" t="s">
        <v>194</v>
      </c>
      <c r="E2057" s="1">
        <v>8.9168336E7</v>
      </c>
      <c r="F2057" s="2">
        <v>41891.0</v>
      </c>
      <c r="G2057" s="1" t="s">
        <v>458</v>
      </c>
      <c r="I2057" s="1" t="s">
        <v>458</v>
      </c>
      <c r="L2057" s="1" t="s">
        <v>194</v>
      </c>
      <c r="M2057" s="1">
        <v>9100.0</v>
      </c>
      <c r="N2057" s="1" t="s">
        <v>194</v>
      </c>
      <c r="O2057" s="1">
        <v>9.62104118E8</v>
      </c>
      <c r="P2057" s="1" t="s">
        <v>634</v>
      </c>
      <c r="R2057" s="1" t="s">
        <v>635</v>
      </c>
      <c r="S2057" s="1" t="s">
        <v>44</v>
      </c>
      <c r="T2057" s="1" t="s">
        <v>45</v>
      </c>
      <c r="U2057" s="1">
        <v>4.82351111E8</v>
      </c>
      <c r="W2057" s="1" t="s">
        <v>46</v>
      </c>
      <c r="X2057" s="1" t="s">
        <v>45</v>
      </c>
      <c r="Y2057" s="1">
        <v>4.82351111E8</v>
      </c>
      <c r="Z2057" s="1">
        <v>8.5899185E7</v>
      </c>
      <c r="AA2057" s="1" t="s">
        <v>3444</v>
      </c>
      <c r="AB2057" s="1">
        <v>27852.0</v>
      </c>
      <c r="AC2057" s="2">
        <v>41891.0</v>
      </c>
      <c r="AD2057" s="1">
        <v>9100.0</v>
      </c>
      <c r="AE2057" s="1" t="s">
        <v>194</v>
      </c>
      <c r="AF2057" s="1" t="s">
        <v>3754</v>
      </c>
      <c r="AG2057" s="1" t="s">
        <v>463</v>
      </c>
      <c r="AH2057" s="1">
        <v>1.0</v>
      </c>
      <c r="AI2057" s="1">
        <v>2015.0</v>
      </c>
      <c r="AJ2057" s="1">
        <v>2014.0</v>
      </c>
      <c r="AK2057" s="1" t="s">
        <v>277</v>
      </c>
    </row>
    <row r="2058">
      <c r="A2058" s="1" t="s">
        <v>3472</v>
      </c>
      <c r="B2058" s="1" t="s">
        <v>3472</v>
      </c>
      <c r="C2058" s="1" t="s">
        <v>194</v>
      </c>
      <c r="E2058" s="1">
        <v>8.9168336E7</v>
      </c>
      <c r="F2058" s="2">
        <v>41878.0</v>
      </c>
      <c r="G2058" s="1" t="s">
        <v>458</v>
      </c>
      <c r="I2058" s="1" t="s">
        <v>458</v>
      </c>
      <c r="L2058" s="1" t="s">
        <v>194</v>
      </c>
      <c r="M2058" s="1">
        <v>9100.0</v>
      </c>
      <c r="N2058" s="1" t="s">
        <v>194</v>
      </c>
      <c r="O2058" s="1">
        <v>8.31014068E8</v>
      </c>
      <c r="P2058" s="1" t="s">
        <v>515</v>
      </c>
      <c r="R2058" s="1" t="s">
        <v>516</v>
      </c>
      <c r="S2058" s="1" t="s">
        <v>44</v>
      </c>
      <c r="T2058" s="1" t="s">
        <v>45</v>
      </c>
      <c r="U2058" s="1">
        <v>4.82283685E8</v>
      </c>
      <c r="W2058" s="1" t="s">
        <v>46</v>
      </c>
      <c r="X2058" s="1" t="s">
        <v>45</v>
      </c>
      <c r="Y2058" s="1">
        <v>4.82283685E8</v>
      </c>
      <c r="Z2058" s="1">
        <v>9.60742484E8</v>
      </c>
      <c r="AB2058" s="1">
        <v>28105.0</v>
      </c>
      <c r="AC2058" s="2">
        <v>41878.0</v>
      </c>
      <c r="AD2058" s="1">
        <v>9100.0</v>
      </c>
      <c r="AE2058" s="1" t="s">
        <v>194</v>
      </c>
      <c r="AF2058" s="1" t="s">
        <v>3755</v>
      </c>
      <c r="AG2058" s="1" t="s">
        <v>463</v>
      </c>
      <c r="AH2058" s="1">
        <v>1.0</v>
      </c>
      <c r="AI2058" s="1">
        <v>2015.0</v>
      </c>
      <c r="AJ2058" s="1">
        <v>2014.0</v>
      </c>
      <c r="AK2058" s="1" t="s">
        <v>277</v>
      </c>
    </row>
    <row r="2059">
      <c r="A2059" s="1" t="s">
        <v>3472</v>
      </c>
      <c r="B2059" s="1" t="s">
        <v>3472</v>
      </c>
      <c r="C2059" s="1" t="s">
        <v>194</v>
      </c>
      <c r="E2059" s="1">
        <v>8.9168336E7</v>
      </c>
      <c r="F2059" s="2">
        <v>41886.0</v>
      </c>
      <c r="G2059" s="1" t="s">
        <v>458</v>
      </c>
      <c r="I2059" s="1" t="s">
        <v>458</v>
      </c>
      <c r="L2059" s="1" t="s">
        <v>194</v>
      </c>
      <c r="M2059" s="1">
        <v>9100.0</v>
      </c>
      <c r="N2059" s="1" t="s">
        <v>194</v>
      </c>
      <c r="O2059" s="1">
        <v>7.8811813E7</v>
      </c>
      <c r="P2059" s="1" t="s">
        <v>2629</v>
      </c>
      <c r="R2059" s="1">
        <v>16411.0</v>
      </c>
      <c r="S2059" s="1" t="s">
        <v>44</v>
      </c>
      <c r="T2059" s="1" t="s">
        <v>45</v>
      </c>
      <c r="U2059" s="1">
        <v>48225.0</v>
      </c>
      <c r="W2059" s="1" t="s">
        <v>46</v>
      </c>
      <c r="X2059" s="1" t="s">
        <v>45</v>
      </c>
      <c r="Y2059" s="1">
        <v>4.8238E8</v>
      </c>
      <c r="AB2059" s="1">
        <v>38715.0</v>
      </c>
      <c r="AC2059" s="2">
        <v>41886.0</v>
      </c>
      <c r="AD2059" s="1">
        <v>9100.0</v>
      </c>
      <c r="AE2059" s="1" t="s">
        <v>194</v>
      </c>
      <c r="AF2059" s="1" t="s">
        <v>3756</v>
      </c>
      <c r="AG2059" s="1" t="s">
        <v>463</v>
      </c>
      <c r="AH2059" s="1">
        <v>1.0</v>
      </c>
      <c r="AI2059" s="1">
        <v>2015.0</v>
      </c>
      <c r="AJ2059" s="1">
        <v>2014.0</v>
      </c>
      <c r="AK2059" s="1" t="s">
        <v>277</v>
      </c>
    </row>
    <row r="2060">
      <c r="A2060" s="1" t="s">
        <v>3472</v>
      </c>
      <c r="B2060" s="1" t="s">
        <v>3472</v>
      </c>
      <c r="C2060" s="1" t="s">
        <v>194</v>
      </c>
      <c r="E2060" s="1">
        <v>8.9168336E7</v>
      </c>
      <c r="F2060" s="2">
        <v>41984.0</v>
      </c>
      <c r="G2060" s="1" t="s">
        <v>458</v>
      </c>
      <c r="I2060" s="1" t="s">
        <v>458</v>
      </c>
      <c r="L2060" s="1" t="s">
        <v>194</v>
      </c>
      <c r="M2060" s="1">
        <v>9100.0</v>
      </c>
      <c r="N2060" s="1" t="s">
        <v>194</v>
      </c>
      <c r="O2060" s="1">
        <v>8.29503312E8</v>
      </c>
      <c r="P2060" s="1" t="s">
        <v>622</v>
      </c>
      <c r="Q2060" s="1" t="s">
        <v>3757</v>
      </c>
      <c r="R2060" s="1" t="s">
        <v>623</v>
      </c>
      <c r="S2060" s="1" t="s">
        <v>44</v>
      </c>
      <c r="T2060" s="1" t="s">
        <v>45</v>
      </c>
      <c r="U2060" s="1">
        <v>4.82035715E8</v>
      </c>
      <c r="W2060" s="1" t="s">
        <v>603</v>
      </c>
      <c r="X2060" s="1" t="s">
        <v>45</v>
      </c>
      <c r="Y2060" s="1">
        <v>4.82035715E8</v>
      </c>
      <c r="Z2060" s="1">
        <v>7.927615E7</v>
      </c>
      <c r="AA2060" s="1" t="s">
        <v>3641</v>
      </c>
      <c r="AB2060" s="1">
        <v>119510.0</v>
      </c>
      <c r="AC2060" s="2">
        <v>41984.0</v>
      </c>
      <c r="AD2060" s="1">
        <v>9100.0</v>
      </c>
      <c r="AE2060" s="1" t="s">
        <v>194</v>
      </c>
      <c r="AF2060" s="1" t="s">
        <v>3758</v>
      </c>
      <c r="AG2060" s="1" t="s">
        <v>463</v>
      </c>
      <c r="AH2060" s="1">
        <v>1.0</v>
      </c>
      <c r="AI2060" s="1">
        <v>2015.0</v>
      </c>
      <c r="AJ2060" s="1">
        <v>2015.0</v>
      </c>
      <c r="AK2060" s="1" t="s">
        <v>277</v>
      </c>
    </row>
    <row r="2061">
      <c r="A2061" s="1" t="s">
        <v>3515</v>
      </c>
      <c r="B2061" s="1" t="s">
        <v>3515</v>
      </c>
      <c r="C2061" s="1" t="s">
        <v>645</v>
      </c>
      <c r="E2061" s="1">
        <v>4.64793056E8</v>
      </c>
      <c r="F2061" s="2">
        <v>41963.0</v>
      </c>
      <c r="G2061" s="1" t="s">
        <v>710</v>
      </c>
      <c r="I2061" s="1" t="s">
        <v>710</v>
      </c>
      <c r="L2061" s="1" t="s">
        <v>647</v>
      </c>
      <c r="M2061" s="1">
        <v>1200.0</v>
      </c>
      <c r="N2061" s="1" t="s">
        <v>647</v>
      </c>
      <c r="O2061" s="1">
        <v>9.62949843E8</v>
      </c>
      <c r="P2061" s="1" t="s">
        <v>619</v>
      </c>
      <c r="R2061" s="1" t="s">
        <v>620</v>
      </c>
      <c r="S2061" s="1" t="s">
        <v>44</v>
      </c>
      <c r="T2061" s="1" t="s">
        <v>45</v>
      </c>
      <c r="U2061" s="1">
        <v>4.82042306E8</v>
      </c>
      <c r="W2061" s="1" t="s">
        <v>44</v>
      </c>
      <c r="X2061" s="1" t="s">
        <v>45</v>
      </c>
      <c r="Y2061" s="1">
        <v>4.82042306E8</v>
      </c>
      <c r="Z2061" s="1">
        <v>6.0187978E7</v>
      </c>
      <c r="AA2061" s="1" t="s">
        <v>480</v>
      </c>
      <c r="AB2061" s="1">
        <v>44709.29</v>
      </c>
      <c r="AC2061" s="2">
        <v>41963.0</v>
      </c>
      <c r="AD2061" s="1">
        <v>1200.0</v>
      </c>
      <c r="AE2061" s="1" t="s">
        <v>647</v>
      </c>
      <c r="AF2061" s="1" t="s">
        <v>3759</v>
      </c>
      <c r="AG2061" s="1" t="s">
        <v>712</v>
      </c>
      <c r="AH2061" s="1">
        <v>1.0</v>
      </c>
      <c r="AI2061" s="1">
        <v>2015.0</v>
      </c>
      <c r="AJ2061" s="1">
        <v>2015.0</v>
      </c>
      <c r="AK2061" s="1" t="s">
        <v>713</v>
      </c>
    </row>
    <row r="2062">
      <c r="A2062" s="1" t="s">
        <v>3515</v>
      </c>
      <c r="B2062" s="1" t="s">
        <v>3515</v>
      </c>
      <c r="C2062" s="1" t="s">
        <v>645</v>
      </c>
      <c r="E2062" s="1">
        <v>4.64793056E8</v>
      </c>
      <c r="F2062" s="2">
        <v>41928.0</v>
      </c>
      <c r="G2062" s="1" t="s">
        <v>710</v>
      </c>
      <c r="I2062" s="1" t="s">
        <v>710</v>
      </c>
      <c r="L2062" s="1" t="s">
        <v>647</v>
      </c>
      <c r="M2062" s="1">
        <v>1200.0</v>
      </c>
      <c r="N2062" s="1" t="s">
        <v>647</v>
      </c>
      <c r="O2062" s="1">
        <v>9.62104118E8</v>
      </c>
      <c r="P2062" s="1" t="s">
        <v>634</v>
      </c>
      <c r="R2062" s="1" t="s">
        <v>635</v>
      </c>
      <c r="S2062" s="1" t="s">
        <v>44</v>
      </c>
      <c r="T2062" s="1" t="s">
        <v>45</v>
      </c>
      <c r="U2062" s="1">
        <v>4.82351111E8</v>
      </c>
      <c r="W2062" s="1" t="s">
        <v>46</v>
      </c>
      <c r="X2062" s="1" t="s">
        <v>45</v>
      </c>
      <c r="Y2062" s="1">
        <v>4.82351111E8</v>
      </c>
      <c r="Z2062" s="1">
        <v>2.0906988E7</v>
      </c>
      <c r="AA2062" s="1" t="s">
        <v>3760</v>
      </c>
      <c r="AB2062" s="1">
        <v>286121.72</v>
      </c>
      <c r="AC2062" s="2">
        <v>41928.0</v>
      </c>
      <c r="AD2062" s="1">
        <v>1200.0</v>
      </c>
      <c r="AE2062" s="1" t="s">
        <v>647</v>
      </c>
      <c r="AF2062" s="1" t="s">
        <v>3761</v>
      </c>
      <c r="AG2062" s="1" t="s">
        <v>712</v>
      </c>
      <c r="AH2062" s="1">
        <v>1.0</v>
      </c>
      <c r="AI2062" s="1">
        <v>2015.0</v>
      </c>
      <c r="AJ2062" s="1">
        <v>2015.0</v>
      </c>
      <c r="AK2062" s="1" t="s">
        <v>713</v>
      </c>
    </row>
    <row r="2063">
      <c r="A2063" s="1" t="s">
        <v>3515</v>
      </c>
      <c r="B2063" s="1" t="s">
        <v>3515</v>
      </c>
      <c r="C2063" s="1" t="s">
        <v>645</v>
      </c>
      <c r="E2063" s="1">
        <v>4.64793056E8</v>
      </c>
      <c r="F2063" s="2">
        <v>41928.0</v>
      </c>
      <c r="G2063" s="1" t="s">
        <v>710</v>
      </c>
      <c r="I2063" s="1" t="s">
        <v>710</v>
      </c>
      <c r="L2063" s="1" t="s">
        <v>647</v>
      </c>
      <c r="M2063" s="1">
        <v>1200.0</v>
      </c>
      <c r="N2063" s="1" t="s">
        <v>647</v>
      </c>
      <c r="O2063" s="1">
        <v>9.62949843E8</v>
      </c>
      <c r="P2063" s="1" t="s">
        <v>619</v>
      </c>
      <c r="Q2063" s="1" t="s">
        <v>3762</v>
      </c>
      <c r="R2063" s="1" t="s">
        <v>620</v>
      </c>
      <c r="S2063" s="1" t="s">
        <v>44</v>
      </c>
      <c r="T2063" s="1" t="s">
        <v>45</v>
      </c>
      <c r="U2063" s="1">
        <v>4.82042306E8</v>
      </c>
      <c r="W2063" s="1" t="s">
        <v>44</v>
      </c>
      <c r="X2063" s="1" t="s">
        <v>45</v>
      </c>
      <c r="Y2063" s="1">
        <v>4.82042306E8</v>
      </c>
      <c r="Z2063" s="1">
        <v>1.0860328E7</v>
      </c>
      <c r="AA2063" s="1" t="s">
        <v>3763</v>
      </c>
      <c r="AB2063" s="1">
        <v>351821.88</v>
      </c>
      <c r="AC2063" s="2">
        <v>41928.0</v>
      </c>
      <c r="AD2063" s="1">
        <v>1200.0</v>
      </c>
      <c r="AE2063" s="1" t="s">
        <v>647</v>
      </c>
      <c r="AF2063" s="1" t="s">
        <v>3764</v>
      </c>
      <c r="AG2063" s="1" t="s">
        <v>712</v>
      </c>
      <c r="AH2063" s="1">
        <v>1.0</v>
      </c>
      <c r="AI2063" s="1">
        <v>2015.0</v>
      </c>
      <c r="AJ2063" s="1">
        <v>2015.0</v>
      </c>
      <c r="AK2063" s="1" t="s">
        <v>713</v>
      </c>
    </row>
    <row r="2064">
      <c r="A2064" s="1" t="s">
        <v>3515</v>
      </c>
      <c r="B2064" s="1" t="s">
        <v>3515</v>
      </c>
      <c r="C2064" s="1" t="s">
        <v>645</v>
      </c>
      <c r="E2064" s="1">
        <v>4.64793056E8</v>
      </c>
      <c r="F2064" s="2">
        <v>41935.0</v>
      </c>
      <c r="G2064" s="1" t="s">
        <v>710</v>
      </c>
      <c r="I2064" s="1" t="s">
        <v>710</v>
      </c>
      <c r="L2064" s="1" t="s">
        <v>647</v>
      </c>
      <c r="M2064" s="1">
        <v>1200.0</v>
      </c>
      <c r="N2064" s="1" t="s">
        <v>647</v>
      </c>
      <c r="O2064" s="1">
        <v>9.48021373E8</v>
      </c>
      <c r="P2064" s="1" t="s">
        <v>501</v>
      </c>
      <c r="R2064" s="1" t="s">
        <v>502</v>
      </c>
      <c r="S2064" s="1" t="s">
        <v>44</v>
      </c>
      <c r="T2064" s="1" t="s">
        <v>45</v>
      </c>
      <c r="U2064" s="1">
        <v>4.82072901E8</v>
      </c>
      <c r="W2064" s="1" t="s">
        <v>44</v>
      </c>
      <c r="X2064" s="1" t="s">
        <v>45</v>
      </c>
      <c r="Y2064" s="1">
        <v>4.82072901E8</v>
      </c>
      <c r="AB2064" s="1">
        <v>140355.51</v>
      </c>
      <c r="AC2064" s="2">
        <v>41935.0</v>
      </c>
      <c r="AD2064" s="1">
        <v>1200.0</v>
      </c>
      <c r="AE2064" s="1" t="s">
        <v>647</v>
      </c>
      <c r="AF2064" s="1" t="s">
        <v>3765</v>
      </c>
      <c r="AG2064" s="1" t="s">
        <v>712</v>
      </c>
      <c r="AH2064" s="1">
        <v>1.0</v>
      </c>
      <c r="AI2064" s="1">
        <v>2015.0</v>
      </c>
      <c r="AJ2064" s="1">
        <v>2015.0</v>
      </c>
      <c r="AK2064" s="1" t="s">
        <v>713</v>
      </c>
    </row>
    <row r="2065">
      <c r="A2065" s="1" t="s">
        <v>3515</v>
      </c>
      <c r="B2065" s="1" t="s">
        <v>3515</v>
      </c>
      <c r="C2065" s="1" t="s">
        <v>645</v>
      </c>
      <c r="E2065" s="1">
        <v>4.64793056E8</v>
      </c>
      <c r="F2065" s="2">
        <v>41809.0</v>
      </c>
      <c r="G2065" s="1" t="s">
        <v>710</v>
      </c>
      <c r="I2065" s="1" t="s">
        <v>710</v>
      </c>
      <c r="L2065" s="1" t="s">
        <v>647</v>
      </c>
      <c r="M2065" s="1">
        <v>1200.0</v>
      </c>
      <c r="N2065" s="1" t="s">
        <v>647</v>
      </c>
      <c r="O2065" s="1">
        <v>8.76992343E8</v>
      </c>
      <c r="P2065" s="1" t="s">
        <v>550</v>
      </c>
      <c r="R2065" s="1" t="s">
        <v>551</v>
      </c>
      <c r="S2065" s="1" t="s">
        <v>44</v>
      </c>
      <c r="T2065" s="1" t="s">
        <v>45</v>
      </c>
      <c r="U2065" s="1">
        <v>4.82102451E8</v>
      </c>
      <c r="W2065" s="1" t="s">
        <v>44</v>
      </c>
      <c r="X2065" s="1" t="s">
        <v>45</v>
      </c>
      <c r="Y2065" s="1">
        <v>4.82102451E8</v>
      </c>
      <c r="AB2065" s="1">
        <v>253805.03</v>
      </c>
      <c r="AC2065" s="2">
        <v>41809.0</v>
      </c>
      <c r="AD2065" s="1">
        <v>1200.0</v>
      </c>
      <c r="AE2065" s="1" t="s">
        <v>647</v>
      </c>
      <c r="AF2065" s="1" t="s">
        <v>3766</v>
      </c>
      <c r="AG2065" s="1" t="s">
        <v>712</v>
      </c>
      <c r="AH2065" s="1">
        <v>1.0</v>
      </c>
      <c r="AI2065" s="1">
        <v>2015.0</v>
      </c>
      <c r="AJ2065" s="1">
        <v>2014.0</v>
      </c>
      <c r="AK2065" s="1" t="s">
        <v>713</v>
      </c>
    </row>
    <row r="2066">
      <c r="A2066" s="1" t="s">
        <v>3515</v>
      </c>
      <c r="B2066" s="1" t="s">
        <v>3515</v>
      </c>
      <c r="C2066" s="1" t="s">
        <v>645</v>
      </c>
      <c r="E2066" s="1">
        <v>4.64793056E8</v>
      </c>
      <c r="F2066" s="2">
        <v>41977.0</v>
      </c>
      <c r="G2066" s="1" t="s">
        <v>710</v>
      </c>
      <c r="I2066" s="1" t="s">
        <v>710</v>
      </c>
      <c r="L2066" s="1" t="s">
        <v>647</v>
      </c>
      <c r="M2066" s="1">
        <v>1200.0</v>
      </c>
      <c r="N2066" s="1" t="s">
        <v>647</v>
      </c>
      <c r="O2066" s="1">
        <v>9.26909602E8</v>
      </c>
      <c r="P2066" s="1" t="s">
        <v>897</v>
      </c>
      <c r="R2066" s="1" t="s">
        <v>898</v>
      </c>
      <c r="S2066" s="1" t="s">
        <v>44</v>
      </c>
      <c r="T2066" s="1" t="s">
        <v>45</v>
      </c>
      <c r="U2066" s="1">
        <v>4.82283509E8</v>
      </c>
      <c r="W2066" s="1" t="s">
        <v>44</v>
      </c>
      <c r="X2066" s="1" t="s">
        <v>45</v>
      </c>
      <c r="Y2066" s="1">
        <v>4.82283509E8</v>
      </c>
      <c r="Z2066" s="1">
        <v>9.4552361E7</v>
      </c>
      <c r="AA2066" s="1" t="s">
        <v>3767</v>
      </c>
      <c r="AB2066" s="1">
        <v>48260.0</v>
      </c>
      <c r="AC2066" s="2">
        <v>41977.0</v>
      </c>
      <c r="AD2066" s="1">
        <v>1200.0</v>
      </c>
      <c r="AE2066" s="1" t="s">
        <v>647</v>
      </c>
      <c r="AF2066" s="1" t="s">
        <v>3768</v>
      </c>
      <c r="AG2066" s="1" t="s">
        <v>712</v>
      </c>
      <c r="AH2066" s="1">
        <v>1.0</v>
      </c>
      <c r="AI2066" s="1">
        <v>2015.0</v>
      </c>
      <c r="AJ2066" s="1">
        <v>2015.0</v>
      </c>
      <c r="AK2066" s="1" t="s">
        <v>713</v>
      </c>
    </row>
    <row r="2067">
      <c r="A2067" s="1" t="s">
        <v>3515</v>
      </c>
      <c r="B2067" s="1" t="s">
        <v>3515</v>
      </c>
      <c r="C2067" s="1" t="s">
        <v>645</v>
      </c>
      <c r="E2067" s="1">
        <v>4.64793056E8</v>
      </c>
      <c r="F2067" s="2">
        <v>41809.0</v>
      </c>
      <c r="G2067" s="1" t="s">
        <v>710</v>
      </c>
      <c r="I2067" s="1" t="s">
        <v>710</v>
      </c>
      <c r="L2067" s="1" t="s">
        <v>647</v>
      </c>
      <c r="M2067" s="1">
        <v>1200.0</v>
      </c>
      <c r="N2067" s="1" t="s">
        <v>647</v>
      </c>
      <c r="O2067" s="1">
        <v>8.76992343E8</v>
      </c>
      <c r="P2067" s="1" t="s">
        <v>550</v>
      </c>
      <c r="Q2067" s="1" t="s">
        <v>626</v>
      </c>
      <c r="R2067" s="1" t="s">
        <v>551</v>
      </c>
      <c r="S2067" s="1" t="s">
        <v>44</v>
      </c>
      <c r="T2067" s="1" t="s">
        <v>45</v>
      </c>
      <c r="U2067" s="1">
        <v>4.82102451E8</v>
      </c>
      <c r="W2067" s="1" t="s">
        <v>44</v>
      </c>
      <c r="X2067" s="1" t="s">
        <v>45</v>
      </c>
      <c r="Y2067" s="1">
        <v>4.82102451E8</v>
      </c>
      <c r="Z2067" s="1">
        <v>7.6340843E7</v>
      </c>
      <c r="AA2067" s="1" t="s">
        <v>461</v>
      </c>
      <c r="AB2067" s="1">
        <v>59728.16</v>
      </c>
      <c r="AC2067" s="2">
        <v>41809.0</v>
      </c>
      <c r="AD2067" s="1">
        <v>1200.0</v>
      </c>
      <c r="AE2067" s="1" t="s">
        <v>647</v>
      </c>
      <c r="AF2067" s="1" t="s">
        <v>3769</v>
      </c>
      <c r="AG2067" s="1" t="s">
        <v>712</v>
      </c>
      <c r="AH2067" s="1">
        <v>1.0</v>
      </c>
      <c r="AI2067" s="1">
        <v>2015.0</v>
      </c>
      <c r="AJ2067" s="1">
        <v>2014.0</v>
      </c>
      <c r="AK2067" s="1" t="s">
        <v>713</v>
      </c>
    </row>
    <row r="2068">
      <c r="A2068" s="1" t="s">
        <v>3515</v>
      </c>
      <c r="B2068" s="1" t="s">
        <v>3515</v>
      </c>
      <c r="C2068" s="1" t="s">
        <v>645</v>
      </c>
      <c r="E2068" s="1">
        <v>4.64793056E8</v>
      </c>
      <c r="F2068" s="2">
        <v>41914.0</v>
      </c>
      <c r="G2068" s="1" t="s">
        <v>710</v>
      </c>
      <c r="I2068" s="1" t="s">
        <v>710</v>
      </c>
      <c r="L2068" s="1" t="s">
        <v>647</v>
      </c>
      <c r="M2068" s="1">
        <v>1200.0</v>
      </c>
      <c r="N2068" s="1" t="s">
        <v>647</v>
      </c>
      <c r="O2068" s="1">
        <v>8.30649195E8</v>
      </c>
      <c r="P2068" s="1" t="s">
        <v>545</v>
      </c>
      <c r="R2068" s="1" t="s">
        <v>547</v>
      </c>
      <c r="S2068" s="1" t="s">
        <v>44</v>
      </c>
      <c r="T2068" s="1" t="s">
        <v>45</v>
      </c>
      <c r="U2068" s="1">
        <v>4.82071E8</v>
      </c>
      <c r="W2068" s="1" t="s">
        <v>44</v>
      </c>
      <c r="X2068" s="1" t="s">
        <v>45</v>
      </c>
      <c r="Y2068" s="1">
        <v>4.82071E8</v>
      </c>
      <c r="Z2068" s="1">
        <v>7.2582877E7</v>
      </c>
      <c r="AA2068" s="1" t="s">
        <v>3770</v>
      </c>
      <c r="AB2068" s="1">
        <v>154370.46</v>
      </c>
      <c r="AC2068" s="2">
        <v>41914.0</v>
      </c>
      <c r="AD2068" s="1">
        <v>1200.0</v>
      </c>
      <c r="AE2068" s="1" t="s">
        <v>647</v>
      </c>
      <c r="AF2068" s="1" t="s">
        <v>3771</v>
      </c>
      <c r="AG2068" s="1" t="s">
        <v>712</v>
      </c>
      <c r="AH2068" s="1">
        <v>1.0</v>
      </c>
      <c r="AI2068" s="1">
        <v>2015.0</v>
      </c>
      <c r="AJ2068" s="1">
        <v>2015.0</v>
      </c>
      <c r="AK2068" s="1" t="s">
        <v>713</v>
      </c>
    </row>
    <row r="2069">
      <c r="A2069" s="1" t="s">
        <v>3515</v>
      </c>
      <c r="B2069" s="1" t="s">
        <v>3515</v>
      </c>
      <c r="C2069" s="1" t="s">
        <v>645</v>
      </c>
      <c r="E2069" s="1">
        <v>4.64793056E8</v>
      </c>
      <c r="F2069" s="2">
        <v>41914.0</v>
      </c>
      <c r="G2069" s="1" t="s">
        <v>710</v>
      </c>
      <c r="I2069" s="1" t="s">
        <v>710</v>
      </c>
      <c r="L2069" s="1" t="s">
        <v>647</v>
      </c>
      <c r="M2069" s="1">
        <v>1200.0</v>
      </c>
      <c r="N2069" s="1" t="s">
        <v>647</v>
      </c>
      <c r="O2069" s="1">
        <v>8.08238237E8</v>
      </c>
      <c r="P2069" s="1" t="s">
        <v>807</v>
      </c>
      <c r="R2069" s="1" t="s">
        <v>808</v>
      </c>
      <c r="S2069" s="1" t="s">
        <v>44</v>
      </c>
      <c r="T2069" s="1" t="s">
        <v>45</v>
      </c>
      <c r="U2069" s="1">
        <v>4.82242744E8</v>
      </c>
      <c r="W2069" s="1" t="s">
        <v>44</v>
      </c>
      <c r="X2069" s="1" t="s">
        <v>45</v>
      </c>
      <c r="Y2069" s="1">
        <v>4.82242744E8</v>
      </c>
      <c r="Z2069" s="1">
        <v>9.4558137E7</v>
      </c>
      <c r="AA2069" s="1" t="s">
        <v>3772</v>
      </c>
      <c r="AB2069" s="1">
        <v>62307.49</v>
      </c>
      <c r="AC2069" s="2">
        <v>41914.0</v>
      </c>
      <c r="AD2069" s="1">
        <v>1200.0</v>
      </c>
      <c r="AE2069" s="1" t="s">
        <v>647</v>
      </c>
      <c r="AF2069" s="1" t="s">
        <v>3773</v>
      </c>
      <c r="AG2069" s="1" t="s">
        <v>712</v>
      </c>
      <c r="AH2069" s="1">
        <v>1.0</v>
      </c>
      <c r="AI2069" s="1">
        <v>2015.0</v>
      </c>
      <c r="AJ2069" s="1">
        <v>2015.0</v>
      </c>
      <c r="AK2069" s="1" t="s">
        <v>713</v>
      </c>
    </row>
    <row r="2070">
      <c r="A2070" s="1" t="s">
        <v>3515</v>
      </c>
      <c r="B2070" s="1" t="s">
        <v>3515</v>
      </c>
      <c r="C2070" s="1" t="s">
        <v>645</v>
      </c>
      <c r="E2070" s="1">
        <v>4.64793056E8</v>
      </c>
      <c r="F2070" s="2">
        <v>41956.0</v>
      </c>
      <c r="G2070" s="1" t="s">
        <v>710</v>
      </c>
      <c r="I2070" s="1" t="s">
        <v>710</v>
      </c>
      <c r="L2070" s="1" t="s">
        <v>647</v>
      </c>
      <c r="M2070" s="1">
        <v>1200.0</v>
      </c>
      <c r="N2070" s="1" t="s">
        <v>647</v>
      </c>
      <c r="O2070" s="1">
        <v>7.97531295E8</v>
      </c>
      <c r="P2070" s="1" t="s">
        <v>582</v>
      </c>
      <c r="R2070" s="1" t="s">
        <v>583</v>
      </c>
      <c r="S2070" s="1" t="s">
        <v>44</v>
      </c>
      <c r="T2070" s="1" t="s">
        <v>45</v>
      </c>
      <c r="U2070" s="1">
        <v>4.82123452E8</v>
      </c>
      <c r="W2070" s="1" t="s">
        <v>44</v>
      </c>
      <c r="X2070" s="1" t="s">
        <v>45</v>
      </c>
      <c r="Y2070" s="1">
        <v>4.82123452E8</v>
      </c>
      <c r="AB2070" s="1">
        <v>205935.95</v>
      </c>
      <c r="AC2070" s="2">
        <v>41956.0</v>
      </c>
      <c r="AD2070" s="1">
        <v>1200.0</v>
      </c>
      <c r="AE2070" s="1" t="s">
        <v>647</v>
      </c>
      <c r="AF2070" s="1" t="s">
        <v>3774</v>
      </c>
      <c r="AG2070" s="1" t="s">
        <v>712</v>
      </c>
      <c r="AH2070" s="1">
        <v>1.0</v>
      </c>
      <c r="AI2070" s="1">
        <v>2015.0</v>
      </c>
      <c r="AJ2070" s="1">
        <v>2015.0</v>
      </c>
      <c r="AK2070" s="1" t="s">
        <v>713</v>
      </c>
    </row>
    <row r="2071">
      <c r="A2071" s="1" t="s">
        <v>3515</v>
      </c>
      <c r="B2071" s="1" t="s">
        <v>3515</v>
      </c>
      <c r="C2071" s="1" t="s">
        <v>645</v>
      </c>
      <c r="E2071" s="1">
        <v>4.64793056E8</v>
      </c>
      <c r="F2071" s="2">
        <v>41942.0</v>
      </c>
      <c r="G2071" s="1" t="s">
        <v>710</v>
      </c>
      <c r="I2071" s="1" t="s">
        <v>710</v>
      </c>
      <c r="L2071" s="1" t="s">
        <v>647</v>
      </c>
      <c r="M2071" s="1">
        <v>1200.0</v>
      </c>
      <c r="N2071" s="1" t="s">
        <v>647</v>
      </c>
      <c r="O2071" s="1">
        <v>7.93697942E8</v>
      </c>
      <c r="P2071" s="1" t="s">
        <v>459</v>
      </c>
      <c r="R2071" s="1" t="s">
        <v>460</v>
      </c>
      <c r="S2071" s="1" t="s">
        <v>44</v>
      </c>
      <c r="T2071" s="1" t="s">
        <v>45</v>
      </c>
      <c r="U2071" s="1">
        <v>4.82141601E8</v>
      </c>
      <c r="W2071" s="1" t="s">
        <v>44</v>
      </c>
      <c r="X2071" s="1" t="s">
        <v>45</v>
      </c>
      <c r="Y2071" s="1">
        <v>4.82141601E8</v>
      </c>
      <c r="Z2071" s="1">
        <v>7.6340843E7</v>
      </c>
      <c r="AA2071" s="1" t="s">
        <v>461</v>
      </c>
      <c r="AB2071" s="1">
        <v>138354.5</v>
      </c>
      <c r="AC2071" s="2">
        <v>41942.0</v>
      </c>
      <c r="AD2071" s="1">
        <v>1200.0</v>
      </c>
      <c r="AE2071" s="1" t="s">
        <v>647</v>
      </c>
      <c r="AF2071" s="1" t="s">
        <v>3775</v>
      </c>
      <c r="AG2071" s="1" t="s">
        <v>712</v>
      </c>
      <c r="AH2071" s="1">
        <v>1.0</v>
      </c>
      <c r="AI2071" s="1">
        <v>2015.0</v>
      </c>
      <c r="AJ2071" s="1">
        <v>2015.0</v>
      </c>
      <c r="AK2071" s="1" t="s">
        <v>713</v>
      </c>
    </row>
    <row r="2072">
      <c r="A2072" s="1" t="s">
        <v>3515</v>
      </c>
      <c r="B2072" s="1" t="s">
        <v>3515</v>
      </c>
      <c r="C2072" s="1" t="s">
        <v>645</v>
      </c>
      <c r="E2072" s="1">
        <v>4.64793056E8</v>
      </c>
      <c r="F2072" s="2">
        <v>41921.0</v>
      </c>
      <c r="G2072" s="1" t="s">
        <v>710</v>
      </c>
      <c r="I2072" s="1" t="s">
        <v>710</v>
      </c>
      <c r="L2072" s="1" t="s">
        <v>647</v>
      </c>
      <c r="M2072" s="1">
        <v>1200.0</v>
      </c>
      <c r="N2072" s="1" t="s">
        <v>647</v>
      </c>
      <c r="O2072" s="1">
        <v>6.07448487E8</v>
      </c>
      <c r="P2072" s="1" t="s">
        <v>938</v>
      </c>
      <c r="R2072" s="1" t="s">
        <v>939</v>
      </c>
      <c r="S2072" s="1" t="s">
        <v>44</v>
      </c>
      <c r="T2072" s="1" t="s">
        <v>45</v>
      </c>
      <c r="U2072" s="1">
        <v>4.82242829E8</v>
      </c>
      <c r="W2072" s="1" t="s">
        <v>44</v>
      </c>
      <c r="X2072" s="1" t="s">
        <v>45</v>
      </c>
      <c r="Y2072" s="1">
        <v>4.82242829E8</v>
      </c>
      <c r="Z2072" s="1">
        <v>6.07448487E8</v>
      </c>
      <c r="AB2072" s="1">
        <v>54461.67</v>
      </c>
      <c r="AC2072" s="2">
        <v>41921.0</v>
      </c>
      <c r="AD2072" s="1">
        <v>1200.0</v>
      </c>
      <c r="AE2072" s="1" t="s">
        <v>647</v>
      </c>
      <c r="AF2072" s="1" t="s">
        <v>3776</v>
      </c>
      <c r="AG2072" s="1" t="s">
        <v>712</v>
      </c>
      <c r="AH2072" s="1">
        <v>1.0</v>
      </c>
      <c r="AI2072" s="1">
        <v>2015.0</v>
      </c>
      <c r="AJ2072" s="1">
        <v>2015.0</v>
      </c>
      <c r="AK2072" s="1" t="s">
        <v>713</v>
      </c>
    </row>
    <row r="2073">
      <c r="A2073" s="1" t="s">
        <v>3515</v>
      </c>
      <c r="B2073" s="1" t="s">
        <v>3515</v>
      </c>
      <c r="C2073" s="1" t="s">
        <v>645</v>
      </c>
      <c r="E2073" s="1">
        <v>4.64793056E8</v>
      </c>
      <c r="F2073" s="2">
        <v>41914.0</v>
      </c>
      <c r="G2073" s="1" t="s">
        <v>710</v>
      </c>
      <c r="I2073" s="1" t="s">
        <v>710</v>
      </c>
      <c r="L2073" s="1" t="s">
        <v>647</v>
      </c>
      <c r="M2073" s="1">
        <v>1200.0</v>
      </c>
      <c r="N2073" s="1" t="s">
        <v>647</v>
      </c>
      <c r="O2073" s="1">
        <v>6.02722873E8</v>
      </c>
      <c r="P2073" s="1" t="s">
        <v>839</v>
      </c>
      <c r="R2073" s="1" t="s">
        <v>840</v>
      </c>
      <c r="S2073" s="1" t="s">
        <v>44</v>
      </c>
      <c r="T2073" s="1" t="s">
        <v>45</v>
      </c>
      <c r="U2073" s="1">
        <v>4.82381157E8</v>
      </c>
      <c r="W2073" s="1" t="s">
        <v>44</v>
      </c>
      <c r="X2073" s="1" t="s">
        <v>45</v>
      </c>
      <c r="Y2073" s="1">
        <v>4.82381157E8</v>
      </c>
      <c r="Z2073" s="1">
        <v>4912929.0</v>
      </c>
      <c r="AB2073" s="1">
        <v>31180.47</v>
      </c>
      <c r="AC2073" s="2">
        <v>41914.0</v>
      </c>
      <c r="AD2073" s="1">
        <v>1200.0</v>
      </c>
      <c r="AE2073" s="1" t="s">
        <v>647</v>
      </c>
      <c r="AF2073" s="1" t="s">
        <v>3777</v>
      </c>
      <c r="AG2073" s="1" t="s">
        <v>712</v>
      </c>
      <c r="AH2073" s="1">
        <v>1.0</v>
      </c>
      <c r="AI2073" s="1">
        <v>2015.0</v>
      </c>
      <c r="AJ2073" s="1">
        <v>2015.0</v>
      </c>
      <c r="AK2073" s="1" t="s">
        <v>713</v>
      </c>
    </row>
    <row r="2074">
      <c r="A2074" s="1" t="s">
        <v>3515</v>
      </c>
      <c r="B2074" s="1" t="s">
        <v>3515</v>
      </c>
      <c r="C2074" s="1" t="s">
        <v>645</v>
      </c>
      <c r="E2074" s="1">
        <v>4.64793056E8</v>
      </c>
      <c r="F2074" s="2">
        <v>41919.0</v>
      </c>
      <c r="G2074" s="1" t="s">
        <v>710</v>
      </c>
      <c r="I2074" s="1" t="s">
        <v>710</v>
      </c>
      <c r="L2074" s="1" t="s">
        <v>647</v>
      </c>
      <c r="M2074" s="1">
        <v>1200.0</v>
      </c>
      <c r="N2074" s="1" t="s">
        <v>647</v>
      </c>
      <c r="O2074" s="1">
        <v>1.95837232E8</v>
      </c>
      <c r="P2074" s="1" t="s">
        <v>785</v>
      </c>
      <c r="Q2074" s="1" t="s">
        <v>786</v>
      </c>
      <c r="R2074" s="1" t="s">
        <v>787</v>
      </c>
      <c r="S2074" s="1" t="s">
        <v>44</v>
      </c>
      <c r="T2074" s="1" t="s">
        <v>45</v>
      </c>
      <c r="U2074" s="1">
        <v>4.82242358E8</v>
      </c>
      <c r="W2074" s="1" t="s">
        <v>44</v>
      </c>
      <c r="X2074" s="1" t="s">
        <v>45</v>
      </c>
      <c r="Y2074" s="1">
        <v>4.82152667E8</v>
      </c>
      <c r="Z2074" s="1">
        <v>1.95837232E8</v>
      </c>
      <c r="AA2074" s="1" t="s">
        <v>785</v>
      </c>
      <c r="AB2074" s="1">
        <v>29025.09</v>
      </c>
      <c r="AC2074" s="2">
        <v>41919.0</v>
      </c>
      <c r="AD2074" s="1">
        <v>1200.0</v>
      </c>
      <c r="AE2074" s="1" t="s">
        <v>647</v>
      </c>
      <c r="AF2074" s="1" t="s">
        <v>3778</v>
      </c>
      <c r="AG2074" s="1" t="s">
        <v>712</v>
      </c>
      <c r="AH2074" s="1">
        <v>1.0</v>
      </c>
      <c r="AI2074" s="1">
        <v>2015.0</v>
      </c>
      <c r="AJ2074" s="1">
        <v>2015.0</v>
      </c>
      <c r="AK2074" s="1" t="s">
        <v>713</v>
      </c>
    </row>
    <row r="2075">
      <c r="A2075" s="1" t="s">
        <v>3515</v>
      </c>
      <c r="B2075" s="1" t="s">
        <v>3515</v>
      </c>
      <c r="C2075" s="1" t="s">
        <v>645</v>
      </c>
      <c r="E2075" s="1">
        <v>4.64793056E8</v>
      </c>
      <c r="F2075" s="2">
        <v>41921.0</v>
      </c>
      <c r="G2075" s="1" t="s">
        <v>710</v>
      </c>
      <c r="I2075" s="1" t="s">
        <v>710</v>
      </c>
      <c r="L2075" s="1" t="s">
        <v>647</v>
      </c>
      <c r="M2075" s="1">
        <v>1200.0</v>
      </c>
      <c r="N2075" s="1" t="s">
        <v>647</v>
      </c>
      <c r="O2075" s="1">
        <v>1.68568132E8</v>
      </c>
      <c r="P2075" s="1" t="s">
        <v>588</v>
      </c>
      <c r="R2075" s="1" t="s">
        <v>589</v>
      </c>
      <c r="S2075" s="1" t="s">
        <v>44</v>
      </c>
      <c r="T2075" s="1" t="s">
        <v>45</v>
      </c>
      <c r="U2075" s="1">
        <v>4.82143323E8</v>
      </c>
      <c r="W2075" s="1" t="s">
        <v>44</v>
      </c>
      <c r="X2075" s="1" t="s">
        <v>45</v>
      </c>
      <c r="Y2075" s="1">
        <v>4.82143323E8</v>
      </c>
      <c r="Z2075" s="1">
        <v>9.60742484E8</v>
      </c>
      <c r="AB2075" s="1">
        <v>52963.94</v>
      </c>
      <c r="AC2075" s="2">
        <v>41921.0</v>
      </c>
      <c r="AD2075" s="1">
        <v>1200.0</v>
      </c>
      <c r="AE2075" s="1" t="s">
        <v>647</v>
      </c>
      <c r="AF2075" s="1" t="s">
        <v>3779</v>
      </c>
      <c r="AG2075" s="1" t="s">
        <v>712</v>
      </c>
      <c r="AH2075" s="1">
        <v>1.0</v>
      </c>
      <c r="AI2075" s="1">
        <v>2015.0</v>
      </c>
      <c r="AJ2075" s="1">
        <v>2015.0</v>
      </c>
      <c r="AK2075" s="1" t="s">
        <v>713</v>
      </c>
    </row>
    <row r="2076">
      <c r="A2076" s="1" t="s">
        <v>3515</v>
      </c>
      <c r="B2076" s="1" t="s">
        <v>3515</v>
      </c>
      <c r="C2076" s="1" t="s">
        <v>645</v>
      </c>
      <c r="E2076" s="1">
        <v>4.64793056E8</v>
      </c>
      <c r="F2076" s="2">
        <v>41977.0</v>
      </c>
      <c r="G2076" s="1" t="s">
        <v>710</v>
      </c>
      <c r="I2076" s="1" t="s">
        <v>710</v>
      </c>
      <c r="L2076" s="1" t="s">
        <v>647</v>
      </c>
      <c r="M2076" s="1">
        <v>1200.0</v>
      </c>
      <c r="N2076" s="1" t="s">
        <v>647</v>
      </c>
      <c r="O2076" s="1">
        <v>1.6338926E8</v>
      </c>
      <c r="P2076" s="1" t="s">
        <v>465</v>
      </c>
      <c r="Q2076" s="1" t="s">
        <v>598</v>
      </c>
      <c r="R2076" s="1" t="s">
        <v>599</v>
      </c>
      <c r="S2076" s="1" t="s">
        <v>44</v>
      </c>
      <c r="T2076" s="1" t="s">
        <v>45</v>
      </c>
      <c r="U2076" s="1">
        <v>4.82023457E8</v>
      </c>
      <c r="W2076" s="1" t="s">
        <v>44</v>
      </c>
      <c r="X2076" s="1" t="s">
        <v>45</v>
      </c>
      <c r="Y2076" s="1">
        <v>4.82023457E8</v>
      </c>
      <c r="Z2076" s="1">
        <v>1.6338926E8</v>
      </c>
      <c r="AA2076" s="1" t="s">
        <v>465</v>
      </c>
      <c r="AB2076" s="1">
        <v>62708.92</v>
      </c>
      <c r="AC2076" s="2">
        <v>41977.0</v>
      </c>
      <c r="AD2076" s="1">
        <v>1200.0</v>
      </c>
      <c r="AE2076" s="1" t="s">
        <v>647</v>
      </c>
      <c r="AF2076" s="1" t="s">
        <v>3780</v>
      </c>
      <c r="AG2076" s="1" t="s">
        <v>712</v>
      </c>
      <c r="AH2076" s="1">
        <v>1.0</v>
      </c>
      <c r="AI2076" s="1">
        <v>2015.0</v>
      </c>
      <c r="AJ2076" s="1">
        <v>2015.0</v>
      </c>
      <c r="AK2076" s="1" t="s">
        <v>713</v>
      </c>
    </row>
    <row r="2077">
      <c r="A2077" s="1" t="s">
        <v>3515</v>
      </c>
      <c r="B2077" s="1" t="s">
        <v>3515</v>
      </c>
      <c r="C2077" s="1" t="s">
        <v>645</v>
      </c>
      <c r="E2077" s="1">
        <v>4.64793056E8</v>
      </c>
      <c r="F2077" s="2">
        <v>41928.0</v>
      </c>
      <c r="G2077" s="1" t="s">
        <v>710</v>
      </c>
      <c r="I2077" s="1" t="s">
        <v>710</v>
      </c>
      <c r="L2077" s="1" t="s">
        <v>647</v>
      </c>
      <c r="M2077" s="1">
        <v>1200.0</v>
      </c>
      <c r="N2077" s="1" t="s">
        <v>647</v>
      </c>
      <c r="O2077" s="1">
        <v>1.9859919E7</v>
      </c>
      <c r="P2077" s="1" t="s">
        <v>1657</v>
      </c>
      <c r="R2077" s="1" t="s">
        <v>1173</v>
      </c>
      <c r="S2077" s="1" t="s">
        <v>44</v>
      </c>
      <c r="T2077" s="1" t="s">
        <v>45</v>
      </c>
      <c r="U2077" s="1">
        <v>4.82191263E8</v>
      </c>
      <c r="W2077" s="1" t="s">
        <v>46</v>
      </c>
      <c r="X2077" s="1" t="s">
        <v>45</v>
      </c>
      <c r="Y2077" s="1">
        <v>4.8235E8</v>
      </c>
      <c r="AB2077" s="1">
        <v>33090.57</v>
      </c>
      <c r="AC2077" s="2">
        <v>41928.0</v>
      </c>
      <c r="AD2077" s="1">
        <v>1200.0</v>
      </c>
      <c r="AE2077" s="1" t="s">
        <v>647</v>
      </c>
      <c r="AF2077" s="1" t="s">
        <v>3781</v>
      </c>
      <c r="AG2077" s="1" t="s">
        <v>712</v>
      </c>
      <c r="AH2077" s="1">
        <v>1.0</v>
      </c>
      <c r="AI2077" s="1">
        <v>2015.0</v>
      </c>
      <c r="AJ2077" s="1">
        <v>2015.0</v>
      </c>
      <c r="AK2077" s="1" t="s">
        <v>713</v>
      </c>
    </row>
    <row r="2078">
      <c r="A2078" s="1" t="s">
        <v>3515</v>
      </c>
      <c r="B2078" s="1" t="s">
        <v>3515</v>
      </c>
      <c r="C2078" s="1" t="s">
        <v>645</v>
      </c>
      <c r="E2078" s="1">
        <v>4.64793056E8</v>
      </c>
      <c r="F2078" s="2">
        <v>41935.0</v>
      </c>
      <c r="G2078" s="1" t="s">
        <v>710</v>
      </c>
      <c r="I2078" s="1" t="s">
        <v>710</v>
      </c>
      <c r="L2078" s="1" t="s">
        <v>647</v>
      </c>
      <c r="M2078" s="1">
        <v>1200.0</v>
      </c>
      <c r="N2078" s="1" t="s">
        <v>647</v>
      </c>
      <c r="O2078" s="1">
        <v>1.52807538E8</v>
      </c>
      <c r="P2078" s="1" t="s">
        <v>591</v>
      </c>
      <c r="R2078" s="1" t="s">
        <v>592</v>
      </c>
      <c r="S2078" s="1" t="s">
        <v>44</v>
      </c>
      <c r="T2078" s="1" t="s">
        <v>45</v>
      </c>
      <c r="U2078" s="1">
        <v>4.82191161E8</v>
      </c>
      <c r="W2078" s="1" t="s">
        <v>44</v>
      </c>
      <c r="X2078" s="1" t="s">
        <v>45</v>
      </c>
      <c r="Y2078" s="1">
        <v>4.82191161E8</v>
      </c>
      <c r="Z2078" s="1">
        <v>4.317335E7</v>
      </c>
      <c r="AA2078" s="1" t="s">
        <v>3782</v>
      </c>
      <c r="AB2078" s="1">
        <v>114213.64</v>
      </c>
      <c r="AC2078" s="2">
        <v>41935.0</v>
      </c>
      <c r="AD2078" s="1">
        <v>1200.0</v>
      </c>
      <c r="AE2078" s="1" t="s">
        <v>647</v>
      </c>
      <c r="AF2078" s="1" t="s">
        <v>3783</v>
      </c>
      <c r="AG2078" s="1" t="s">
        <v>712</v>
      </c>
      <c r="AH2078" s="1">
        <v>1.0</v>
      </c>
      <c r="AI2078" s="1">
        <v>2015.0</v>
      </c>
      <c r="AJ2078" s="1">
        <v>2015.0</v>
      </c>
      <c r="AK2078" s="1" t="s">
        <v>713</v>
      </c>
    </row>
    <row r="2079">
      <c r="A2079" s="1" t="s">
        <v>3515</v>
      </c>
      <c r="B2079" s="1" t="s">
        <v>3515</v>
      </c>
      <c r="C2079" s="1" t="s">
        <v>645</v>
      </c>
      <c r="E2079" s="1">
        <v>4.64793056E8</v>
      </c>
      <c r="F2079" s="2">
        <v>41969.0</v>
      </c>
      <c r="G2079" s="1" t="s">
        <v>710</v>
      </c>
      <c r="I2079" s="1" t="s">
        <v>710</v>
      </c>
      <c r="L2079" s="1" t="s">
        <v>647</v>
      </c>
      <c r="M2079" s="1">
        <v>1200.0</v>
      </c>
      <c r="N2079" s="1" t="s">
        <v>647</v>
      </c>
      <c r="O2079" s="1">
        <v>3.9866801E7</v>
      </c>
      <c r="P2079" s="1" t="s">
        <v>612</v>
      </c>
      <c r="R2079" s="1" t="s">
        <v>613</v>
      </c>
      <c r="S2079" s="1" t="s">
        <v>44</v>
      </c>
      <c r="T2079" s="1" t="s">
        <v>45</v>
      </c>
      <c r="U2079" s="1">
        <v>4.8212E8</v>
      </c>
      <c r="W2079" s="1" t="s">
        <v>607</v>
      </c>
      <c r="X2079" s="1" t="s">
        <v>45</v>
      </c>
      <c r="Y2079" s="1">
        <v>4.82120012E8</v>
      </c>
      <c r="Z2079" s="1">
        <v>3.9866801E7</v>
      </c>
      <c r="AA2079" s="1" t="s">
        <v>612</v>
      </c>
      <c r="AB2079" s="1">
        <v>1048749.57</v>
      </c>
      <c r="AC2079" s="2">
        <v>41969.0</v>
      </c>
      <c r="AD2079" s="1">
        <v>1200.0</v>
      </c>
      <c r="AE2079" s="1" t="s">
        <v>647</v>
      </c>
      <c r="AF2079" s="1" t="s">
        <v>3784</v>
      </c>
      <c r="AG2079" s="1" t="s">
        <v>712</v>
      </c>
      <c r="AH2079" s="1">
        <v>1.0</v>
      </c>
      <c r="AI2079" s="1">
        <v>2015.0</v>
      </c>
      <c r="AJ2079" s="1">
        <v>2015.0</v>
      </c>
      <c r="AK2079" s="1" t="s">
        <v>713</v>
      </c>
    </row>
    <row r="2080">
      <c r="A2080" s="1" t="s">
        <v>3515</v>
      </c>
      <c r="B2080" s="1" t="s">
        <v>3515</v>
      </c>
      <c r="C2080" s="1" t="s">
        <v>645</v>
      </c>
      <c r="E2080" s="1">
        <v>4.64793056E8</v>
      </c>
      <c r="F2080" s="2">
        <v>41928.0</v>
      </c>
      <c r="G2080" s="1" t="s">
        <v>710</v>
      </c>
      <c r="I2080" s="1" t="s">
        <v>710</v>
      </c>
      <c r="L2080" s="1" t="s">
        <v>647</v>
      </c>
      <c r="M2080" s="1">
        <v>1200.0</v>
      </c>
      <c r="N2080" s="1" t="s">
        <v>647</v>
      </c>
      <c r="O2080" s="1">
        <v>1.3032514E8</v>
      </c>
      <c r="P2080" s="1" t="s">
        <v>819</v>
      </c>
      <c r="Q2080" s="1" t="s">
        <v>3427</v>
      </c>
      <c r="R2080" s="1" t="s">
        <v>820</v>
      </c>
      <c r="S2080" s="1" t="s">
        <v>44</v>
      </c>
      <c r="T2080" s="1" t="s">
        <v>45</v>
      </c>
      <c r="U2080" s="1">
        <v>4.82072418E8</v>
      </c>
      <c r="W2080" s="1" t="s">
        <v>44</v>
      </c>
      <c r="X2080" s="1" t="s">
        <v>45</v>
      </c>
      <c r="Y2080" s="1">
        <v>4.82072418E8</v>
      </c>
      <c r="Z2080" s="1">
        <v>1.3032514E8</v>
      </c>
      <c r="AA2080" s="1" t="s">
        <v>819</v>
      </c>
      <c r="AB2080" s="1">
        <v>52199.65</v>
      </c>
      <c r="AC2080" s="2">
        <v>41928.0</v>
      </c>
      <c r="AD2080" s="1">
        <v>1200.0</v>
      </c>
      <c r="AE2080" s="1" t="s">
        <v>647</v>
      </c>
      <c r="AF2080" s="1" t="s">
        <v>3785</v>
      </c>
      <c r="AG2080" s="1" t="s">
        <v>712</v>
      </c>
      <c r="AH2080" s="1">
        <v>1.0</v>
      </c>
      <c r="AI2080" s="1">
        <v>2015.0</v>
      </c>
      <c r="AJ2080" s="1">
        <v>2015.0</v>
      </c>
      <c r="AK2080" s="1" t="s">
        <v>713</v>
      </c>
    </row>
    <row r="2081">
      <c r="A2081" s="1" t="s">
        <v>3515</v>
      </c>
      <c r="B2081" s="1" t="s">
        <v>3515</v>
      </c>
      <c r="C2081" s="1" t="s">
        <v>645</v>
      </c>
      <c r="E2081" s="1">
        <v>4.64793056E8</v>
      </c>
      <c r="F2081" s="2">
        <v>41928.0</v>
      </c>
      <c r="G2081" s="1" t="s">
        <v>710</v>
      </c>
      <c r="I2081" s="1" t="s">
        <v>710</v>
      </c>
      <c r="L2081" s="1" t="s">
        <v>647</v>
      </c>
      <c r="M2081" s="1">
        <v>1200.0</v>
      </c>
      <c r="N2081" s="1" t="s">
        <v>647</v>
      </c>
      <c r="O2081" s="1">
        <v>1.35155112E8</v>
      </c>
      <c r="P2081" s="1" t="s">
        <v>836</v>
      </c>
      <c r="R2081" s="1" t="s">
        <v>837</v>
      </c>
      <c r="S2081" s="1" t="s">
        <v>44</v>
      </c>
      <c r="T2081" s="1" t="s">
        <v>45</v>
      </c>
      <c r="U2081" s="1">
        <v>4.82052542E8</v>
      </c>
      <c r="W2081" s="1" t="s">
        <v>44</v>
      </c>
      <c r="X2081" s="1" t="s">
        <v>45</v>
      </c>
      <c r="Y2081" s="1">
        <v>4.82052542E8</v>
      </c>
      <c r="Z2081" s="1">
        <v>1.47737217E8</v>
      </c>
      <c r="AA2081" s="1" t="s">
        <v>3786</v>
      </c>
      <c r="AB2081" s="1">
        <v>35364.92</v>
      </c>
      <c r="AC2081" s="2">
        <v>41928.0</v>
      </c>
      <c r="AD2081" s="1">
        <v>1200.0</v>
      </c>
      <c r="AE2081" s="1" t="s">
        <v>647</v>
      </c>
      <c r="AF2081" s="1" t="s">
        <v>3787</v>
      </c>
      <c r="AG2081" s="1" t="s">
        <v>712</v>
      </c>
      <c r="AH2081" s="1">
        <v>1.0</v>
      </c>
      <c r="AI2081" s="1">
        <v>2015.0</v>
      </c>
      <c r="AJ2081" s="1">
        <v>2015.0</v>
      </c>
      <c r="AK2081" s="1" t="s">
        <v>713</v>
      </c>
    </row>
    <row r="2082">
      <c r="A2082" s="1" t="s">
        <v>3515</v>
      </c>
      <c r="B2082" s="1" t="s">
        <v>3515</v>
      </c>
      <c r="C2082" s="1" t="s">
        <v>645</v>
      </c>
      <c r="E2082" s="1">
        <v>4.64793056E8</v>
      </c>
      <c r="F2082" s="2">
        <v>41928.0</v>
      </c>
      <c r="G2082" s="1" t="s">
        <v>710</v>
      </c>
      <c r="I2082" s="1" t="s">
        <v>710</v>
      </c>
      <c r="L2082" s="1" t="s">
        <v>647</v>
      </c>
      <c r="M2082" s="1">
        <v>1200.0</v>
      </c>
      <c r="N2082" s="1" t="s">
        <v>647</v>
      </c>
      <c r="O2082" s="1">
        <v>1.23577707E8</v>
      </c>
      <c r="P2082" s="1" t="s">
        <v>563</v>
      </c>
      <c r="Q2082" s="1" t="s">
        <v>1181</v>
      </c>
      <c r="R2082" s="1" t="s">
        <v>565</v>
      </c>
      <c r="S2082" s="1" t="s">
        <v>44</v>
      </c>
      <c r="T2082" s="1" t="s">
        <v>45</v>
      </c>
      <c r="U2082" s="1">
        <v>4.8228333E8</v>
      </c>
      <c r="W2082" s="1" t="s">
        <v>44</v>
      </c>
      <c r="X2082" s="1" t="s">
        <v>45</v>
      </c>
      <c r="Y2082" s="1">
        <v>4.82283396E8</v>
      </c>
      <c r="Z2082" s="1">
        <v>9.60742484E8</v>
      </c>
      <c r="AB2082" s="1">
        <v>289594.38</v>
      </c>
      <c r="AC2082" s="2">
        <v>41928.0</v>
      </c>
      <c r="AD2082" s="1">
        <v>1200.0</v>
      </c>
      <c r="AE2082" s="1" t="s">
        <v>647</v>
      </c>
      <c r="AF2082" s="1" t="s">
        <v>3788</v>
      </c>
      <c r="AG2082" s="1" t="s">
        <v>712</v>
      </c>
      <c r="AH2082" s="1">
        <v>1.0</v>
      </c>
      <c r="AI2082" s="1">
        <v>2015.0</v>
      </c>
      <c r="AJ2082" s="1">
        <v>2015.0</v>
      </c>
      <c r="AK2082" s="1" t="s">
        <v>713</v>
      </c>
    </row>
    <row r="2083">
      <c r="A2083" s="1" t="s">
        <v>3515</v>
      </c>
      <c r="B2083" s="1" t="s">
        <v>3515</v>
      </c>
      <c r="C2083" s="1" t="s">
        <v>645</v>
      </c>
      <c r="E2083" s="1">
        <v>4.64793056E8</v>
      </c>
      <c r="F2083" s="2">
        <v>41921.0</v>
      </c>
      <c r="G2083" s="1" t="s">
        <v>710</v>
      </c>
      <c r="I2083" s="1" t="s">
        <v>710</v>
      </c>
      <c r="L2083" s="1" t="s">
        <v>647</v>
      </c>
      <c r="M2083" s="1">
        <v>1200.0</v>
      </c>
      <c r="N2083" s="1" t="s">
        <v>647</v>
      </c>
      <c r="O2083" s="1">
        <v>1.10601841E8</v>
      </c>
      <c r="P2083" s="1" t="s">
        <v>915</v>
      </c>
      <c r="Q2083" s="1" t="s">
        <v>916</v>
      </c>
      <c r="R2083" s="1" t="s">
        <v>917</v>
      </c>
      <c r="S2083" s="1" t="s">
        <v>44</v>
      </c>
      <c r="T2083" s="1" t="s">
        <v>45</v>
      </c>
      <c r="U2083" s="1">
        <v>4.82283719E8</v>
      </c>
      <c r="W2083" s="1" t="s">
        <v>44</v>
      </c>
      <c r="X2083" s="1" t="s">
        <v>45</v>
      </c>
      <c r="Y2083" s="1">
        <v>4.82283719E8</v>
      </c>
      <c r="Z2083" s="1">
        <v>7.6340843E7</v>
      </c>
      <c r="AA2083" s="1" t="s">
        <v>461</v>
      </c>
      <c r="AB2083" s="1">
        <v>73949.2</v>
      </c>
      <c r="AC2083" s="2">
        <v>41921.0</v>
      </c>
      <c r="AD2083" s="1">
        <v>1200.0</v>
      </c>
      <c r="AE2083" s="1" t="s">
        <v>647</v>
      </c>
      <c r="AF2083" s="1" t="s">
        <v>3789</v>
      </c>
      <c r="AG2083" s="1" t="s">
        <v>712</v>
      </c>
      <c r="AH2083" s="1">
        <v>1.0</v>
      </c>
      <c r="AI2083" s="1">
        <v>2015.0</v>
      </c>
      <c r="AJ2083" s="1">
        <v>2015.0</v>
      </c>
      <c r="AK2083" s="1" t="s">
        <v>713</v>
      </c>
    </row>
    <row r="2084">
      <c r="A2084" s="1" t="s">
        <v>3515</v>
      </c>
      <c r="B2084" s="1" t="s">
        <v>3515</v>
      </c>
      <c r="C2084" s="1" t="s">
        <v>645</v>
      </c>
      <c r="E2084" s="1">
        <v>4.64793056E8</v>
      </c>
      <c r="F2084" s="2">
        <v>41928.0</v>
      </c>
      <c r="G2084" s="1" t="s">
        <v>710</v>
      </c>
      <c r="I2084" s="1" t="s">
        <v>710</v>
      </c>
      <c r="L2084" s="1" t="s">
        <v>647</v>
      </c>
      <c r="M2084" s="1">
        <v>1200.0</v>
      </c>
      <c r="N2084" s="1" t="s">
        <v>647</v>
      </c>
      <c r="O2084" s="1">
        <v>9.0912429E7</v>
      </c>
      <c r="P2084" s="1" t="s">
        <v>521</v>
      </c>
      <c r="R2084" s="1" t="s">
        <v>522</v>
      </c>
      <c r="S2084" s="1" t="s">
        <v>44</v>
      </c>
      <c r="T2084" s="1" t="s">
        <v>45</v>
      </c>
      <c r="U2084" s="1">
        <v>4.82233314E8</v>
      </c>
      <c r="W2084" s="1" t="s">
        <v>44</v>
      </c>
      <c r="X2084" s="1" t="s">
        <v>45</v>
      </c>
      <c r="Y2084" s="1">
        <v>4.82233314E8</v>
      </c>
      <c r="AB2084" s="1">
        <v>99669.17</v>
      </c>
      <c r="AC2084" s="2">
        <v>41928.0</v>
      </c>
      <c r="AD2084" s="1">
        <v>1200.0</v>
      </c>
      <c r="AE2084" s="1" t="s">
        <v>647</v>
      </c>
      <c r="AF2084" s="1" t="s">
        <v>3790</v>
      </c>
      <c r="AG2084" s="1" t="s">
        <v>712</v>
      </c>
      <c r="AH2084" s="1">
        <v>1.0</v>
      </c>
      <c r="AI2084" s="1">
        <v>2015.0</v>
      </c>
      <c r="AJ2084" s="1">
        <v>2015.0</v>
      </c>
      <c r="AK2084" s="1" t="s">
        <v>713</v>
      </c>
    </row>
    <row r="2085">
      <c r="A2085" s="1" t="s">
        <v>3515</v>
      </c>
      <c r="B2085" s="1" t="s">
        <v>3515</v>
      </c>
      <c r="C2085" s="1" t="s">
        <v>645</v>
      </c>
      <c r="E2085" s="1">
        <v>4.64793056E8</v>
      </c>
      <c r="F2085" s="2">
        <v>41942.0</v>
      </c>
      <c r="G2085" s="1" t="s">
        <v>710</v>
      </c>
      <c r="I2085" s="1" t="s">
        <v>710</v>
      </c>
      <c r="L2085" s="1" t="s">
        <v>647</v>
      </c>
      <c r="M2085" s="1">
        <v>1200.0</v>
      </c>
      <c r="N2085" s="1" t="s">
        <v>647</v>
      </c>
      <c r="O2085" s="1">
        <v>7.2761299E7</v>
      </c>
      <c r="P2085" s="1" t="s">
        <v>667</v>
      </c>
      <c r="R2085" s="1" t="s">
        <v>668</v>
      </c>
      <c r="S2085" s="1" t="s">
        <v>44</v>
      </c>
      <c r="T2085" s="1" t="s">
        <v>45</v>
      </c>
      <c r="U2085" s="1">
        <v>4.82382849E8</v>
      </c>
      <c r="W2085" s="1" t="s">
        <v>44</v>
      </c>
      <c r="X2085" s="1" t="s">
        <v>45</v>
      </c>
      <c r="Y2085" s="1">
        <v>4.8238E8</v>
      </c>
      <c r="Z2085" s="1">
        <v>7.2761299E7</v>
      </c>
      <c r="AA2085" s="1" t="s">
        <v>667</v>
      </c>
      <c r="AB2085" s="1">
        <v>54599.92</v>
      </c>
      <c r="AC2085" s="2">
        <v>41942.0</v>
      </c>
      <c r="AD2085" s="1">
        <v>1200.0</v>
      </c>
      <c r="AE2085" s="1" t="s">
        <v>647</v>
      </c>
      <c r="AF2085" s="1" t="s">
        <v>3791</v>
      </c>
      <c r="AG2085" s="1" t="s">
        <v>712</v>
      </c>
      <c r="AH2085" s="1">
        <v>1.0</v>
      </c>
      <c r="AI2085" s="1">
        <v>2015.0</v>
      </c>
      <c r="AJ2085" s="1">
        <v>2015.0</v>
      </c>
      <c r="AK2085" s="1" t="s">
        <v>713</v>
      </c>
    </row>
    <row r="2086">
      <c r="A2086" s="1" t="s">
        <v>3515</v>
      </c>
      <c r="B2086" s="1" t="s">
        <v>3515</v>
      </c>
      <c r="C2086" s="1" t="s">
        <v>645</v>
      </c>
      <c r="E2086" s="1">
        <v>4.64793056E8</v>
      </c>
      <c r="F2086" s="2">
        <v>41928.0</v>
      </c>
      <c r="G2086" s="1" t="s">
        <v>710</v>
      </c>
      <c r="I2086" s="1" t="s">
        <v>710</v>
      </c>
      <c r="L2086" s="1" t="s">
        <v>647</v>
      </c>
      <c r="M2086" s="1">
        <v>1200.0</v>
      </c>
      <c r="N2086" s="1" t="s">
        <v>647</v>
      </c>
      <c r="O2086" s="1">
        <v>8.5464519E7</v>
      </c>
      <c r="P2086" s="1" t="s">
        <v>704</v>
      </c>
      <c r="Q2086" s="1" t="s">
        <v>705</v>
      </c>
      <c r="R2086" s="1" t="s">
        <v>706</v>
      </c>
      <c r="S2086" s="1" t="s">
        <v>44</v>
      </c>
      <c r="T2086" s="1" t="s">
        <v>45</v>
      </c>
      <c r="U2086" s="1">
        <v>4.82012015E8</v>
      </c>
      <c r="W2086" s="1" t="s">
        <v>44</v>
      </c>
      <c r="X2086" s="1" t="s">
        <v>45</v>
      </c>
      <c r="Y2086" s="1">
        <v>4.82192044E8</v>
      </c>
      <c r="AB2086" s="1">
        <v>163218.98</v>
      </c>
      <c r="AC2086" s="2">
        <v>41928.0</v>
      </c>
      <c r="AD2086" s="1">
        <v>1200.0</v>
      </c>
      <c r="AE2086" s="1" t="s">
        <v>647</v>
      </c>
      <c r="AF2086" s="1" t="s">
        <v>3792</v>
      </c>
      <c r="AG2086" s="1" t="s">
        <v>712</v>
      </c>
      <c r="AH2086" s="1">
        <v>1.0</v>
      </c>
      <c r="AI2086" s="1">
        <v>2015.0</v>
      </c>
      <c r="AJ2086" s="1">
        <v>2015.0</v>
      </c>
      <c r="AK2086" s="1" t="s">
        <v>713</v>
      </c>
    </row>
    <row r="2087">
      <c r="A2087" s="1" t="s">
        <v>3515</v>
      </c>
      <c r="B2087" s="1" t="s">
        <v>3515</v>
      </c>
      <c r="C2087" s="1" t="s">
        <v>645</v>
      </c>
      <c r="E2087" s="1">
        <v>4.64793056E8</v>
      </c>
      <c r="F2087" s="2">
        <v>41919.0</v>
      </c>
      <c r="G2087" s="1" t="s">
        <v>710</v>
      </c>
      <c r="I2087" s="1" t="s">
        <v>710</v>
      </c>
      <c r="L2087" s="1" t="s">
        <v>647</v>
      </c>
      <c r="M2087" s="1">
        <v>1200.0</v>
      </c>
      <c r="N2087" s="1" t="s">
        <v>647</v>
      </c>
      <c r="O2087" s="1">
        <v>8.0463354E7</v>
      </c>
      <c r="P2087" s="1" t="s">
        <v>518</v>
      </c>
      <c r="R2087" s="1" t="s">
        <v>519</v>
      </c>
      <c r="S2087" s="1" t="s">
        <v>44</v>
      </c>
      <c r="T2087" s="1" t="s">
        <v>45</v>
      </c>
      <c r="U2087" s="1">
        <v>4.82102105E8</v>
      </c>
      <c r="W2087" s="1" t="s">
        <v>44</v>
      </c>
      <c r="X2087" s="1" t="s">
        <v>45</v>
      </c>
      <c r="Y2087" s="1">
        <v>4.82102105E8</v>
      </c>
      <c r="Z2087" s="1">
        <v>8.0463354E7</v>
      </c>
      <c r="AA2087" s="1" t="s">
        <v>518</v>
      </c>
      <c r="AB2087" s="1">
        <v>69033.87</v>
      </c>
      <c r="AC2087" s="2">
        <v>41919.0</v>
      </c>
      <c r="AD2087" s="1">
        <v>1200.0</v>
      </c>
      <c r="AE2087" s="1" t="s">
        <v>647</v>
      </c>
      <c r="AF2087" s="1" t="s">
        <v>3793</v>
      </c>
      <c r="AG2087" s="1" t="s">
        <v>712</v>
      </c>
      <c r="AH2087" s="1">
        <v>1.0</v>
      </c>
      <c r="AI2087" s="1">
        <v>2015.0</v>
      </c>
      <c r="AJ2087" s="1">
        <v>2015.0</v>
      </c>
      <c r="AK2087" s="1" t="s">
        <v>713</v>
      </c>
    </row>
    <row r="2088">
      <c r="A2088" s="1" t="s">
        <v>3515</v>
      </c>
      <c r="B2088" s="1" t="s">
        <v>3515</v>
      </c>
      <c r="C2088" s="1" t="s">
        <v>645</v>
      </c>
      <c r="E2088" s="1">
        <v>4.64793056E8</v>
      </c>
      <c r="F2088" s="2">
        <v>41921.0</v>
      </c>
      <c r="G2088" s="1" t="s">
        <v>710</v>
      </c>
      <c r="I2088" s="1" t="s">
        <v>710</v>
      </c>
      <c r="L2088" s="1" t="s">
        <v>647</v>
      </c>
      <c r="M2088" s="1">
        <v>1200.0</v>
      </c>
      <c r="N2088" s="1" t="s">
        <v>647</v>
      </c>
      <c r="O2088" s="1">
        <v>7.9198523E7</v>
      </c>
      <c r="P2088" s="1" t="s">
        <v>3794</v>
      </c>
      <c r="R2088" s="1" t="s">
        <v>3795</v>
      </c>
      <c r="S2088" s="1" t="s">
        <v>44</v>
      </c>
      <c r="T2088" s="1" t="s">
        <v>45</v>
      </c>
      <c r="U2088" s="1">
        <v>4.82351872E8</v>
      </c>
      <c r="W2088" s="1" t="s">
        <v>44</v>
      </c>
      <c r="X2088" s="1" t="s">
        <v>45</v>
      </c>
      <c r="Y2088" s="1">
        <v>4.82351872E8</v>
      </c>
      <c r="Z2088" s="1">
        <v>1.00036375E8</v>
      </c>
      <c r="AA2088" s="1" t="s">
        <v>471</v>
      </c>
      <c r="AB2088" s="1">
        <v>26402.88</v>
      </c>
      <c r="AC2088" s="2">
        <v>41921.0</v>
      </c>
      <c r="AD2088" s="1">
        <v>1200.0</v>
      </c>
      <c r="AE2088" s="1" t="s">
        <v>647</v>
      </c>
      <c r="AF2088" s="1" t="s">
        <v>3796</v>
      </c>
      <c r="AG2088" s="1" t="s">
        <v>712</v>
      </c>
      <c r="AH2088" s="1">
        <v>1.0</v>
      </c>
      <c r="AI2088" s="1">
        <v>2015.0</v>
      </c>
      <c r="AJ2088" s="1">
        <v>2015.0</v>
      </c>
      <c r="AK2088" s="1" t="s">
        <v>713</v>
      </c>
    </row>
    <row r="2089">
      <c r="A2089" s="1" t="s">
        <v>3515</v>
      </c>
      <c r="B2089" s="1" t="s">
        <v>3515</v>
      </c>
      <c r="C2089" s="1" t="s">
        <v>645</v>
      </c>
      <c r="E2089" s="1">
        <v>4.64793056E8</v>
      </c>
      <c r="F2089" s="2">
        <v>41977.0</v>
      </c>
      <c r="G2089" s="1" t="s">
        <v>710</v>
      </c>
      <c r="I2089" s="1" t="s">
        <v>710</v>
      </c>
      <c r="L2089" s="1" t="s">
        <v>647</v>
      </c>
      <c r="M2089" s="1">
        <v>1200.0</v>
      </c>
      <c r="N2089" s="1" t="s">
        <v>647</v>
      </c>
      <c r="O2089" s="1">
        <v>7.8465647E7</v>
      </c>
      <c r="P2089" s="1" t="s">
        <v>1176</v>
      </c>
      <c r="R2089" s="1" t="s">
        <v>1178</v>
      </c>
      <c r="S2089" s="1" t="s">
        <v>44</v>
      </c>
      <c r="T2089" s="1" t="s">
        <v>45</v>
      </c>
      <c r="U2089" s="1">
        <v>4.82281142E8</v>
      </c>
      <c r="W2089" s="1" t="s">
        <v>44</v>
      </c>
      <c r="X2089" s="1" t="s">
        <v>45</v>
      </c>
      <c r="Y2089" s="1">
        <v>4.82281142E8</v>
      </c>
      <c r="Z2089" s="1">
        <v>7.0979992E7</v>
      </c>
      <c r="AB2089" s="1">
        <v>60019.82</v>
      </c>
      <c r="AC2089" s="2">
        <v>41977.0</v>
      </c>
      <c r="AD2089" s="1">
        <v>1200.0</v>
      </c>
      <c r="AE2089" s="1" t="s">
        <v>647</v>
      </c>
      <c r="AF2089" s="1" t="s">
        <v>3797</v>
      </c>
      <c r="AG2089" s="1" t="s">
        <v>712</v>
      </c>
      <c r="AH2089" s="1">
        <v>1.0</v>
      </c>
      <c r="AI2089" s="1">
        <v>2015.0</v>
      </c>
      <c r="AJ2089" s="1">
        <v>2015.0</v>
      </c>
      <c r="AK2089" s="1" t="s">
        <v>713</v>
      </c>
    </row>
    <row r="2090">
      <c r="A2090" s="1" t="s">
        <v>3515</v>
      </c>
      <c r="B2090" s="1" t="s">
        <v>3515</v>
      </c>
      <c r="C2090" s="1" t="s">
        <v>645</v>
      </c>
      <c r="E2090" s="1">
        <v>4.64793056E8</v>
      </c>
      <c r="F2090" s="2">
        <v>41977.0</v>
      </c>
      <c r="G2090" s="1" t="s">
        <v>710</v>
      </c>
      <c r="I2090" s="1" t="s">
        <v>710</v>
      </c>
      <c r="L2090" s="1" t="s">
        <v>647</v>
      </c>
      <c r="M2090" s="1">
        <v>1200.0</v>
      </c>
      <c r="N2090" s="1" t="s">
        <v>647</v>
      </c>
      <c r="O2090" s="1">
        <v>7.8465647E7</v>
      </c>
      <c r="P2090" s="1" t="s">
        <v>1176</v>
      </c>
      <c r="R2090" s="1" t="s">
        <v>1178</v>
      </c>
      <c r="S2090" s="1" t="s">
        <v>44</v>
      </c>
      <c r="T2090" s="1" t="s">
        <v>45</v>
      </c>
      <c r="U2090" s="1">
        <v>4.82281142E8</v>
      </c>
      <c r="W2090" s="1" t="s">
        <v>44</v>
      </c>
      <c r="X2090" s="1" t="s">
        <v>45</v>
      </c>
      <c r="Y2090" s="1">
        <v>4.82281142E8</v>
      </c>
      <c r="AB2090" s="1">
        <v>90417.33</v>
      </c>
      <c r="AC2090" s="2">
        <v>41977.0</v>
      </c>
      <c r="AD2090" s="1">
        <v>1200.0</v>
      </c>
      <c r="AE2090" s="1" t="s">
        <v>647</v>
      </c>
      <c r="AF2090" s="1" t="s">
        <v>3798</v>
      </c>
      <c r="AG2090" s="1" t="s">
        <v>712</v>
      </c>
      <c r="AH2090" s="1">
        <v>1.0</v>
      </c>
      <c r="AI2090" s="1">
        <v>2015.0</v>
      </c>
      <c r="AJ2090" s="1">
        <v>2015.0</v>
      </c>
      <c r="AK2090" s="1" t="s">
        <v>713</v>
      </c>
    </row>
    <row r="2091">
      <c r="A2091" s="1" t="s">
        <v>3515</v>
      </c>
      <c r="B2091" s="1" t="s">
        <v>3515</v>
      </c>
      <c r="C2091" s="1" t="s">
        <v>645</v>
      </c>
      <c r="E2091" s="1">
        <v>4.64793056E8</v>
      </c>
      <c r="F2091" s="2">
        <v>41977.0</v>
      </c>
      <c r="G2091" s="1" t="s">
        <v>710</v>
      </c>
      <c r="I2091" s="1" t="s">
        <v>710</v>
      </c>
      <c r="L2091" s="1" t="s">
        <v>647</v>
      </c>
      <c r="M2091" s="1">
        <v>1200.0</v>
      </c>
      <c r="N2091" s="1" t="s">
        <v>647</v>
      </c>
      <c r="O2091" s="1">
        <v>7.6340843E7</v>
      </c>
      <c r="P2091" s="1" t="s">
        <v>461</v>
      </c>
      <c r="R2091" s="1" t="s">
        <v>1599</v>
      </c>
      <c r="S2091" s="1" t="s">
        <v>44</v>
      </c>
      <c r="T2091" s="1" t="s">
        <v>45</v>
      </c>
      <c r="U2091" s="1">
        <v>4.8202301E8</v>
      </c>
      <c r="W2091" s="1" t="s">
        <v>44</v>
      </c>
      <c r="X2091" s="1" t="s">
        <v>45</v>
      </c>
      <c r="Y2091" s="1">
        <v>4.82023096E8</v>
      </c>
      <c r="Z2091" s="1">
        <v>7.6340843E7</v>
      </c>
      <c r="AA2091" s="1" t="s">
        <v>461</v>
      </c>
      <c r="AB2091" s="3">
        <v>2.312940366E7</v>
      </c>
      <c r="AC2091" s="2">
        <v>41977.0</v>
      </c>
      <c r="AD2091" s="1">
        <v>1200.0</v>
      </c>
      <c r="AE2091" s="1" t="s">
        <v>647</v>
      </c>
      <c r="AF2091" s="1" t="s">
        <v>3799</v>
      </c>
      <c r="AG2091" s="1" t="s">
        <v>712</v>
      </c>
      <c r="AH2091" s="1">
        <v>1.0</v>
      </c>
      <c r="AI2091" s="1">
        <v>2015.0</v>
      </c>
      <c r="AJ2091" s="1">
        <v>2015.0</v>
      </c>
      <c r="AK2091" s="1" t="s">
        <v>713</v>
      </c>
    </row>
    <row r="2092">
      <c r="A2092" s="1" t="s">
        <v>3515</v>
      </c>
      <c r="B2092" s="1" t="s">
        <v>3515</v>
      </c>
      <c r="C2092" s="1" t="s">
        <v>645</v>
      </c>
      <c r="E2092" s="1">
        <v>4.64793056E8</v>
      </c>
      <c r="F2092" s="2">
        <v>41928.0</v>
      </c>
      <c r="G2092" s="1" t="s">
        <v>710</v>
      </c>
      <c r="I2092" s="1" t="s">
        <v>710</v>
      </c>
      <c r="L2092" s="1" t="s">
        <v>647</v>
      </c>
      <c r="M2092" s="1">
        <v>1200.0</v>
      </c>
      <c r="N2092" s="1" t="s">
        <v>647</v>
      </c>
      <c r="O2092" s="1">
        <v>6.6707493E7</v>
      </c>
      <c r="P2092" s="1" t="s">
        <v>541</v>
      </c>
      <c r="R2092" s="1" t="s">
        <v>542</v>
      </c>
      <c r="S2092" s="1" t="s">
        <v>44</v>
      </c>
      <c r="T2092" s="1" t="s">
        <v>45</v>
      </c>
      <c r="U2092" s="1">
        <v>4.8210252E8</v>
      </c>
      <c r="W2092" s="1" t="s">
        <v>44</v>
      </c>
      <c r="X2092" s="1" t="s">
        <v>45</v>
      </c>
      <c r="Y2092" s="1">
        <v>4.8210252E8</v>
      </c>
      <c r="AB2092" s="1">
        <v>27155.92</v>
      </c>
      <c r="AC2092" s="2">
        <v>41928.0</v>
      </c>
      <c r="AD2092" s="1">
        <v>1200.0</v>
      </c>
      <c r="AE2092" s="1" t="s">
        <v>647</v>
      </c>
      <c r="AF2092" s="1" t="s">
        <v>3800</v>
      </c>
      <c r="AG2092" s="1" t="s">
        <v>712</v>
      </c>
      <c r="AH2092" s="1">
        <v>1.0</v>
      </c>
      <c r="AI2092" s="1">
        <v>2015.0</v>
      </c>
      <c r="AJ2092" s="1">
        <v>2015.0</v>
      </c>
      <c r="AK2092" s="1" t="s">
        <v>713</v>
      </c>
    </row>
    <row r="2093">
      <c r="A2093" s="1" t="s">
        <v>3515</v>
      </c>
      <c r="B2093" s="1" t="s">
        <v>3515</v>
      </c>
      <c r="C2093" s="1" t="s">
        <v>645</v>
      </c>
      <c r="E2093" s="1">
        <v>4.64793056E8</v>
      </c>
      <c r="F2093" s="2">
        <v>41935.0</v>
      </c>
      <c r="G2093" s="1" t="s">
        <v>710</v>
      </c>
      <c r="I2093" s="1" t="s">
        <v>710</v>
      </c>
      <c r="L2093" s="1" t="s">
        <v>647</v>
      </c>
      <c r="M2093" s="1">
        <v>1200.0</v>
      </c>
      <c r="N2093" s="1" t="s">
        <v>647</v>
      </c>
      <c r="O2093" s="1">
        <v>5.667795E7</v>
      </c>
      <c r="P2093" s="1" t="s">
        <v>3108</v>
      </c>
      <c r="Q2093" s="1" t="s">
        <v>3801</v>
      </c>
      <c r="R2093" s="1" t="s">
        <v>3109</v>
      </c>
      <c r="S2093" s="1" t="s">
        <v>44</v>
      </c>
      <c r="T2093" s="1" t="s">
        <v>45</v>
      </c>
      <c r="U2093" s="1">
        <v>4.82061134E8</v>
      </c>
      <c r="W2093" s="1" t="s">
        <v>44</v>
      </c>
      <c r="X2093" s="1" t="s">
        <v>45</v>
      </c>
      <c r="Y2093" s="1">
        <v>4.82231612E8</v>
      </c>
      <c r="Z2093" s="1">
        <v>8.5901098E7</v>
      </c>
      <c r="AB2093" s="1">
        <v>33720.28</v>
      </c>
      <c r="AC2093" s="2">
        <v>41935.0</v>
      </c>
      <c r="AD2093" s="1">
        <v>1200.0</v>
      </c>
      <c r="AE2093" s="1" t="s">
        <v>647</v>
      </c>
      <c r="AF2093" s="1" t="s">
        <v>3802</v>
      </c>
      <c r="AG2093" s="1" t="s">
        <v>712</v>
      </c>
      <c r="AH2093" s="1">
        <v>1.0</v>
      </c>
      <c r="AI2093" s="1">
        <v>2015.0</v>
      </c>
      <c r="AJ2093" s="1">
        <v>2015.0</v>
      </c>
      <c r="AK2093" s="1" t="s">
        <v>713</v>
      </c>
    </row>
    <row r="2094">
      <c r="A2094" s="1" t="s">
        <v>3515</v>
      </c>
      <c r="B2094" s="1" t="s">
        <v>3515</v>
      </c>
      <c r="C2094" s="1" t="s">
        <v>645</v>
      </c>
      <c r="E2094" s="1">
        <v>4.64793056E8</v>
      </c>
      <c r="F2094" s="2">
        <v>41949.0</v>
      </c>
      <c r="G2094" s="1" t="s">
        <v>710</v>
      </c>
      <c r="I2094" s="1" t="s">
        <v>710</v>
      </c>
      <c r="L2094" s="1" t="s">
        <v>647</v>
      </c>
      <c r="M2094" s="1">
        <v>1200.0</v>
      </c>
      <c r="N2094" s="1" t="s">
        <v>647</v>
      </c>
      <c r="O2094" s="1">
        <v>3.0098093E7</v>
      </c>
      <c r="P2094" s="1" t="s">
        <v>816</v>
      </c>
      <c r="R2094" s="1" t="s">
        <v>817</v>
      </c>
      <c r="S2094" s="1" t="s">
        <v>44</v>
      </c>
      <c r="T2094" s="1" t="s">
        <v>45</v>
      </c>
      <c r="U2094" s="1">
        <v>4.82243226E8</v>
      </c>
      <c r="W2094" s="1" t="s">
        <v>44</v>
      </c>
      <c r="X2094" s="1" t="s">
        <v>45</v>
      </c>
      <c r="Y2094" s="1">
        <v>4.82243226E8</v>
      </c>
      <c r="AB2094" s="1">
        <v>67481.21</v>
      </c>
      <c r="AC2094" s="2">
        <v>41949.0</v>
      </c>
      <c r="AD2094" s="1">
        <v>1200.0</v>
      </c>
      <c r="AE2094" s="1" t="s">
        <v>647</v>
      </c>
      <c r="AF2094" s="1" t="s">
        <v>3803</v>
      </c>
      <c r="AG2094" s="1" t="s">
        <v>712</v>
      </c>
      <c r="AH2094" s="1">
        <v>1.0</v>
      </c>
      <c r="AI2094" s="1">
        <v>2015.0</v>
      </c>
      <c r="AJ2094" s="1">
        <v>2015.0</v>
      </c>
      <c r="AK2094" s="1" t="s">
        <v>713</v>
      </c>
    </row>
    <row r="2095">
      <c r="A2095" s="1" t="s">
        <v>3515</v>
      </c>
      <c r="B2095" s="1" t="s">
        <v>3515</v>
      </c>
      <c r="C2095" s="1" t="s">
        <v>645</v>
      </c>
      <c r="E2095" s="1">
        <v>4.64793056E8</v>
      </c>
      <c r="F2095" s="2">
        <v>41942.0</v>
      </c>
      <c r="G2095" s="1" t="s">
        <v>710</v>
      </c>
      <c r="I2095" s="1" t="s">
        <v>710</v>
      </c>
      <c r="L2095" s="1" t="s">
        <v>647</v>
      </c>
      <c r="M2095" s="1">
        <v>1200.0</v>
      </c>
      <c r="N2095" s="1" t="s">
        <v>647</v>
      </c>
      <c r="O2095" s="1">
        <v>2.5773859E7</v>
      </c>
      <c r="P2095" s="1" t="s">
        <v>872</v>
      </c>
      <c r="R2095" s="1" t="s">
        <v>873</v>
      </c>
      <c r="S2095" s="1" t="s">
        <v>44</v>
      </c>
      <c r="T2095" s="1" t="s">
        <v>45</v>
      </c>
      <c r="U2095" s="1">
        <v>4.82042042E8</v>
      </c>
      <c r="W2095" s="1" t="s">
        <v>44</v>
      </c>
      <c r="X2095" s="1" t="s">
        <v>45</v>
      </c>
      <c r="Y2095" s="1">
        <v>4.82042042E8</v>
      </c>
      <c r="AB2095" s="1">
        <v>212663.51</v>
      </c>
      <c r="AC2095" s="2">
        <v>41942.0</v>
      </c>
      <c r="AD2095" s="1">
        <v>1200.0</v>
      </c>
      <c r="AE2095" s="1" t="s">
        <v>647</v>
      </c>
      <c r="AF2095" s="1" t="s">
        <v>3804</v>
      </c>
      <c r="AG2095" s="1" t="s">
        <v>712</v>
      </c>
      <c r="AH2095" s="1">
        <v>1.0</v>
      </c>
      <c r="AI2095" s="1">
        <v>2015.0</v>
      </c>
      <c r="AJ2095" s="1">
        <v>2015.0</v>
      </c>
      <c r="AK2095" s="1" t="s">
        <v>713</v>
      </c>
    </row>
    <row r="2096">
      <c r="A2096" s="1" t="s">
        <v>3515</v>
      </c>
      <c r="B2096" s="1" t="s">
        <v>3515</v>
      </c>
      <c r="C2096" s="1" t="s">
        <v>645</v>
      </c>
      <c r="E2096" s="1">
        <v>4.64793056E8</v>
      </c>
      <c r="F2096" s="2">
        <v>41921.0</v>
      </c>
      <c r="G2096" s="1" t="s">
        <v>710</v>
      </c>
      <c r="I2096" s="1" t="s">
        <v>710</v>
      </c>
      <c r="L2096" s="1" t="s">
        <v>647</v>
      </c>
      <c r="M2096" s="1">
        <v>1200.0</v>
      </c>
      <c r="N2096" s="1" t="s">
        <v>647</v>
      </c>
      <c r="O2096" s="1">
        <v>2.0830303E7</v>
      </c>
      <c r="P2096" s="1" t="s">
        <v>424</v>
      </c>
      <c r="Q2096" s="1" t="s">
        <v>425</v>
      </c>
      <c r="R2096" s="1" t="s">
        <v>426</v>
      </c>
      <c r="S2096" s="1" t="s">
        <v>44</v>
      </c>
      <c r="T2096" s="1" t="s">
        <v>45</v>
      </c>
      <c r="U2096" s="1">
        <v>4.82012002E8</v>
      </c>
      <c r="W2096" s="1" t="s">
        <v>44</v>
      </c>
      <c r="X2096" s="1" t="s">
        <v>45</v>
      </c>
      <c r="Y2096" s="1">
        <v>4.82022012E8</v>
      </c>
      <c r="Z2096" s="1">
        <v>2.0830303E7</v>
      </c>
      <c r="AA2096" s="1" t="s">
        <v>424</v>
      </c>
      <c r="AB2096" s="1">
        <v>479235.63</v>
      </c>
      <c r="AC2096" s="2">
        <v>41921.0</v>
      </c>
      <c r="AD2096" s="1">
        <v>1200.0</v>
      </c>
      <c r="AE2096" s="1" t="s">
        <v>647</v>
      </c>
      <c r="AF2096" s="1" t="s">
        <v>3805</v>
      </c>
      <c r="AG2096" s="1" t="s">
        <v>712</v>
      </c>
      <c r="AH2096" s="1">
        <v>1.0</v>
      </c>
      <c r="AI2096" s="1">
        <v>2015.0</v>
      </c>
      <c r="AJ2096" s="1">
        <v>2015.0</v>
      </c>
      <c r="AK2096" s="1" t="s">
        <v>713</v>
      </c>
    </row>
    <row r="2097">
      <c r="A2097" s="1" t="s">
        <v>3515</v>
      </c>
      <c r="B2097" s="1" t="s">
        <v>3515</v>
      </c>
      <c r="C2097" s="1" t="s">
        <v>645</v>
      </c>
      <c r="E2097" s="1">
        <v>4.64793056E8</v>
      </c>
      <c r="F2097" s="2">
        <v>41919.0</v>
      </c>
      <c r="G2097" s="1" t="s">
        <v>710</v>
      </c>
      <c r="I2097" s="1" t="s">
        <v>710</v>
      </c>
      <c r="L2097" s="1" t="s">
        <v>647</v>
      </c>
      <c r="M2097" s="1">
        <v>1200.0</v>
      </c>
      <c r="N2097" s="1" t="s">
        <v>647</v>
      </c>
      <c r="O2097" s="1">
        <v>1.6388758E7</v>
      </c>
      <c r="P2097" s="1" t="s">
        <v>3139</v>
      </c>
      <c r="Q2097" s="1" t="s">
        <v>3140</v>
      </c>
      <c r="R2097" s="1" t="s">
        <v>281</v>
      </c>
      <c r="S2097" s="1" t="s">
        <v>44</v>
      </c>
      <c r="T2097" s="1" t="s">
        <v>45</v>
      </c>
      <c r="U2097" s="1">
        <v>4.82033277E8</v>
      </c>
      <c r="W2097" s="1" t="s">
        <v>603</v>
      </c>
      <c r="X2097" s="1" t="s">
        <v>45</v>
      </c>
      <c r="Y2097" s="1">
        <v>4.82033277E8</v>
      </c>
      <c r="AB2097" s="1">
        <v>159745.89</v>
      </c>
      <c r="AC2097" s="2">
        <v>41919.0</v>
      </c>
      <c r="AD2097" s="1">
        <v>1200.0</v>
      </c>
      <c r="AE2097" s="1" t="s">
        <v>647</v>
      </c>
      <c r="AF2097" s="1" t="s">
        <v>3806</v>
      </c>
      <c r="AG2097" s="1" t="s">
        <v>712</v>
      </c>
      <c r="AH2097" s="1">
        <v>1.0</v>
      </c>
      <c r="AI2097" s="1">
        <v>2015.0</v>
      </c>
      <c r="AJ2097" s="1">
        <v>2015.0</v>
      </c>
      <c r="AK2097" s="1" t="s">
        <v>713</v>
      </c>
    </row>
    <row r="2098">
      <c r="A2098" s="1" t="s">
        <v>3515</v>
      </c>
      <c r="B2098" s="1" t="s">
        <v>3515</v>
      </c>
      <c r="C2098" s="1" t="s">
        <v>645</v>
      </c>
      <c r="E2098" s="1">
        <v>4.64793056E8</v>
      </c>
      <c r="F2098" s="2">
        <v>41921.0</v>
      </c>
      <c r="G2098" s="1" t="s">
        <v>710</v>
      </c>
      <c r="I2098" s="1" t="s">
        <v>710</v>
      </c>
      <c r="L2098" s="1" t="s">
        <v>647</v>
      </c>
      <c r="M2098" s="1">
        <v>1200.0</v>
      </c>
      <c r="N2098" s="1" t="s">
        <v>647</v>
      </c>
      <c r="O2098" s="1">
        <v>5.57263386E8</v>
      </c>
      <c r="P2098" s="1" t="s">
        <v>727</v>
      </c>
      <c r="R2098" s="1" t="s">
        <v>728</v>
      </c>
      <c r="S2098" s="1" t="s">
        <v>44</v>
      </c>
      <c r="T2098" s="1" t="s">
        <v>45</v>
      </c>
      <c r="U2098" s="1">
        <v>4.82231703E8</v>
      </c>
      <c r="W2098" s="1" t="s">
        <v>46</v>
      </c>
      <c r="X2098" s="1" t="s">
        <v>45</v>
      </c>
      <c r="Y2098" s="1">
        <v>4.8223E8</v>
      </c>
      <c r="AB2098" s="1">
        <v>83832.9</v>
      </c>
      <c r="AC2098" s="2">
        <v>41921.0</v>
      </c>
      <c r="AD2098" s="1">
        <v>1200.0</v>
      </c>
      <c r="AE2098" s="1" t="s">
        <v>647</v>
      </c>
      <c r="AF2098" s="1" t="s">
        <v>3807</v>
      </c>
      <c r="AG2098" s="1" t="s">
        <v>712</v>
      </c>
      <c r="AH2098" s="1">
        <v>1.0</v>
      </c>
      <c r="AI2098" s="1">
        <v>2015.0</v>
      </c>
      <c r="AJ2098" s="1">
        <v>2015.0</v>
      </c>
      <c r="AK2098" s="1" t="s">
        <v>713</v>
      </c>
    </row>
    <row r="2099">
      <c r="A2099" s="1" t="s">
        <v>3515</v>
      </c>
      <c r="B2099" s="1" t="s">
        <v>3515</v>
      </c>
      <c r="C2099" s="1" t="s">
        <v>645</v>
      </c>
      <c r="E2099" s="1">
        <v>4.64793056E8</v>
      </c>
      <c r="F2099" s="2">
        <v>41956.0</v>
      </c>
      <c r="G2099" s="1" t="s">
        <v>710</v>
      </c>
      <c r="I2099" s="1" t="s">
        <v>710</v>
      </c>
      <c r="L2099" s="1" t="s">
        <v>647</v>
      </c>
      <c r="M2099" s="1">
        <v>1200.0</v>
      </c>
      <c r="N2099" s="1" t="s">
        <v>647</v>
      </c>
      <c r="O2099" s="1">
        <v>6533863.0</v>
      </c>
      <c r="P2099" s="1" t="s">
        <v>3194</v>
      </c>
      <c r="Q2099" s="1" t="s">
        <v>3195</v>
      </c>
      <c r="R2099" s="1" t="s">
        <v>3196</v>
      </c>
      <c r="S2099" s="1" t="s">
        <v>44</v>
      </c>
      <c r="T2099" s="1" t="s">
        <v>45</v>
      </c>
      <c r="U2099" s="1">
        <v>4.82261894E8</v>
      </c>
      <c r="W2099" s="1" t="s">
        <v>3197</v>
      </c>
      <c r="X2099" s="1" t="s">
        <v>45</v>
      </c>
      <c r="Y2099" s="1">
        <v>4.81339647E8</v>
      </c>
      <c r="Z2099" s="1">
        <v>6533863.0</v>
      </c>
      <c r="AB2099" s="1">
        <v>87355.65</v>
      </c>
      <c r="AC2099" s="2">
        <v>41956.0</v>
      </c>
      <c r="AD2099" s="1">
        <v>1200.0</v>
      </c>
      <c r="AE2099" s="1" t="s">
        <v>647</v>
      </c>
      <c r="AF2099" s="1" t="s">
        <v>3808</v>
      </c>
      <c r="AG2099" s="1" t="s">
        <v>712</v>
      </c>
      <c r="AH2099" s="1">
        <v>1.0</v>
      </c>
      <c r="AI2099" s="1">
        <v>2015.0</v>
      </c>
      <c r="AJ2099" s="1">
        <v>2015.0</v>
      </c>
      <c r="AK2099" s="1" t="s">
        <v>713</v>
      </c>
    </row>
    <row r="2100">
      <c r="A2100" s="1" t="s">
        <v>3515</v>
      </c>
      <c r="B2100" s="1" t="s">
        <v>3515</v>
      </c>
      <c r="C2100" s="1" t="s">
        <v>645</v>
      </c>
      <c r="E2100" s="1">
        <v>4.64793056E8</v>
      </c>
      <c r="F2100" s="2">
        <v>41928.0</v>
      </c>
      <c r="G2100" s="1" t="s">
        <v>710</v>
      </c>
      <c r="I2100" s="1" t="s">
        <v>710</v>
      </c>
      <c r="L2100" s="1" t="s">
        <v>647</v>
      </c>
      <c r="M2100" s="1">
        <v>1200.0</v>
      </c>
      <c r="N2100" s="1" t="s">
        <v>647</v>
      </c>
      <c r="O2100" s="1">
        <v>3537326.0</v>
      </c>
      <c r="P2100" s="1" t="s">
        <v>560</v>
      </c>
      <c r="R2100" s="1" t="s">
        <v>561</v>
      </c>
      <c r="S2100" s="1" t="s">
        <v>44</v>
      </c>
      <c r="T2100" s="1" t="s">
        <v>45</v>
      </c>
      <c r="U2100" s="1">
        <v>4.8212177E8</v>
      </c>
      <c r="W2100" s="1" t="s">
        <v>498</v>
      </c>
      <c r="X2100" s="1" t="s">
        <v>45</v>
      </c>
      <c r="Y2100" s="1">
        <v>4.82121754E8</v>
      </c>
      <c r="Z2100" s="1">
        <v>3537326.0</v>
      </c>
      <c r="AA2100" s="1" t="s">
        <v>560</v>
      </c>
      <c r="AB2100" s="1">
        <v>78747.97</v>
      </c>
      <c r="AC2100" s="2">
        <v>41928.0</v>
      </c>
      <c r="AD2100" s="1">
        <v>1200.0</v>
      </c>
      <c r="AE2100" s="1" t="s">
        <v>647</v>
      </c>
      <c r="AF2100" s="1" t="s">
        <v>3809</v>
      </c>
      <c r="AG2100" s="1" t="s">
        <v>712</v>
      </c>
      <c r="AH2100" s="1">
        <v>1.0</v>
      </c>
      <c r="AI2100" s="1">
        <v>2015.0</v>
      </c>
      <c r="AJ2100" s="1">
        <v>2015.0</v>
      </c>
      <c r="AK2100" s="1" t="s">
        <v>713</v>
      </c>
    </row>
    <row r="2101">
      <c r="A2101" s="1" t="s">
        <v>1913</v>
      </c>
      <c r="B2101" s="1" t="s">
        <v>1913</v>
      </c>
      <c r="C2101" s="1" t="s">
        <v>645</v>
      </c>
      <c r="E2101" s="1">
        <v>1.4642656E8</v>
      </c>
      <c r="F2101" s="2">
        <v>41999.0</v>
      </c>
      <c r="G2101" s="1" t="s">
        <v>710</v>
      </c>
      <c r="I2101" s="1" t="s">
        <v>710</v>
      </c>
      <c r="L2101" s="1" t="s">
        <v>647</v>
      </c>
      <c r="M2101" s="1">
        <v>1200.0</v>
      </c>
      <c r="N2101" s="1" t="s">
        <v>647</v>
      </c>
      <c r="O2101" s="1">
        <v>7.6340843E7</v>
      </c>
      <c r="P2101" s="1" t="s">
        <v>461</v>
      </c>
      <c r="R2101" s="1" t="s">
        <v>1599</v>
      </c>
      <c r="S2101" s="1" t="s">
        <v>44</v>
      </c>
      <c r="T2101" s="1" t="s">
        <v>45</v>
      </c>
      <c r="U2101" s="1">
        <v>4.8202301E8</v>
      </c>
      <c r="W2101" s="1" t="s">
        <v>44</v>
      </c>
      <c r="X2101" s="1" t="s">
        <v>45</v>
      </c>
      <c r="Y2101" s="1">
        <v>4.82023096E8</v>
      </c>
      <c r="Z2101" s="1">
        <v>7.6340843E7</v>
      </c>
      <c r="AA2101" s="1" t="s">
        <v>461</v>
      </c>
      <c r="AB2101" s="1">
        <v>175110.24</v>
      </c>
      <c r="AC2101" s="2">
        <v>41999.0</v>
      </c>
      <c r="AD2101" s="1">
        <v>1200.0</v>
      </c>
      <c r="AE2101" s="1" t="s">
        <v>647</v>
      </c>
      <c r="AF2101" s="1" t="s">
        <v>3810</v>
      </c>
      <c r="AG2101" s="1" t="s">
        <v>712</v>
      </c>
      <c r="AH2101" s="1">
        <v>1.0</v>
      </c>
      <c r="AI2101" s="1">
        <v>2015.0</v>
      </c>
      <c r="AJ2101" s="1">
        <v>2015.0</v>
      </c>
      <c r="AK2101" s="1" t="s">
        <v>713</v>
      </c>
    </row>
    <row r="2102">
      <c r="A2102" s="1" t="s">
        <v>1913</v>
      </c>
      <c r="B2102" s="1" t="s">
        <v>1913</v>
      </c>
      <c r="C2102" s="1" t="s">
        <v>645</v>
      </c>
      <c r="E2102" s="1">
        <v>1.4642656E8</v>
      </c>
      <c r="F2102" s="2">
        <v>42006.0</v>
      </c>
      <c r="G2102" s="1" t="s">
        <v>710</v>
      </c>
      <c r="I2102" s="1" t="s">
        <v>710</v>
      </c>
      <c r="L2102" s="1" t="s">
        <v>647</v>
      </c>
      <c r="M2102" s="1">
        <v>1200.0</v>
      </c>
      <c r="N2102" s="1" t="s">
        <v>647</v>
      </c>
      <c r="O2102" s="1">
        <v>8.30649195E8</v>
      </c>
      <c r="P2102" s="1" t="s">
        <v>545</v>
      </c>
      <c r="R2102" s="1" t="s">
        <v>547</v>
      </c>
      <c r="S2102" s="1" t="s">
        <v>44</v>
      </c>
      <c r="T2102" s="1" t="s">
        <v>45</v>
      </c>
      <c r="U2102" s="1">
        <v>4.82071E8</v>
      </c>
      <c r="W2102" s="1" t="s">
        <v>44</v>
      </c>
      <c r="X2102" s="1" t="s">
        <v>45</v>
      </c>
      <c r="Y2102" s="1">
        <v>4.82071E8</v>
      </c>
      <c r="AB2102" s="1">
        <v>133627.14</v>
      </c>
      <c r="AC2102" s="2">
        <v>42006.0</v>
      </c>
      <c r="AD2102" s="1">
        <v>1200.0</v>
      </c>
      <c r="AE2102" s="1" t="s">
        <v>647</v>
      </c>
      <c r="AF2102" s="1" t="s">
        <v>3811</v>
      </c>
      <c r="AG2102" s="1" t="s">
        <v>712</v>
      </c>
      <c r="AH2102" s="1">
        <v>1.0</v>
      </c>
      <c r="AI2102" s="1">
        <v>2015.0</v>
      </c>
      <c r="AJ2102" s="1">
        <v>2015.0</v>
      </c>
      <c r="AK2102" s="1" t="s">
        <v>713</v>
      </c>
    </row>
    <row r="2103">
      <c r="A2103" s="1" t="s">
        <v>1913</v>
      </c>
      <c r="B2103" s="1" t="s">
        <v>1913</v>
      </c>
      <c r="C2103" s="1" t="s">
        <v>645</v>
      </c>
      <c r="E2103" s="1">
        <v>1.4642656E8</v>
      </c>
      <c r="F2103" s="2">
        <v>41991.0</v>
      </c>
      <c r="G2103" s="1" t="s">
        <v>710</v>
      </c>
      <c r="I2103" s="1" t="s">
        <v>710</v>
      </c>
      <c r="L2103" s="1" t="s">
        <v>647</v>
      </c>
      <c r="M2103" s="1">
        <v>1200.0</v>
      </c>
      <c r="N2103" s="1" t="s">
        <v>647</v>
      </c>
      <c r="O2103" s="1">
        <v>2.0830303E7</v>
      </c>
      <c r="P2103" s="1" t="s">
        <v>424</v>
      </c>
      <c r="Q2103" s="1" t="s">
        <v>425</v>
      </c>
      <c r="R2103" s="1" t="s">
        <v>426</v>
      </c>
      <c r="S2103" s="1" t="s">
        <v>44</v>
      </c>
      <c r="T2103" s="1" t="s">
        <v>45</v>
      </c>
      <c r="U2103" s="1">
        <v>4.82012002E8</v>
      </c>
      <c r="W2103" s="1" t="s">
        <v>44</v>
      </c>
      <c r="X2103" s="1" t="s">
        <v>45</v>
      </c>
      <c r="Y2103" s="1">
        <v>4.82022012E8</v>
      </c>
      <c r="Z2103" s="1">
        <v>2.0830303E7</v>
      </c>
      <c r="AA2103" s="1" t="s">
        <v>424</v>
      </c>
      <c r="AB2103" s="1">
        <v>72233.14</v>
      </c>
      <c r="AC2103" s="2">
        <v>41991.0</v>
      </c>
      <c r="AD2103" s="1">
        <v>1200.0</v>
      </c>
      <c r="AE2103" s="1" t="s">
        <v>647</v>
      </c>
      <c r="AF2103" s="1" t="s">
        <v>3812</v>
      </c>
      <c r="AG2103" s="1" t="s">
        <v>712</v>
      </c>
      <c r="AH2103" s="1">
        <v>1.0</v>
      </c>
      <c r="AI2103" s="1">
        <v>2015.0</v>
      </c>
      <c r="AJ2103" s="1">
        <v>2015.0</v>
      </c>
      <c r="AK2103" s="1" t="s">
        <v>713</v>
      </c>
    </row>
    <row r="2104">
      <c r="A2104" s="1" t="s">
        <v>1913</v>
      </c>
      <c r="B2104" s="1" t="s">
        <v>1913</v>
      </c>
      <c r="C2104" s="1" t="s">
        <v>645</v>
      </c>
      <c r="E2104" s="1">
        <v>1.4642656E8</v>
      </c>
      <c r="F2104" s="2">
        <v>41984.0</v>
      </c>
      <c r="G2104" s="1" t="s">
        <v>710</v>
      </c>
      <c r="I2104" s="1" t="s">
        <v>710</v>
      </c>
      <c r="L2104" s="1" t="s">
        <v>647</v>
      </c>
      <c r="M2104" s="1">
        <v>1200.0</v>
      </c>
      <c r="N2104" s="1" t="s">
        <v>647</v>
      </c>
      <c r="O2104" s="1">
        <v>9.62949843E8</v>
      </c>
      <c r="P2104" s="1" t="s">
        <v>619</v>
      </c>
      <c r="R2104" s="1" t="s">
        <v>620</v>
      </c>
      <c r="S2104" s="1" t="s">
        <v>44</v>
      </c>
      <c r="T2104" s="1" t="s">
        <v>45</v>
      </c>
      <c r="U2104" s="1">
        <v>4.82042306E8</v>
      </c>
      <c r="W2104" s="1" t="s">
        <v>44</v>
      </c>
      <c r="X2104" s="1" t="s">
        <v>45</v>
      </c>
      <c r="Y2104" s="1">
        <v>4.82042306E8</v>
      </c>
      <c r="AB2104" s="1">
        <v>81879.48</v>
      </c>
      <c r="AC2104" s="2">
        <v>41984.0</v>
      </c>
      <c r="AD2104" s="1">
        <v>1200.0</v>
      </c>
      <c r="AE2104" s="1" t="s">
        <v>647</v>
      </c>
      <c r="AF2104" s="1" t="s">
        <v>3813</v>
      </c>
      <c r="AG2104" s="1" t="s">
        <v>712</v>
      </c>
      <c r="AH2104" s="1">
        <v>1.0</v>
      </c>
      <c r="AI2104" s="1">
        <v>2015.0</v>
      </c>
      <c r="AJ2104" s="1">
        <v>2015.0</v>
      </c>
      <c r="AK2104" s="1" t="s">
        <v>713</v>
      </c>
    </row>
    <row r="2105">
      <c r="A2105" s="1" t="s">
        <v>1913</v>
      </c>
      <c r="B2105" s="1" t="s">
        <v>1913</v>
      </c>
      <c r="C2105" s="1" t="s">
        <v>645</v>
      </c>
      <c r="E2105" s="1">
        <v>1.4642656E8</v>
      </c>
      <c r="F2105" s="2">
        <v>41977.0</v>
      </c>
      <c r="G2105" s="1" t="s">
        <v>710</v>
      </c>
      <c r="I2105" s="1" t="s">
        <v>710</v>
      </c>
      <c r="L2105" s="1" t="s">
        <v>647</v>
      </c>
      <c r="M2105" s="1">
        <v>1200.0</v>
      </c>
      <c r="N2105" s="1" t="s">
        <v>647</v>
      </c>
      <c r="O2105" s="1">
        <v>1.68568132E8</v>
      </c>
      <c r="P2105" s="1" t="s">
        <v>588</v>
      </c>
      <c r="R2105" s="1" t="s">
        <v>589</v>
      </c>
      <c r="S2105" s="1" t="s">
        <v>44</v>
      </c>
      <c r="T2105" s="1" t="s">
        <v>45</v>
      </c>
      <c r="U2105" s="1">
        <v>4.82143323E8</v>
      </c>
      <c r="W2105" s="1" t="s">
        <v>44</v>
      </c>
      <c r="X2105" s="1" t="s">
        <v>45</v>
      </c>
      <c r="Y2105" s="1">
        <v>4.82143323E8</v>
      </c>
      <c r="Z2105" s="1">
        <v>9.60742484E8</v>
      </c>
      <c r="AB2105" s="1">
        <v>48657.06</v>
      </c>
      <c r="AC2105" s="2">
        <v>41977.0</v>
      </c>
      <c r="AD2105" s="1">
        <v>1200.0</v>
      </c>
      <c r="AE2105" s="1" t="s">
        <v>647</v>
      </c>
      <c r="AF2105" s="1" t="s">
        <v>3814</v>
      </c>
      <c r="AG2105" s="1" t="s">
        <v>712</v>
      </c>
      <c r="AH2105" s="1">
        <v>1.0</v>
      </c>
      <c r="AI2105" s="1">
        <v>2015.0</v>
      </c>
      <c r="AJ2105" s="1">
        <v>2015.0</v>
      </c>
      <c r="AK2105" s="1" t="s">
        <v>713</v>
      </c>
    </row>
    <row r="2106">
      <c r="A2106" s="1" t="s">
        <v>1913</v>
      </c>
      <c r="B2106" s="1" t="s">
        <v>1913</v>
      </c>
      <c r="C2106" s="1" t="s">
        <v>645</v>
      </c>
      <c r="E2106" s="1">
        <v>1.4642656E8</v>
      </c>
      <c r="F2106" s="2">
        <v>41977.0</v>
      </c>
      <c r="G2106" s="1" t="s">
        <v>710</v>
      </c>
      <c r="I2106" s="1" t="s">
        <v>710</v>
      </c>
      <c r="L2106" s="1" t="s">
        <v>647</v>
      </c>
      <c r="M2106" s="1">
        <v>1200.0</v>
      </c>
      <c r="N2106" s="1" t="s">
        <v>647</v>
      </c>
      <c r="O2106" s="1">
        <v>8.31014068E8</v>
      </c>
      <c r="P2106" s="1" t="s">
        <v>515</v>
      </c>
      <c r="R2106" s="1" t="s">
        <v>516</v>
      </c>
      <c r="S2106" s="1" t="s">
        <v>44</v>
      </c>
      <c r="T2106" s="1" t="s">
        <v>45</v>
      </c>
      <c r="U2106" s="1">
        <v>4.82283685E8</v>
      </c>
      <c r="W2106" s="1" t="s">
        <v>46</v>
      </c>
      <c r="X2106" s="1" t="s">
        <v>45</v>
      </c>
      <c r="Y2106" s="1">
        <v>4.82283685E8</v>
      </c>
      <c r="Z2106" s="1">
        <v>9.60742484E8</v>
      </c>
      <c r="AB2106" s="1">
        <v>34191.88</v>
      </c>
      <c r="AC2106" s="2">
        <v>41977.0</v>
      </c>
      <c r="AD2106" s="1">
        <v>1200.0</v>
      </c>
      <c r="AE2106" s="1" t="s">
        <v>647</v>
      </c>
      <c r="AF2106" s="1" t="s">
        <v>3815</v>
      </c>
      <c r="AG2106" s="1" t="s">
        <v>712</v>
      </c>
      <c r="AH2106" s="1">
        <v>1.0</v>
      </c>
      <c r="AI2106" s="1">
        <v>2015.0</v>
      </c>
      <c r="AJ2106" s="1">
        <v>2015.0</v>
      </c>
      <c r="AK2106" s="1" t="s">
        <v>713</v>
      </c>
    </row>
    <row r="2107">
      <c r="A2107" s="1" t="s">
        <v>1913</v>
      </c>
      <c r="B2107" s="1" t="s">
        <v>1913</v>
      </c>
      <c r="C2107" s="1" t="s">
        <v>645</v>
      </c>
      <c r="E2107" s="1">
        <v>1.4642656E8</v>
      </c>
      <c r="F2107" s="2">
        <v>41977.0</v>
      </c>
      <c r="G2107" s="1" t="s">
        <v>710</v>
      </c>
      <c r="I2107" s="1" t="s">
        <v>710</v>
      </c>
      <c r="L2107" s="1" t="s">
        <v>647</v>
      </c>
      <c r="M2107" s="1">
        <v>1200.0</v>
      </c>
      <c r="N2107" s="1" t="s">
        <v>647</v>
      </c>
      <c r="O2107" s="1">
        <v>1.6388758E7</v>
      </c>
      <c r="P2107" s="1" t="s">
        <v>3139</v>
      </c>
      <c r="Q2107" s="1" t="s">
        <v>3140</v>
      </c>
      <c r="R2107" s="1" t="s">
        <v>281</v>
      </c>
      <c r="S2107" s="1" t="s">
        <v>44</v>
      </c>
      <c r="T2107" s="1" t="s">
        <v>45</v>
      </c>
      <c r="U2107" s="1">
        <v>4.82033277E8</v>
      </c>
      <c r="W2107" s="1" t="s">
        <v>603</v>
      </c>
      <c r="X2107" s="1" t="s">
        <v>45</v>
      </c>
      <c r="Y2107" s="1">
        <v>4.82033277E8</v>
      </c>
      <c r="AB2107" s="1">
        <v>26563.86</v>
      </c>
      <c r="AC2107" s="2">
        <v>41977.0</v>
      </c>
      <c r="AD2107" s="1">
        <v>1200.0</v>
      </c>
      <c r="AE2107" s="1" t="s">
        <v>647</v>
      </c>
      <c r="AF2107" s="1" t="s">
        <v>3816</v>
      </c>
      <c r="AG2107" s="1" t="s">
        <v>712</v>
      </c>
      <c r="AH2107" s="1">
        <v>1.0</v>
      </c>
      <c r="AI2107" s="1">
        <v>2015.0</v>
      </c>
      <c r="AJ2107" s="1">
        <v>2015.0</v>
      </c>
      <c r="AK2107" s="1" t="s">
        <v>713</v>
      </c>
    </row>
    <row r="2108">
      <c r="A2108" s="1" t="s">
        <v>1913</v>
      </c>
      <c r="B2108" s="1" t="s">
        <v>1913</v>
      </c>
      <c r="C2108" s="1" t="s">
        <v>645</v>
      </c>
      <c r="E2108" s="1">
        <v>1.4642656E8</v>
      </c>
      <c r="F2108" s="2">
        <v>41984.0</v>
      </c>
      <c r="G2108" s="1" t="s">
        <v>710</v>
      </c>
      <c r="I2108" s="1" t="s">
        <v>710</v>
      </c>
      <c r="L2108" s="1" t="s">
        <v>647</v>
      </c>
      <c r="M2108" s="1">
        <v>1200.0</v>
      </c>
      <c r="N2108" s="1" t="s">
        <v>647</v>
      </c>
      <c r="O2108" s="1">
        <v>5.2874042E7</v>
      </c>
      <c r="P2108" s="1" t="s">
        <v>538</v>
      </c>
      <c r="R2108" s="1" t="s">
        <v>539</v>
      </c>
      <c r="S2108" s="1" t="s">
        <v>44</v>
      </c>
      <c r="T2108" s="1" t="s">
        <v>45</v>
      </c>
      <c r="U2108" s="1">
        <v>4.82091524E8</v>
      </c>
      <c r="W2108" s="1" t="s">
        <v>44</v>
      </c>
      <c r="X2108" s="1" t="s">
        <v>45</v>
      </c>
      <c r="Y2108" s="1">
        <v>4.82091524E8</v>
      </c>
      <c r="AB2108" s="1">
        <v>198030.6</v>
      </c>
      <c r="AC2108" s="2">
        <v>41984.0</v>
      </c>
      <c r="AD2108" s="1">
        <v>1200.0</v>
      </c>
      <c r="AE2108" s="1" t="s">
        <v>647</v>
      </c>
      <c r="AF2108" s="1" t="s">
        <v>3817</v>
      </c>
      <c r="AG2108" s="1" t="s">
        <v>712</v>
      </c>
      <c r="AH2108" s="1">
        <v>1.0</v>
      </c>
      <c r="AI2108" s="1">
        <v>2015.0</v>
      </c>
      <c r="AJ2108" s="1">
        <v>2015.0</v>
      </c>
      <c r="AK2108" s="1" t="s">
        <v>713</v>
      </c>
    </row>
    <row r="2109">
      <c r="A2109" s="1" t="s">
        <v>1913</v>
      </c>
      <c r="B2109" s="1" t="s">
        <v>1913</v>
      </c>
      <c r="C2109" s="1" t="s">
        <v>645</v>
      </c>
      <c r="E2109" s="1">
        <v>1.4642656E8</v>
      </c>
      <c r="F2109" s="2">
        <v>41984.0</v>
      </c>
      <c r="G2109" s="1" t="s">
        <v>710</v>
      </c>
      <c r="I2109" s="1" t="s">
        <v>710</v>
      </c>
      <c r="L2109" s="1" t="s">
        <v>647</v>
      </c>
      <c r="M2109" s="1">
        <v>1200.0</v>
      </c>
      <c r="N2109" s="1" t="s">
        <v>647</v>
      </c>
      <c r="O2109" s="1">
        <v>7.8634042E7</v>
      </c>
      <c r="P2109" s="1" t="s">
        <v>2998</v>
      </c>
      <c r="R2109" s="1" t="s">
        <v>475</v>
      </c>
      <c r="S2109" s="1" t="s">
        <v>44</v>
      </c>
      <c r="T2109" s="1" t="s">
        <v>45</v>
      </c>
      <c r="U2109" s="1">
        <v>4.82133744E8</v>
      </c>
      <c r="W2109" s="1" t="s">
        <v>46</v>
      </c>
      <c r="X2109" s="1" t="s">
        <v>45</v>
      </c>
      <c r="Y2109" s="1">
        <v>4.8213E8</v>
      </c>
      <c r="AB2109" s="1">
        <v>28194.84</v>
      </c>
      <c r="AC2109" s="2">
        <v>41984.0</v>
      </c>
      <c r="AD2109" s="1">
        <v>1200.0</v>
      </c>
      <c r="AE2109" s="1" t="s">
        <v>647</v>
      </c>
      <c r="AF2109" s="1" t="s">
        <v>3818</v>
      </c>
      <c r="AG2109" s="1" t="s">
        <v>712</v>
      </c>
      <c r="AH2109" s="1">
        <v>1.0</v>
      </c>
      <c r="AI2109" s="1">
        <v>2015.0</v>
      </c>
      <c r="AJ2109" s="1">
        <v>2015.0</v>
      </c>
      <c r="AK2109" s="1" t="s">
        <v>713</v>
      </c>
    </row>
    <row r="2110">
      <c r="A2110" s="1" t="s">
        <v>1913</v>
      </c>
      <c r="B2110" s="1" t="s">
        <v>1913</v>
      </c>
      <c r="C2110" s="1" t="s">
        <v>645</v>
      </c>
      <c r="E2110" s="1">
        <v>1.4642656E8</v>
      </c>
      <c r="F2110" s="2">
        <v>41991.0</v>
      </c>
      <c r="G2110" s="1" t="s">
        <v>710</v>
      </c>
      <c r="I2110" s="1" t="s">
        <v>710</v>
      </c>
      <c r="L2110" s="1" t="s">
        <v>647</v>
      </c>
      <c r="M2110" s="1">
        <v>1200.0</v>
      </c>
      <c r="N2110" s="1" t="s">
        <v>647</v>
      </c>
      <c r="O2110" s="1">
        <v>2.5773859E7</v>
      </c>
      <c r="P2110" s="1" t="s">
        <v>872</v>
      </c>
      <c r="R2110" s="1" t="s">
        <v>873</v>
      </c>
      <c r="S2110" s="1" t="s">
        <v>44</v>
      </c>
      <c r="T2110" s="1" t="s">
        <v>45</v>
      </c>
      <c r="U2110" s="1">
        <v>4.82042042E8</v>
      </c>
      <c r="W2110" s="1" t="s">
        <v>44</v>
      </c>
      <c r="X2110" s="1" t="s">
        <v>45</v>
      </c>
      <c r="Y2110" s="1">
        <v>4.82042042E8</v>
      </c>
      <c r="AB2110" s="1">
        <v>32294.69</v>
      </c>
      <c r="AC2110" s="2">
        <v>41991.0</v>
      </c>
      <c r="AD2110" s="1">
        <v>1200.0</v>
      </c>
      <c r="AE2110" s="1" t="s">
        <v>647</v>
      </c>
      <c r="AF2110" s="1" t="s">
        <v>3819</v>
      </c>
      <c r="AG2110" s="1" t="s">
        <v>712</v>
      </c>
      <c r="AH2110" s="1">
        <v>1.0</v>
      </c>
      <c r="AI2110" s="1">
        <v>2015.0</v>
      </c>
      <c r="AJ2110" s="1">
        <v>2015.0</v>
      </c>
      <c r="AK2110" s="1" t="s">
        <v>713</v>
      </c>
    </row>
    <row r="2111">
      <c r="A2111" s="1" t="s">
        <v>1913</v>
      </c>
      <c r="B2111" s="1" t="s">
        <v>1913</v>
      </c>
      <c r="C2111" s="1" t="s">
        <v>645</v>
      </c>
      <c r="E2111" s="1">
        <v>1.4642656E8</v>
      </c>
      <c r="F2111" s="2">
        <v>41999.0</v>
      </c>
      <c r="G2111" s="1" t="s">
        <v>710</v>
      </c>
      <c r="I2111" s="1" t="s">
        <v>710</v>
      </c>
      <c r="L2111" s="1" t="s">
        <v>647</v>
      </c>
      <c r="M2111" s="1">
        <v>1200.0</v>
      </c>
      <c r="N2111" s="1" t="s">
        <v>647</v>
      </c>
      <c r="O2111" s="1">
        <v>2.2561935E7</v>
      </c>
      <c r="P2111" s="1" t="s">
        <v>2631</v>
      </c>
      <c r="R2111" s="1" t="s">
        <v>2632</v>
      </c>
      <c r="S2111" s="1" t="s">
        <v>44</v>
      </c>
      <c r="T2111" s="1" t="s">
        <v>45</v>
      </c>
      <c r="U2111" s="1">
        <v>4.8238E8</v>
      </c>
      <c r="W2111" s="1" t="s">
        <v>46</v>
      </c>
      <c r="X2111" s="1" t="s">
        <v>45</v>
      </c>
      <c r="Y2111" s="1">
        <v>4.82382124E8</v>
      </c>
      <c r="AB2111" s="1">
        <v>34519.86</v>
      </c>
      <c r="AC2111" s="2">
        <v>41999.0</v>
      </c>
      <c r="AD2111" s="1">
        <v>1200.0</v>
      </c>
      <c r="AE2111" s="1" t="s">
        <v>647</v>
      </c>
      <c r="AF2111" s="1" t="s">
        <v>3820</v>
      </c>
      <c r="AG2111" s="1" t="s">
        <v>712</v>
      </c>
      <c r="AH2111" s="1">
        <v>1.0</v>
      </c>
      <c r="AI2111" s="1">
        <v>2015.0</v>
      </c>
      <c r="AJ2111" s="1">
        <v>2015.0</v>
      </c>
      <c r="AK2111" s="1" t="s">
        <v>713</v>
      </c>
    </row>
    <row r="2112">
      <c r="A2112" s="1" t="s">
        <v>1913</v>
      </c>
      <c r="B2112" s="1" t="s">
        <v>1913</v>
      </c>
      <c r="C2112" s="1" t="s">
        <v>645</v>
      </c>
      <c r="E2112" s="1">
        <v>1.4642656E8</v>
      </c>
      <c r="F2112" s="2">
        <v>41999.0</v>
      </c>
      <c r="G2112" s="1" t="s">
        <v>710</v>
      </c>
      <c r="I2112" s="1" t="s">
        <v>710</v>
      </c>
      <c r="L2112" s="1" t="s">
        <v>647</v>
      </c>
      <c r="M2112" s="1">
        <v>1200.0</v>
      </c>
      <c r="N2112" s="1" t="s">
        <v>647</v>
      </c>
      <c r="O2112" s="1">
        <v>7.97531279E8</v>
      </c>
      <c r="P2112" s="1" t="s">
        <v>496</v>
      </c>
      <c r="R2112" s="1" t="s">
        <v>497</v>
      </c>
      <c r="S2112" s="1" t="s">
        <v>44</v>
      </c>
      <c r="T2112" s="1" t="s">
        <v>45</v>
      </c>
      <c r="U2112" s="1">
        <v>4.82123323E8</v>
      </c>
      <c r="W2112" s="1" t="s">
        <v>498</v>
      </c>
      <c r="X2112" s="1" t="s">
        <v>45</v>
      </c>
      <c r="Y2112" s="1">
        <v>4.82123323E8</v>
      </c>
      <c r="AB2112" s="1">
        <v>27535.31</v>
      </c>
      <c r="AC2112" s="2">
        <v>41999.0</v>
      </c>
      <c r="AD2112" s="1">
        <v>1200.0</v>
      </c>
      <c r="AE2112" s="1" t="s">
        <v>647</v>
      </c>
      <c r="AF2112" s="1" t="s">
        <v>3821</v>
      </c>
      <c r="AG2112" s="1" t="s">
        <v>712</v>
      </c>
      <c r="AH2112" s="1">
        <v>1.0</v>
      </c>
      <c r="AI2112" s="1">
        <v>2015.0</v>
      </c>
      <c r="AJ2112" s="1">
        <v>2015.0</v>
      </c>
      <c r="AK2112" s="1" t="s">
        <v>713</v>
      </c>
    </row>
    <row r="2113">
      <c r="A2113" s="1" t="s">
        <v>1913</v>
      </c>
      <c r="B2113" s="1" t="s">
        <v>1913</v>
      </c>
      <c r="C2113" s="1" t="s">
        <v>645</v>
      </c>
      <c r="E2113" s="1">
        <v>1.4642656E8</v>
      </c>
      <c r="F2113" s="2">
        <v>41999.0</v>
      </c>
      <c r="G2113" s="1" t="s">
        <v>710</v>
      </c>
      <c r="I2113" s="1" t="s">
        <v>710</v>
      </c>
      <c r="L2113" s="1" t="s">
        <v>647</v>
      </c>
      <c r="M2113" s="1">
        <v>1200.0</v>
      </c>
      <c r="N2113" s="1" t="s">
        <v>647</v>
      </c>
      <c r="O2113" s="1">
        <v>4.2136734E7</v>
      </c>
      <c r="P2113" s="1" t="s">
        <v>557</v>
      </c>
      <c r="R2113" s="1" t="s">
        <v>558</v>
      </c>
      <c r="S2113" s="1" t="s">
        <v>44</v>
      </c>
      <c r="T2113" s="1" t="s">
        <v>45</v>
      </c>
      <c r="U2113" s="1">
        <v>4.82082204E8</v>
      </c>
      <c r="W2113" s="1" t="s">
        <v>44</v>
      </c>
      <c r="X2113" s="1" t="s">
        <v>45</v>
      </c>
      <c r="Y2113" s="1">
        <v>4.82082204E8</v>
      </c>
      <c r="AB2113" s="1">
        <v>44657.64</v>
      </c>
      <c r="AC2113" s="2">
        <v>41999.0</v>
      </c>
      <c r="AD2113" s="1">
        <v>1200.0</v>
      </c>
      <c r="AE2113" s="1" t="s">
        <v>647</v>
      </c>
      <c r="AF2113" s="1" t="s">
        <v>3822</v>
      </c>
      <c r="AG2113" s="1" t="s">
        <v>712</v>
      </c>
      <c r="AH2113" s="1">
        <v>1.0</v>
      </c>
      <c r="AI2113" s="1">
        <v>2015.0</v>
      </c>
      <c r="AJ2113" s="1">
        <v>2015.0</v>
      </c>
      <c r="AK2113" s="1" t="s">
        <v>713</v>
      </c>
    </row>
    <row r="2114">
      <c r="A2114" s="1" t="s">
        <v>1913</v>
      </c>
      <c r="B2114" s="1" t="s">
        <v>1913</v>
      </c>
      <c r="C2114" s="1" t="s">
        <v>645</v>
      </c>
      <c r="E2114" s="1">
        <v>1.4642656E8</v>
      </c>
      <c r="F2114" s="2">
        <v>41991.0</v>
      </c>
      <c r="G2114" s="1" t="s">
        <v>710</v>
      </c>
      <c r="I2114" s="1" t="s">
        <v>710</v>
      </c>
      <c r="L2114" s="1" t="s">
        <v>647</v>
      </c>
      <c r="M2114" s="1">
        <v>1200.0</v>
      </c>
      <c r="N2114" s="1" t="s">
        <v>647</v>
      </c>
      <c r="O2114" s="1">
        <v>1.01550176E8</v>
      </c>
      <c r="P2114" s="1" t="s">
        <v>719</v>
      </c>
      <c r="R2114" s="1" t="s">
        <v>720</v>
      </c>
      <c r="S2114" s="1" t="s">
        <v>44</v>
      </c>
      <c r="T2114" s="1" t="s">
        <v>45</v>
      </c>
      <c r="U2114" s="1">
        <v>4.82132731E8</v>
      </c>
      <c r="W2114" s="1" t="s">
        <v>44</v>
      </c>
      <c r="X2114" s="1" t="s">
        <v>45</v>
      </c>
      <c r="Y2114" s="1">
        <v>4.82132731E8</v>
      </c>
      <c r="Z2114" s="1">
        <v>1.01550176E8</v>
      </c>
      <c r="AA2114" s="1" t="s">
        <v>719</v>
      </c>
      <c r="AB2114" s="1">
        <v>43740.6</v>
      </c>
      <c r="AC2114" s="2">
        <v>41991.0</v>
      </c>
      <c r="AD2114" s="1">
        <v>1200.0</v>
      </c>
      <c r="AE2114" s="1" t="s">
        <v>647</v>
      </c>
      <c r="AF2114" s="1" t="s">
        <v>3823</v>
      </c>
      <c r="AG2114" s="1" t="s">
        <v>712</v>
      </c>
      <c r="AH2114" s="1">
        <v>1.0</v>
      </c>
      <c r="AI2114" s="1">
        <v>2015.0</v>
      </c>
      <c r="AJ2114" s="1">
        <v>2015.0</v>
      </c>
      <c r="AK2114" s="1" t="s">
        <v>713</v>
      </c>
    </row>
    <row r="2115">
      <c r="A2115" s="1" t="s">
        <v>1913</v>
      </c>
      <c r="B2115" s="1" t="s">
        <v>1913</v>
      </c>
      <c r="C2115" s="1" t="s">
        <v>645</v>
      </c>
      <c r="E2115" s="1">
        <v>1.4642656E8</v>
      </c>
      <c r="F2115" s="2">
        <v>41991.0</v>
      </c>
      <c r="G2115" s="1" t="s">
        <v>710</v>
      </c>
      <c r="I2115" s="1" t="s">
        <v>710</v>
      </c>
      <c r="L2115" s="1" t="s">
        <v>647</v>
      </c>
      <c r="M2115" s="1">
        <v>1200.0</v>
      </c>
      <c r="N2115" s="1" t="s">
        <v>647</v>
      </c>
      <c r="O2115" s="1">
        <v>1.6389763E8</v>
      </c>
      <c r="P2115" s="1" t="s">
        <v>843</v>
      </c>
      <c r="Q2115" s="1" t="s">
        <v>844</v>
      </c>
      <c r="R2115" s="1" t="s">
        <v>845</v>
      </c>
      <c r="S2115" s="1" t="s">
        <v>44</v>
      </c>
      <c r="T2115" s="1" t="s">
        <v>45</v>
      </c>
      <c r="U2115" s="1">
        <v>4.82383647E8</v>
      </c>
      <c r="W2115" s="1" t="s">
        <v>46</v>
      </c>
      <c r="X2115" s="1" t="s">
        <v>45</v>
      </c>
      <c r="Y2115" s="1">
        <v>4.82383647E8</v>
      </c>
      <c r="Z2115" s="1">
        <v>1.6389763E8</v>
      </c>
      <c r="AA2115" s="1" t="s">
        <v>843</v>
      </c>
      <c r="AB2115" s="1">
        <v>36679.32</v>
      </c>
      <c r="AC2115" s="2">
        <v>41991.0</v>
      </c>
      <c r="AD2115" s="1">
        <v>1200.0</v>
      </c>
      <c r="AE2115" s="1" t="s">
        <v>647</v>
      </c>
      <c r="AF2115" s="1" t="s">
        <v>3824</v>
      </c>
      <c r="AG2115" s="1" t="s">
        <v>712</v>
      </c>
      <c r="AH2115" s="1">
        <v>1.0</v>
      </c>
      <c r="AI2115" s="1">
        <v>2015.0</v>
      </c>
      <c r="AJ2115" s="1">
        <v>2015.0</v>
      </c>
      <c r="AK2115" s="1" t="s">
        <v>713</v>
      </c>
    </row>
    <row r="2116">
      <c r="A2116" s="1" t="s">
        <v>1913</v>
      </c>
      <c r="B2116" s="1" t="s">
        <v>1913</v>
      </c>
      <c r="C2116" s="1" t="s">
        <v>645</v>
      </c>
      <c r="E2116" s="1">
        <v>1.4642656E8</v>
      </c>
      <c r="F2116" s="2">
        <v>41977.0</v>
      </c>
      <c r="G2116" s="1" t="s">
        <v>710</v>
      </c>
      <c r="I2116" s="1" t="s">
        <v>710</v>
      </c>
      <c r="L2116" s="1" t="s">
        <v>647</v>
      </c>
      <c r="M2116" s="1">
        <v>1200.0</v>
      </c>
      <c r="N2116" s="1" t="s">
        <v>647</v>
      </c>
      <c r="O2116" s="1">
        <v>7.97527715E8</v>
      </c>
      <c r="P2116" s="1" t="s">
        <v>567</v>
      </c>
      <c r="R2116" s="1" t="s">
        <v>568</v>
      </c>
      <c r="S2116" s="1" t="s">
        <v>44</v>
      </c>
      <c r="T2116" s="1" t="s">
        <v>45</v>
      </c>
      <c r="U2116" s="1">
        <v>4.82123134E8</v>
      </c>
      <c r="W2116" s="1" t="s">
        <v>498</v>
      </c>
      <c r="X2116" s="1" t="s">
        <v>45</v>
      </c>
      <c r="Y2116" s="1">
        <v>4.82123134E8</v>
      </c>
      <c r="Z2116" s="1">
        <v>9.60742484E8</v>
      </c>
      <c r="AB2116" s="1">
        <v>49419.0</v>
      </c>
      <c r="AC2116" s="2">
        <v>41977.0</v>
      </c>
      <c r="AD2116" s="1">
        <v>1200.0</v>
      </c>
      <c r="AE2116" s="1" t="s">
        <v>647</v>
      </c>
      <c r="AF2116" s="1" t="s">
        <v>3825</v>
      </c>
      <c r="AG2116" s="1" t="s">
        <v>712</v>
      </c>
      <c r="AH2116" s="1">
        <v>1.0</v>
      </c>
      <c r="AI2116" s="1">
        <v>2015.0</v>
      </c>
      <c r="AJ2116" s="1">
        <v>2015.0</v>
      </c>
      <c r="AK2116" s="1" t="s">
        <v>713</v>
      </c>
    </row>
    <row r="2117">
      <c r="A2117" s="1" t="s">
        <v>3337</v>
      </c>
      <c r="B2117" s="1" t="s">
        <v>3337</v>
      </c>
      <c r="C2117" s="1" t="s">
        <v>194</v>
      </c>
      <c r="E2117" s="1">
        <v>3.9049236E7</v>
      </c>
      <c r="F2117" s="2">
        <v>41865.0</v>
      </c>
      <c r="G2117" s="1" t="s">
        <v>279</v>
      </c>
      <c r="I2117" s="1" t="s">
        <v>279</v>
      </c>
      <c r="L2117" s="1" t="s">
        <v>194</v>
      </c>
      <c r="M2117" s="1">
        <v>9100.0</v>
      </c>
      <c r="N2117" s="1" t="s">
        <v>194</v>
      </c>
      <c r="O2117" s="1">
        <v>1962224.0</v>
      </c>
      <c r="P2117" s="1" t="s">
        <v>52</v>
      </c>
      <c r="R2117" s="1" t="s">
        <v>53</v>
      </c>
      <c r="S2117" s="1" t="s">
        <v>44</v>
      </c>
      <c r="T2117" s="1" t="s">
        <v>45</v>
      </c>
      <c r="U2117" s="1">
        <v>4.82023692E8</v>
      </c>
      <c r="W2117" s="1" t="s">
        <v>44</v>
      </c>
      <c r="X2117" s="1" t="s">
        <v>45</v>
      </c>
      <c r="Y2117" s="1">
        <v>4.82023424E8</v>
      </c>
      <c r="Z2117" s="1">
        <v>1962224.0</v>
      </c>
      <c r="AA2117" s="1" t="s">
        <v>52</v>
      </c>
      <c r="AB2117" s="1">
        <v>2025000.0</v>
      </c>
      <c r="AC2117" s="2">
        <v>41865.0</v>
      </c>
      <c r="AD2117" s="1">
        <v>9100.0</v>
      </c>
      <c r="AE2117" s="1" t="s">
        <v>194</v>
      </c>
      <c r="AF2117" s="1" t="s">
        <v>3340</v>
      </c>
      <c r="AG2117" s="1" t="s">
        <v>284</v>
      </c>
      <c r="AH2117" s="1">
        <v>1.0</v>
      </c>
      <c r="AI2117" s="1">
        <v>2015.0</v>
      </c>
      <c r="AJ2117" s="1">
        <v>2014.0</v>
      </c>
      <c r="AK2117" s="1" t="s">
        <v>285</v>
      </c>
    </row>
    <row r="2118">
      <c r="A2118" s="1" t="s">
        <v>3337</v>
      </c>
      <c r="B2118" s="1" t="s">
        <v>3337</v>
      </c>
      <c r="C2118" s="1" t="s">
        <v>194</v>
      </c>
      <c r="E2118" s="1">
        <v>3.9049236E7</v>
      </c>
      <c r="F2118" s="2">
        <v>41884.0</v>
      </c>
      <c r="G2118" s="1" t="s">
        <v>279</v>
      </c>
      <c r="I2118" s="1" t="s">
        <v>279</v>
      </c>
      <c r="L2118" s="1" t="s">
        <v>194</v>
      </c>
      <c r="M2118" s="1">
        <v>9100.0</v>
      </c>
      <c r="N2118" s="1" t="s">
        <v>194</v>
      </c>
      <c r="O2118" s="1">
        <v>7.8359005E7</v>
      </c>
      <c r="P2118" s="1" t="s">
        <v>486</v>
      </c>
      <c r="R2118" s="1" t="s">
        <v>487</v>
      </c>
      <c r="S2118" s="1" t="s">
        <v>44</v>
      </c>
      <c r="T2118" s="1" t="s">
        <v>45</v>
      </c>
      <c r="U2118" s="1">
        <v>4.82011006E8</v>
      </c>
      <c r="W2118" s="1" t="s">
        <v>46</v>
      </c>
      <c r="X2118" s="1" t="s">
        <v>45</v>
      </c>
      <c r="Y2118" s="1">
        <v>4.82011006E8</v>
      </c>
      <c r="AB2118" s="1">
        <v>270000.0</v>
      </c>
      <c r="AC2118" s="2">
        <v>41884.0</v>
      </c>
      <c r="AD2118" s="1">
        <v>9100.0</v>
      </c>
      <c r="AE2118" s="1" t="s">
        <v>194</v>
      </c>
      <c r="AF2118" s="1" t="s">
        <v>3826</v>
      </c>
      <c r="AG2118" s="1" t="s">
        <v>3339</v>
      </c>
      <c r="AH2118" s="1">
        <v>1.0</v>
      </c>
      <c r="AI2118" s="1">
        <v>2015.0</v>
      </c>
      <c r="AJ2118" s="1">
        <v>2014.0</v>
      </c>
      <c r="AK2118" s="1" t="s">
        <v>285</v>
      </c>
    </row>
    <row r="2119">
      <c r="A2119" s="1" t="s">
        <v>3341</v>
      </c>
      <c r="B2119" s="1" t="s">
        <v>3341</v>
      </c>
      <c r="C2119" s="1" t="s">
        <v>194</v>
      </c>
      <c r="E2119" s="1">
        <v>1.1225251E7</v>
      </c>
      <c r="F2119" s="2">
        <v>41897.0</v>
      </c>
      <c r="G2119" s="1" t="s">
        <v>685</v>
      </c>
      <c r="I2119" s="1" t="s">
        <v>685</v>
      </c>
      <c r="L2119" s="1" t="s">
        <v>194</v>
      </c>
      <c r="M2119" s="1">
        <v>9100.0</v>
      </c>
      <c r="N2119" s="1" t="s">
        <v>194</v>
      </c>
      <c r="O2119" s="1">
        <v>3.9866801E7</v>
      </c>
      <c r="P2119" s="1" t="s">
        <v>612</v>
      </c>
      <c r="R2119" s="1" t="s">
        <v>613</v>
      </c>
      <c r="S2119" s="1" t="s">
        <v>44</v>
      </c>
      <c r="T2119" s="1" t="s">
        <v>45</v>
      </c>
      <c r="U2119" s="1">
        <v>4.8212E8</v>
      </c>
      <c r="W2119" s="1" t="s">
        <v>607</v>
      </c>
      <c r="X2119" s="1" t="s">
        <v>45</v>
      </c>
      <c r="Y2119" s="1">
        <v>4.82120012E8</v>
      </c>
      <c r="Z2119" s="1">
        <v>3.9866801E7</v>
      </c>
      <c r="AA2119" s="1" t="s">
        <v>612</v>
      </c>
      <c r="AB2119" s="1">
        <v>119476.0</v>
      </c>
      <c r="AC2119" s="2">
        <v>41897.0</v>
      </c>
      <c r="AD2119" s="1">
        <v>9100.0</v>
      </c>
      <c r="AE2119" s="1" t="s">
        <v>194</v>
      </c>
      <c r="AF2119" s="1" t="s">
        <v>3827</v>
      </c>
      <c r="AG2119" s="1" t="s">
        <v>3828</v>
      </c>
      <c r="AH2119" s="1">
        <v>1.0</v>
      </c>
      <c r="AI2119" s="1">
        <v>2015.0</v>
      </c>
      <c r="AJ2119" s="1">
        <v>2014.0</v>
      </c>
      <c r="AK2119" s="1" t="s">
        <v>688</v>
      </c>
    </row>
    <row r="2120">
      <c r="A2120" s="1" t="s">
        <v>3344</v>
      </c>
      <c r="B2120" s="1" t="s">
        <v>3344</v>
      </c>
      <c r="C2120" s="1" t="s">
        <v>194</v>
      </c>
      <c r="E2120" s="1">
        <v>8.9228048E7</v>
      </c>
      <c r="F2120" s="2">
        <v>41704.0</v>
      </c>
      <c r="G2120" s="1" t="s">
        <v>458</v>
      </c>
      <c r="I2120" s="1" t="s">
        <v>458</v>
      </c>
      <c r="L2120" s="1" t="s">
        <v>194</v>
      </c>
      <c r="M2120" s="1">
        <v>9100.0</v>
      </c>
      <c r="N2120" s="1" t="s">
        <v>194</v>
      </c>
      <c r="O2120" s="1">
        <v>1.47552186E8</v>
      </c>
      <c r="P2120" s="1" t="s">
        <v>822</v>
      </c>
      <c r="Q2120" s="1" t="s">
        <v>3829</v>
      </c>
      <c r="R2120" s="1" t="s">
        <v>823</v>
      </c>
      <c r="S2120" s="1" t="s">
        <v>44</v>
      </c>
      <c r="T2120" s="1" t="s">
        <v>45</v>
      </c>
      <c r="U2120" s="1">
        <v>4.82191857E8</v>
      </c>
      <c r="W2120" s="1" t="s">
        <v>44</v>
      </c>
      <c r="X2120" s="1" t="s">
        <v>45</v>
      </c>
      <c r="Y2120" s="1">
        <v>4.82191857E8</v>
      </c>
      <c r="Z2120" s="1">
        <v>2.1037981E7</v>
      </c>
      <c r="AA2120" s="1" t="s">
        <v>3830</v>
      </c>
      <c r="AB2120" s="1">
        <v>25074.0</v>
      </c>
      <c r="AC2120" s="2">
        <v>41704.0</v>
      </c>
      <c r="AD2120" s="1">
        <v>9100.0</v>
      </c>
      <c r="AE2120" s="1" t="s">
        <v>194</v>
      </c>
      <c r="AF2120" s="1" t="s">
        <v>3831</v>
      </c>
      <c r="AG2120" s="1" t="s">
        <v>463</v>
      </c>
      <c r="AH2120" s="1">
        <v>1.0</v>
      </c>
      <c r="AI2120" s="1">
        <v>2015.0</v>
      </c>
      <c r="AJ2120" s="1">
        <v>2014.0</v>
      </c>
      <c r="AK2120" s="1" t="s">
        <v>277</v>
      </c>
    </row>
    <row r="2121">
      <c r="A2121" s="1" t="s">
        <v>3344</v>
      </c>
      <c r="B2121" s="1" t="s">
        <v>3344</v>
      </c>
      <c r="C2121" s="1" t="s">
        <v>194</v>
      </c>
      <c r="E2121" s="1">
        <v>8.9228048E7</v>
      </c>
      <c r="F2121" s="2">
        <v>41710.0</v>
      </c>
      <c r="G2121" s="1" t="s">
        <v>458</v>
      </c>
      <c r="I2121" s="1" t="s">
        <v>458</v>
      </c>
      <c r="L2121" s="1" t="s">
        <v>194</v>
      </c>
      <c r="M2121" s="1">
        <v>9100.0</v>
      </c>
      <c r="N2121" s="1" t="s">
        <v>194</v>
      </c>
      <c r="O2121" s="1">
        <v>7.8634042E7</v>
      </c>
      <c r="P2121" s="1" t="s">
        <v>473</v>
      </c>
      <c r="R2121" s="1" t="s">
        <v>475</v>
      </c>
      <c r="S2121" s="1" t="s">
        <v>44</v>
      </c>
      <c r="T2121" s="1" t="s">
        <v>45</v>
      </c>
      <c r="U2121" s="1">
        <v>4.82133744E8</v>
      </c>
      <c r="W2121" s="1" t="s">
        <v>46</v>
      </c>
      <c r="X2121" s="1" t="s">
        <v>45</v>
      </c>
      <c r="Y2121" s="1">
        <v>4.82133744E8</v>
      </c>
      <c r="AB2121" s="1">
        <v>123995.0</v>
      </c>
      <c r="AC2121" s="2">
        <v>41710.0</v>
      </c>
      <c r="AD2121" s="1">
        <v>9100.0</v>
      </c>
      <c r="AE2121" s="1" t="s">
        <v>194</v>
      </c>
      <c r="AF2121" s="1" t="s">
        <v>3832</v>
      </c>
      <c r="AG2121" s="1" t="s">
        <v>3627</v>
      </c>
      <c r="AH2121" s="1">
        <v>1.0</v>
      </c>
      <c r="AI2121" s="1">
        <v>2015.0</v>
      </c>
      <c r="AJ2121" s="1">
        <v>2014.0</v>
      </c>
      <c r="AK2121" s="1" t="s">
        <v>277</v>
      </c>
    </row>
    <row r="2122">
      <c r="A2122" s="1" t="s">
        <v>3344</v>
      </c>
      <c r="B2122" s="1" t="s">
        <v>3344</v>
      </c>
      <c r="C2122" s="1" t="s">
        <v>194</v>
      </c>
      <c r="E2122" s="1">
        <v>8.9228048E7</v>
      </c>
      <c r="F2122" s="2">
        <v>41666.0</v>
      </c>
      <c r="G2122" s="1" t="s">
        <v>458</v>
      </c>
      <c r="I2122" s="1" t="s">
        <v>458</v>
      </c>
      <c r="L2122" s="1" t="s">
        <v>194</v>
      </c>
      <c r="M2122" s="1">
        <v>9100.0</v>
      </c>
      <c r="N2122" s="1" t="s">
        <v>194</v>
      </c>
      <c r="O2122" s="1">
        <v>7.93697942E8</v>
      </c>
      <c r="P2122" s="1" t="s">
        <v>459</v>
      </c>
      <c r="Q2122" s="1" t="s">
        <v>3833</v>
      </c>
      <c r="R2122" s="1" t="s">
        <v>460</v>
      </c>
      <c r="S2122" s="1" t="s">
        <v>44</v>
      </c>
      <c r="T2122" s="1" t="s">
        <v>45</v>
      </c>
      <c r="U2122" s="1">
        <v>4.82141601E8</v>
      </c>
      <c r="W2122" s="1" t="s">
        <v>44</v>
      </c>
      <c r="X2122" s="1" t="s">
        <v>45</v>
      </c>
      <c r="Y2122" s="1">
        <v>4.82141601E8</v>
      </c>
      <c r="Z2122" s="1">
        <v>7.6340843E7</v>
      </c>
      <c r="AA2122" s="1" t="s">
        <v>461</v>
      </c>
      <c r="AB2122" s="1">
        <v>44280.0</v>
      </c>
      <c r="AC2122" s="2">
        <v>41666.0</v>
      </c>
      <c r="AD2122" s="1">
        <v>9100.0</v>
      </c>
      <c r="AE2122" s="1" t="s">
        <v>194</v>
      </c>
      <c r="AF2122" s="1" t="s">
        <v>3834</v>
      </c>
      <c r="AG2122" s="1" t="s">
        <v>463</v>
      </c>
      <c r="AH2122" s="1">
        <v>1.0</v>
      </c>
      <c r="AI2122" s="1">
        <v>2015.0</v>
      </c>
      <c r="AJ2122" s="1">
        <v>2014.0</v>
      </c>
      <c r="AK2122" s="1" t="s">
        <v>277</v>
      </c>
    </row>
    <row r="2123">
      <c r="A2123" s="1" t="s">
        <v>3344</v>
      </c>
      <c r="B2123" s="1" t="s">
        <v>3344</v>
      </c>
      <c r="C2123" s="1" t="s">
        <v>194</v>
      </c>
      <c r="E2123" s="1">
        <v>8.9228048E7</v>
      </c>
      <c r="F2123" s="2">
        <v>41667.0</v>
      </c>
      <c r="G2123" s="1" t="s">
        <v>458</v>
      </c>
      <c r="I2123" s="1" t="s">
        <v>458</v>
      </c>
      <c r="L2123" s="1" t="s">
        <v>194</v>
      </c>
      <c r="M2123" s="1">
        <v>9100.0</v>
      </c>
      <c r="N2123" s="1" t="s">
        <v>194</v>
      </c>
      <c r="O2123" s="1">
        <v>1.52892667E8</v>
      </c>
      <c r="P2123" s="1" t="s">
        <v>638</v>
      </c>
      <c r="Q2123" s="1" t="s">
        <v>3835</v>
      </c>
      <c r="R2123" s="1" t="s">
        <v>639</v>
      </c>
      <c r="S2123" s="1" t="s">
        <v>44</v>
      </c>
      <c r="T2123" s="1" t="s">
        <v>45</v>
      </c>
      <c r="U2123" s="1">
        <v>4.82343358E8</v>
      </c>
      <c r="W2123" s="1" t="s">
        <v>44</v>
      </c>
      <c r="X2123" s="1" t="s">
        <v>45</v>
      </c>
      <c r="Y2123" s="1">
        <v>4.82343358E8</v>
      </c>
      <c r="Z2123" s="1">
        <v>5.2461282E7</v>
      </c>
      <c r="AA2123" s="1" t="s">
        <v>3836</v>
      </c>
      <c r="AB2123" s="1">
        <v>35248.0</v>
      </c>
      <c r="AC2123" s="2">
        <v>41667.0</v>
      </c>
      <c r="AD2123" s="1">
        <v>9100.0</v>
      </c>
      <c r="AE2123" s="1" t="s">
        <v>194</v>
      </c>
      <c r="AF2123" s="1" t="s">
        <v>3837</v>
      </c>
      <c r="AG2123" s="1" t="s">
        <v>463</v>
      </c>
      <c r="AH2123" s="1">
        <v>1.0</v>
      </c>
      <c r="AI2123" s="1">
        <v>2015.0</v>
      </c>
      <c r="AJ2123" s="1">
        <v>2014.0</v>
      </c>
      <c r="AK2123" s="1" t="s">
        <v>277</v>
      </c>
    </row>
    <row r="2124">
      <c r="A2124" s="1" t="s">
        <v>3344</v>
      </c>
      <c r="B2124" s="1" t="s">
        <v>3344</v>
      </c>
      <c r="C2124" s="1" t="s">
        <v>194</v>
      </c>
      <c r="E2124" s="1">
        <v>8.9228048E7</v>
      </c>
      <c r="F2124" s="2">
        <v>41625.0</v>
      </c>
      <c r="G2124" s="1" t="s">
        <v>458</v>
      </c>
      <c r="I2124" s="1" t="s">
        <v>458</v>
      </c>
      <c r="L2124" s="1" t="s">
        <v>194</v>
      </c>
      <c r="M2124" s="1">
        <v>9100.0</v>
      </c>
      <c r="N2124" s="1" t="s">
        <v>194</v>
      </c>
      <c r="O2124" s="1">
        <v>7.97531279E8</v>
      </c>
      <c r="P2124" s="1" t="s">
        <v>496</v>
      </c>
      <c r="R2124" s="1" t="s">
        <v>497</v>
      </c>
      <c r="S2124" s="1" t="s">
        <v>44</v>
      </c>
      <c r="T2124" s="1" t="s">
        <v>45</v>
      </c>
      <c r="U2124" s="1">
        <v>4.82123323E8</v>
      </c>
      <c r="W2124" s="1" t="s">
        <v>498</v>
      </c>
      <c r="X2124" s="1" t="s">
        <v>45</v>
      </c>
      <c r="Y2124" s="1">
        <v>4.82123323E8</v>
      </c>
      <c r="Z2124" s="1">
        <v>7.6359421E7</v>
      </c>
      <c r="AA2124" s="1" t="s">
        <v>3838</v>
      </c>
      <c r="AB2124" s="1">
        <v>83673.0</v>
      </c>
      <c r="AC2124" s="2">
        <v>41625.0</v>
      </c>
      <c r="AD2124" s="1">
        <v>9100.0</v>
      </c>
      <c r="AE2124" s="1" t="s">
        <v>194</v>
      </c>
      <c r="AF2124" s="1" t="s">
        <v>3839</v>
      </c>
      <c r="AG2124" s="1" t="s">
        <v>463</v>
      </c>
      <c r="AH2124" s="1">
        <v>1.0</v>
      </c>
      <c r="AI2124" s="1">
        <v>2015.0</v>
      </c>
      <c r="AJ2124" s="1">
        <v>2014.0</v>
      </c>
      <c r="AK2124" s="1" t="s">
        <v>277</v>
      </c>
    </row>
    <row r="2125">
      <c r="A2125" s="1" t="s">
        <v>3344</v>
      </c>
      <c r="B2125" s="1" t="s">
        <v>3344</v>
      </c>
      <c r="C2125" s="1" t="s">
        <v>194</v>
      </c>
      <c r="E2125" s="1">
        <v>8.9228048E7</v>
      </c>
      <c r="F2125" s="2">
        <v>41669.0</v>
      </c>
      <c r="G2125" s="1" t="s">
        <v>458</v>
      </c>
      <c r="I2125" s="1" t="s">
        <v>458</v>
      </c>
      <c r="L2125" s="1" t="s">
        <v>194</v>
      </c>
      <c r="M2125" s="1">
        <v>9100.0</v>
      </c>
      <c r="N2125" s="1" t="s">
        <v>194</v>
      </c>
      <c r="O2125" s="1">
        <v>9.48021373E8</v>
      </c>
      <c r="P2125" s="1" t="s">
        <v>501</v>
      </c>
      <c r="Q2125" s="1" t="s">
        <v>1690</v>
      </c>
      <c r="R2125" s="1" t="s">
        <v>502</v>
      </c>
      <c r="S2125" s="1" t="s">
        <v>44</v>
      </c>
      <c r="T2125" s="1" t="s">
        <v>45</v>
      </c>
      <c r="U2125" s="1">
        <v>4.82072901E8</v>
      </c>
      <c r="W2125" s="1" t="s">
        <v>44</v>
      </c>
      <c r="X2125" s="1" t="s">
        <v>45</v>
      </c>
      <c r="Y2125" s="1">
        <v>4.82072901E8</v>
      </c>
      <c r="Z2125" s="1">
        <v>7.6373687E7</v>
      </c>
      <c r="AA2125" s="1" t="s">
        <v>529</v>
      </c>
      <c r="AB2125" s="1">
        <v>34055.0</v>
      </c>
      <c r="AC2125" s="2">
        <v>41669.0</v>
      </c>
      <c r="AD2125" s="1">
        <v>9100.0</v>
      </c>
      <c r="AE2125" s="1" t="s">
        <v>194</v>
      </c>
      <c r="AF2125" s="1" t="s">
        <v>3840</v>
      </c>
      <c r="AG2125" s="1" t="s">
        <v>463</v>
      </c>
      <c r="AH2125" s="1">
        <v>1.0</v>
      </c>
      <c r="AI2125" s="1">
        <v>2015.0</v>
      </c>
      <c r="AJ2125" s="1">
        <v>2014.0</v>
      </c>
      <c r="AK2125" s="1" t="s">
        <v>277</v>
      </c>
    </row>
    <row r="2126">
      <c r="A2126" s="1" t="s">
        <v>3344</v>
      </c>
      <c r="B2126" s="1" t="s">
        <v>3344</v>
      </c>
      <c r="C2126" s="1" t="s">
        <v>194</v>
      </c>
      <c r="E2126" s="1">
        <v>8.9228048E7</v>
      </c>
      <c r="F2126" s="2">
        <v>41683.0</v>
      </c>
      <c r="G2126" s="1" t="s">
        <v>458</v>
      </c>
      <c r="I2126" s="1" t="s">
        <v>458</v>
      </c>
      <c r="L2126" s="1" t="s">
        <v>194</v>
      </c>
      <c r="M2126" s="1">
        <v>9100.0</v>
      </c>
      <c r="N2126" s="1" t="s">
        <v>194</v>
      </c>
      <c r="O2126" s="1">
        <v>7.97527715E8</v>
      </c>
      <c r="P2126" s="1" t="s">
        <v>567</v>
      </c>
      <c r="Q2126" s="1" t="s">
        <v>3357</v>
      </c>
      <c r="R2126" s="1" t="s">
        <v>568</v>
      </c>
      <c r="S2126" s="1" t="s">
        <v>44</v>
      </c>
      <c r="T2126" s="1" t="s">
        <v>45</v>
      </c>
      <c r="U2126" s="1">
        <v>4.82123134E8</v>
      </c>
      <c r="W2126" s="1" t="s">
        <v>498</v>
      </c>
      <c r="X2126" s="1" t="s">
        <v>45</v>
      </c>
      <c r="Y2126" s="1">
        <v>4.82123134E8</v>
      </c>
      <c r="Z2126" s="1">
        <v>9.60742484E8</v>
      </c>
      <c r="AB2126" s="1">
        <v>46158.0</v>
      </c>
      <c r="AC2126" s="2">
        <v>41683.0</v>
      </c>
      <c r="AD2126" s="1">
        <v>9100.0</v>
      </c>
      <c r="AE2126" s="1" t="s">
        <v>194</v>
      </c>
      <c r="AF2126" s="1" t="s">
        <v>3841</v>
      </c>
      <c r="AG2126" s="1" t="s">
        <v>463</v>
      </c>
      <c r="AH2126" s="1">
        <v>1.0</v>
      </c>
      <c r="AI2126" s="1">
        <v>2015.0</v>
      </c>
      <c r="AJ2126" s="1">
        <v>2014.0</v>
      </c>
      <c r="AK2126" s="1" t="s">
        <v>277</v>
      </c>
    </row>
    <row r="2127">
      <c r="A2127" s="1" t="s">
        <v>3344</v>
      </c>
      <c r="B2127" s="1" t="s">
        <v>3344</v>
      </c>
      <c r="C2127" s="1" t="s">
        <v>194</v>
      </c>
      <c r="E2127" s="1">
        <v>8.9228048E7</v>
      </c>
      <c r="F2127" s="2">
        <v>41682.0</v>
      </c>
      <c r="G2127" s="1" t="s">
        <v>458</v>
      </c>
      <c r="I2127" s="1" t="s">
        <v>458</v>
      </c>
      <c r="L2127" s="1" t="s">
        <v>194</v>
      </c>
      <c r="M2127" s="1">
        <v>9100.0</v>
      </c>
      <c r="N2127" s="1" t="s">
        <v>194</v>
      </c>
      <c r="O2127" s="1">
        <v>1.23577707E8</v>
      </c>
      <c r="P2127" s="1" t="s">
        <v>563</v>
      </c>
      <c r="Q2127" s="1" t="s">
        <v>1177</v>
      </c>
      <c r="R2127" s="1" t="s">
        <v>565</v>
      </c>
      <c r="S2127" s="1" t="s">
        <v>44</v>
      </c>
      <c r="T2127" s="1" t="s">
        <v>45</v>
      </c>
      <c r="U2127" s="1">
        <v>4.8228333E8</v>
      </c>
      <c r="W2127" s="1" t="s">
        <v>44</v>
      </c>
      <c r="X2127" s="1" t="s">
        <v>45</v>
      </c>
      <c r="Y2127" s="1">
        <v>4.82283396E8</v>
      </c>
      <c r="Z2127" s="1">
        <v>9.60742484E8</v>
      </c>
      <c r="AB2127" s="1">
        <v>35562.0</v>
      </c>
      <c r="AC2127" s="2">
        <v>41682.0</v>
      </c>
      <c r="AD2127" s="1">
        <v>9100.0</v>
      </c>
      <c r="AE2127" s="1" t="s">
        <v>194</v>
      </c>
      <c r="AF2127" s="1" t="s">
        <v>3842</v>
      </c>
      <c r="AG2127" s="1" t="s">
        <v>463</v>
      </c>
      <c r="AH2127" s="1">
        <v>1.0</v>
      </c>
      <c r="AI2127" s="1">
        <v>2015.0</v>
      </c>
      <c r="AJ2127" s="1">
        <v>2014.0</v>
      </c>
      <c r="AK2127" s="1" t="s">
        <v>277</v>
      </c>
    </row>
    <row r="2128">
      <c r="A2128" s="1" t="s">
        <v>3344</v>
      </c>
      <c r="B2128" s="1" t="s">
        <v>3344</v>
      </c>
      <c r="C2128" s="1" t="s">
        <v>194</v>
      </c>
      <c r="E2128" s="1">
        <v>8.9228048E7</v>
      </c>
      <c r="F2128" s="2">
        <v>41684.0</v>
      </c>
      <c r="G2128" s="1" t="s">
        <v>458</v>
      </c>
      <c r="I2128" s="1" t="s">
        <v>458</v>
      </c>
      <c r="L2128" s="1" t="s">
        <v>194</v>
      </c>
      <c r="M2128" s="1">
        <v>9100.0</v>
      </c>
      <c r="N2128" s="1" t="s">
        <v>194</v>
      </c>
      <c r="O2128" s="1">
        <v>8.31014068E8</v>
      </c>
      <c r="P2128" s="1" t="s">
        <v>515</v>
      </c>
      <c r="Q2128" s="1" t="s">
        <v>3558</v>
      </c>
      <c r="R2128" s="1" t="s">
        <v>516</v>
      </c>
      <c r="S2128" s="1" t="s">
        <v>44</v>
      </c>
      <c r="T2128" s="1" t="s">
        <v>45</v>
      </c>
      <c r="U2128" s="1">
        <v>4.82283685E8</v>
      </c>
      <c r="W2128" s="1" t="s">
        <v>46</v>
      </c>
      <c r="X2128" s="1" t="s">
        <v>45</v>
      </c>
      <c r="Y2128" s="1">
        <v>4.82283685E8</v>
      </c>
      <c r="Z2128" s="1">
        <v>9.60742484E8</v>
      </c>
      <c r="AB2128" s="1">
        <v>30439.0</v>
      </c>
      <c r="AC2128" s="2">
        <v>41684.0</v>
      </c>
      <c r="AD2128" s="1">
        <v>9100.0</v>
      </c>
      <c r="AE2128" s="1" t="s">
        <v>194</v>
      </c>
      <c r="AF2128" s="1" t="s">
        <v>3843</v>
      </c>
      <c r="AG2128" s="1" t="s">
        <v>463</v>
      </c>
      <c r="AH2128" s="1">
        <v>1.0</v>
      </c>
      <c r="AI2128" s="1">
        <v>2015.0</v>
      </c>
      <c r="AJ2128" s="1">
        <v>2014.0</v>
      </c>
      <c r="AK2128" s="1" t="s">
        <v>277</v>
      </c>
    </row>
    <row r="2129">
      <c r="A2129" s="1" t="s">
        <v>3344</v>
      </c>
      <c r="B2129" s="1" t="s">
        <v>3344</v>
      </c>
      <c r="C2129" s="1" t="s">
        <v>194</v>
      </c>
      <c r="E2129" s="1">
        <v>8.9228048E7</v>
      </c>
      <c r="F2129" s="2">
        <v>41716.0</v>
      </c>
      <c r="G2129" s="1" t="s">
        <v>458</v>
      </c>
      <c r="I2129" s="1" t="s">
        <v>458</v>
      </c>
      <c r="L2129" s="1" t="s">
        <v>194</v>
      </c>
      <c r="M2129" s="1">
        <v>9100.0</v>
      </c>
      <c r="N2129" s="1" t="s">
        <v>194</v>
      </c>
      <c r="O2129" s="1">
        <v>7.8346351E7</v>
      </c>
      <c r="P2129" s="1" t="s">
        <v>615</v>
      </c>
      <c r="Q2129" s="1" t="s">
        <v>1692</v>
      </c>
      <c r="R2129" s="1" t="s">
        <v>1708</v>
      </c>
      <c r="S2129" s="1" t="s">
        <v>44</v>
      </c>
      <c r="T2129" s="1" t="s">
        <v>45</v>
      </c>
      <c r="U2129" s="1">
        <v>4.82074457E8</v>
      </c>
      <c r="W2129" s="1" t="s">
        <v>46</v>
      </c>
      <c r="X2129" s="1" t="s">
        <v>45</v>
      </c>
      <c r="Y2129" s="1">
        <v>4.82023037E8</v>
      </c>
      <c r="Z2129" s="1">
        <v>7.4258047E7</v>
      </c>
      <c r="AA2129" s="1" t="s">
        <v>617</v>
      </c>
      <c r="AB2129" s="1">
        <v>2647180.0</v>
      </c>
      <c r="AC2129" s="2">
        <v>41716.0</v>
      </c>
      <c r="AD2129" s="1">
        <v>9100.0</v>
      </c>
      <c r="AE2129" s="1" t="s">
        <v>194</v>
      </c>
      <c r="AF2129" s="1" t="s">
        <v>3844</v>
      </c>
      <c r="AG2129" s="1" t="s">
        <v>463</v>
      </c>
      <c r="AH2129" s="1">
        <v>1.0</v>
      </c>
      <c r="AI2129" s="1">
        <v>2015.0</v>
      </c>
      <c r="AJ2129" s="1">
        <v>2014.0</v>
      </c>
      <c r="AK2129" s="1" t="s">
        <v>277</v>
      </c>
    </row>
    <row r="2130">
      <c r="A2130" s="1" t="s">
        <v>3344</v>
      </c>
      <c r="B2130" s="1" t="s">
        <v>3344</v>
      </c>
      <c r="C2130" s="1" t="s">
        <v>194</v>
      </c>
      <c r="E2130" s="1">
        <v>8.9228048E7</v>
      </c>
      <c r="F2130" s="2">
        <v>41757.0</v>
      </c>
      <c r="G2130" s="1" t="s">
        <v>458</v>
      </c>
      <c r="I2130" s="1" t="s">
        <v>458</v>
      </c>
      <c r="L2130" s="1" t="s">
        <v>194</v>
      </c>
      <c r="M2130" s="1">
        <v>9100.0</v>
      </c>
      <c r="N2130" s="1" t="s">
        <v>194</v>
      </c>
      <c r="O2130" s="1">
        <v>5.2874042E7</v>
      </c>
      <c r="P2130" s="1" t="s">
        <v>538</v>
      </c>
      <c r="Q2130" s="1" t="s">
        <v>3845</v>
      </c>
      <c r="R2130" s="1" t="s">
        <v>539</v>
      </c>
      <c r="S2130" s="1" t="s">
        <v>44</v>
      </c>
      <c r="T2130" s="1" t="s">
        <v>45</v>
      </c>
      <c r="U2130" s="1">
        <v>4.82091524E8</v>
      </c>
      <c r="W2130" s="1" t="s">
        <v>44</v>
      </c>
      <c r="X2130" s="1" t="s">
        <v>45</v>
      </c>
      <c r="Y2130" s="1">
        <v>4.82091524E8</v>
      </c>
      <c r="Z2130" s="1">
        <v>1.0867091E7</v>
      </c>
      <c r="AA2130" s="1" t="s">
        <v>3846</v>
      </c>
      <c r="AB2130" s="1">
        <v>329219.0</v>
      </c>
      <c r="AC2130" s="2">
        <v>41757.0</v>
      </c>
      <c r="AD2130" s="1">
        <v>9100.0</v>
      </c>
      <c r="AE2130" s="1" t="s">
        <v>194</v>
      </c>
      <c r="AF2130" s="1" t="s">
        <v>3847</v>
      </c>
      <c r="AG2130" s="1" t="s">
        <v>463</v>
      </c>
      <c r="AH2130" s="1">
        <v>1.0</v>
      </c>
      <c r="AI2130" s="1">
        <v>2015.0</v>
      </c>
      <c r="AJ2130" s="1">
        <v>2014.0</v>
      </c>
      <c r="AK2130" s="1" t="s">
        <v>277</v>
      </c>
    </row>
    <row r="2131">
      <c r="A2131" s="1" t="s">
        <v>3344</v>
      </c>
      <c r="B2131" s="1" t="s">
        <v>3344</v>
      </c>
      <c r="C2131" s="1" t="s">
        <v>194</v>
      </c>
      <c r="E2131" s="1">
        <v>8.9228048E7</v>
      </c>
      <c r="F2131" s="2">
        <v>41752.0</v>
      </c>
      <c r="G2131" s="1" t="s">
        <v>458</v>
      </c>
      <c r="I2131" s="1" t="s">
        <v>458</v>
      </c>
      <c r="L2131" s="1" t="s">
        <v>194</v>
      </c>
      <c r="M2131" s="1">
        <v>9100.0</v>
      </c>
      <c r="N2131" s="1" t="s">
        <v>194</v>
      </c>
      <c r="O2131" s="1">
        <v>7.8359653E7</v>
      </c>
      <c r="P2131" s="1" t="s">
        <v>469</v>
      </c>
      <c r="Q2131" s="1" t="s">
        <v>3848</v>
      </c>
      <c r="R2131" s="1" t="s">
        <v>470</v>
      </c>
      <c r="S2131" s="1" t="s">
        <v>44</v>
      </c>
      <c r="T2131" s="1" t="s">
        <v>45</v>
      </c>
      <c r="U2131" s="1">
        <v>4.82122462E8</v>
      </c>
      <c r="W2131" s="1" t="s">
        <v>46</v>
      </c>
      <c r="X2131" s="1" t="s">
        <v>45</v>
      </c>
      <c r="Y2131" s="1">
        <v>4.82122462E8</v>
      </c>
      <c r="Z2131" s="1">
        <v>8.8751011E7</v>
      </c>
      <c r="AA2131" s="1" t="s">
        <v>3849</v>
      </c>
      <c r="AB2131" s="1">
        <v>95960.0</v>
      </c>
      <c r="AC2131" s="2">
        <v>41752.0</v>
      </c>
      <c r="AD2131" s="1">
        <v>9100.0</v>
      </c>
      <c r="AE2131" s="1" t="s">
        <v>194</v>
      </c>
      <c r="AF2131" s="1" t="s">
        <v>3850</v>
      </c>
      <c r="AG2131" s="1" t="s">
        <v>463</v>
      </c>
      <c r="AH2131" s="1">
        <v>1.0</v>
      </c>
      <c r="AI2131" s="1">
        <v>2015.0</v>
      </c>
      <c r="AJ2131" s="1">
        <v>2014.0</v>
      </c>
      <c r="AK2131" s="1" t="s">
        <v>277</v>
      </c>
    </row>
    <row r="2132">
      <c r="A2132" s="1" t="s">
        <v>3344</v>
      </c>
      <c r="B2132" s="1" t="s">
        <v>3344</v>
      </c>
      <c r="C2132" s="1" t="s">
        <v>194</v>
      </c>
      <c r="E2132" s="1">
        <v>8.9228048E7</v>
      </c>
      <c r="F2132" s="2">
        <v>41752.0</v>
      </c>
      <c r="G2132" s="1" t="s">
        <v>458</v>
      </c>
      <c r="I2132" s="1" t="s">
        <v>458</v>
      </c>
      <c r="L2132" s="1" t="s">
        <v>194</v>
      </c>
      <c r="M2132" s="1">
        <v>9100.0</v>
      </c>
      <c r="N2132" s="1" t="s">
        <v>194</v>
      </c>
      <c r="O2132" s="1">
        <v>9.63121426E8</v>
      </c>
      <c r="P2132" s="1" t="s">
        <v>490</v>
      </c>
      <c r="Q2132" s="1" t="s">
        <v>3851</v>
      </c>
      <c r="R2132" s="1" t="s">
        <v>491</v>
      </c>
      <c r="S2132" s="1" t="s">
        <v>44</v>
      </c>
      <c r="T2132" s="1" t="s">
        <v>45</v>
      </c>
      <c r="U2132" s="1">
        <v>4.82233051E8</v>
      </c>
      <c r="W2132" s="1" t="s">
        <v>46</v>
      </c>
      <c r="X2132" s="1" t="s">
        <v>45</v>
      </c>
      <c r="Y2132" s="1">
        <v>4.82233051E8</v>
      </c>
      <c r="Z2132" s="1">
        <v>5.3108908E7</v>
      </c>
      <c r="AA2132" s="1" t="s">
        <v>3852</v>
      </c>
      <c r="AB2132" s="1">
        <v>62562.0</v>
      </c>
      <c r="AC2132" s="2">
        <v>41752.0</v>
      </c>
      <c r="AD2132" s="1">
        <v>9100.0</v>
      </c>
      <c r="AE2132" s="1" t="s">
        <v>194</v>
      </c>
      <c r="AF2132" s="1" t="s">
        <v>3853</v>
      </c>
      <c r="AG2132" s="1" t="s">
        <v>463</v>
      </c>
      <c r="AH2132" s="1">
        <v>1.0</v>
      </c>
      <c r="AI2132" s="1">
        <v>2015.0</v>
      </c>
      <c r="AJ2132" s="1">
        <v>2014.0</v>
      </c>
      <c r="AK2132" s="1" t="s">
        <v>277</v>
      </c>
    </row>
    <row r="2133">
      <c r="A2133" s="1" t="s">
        <v>3344</v>
      </c>
      <c r="B2133" s="1" t="s">
        <v>3344</v>
      </c>
      <c r="C2133" s="1" t="s">
        <v>194</v>
      </c>
      <c r="E2133" s="1">
        <v>8.9228048E7</v>
      </c>
      <c r="F2133" s="2">
        <v>41752.0</v>
      </c>
      <c r="G2133" s="1" t="s">
        <v>458</v>
      </c>
      <c r="I2133" s="1" t="s">
        <v>458</v>
      </c>
      <c r="L2133" s="1" t="s">
        <v>194</v>
      </c>
      <c r="M2133" s="1">
        <v>9100.0</v>
      </c>
      <c r="N2133" s="1" t="s">
        <v>194</v>
      </c>
      <c r="O2133" s="1">
        <v>7.8359005E7</v>
      </c>
      <c r="P2133" s="1" t="s">
        <v>486</v>
      </c>
      <c r="Q2133" s="1" t="s">
        <v>1644</v>
      </c>
      <c r="R2133" s="1" t="s">
        <v>487</v>
      </c>
      <c r="S2133" s="1" t="s">
        <v>44</v>
      </c>
      <c r="T2133" s="1" t="s">
        <v>45</v>
      </c>
      <c r="U2133" s="1">
        <v>4.82011006E8</v>
      </c>
      <c r="W2133" s="1" t="s">
        <v>46</v>
      </c>
      <c r="X2133" s="1" t="s">
        <v>45</v>
      </c>
      <c r="Y2133" s="1">
        <v>4.82011006E8</v>
      </c>
      <c r="Z2133" s="1">
        <v>5.1915775E7</v>
      </c>
      <c r="AA2133" s="1" t="s">
        <v>1645</v>
      </c>
      <c r="AB2133" s="1">
        <v>55624.0</v>
      </c>
      <c r="AC2133" s="2">
        <v>41752.0</v>
      </c>
      <c r="AD2133" s="1">
        <v>9100.0</v>
      </c>
      <c r="AE2133" s="1" t="s">
        <v>194</v>
      </c>
      <c r="AF2133" s="1" t="s">
        <v>3854</v>
      </c>
      <c r="AG2133" s="1" t="s">
        <v>463</v>
      </c>
      <c r="AH2133" s="1">
        <v>1.0</v>
      </c>
      <c r="AI2133" s="1">
        <v>2015.0</v>
      </c>
      <c r="AJ2133" s="1">
        <v>2014.0</v>
      </c>
      <c r="AK2133" s="1" t="s">
        <v>277</v>
      </c>
    </row>
    <row r="2134">
      <c r="A2134" s="1" t="s">
        <v>3369</v>
      </c>
      <c r="B2134" s="1" t="s">
        <v>3369</v>
      </c>
      <c r="C2134" s="1" t="s">
        <v>194</v>
      </c>
      <c r="E2134" s="1">
        <v>1.0181861E7</v>
      </c>
      <c r="F2134" s="2">
        <v>41619.0</v>
      </c>
      <c r="G2134" s="1" t="s">
        <v>685</v>
      </c>
      <c r="I2134" s="1" t="s">
        <v>685</v>
      </c>
      <c r="L2134" s="1" t="s">
        <v>194</v>
      </c>
      <c r="M2134" s="1">
        <v>9100.0</v>
      </c>
      <c r="N2134" s="1" t="s">
        <v>194</v>
      </c>
      <c r="O2134" s="1">
        <v>7.93697355E8</v>
      </c>
      <c r="P2134" s="1" t="s">
        <v>691</v>
      </c>
      <c r="Q2134" s="1" t="s">
        <v>1194</v>
      </c>
      <c r="R2134" s="1" t="s">
        <v>692</v>
      </c>
      <c r="S2134" s="1" t="s">
        <v>44</v>
      </c>
      <c r="T2134" s="1" t="s">
        <v>45</v>
      </c>
      <c r="U2134" s="1">
        <v>4.82111554E8</v>
      </c>
      <c r="W2134" s="1" t="s">
        <v>44</v>
      </c>
      <c r="X2134" s="1" t="s">
        <v>45</v>
      </c>
      <c r="Y2134" s="1">
        <v>4.82111552E8</v>
      </c>
      <c r="AB2134" s="1">
        <v>29437.0</v>
      </c>
      <c r="AC2134" s="2">
        <v>41619.0</v>
      </c>
      <c r="AD2134" s="1">
        <v>9100.0</v>
      </c>
      <c r="AE2134" s="1" t="s">
        <v>194</v>
      </c>
      <c r="AF2134" s="1" t="s">
        <v>3855</v>
      </c>
      <c r="AG2134" s="1" t="s">
        <v>3343</v>
      </c>
      <c r="AH2134" s="1">
        <v>1.0</v>
      </c>
      <c r="AI2134" s="1">
        <v>2015.0</v>
      </c>
      <c r="AJ2134" s="1">
        <v>2014.0</v>
      </c>
      <c r="AK2134" s="1" t="s">
        <v>688</v>
      </c>
    </row>
    <row r="2135">
      <c r="A2135" s="1" t="s">
        <v>3369</v>
      </c>
      <c r="B2135" s="1" t="s">
        <v>3369</v>
      </c>
      <c r="C2135" s="1" t="s">
        <v>194</v>
      </c>
      <c r="E2135" s="1">
        <v>1.0181861E7</v>
      </c>
      <c r="F2135" s="2">
        <v>41757.0</v>
      </c>
      <c r="G2135" s="1" t="s">
        <v>685</v>
      </c>
      <c r="I2135" s="1" t="s">
        <v>685</v>
      </c>
      <c r="L2135" s="1" t="s">
        <v>194</v>
      </c>
      <c r="M2135" s="1">
        <v>9100.0</v>
      </c>
      <c r="N2135" s="1" t="s">
        <v>194</v>
      </c>
      <c r="O2135" s="1">
        <v>5.2874042E7</v>
      </c>
      <c r="P2135" s="1" t="s">
        <v>538</v>
      </c>
      <c r="R2135" s="1" t="s">
        <v>539</v>
      </c>
      <c r="S2135" s="1" t="s">
        <v>44</v>
      </c>
      <c r="T2135" s="1" t="s">
        <v>45</v>
      </c>
      <c r="U2135" s="1">
        <v>4.82091524E8</v>
      </c>
      <c r="W2135" s="1" t="s">
        <v>44</v>
      </c>
      <c r="X2135" s="1" t="s">
        <v>45</v>
      </c>
      <c r="Y2135" s="1">
        <v>4.82091524E8</v>
      </c>
      <c r="AB2135" s="1">
        <v>203030.0</v>
      </c>
      <c r="AC2135" s="2">
        <v>41757.0</v>
      </c>
      <c r="AD2135" s="1">
        <v>9100.0</v>
      </c>
      <c r="AE2135" s="1" t="s">
        <v>194</v>
      </c>
      <c r="AF2135" s="1" t="s">
        <v>3856</v>
      </c>
      <c r="AG2135" s="1" t="s">
        <v>3343</v>
      </c>
      <c r="AH2135" s="1">
        <v>1.0</v>
      </c>
      <c r="AI2135" s="1">
        <v>2015.0</v>
      </c>
      <c r="AJ2135" s="1">
        <v>2014.0</v>
      </c>
      <c r="AK2135" s="1" t="s">
        <v>688</v>
      </c>
    </row>
    <row r="2136">
      <c r="A2136" s="1" t="s">
        <v>3369</v>
      </c>
      <c r="B2136" s="1" t="s">
        <v>3369</v>
      </c>
      <c r="C2136" s="1" t="s">
        <v>194</v>
      </c>
      <c r="E2136" s="1">
        <v>1.0181861E7</v>
      </c>
      <c r="F2136" s="2">
        <v>41752.0</v>
      </c>
      <c r="G2136" s="1" t="s">
        <v>685</v>
      </c>
      <c r="I2136" s="1" t="s">
        <v>685</v>
      </c>
      <c r="L2136" s="1" t="s">
        <v>194</v>
      </c>
      <c r="M2136" s="1">
        <v>9100.0</v>
      </c>
      <c r="N2136" s="1" t="s">
        <v>194</v>
      </c>
      <c r="O2136" s="1">
        <v>6.6707493E7</v>
      </c>
      <c r="P2136" s="1" t="s">
        <v>541</v>
      </c>
      <c r="R2136" s="1" t="s">
        <v>542</v>
      </c>
      <c r="S2136" s="1" t="s">
        <v>44</v>
      </c>
      <c r="T2136" s="1" t="s">
        <v>45</v>
      </c>
      <c r="U2136" s="1">
        <v>4.8210252E8</v>
      </c>
      <c r="W2136" s="1" t="s">
        <v>44</v>
      </c>
      <c r="X2136" s="1" t="s">
        <v>45</v>
      </c>
      <c r="Y2136" s="1">
        <v>4.8210252E8</v>
      </c>
      <c r="AB2136" s="1">
        <v>74138.0</v>
      </c>
      <c r="AC2136" s="2">
        <v>41752.0</v>
      </c>
      <c r="AD2136" s="1">
        <v>9100.0</v>
      </c>
      <c r="AE2136" s="1" t="s">
        <v>194</v>
      </c>
      <c r="AF2136" s="1" t="s">
        <v>3857</v>
      </c>
      <c r="AG2136" s="1" t="s">
        <v>3343</v>
      </c>
      <c r="AH2136" s="1">
        <v>1.0</v>
      </c>
      <c r="AI2136" s="1">
        <v>2015.0</v>
      </c>
      <c r="AJ2136" s="1">
        <v>2014.0</v>
      </c>
      <c r="AK2136" s="1" t="s">
        <v>688</v>
      </c>
    </row>
    <row r="2137">
      <c r="A2137" s="1" t="s">
        <v>3369</v>
      </c>
      <c r="B2137" s="1" t="s">
        <v>3369</v>
      </c>
      <c r="C2137" s="1" t="s">
        <v>194</v>
      </c>
      <c r="E2137" s="1">
        <v>1.0181861E7</v>
      </c>
      <c r="F2137" s="2">
        <v>41717.0</v>
      </c>
      <c r="G2137" s="1" t="s">
        <v>685</v>
      </c>
      <c r="I2137" s="1" t="s">
        <v>685</v>
      </c>
      <c r="L2137" s="1" t="s">
        <v>194</v>
      </c>
      <c r="M2137" s="1">
        <v>9100.0</v>
      </c>
      <c r="N2137" s="1" t="s">
        <v>194</v>
      </c>
      <c r="O2137" s="1">
        <v>3.9866801E7</v>
      </c>
      <c r="P2137" s="1" t="s">
        <v>612</v>
      </c>
      <c r="R2137" s="1" t="s">
        <v>613</v>
      </c>
      <c r="S2137" s="1" t="s">
        <v>44</v>
      </c>
      <c r="T2137" s="1" t="s">
        <v>45</v>
      </c>
      <c r="U2137" s="1">
        <v>4.8212E8</v>
      </c>
      <c r="W2137" s="1" t="s">
        <v>607</v>
      </c>
      <c r="X2137" s="1" t="s">
        <v>45</v>
      </c>
      <c r="Y2137" s="1">
        <v>4.82120012E8</v>
      </c>
      <c r="Z2137" s="1">
        <v>3.9866801E7</v>
      </c>
      <c r="AA2137" s="1" t="s">
        <v>612</v>
      </c>
      <c r="AB2137" s="1">
        <v>255519.0</v>
      </c>
      <c r="AC2137" s="2">
        <v>41717.0</v>
      </c>
      <c r="AD2137" s="1">
        <v>9100.0</v>
      </c>
      <c r="AE2137" s="1" t="s">
        <v>194</v>
      </c>
      <c r="AF2137" s="1" t="s">
        <v>3858</v>
      </c>
      <c r="AG2137" s="1" t="s">
        <v>3677</v>
      </c>
      <c r="AH2137" s="1">
        <v>1.0</v>
      </c>
      <c r="AI2137" s="1">
        <v>2015.0</v>
      </c>
      <c r="AJ2137" s="1">
        <v>2014.0</v>
      </c>
      <c r="AK2137" s="1" t="s">
        <v>688</v>
      </c>
    </row>
    <row r="2138">
      <c r="A2138" s="1" t="s">
        <v>3378</v>
      </c>
      <c r="B2138" s="1" t="s">
        <v>3378</v>
      </c>
      <c r="C2138" s="1" t="s">
        <v>194</v>
      </c>
      <c r="E2138" s="1">
        <v>1.3225274E7</v>
      </c>
      <c r="F2138" s="2">
        <v>41922.0</v>
      </c>
      <c r="G2138" s="1" t="s">
        <v>1228</v>
      </c>
      <c r="I2138" s="1" t="s">
        <v>1228</v>
      </c>
      <c r="L2138" s="1" t="s">
        <v>194</v>
      </c>
      <c r="M2138" s="1">
        <v>9100.0</v>
      </c>
      <c r="N2138" s="1" t="s">
        <v>194</v>
      </c>
      <c r="O2138" s="1">
        <v>6.07770427E8</v>
      </c>
      <c r="P2138" s="1" t="s">
        <v>1249</v>
      </c>
      <c r="R2138" s="1" t="s">
        <v>3859</v>
      </c>
      <c r="S2138" s="1" t="s">
        <v>44</v>
      </c>
      <c r="T2138" s="1" t="s">
        <v>45</v>
      </c>
      <c r="U2138" s="1">
        <v>4.82133812E8</v>
      </c>
      <c r="W2138" s="1" t="s">
        <v>44</v>
      </c>
      <c r="X2138" s="1" t="s">
        <v>45</v>
      </c>
      <c r="Y2138" s="1">
        <v>4.82242517E8</v>
      </c>
      <c r="AB2138" s="1">
        <v>340000.0</v>
      </c>
      <c r="AC2138" s="2">
        <v>41922.0</v>
      </c>
      <c r="AD2138" s="1">
        <v>9100.0</v>
      </c>
      <c r="AE2138" s="1" t="s">
        <v>194</v>
      </c>
      <c r="AF2138" s="1" t="s">
        <v>3860</v>
      </c>
      <c r="AG2138" s="1" t="s">
        <v>1232</v>
      </c>
      <c r="AH2138" s="1">
        <v>1.0</v>
      </c>
      <c r="AI2138" s="1">
        <v>2015.0</v>
      </c>
      <c r="AJ2138" s="1">
        <v>2015.0</v>
      </c>
      <c r="AK2138" s="1" t="s">
        <v>1233</v>
      </c>
    </row>
    <row r="2139">
      <c r="A2139" s="1" t="s">
        <v>3378</v>
      </c>
      <c r="B2139" s="1" t="s">
        <v>3378</v>
      </c>
      <c r="C2139" s="1" t="s">
        <v>194</v>
      </c>
      <c r="E2139" s="1">
        <v>1.3225274E7</v>
      </c>
      <c r="F2139" s="2">
        <v>41914.0</v>
      </c>
      <c r="G2139" s="1" t="s">
        <v>1228</v>
      </c>
      <c r="I2139" s="1" t="s">
        <v>1228</v>
      </c>
      <c r="L2139" s="1" t="s">
        <v>194</v>
      </c>
      <c r="M2139" s="1">
        <v>9100.0</v>
      </c>
      <c r="N2139" s="1" t="s">
        <v>194</v>
      </c>
      <c r="O2139" s="1">
        <v>6.2962068E7</v>
      </c>
      <c r="P2139" s="1" t="s">
        <v>1252</v>
      </c>
      <c r="R2139" s="1" t="s">
        <v>1253</v>
      </c>
      <c r="S2139" s="1" t="s">
        <v>44</v>
      </c>
      <c r="T2139" s="1" t="s">
        <v>45</v>
      </c>
      <c r="U2139" s="1">
        <v>4.82161917E8</v>
      </c>
      <c r="W2139" s="1" t="s">
        <v>44</v>
      </c>
      <c r="X2139" s="1" t="s">
        <v>45</v>
      </c>
      <c r="Y2139" s="1">
        <v>4.82161917E8</v>
      </c>
      <c r="AB2139" s="1">
        <v>60000.0</v>
      </c>
      <c r="AC2139" s="2">
        <v>41914.0</v>
      </c>
      <c r="AD2139" s="1">
        <v>9100.0</v>
      </c>
      <c r="AE2139" s="1" t="s">
        <v>194</v>
      </c>
      <c r="AF2139" s="1" t="s">
        <v>3861</v>
      </c>
      <c r="AG2139" s="1" t="s">
        <v>1232</v>
      </c>
      <c r="AH2139" s="1">
        <v>1.0</v>
      </c>
      <c r="AI2139" s="1">
        <v>2015.0</v>
      </c>
      <c r="AJ2139" s="1">
        <v>2015.0</v>
      </c>
      <c r="AK2139" s="1" t="s">
        <v>1233</v>
      </c>
    </row>
    <row r="2140">
      <c r="A2140" s="1" t="s">
        <v>3378</v>
      </c>
      <c r="B2140" s="1" t="s">
        <v>3378</v>
      </c>
      <c r="C2140" s="1" t="s">
        <v>194</v>
      </c>
      <c r="E2140" s="1">
        <v>1.3225274E7</v>
      </c>
      <c r="F2140" s="2">
        <v>41915.0</v>
      </c>
      <c r="G2140" s="1" t="s">
        <v>1228</v>
      </c>
      <c r="I2140" s="1" t="s">
        <v>1228</v>
      </c>
      <c r="L2140" s="1" t="s">
        <v>194</v>
      </c>
      <c r="M2140" s="1">
        <v>9100.0</v>
      </c>
      <c r="N2140" s="1" t="s">
        <v>194</v>
      </c>
      <c r="O2140" s="1">
        <v>7.6386556E7</v>
      </c>
      <c r="P2140" s="1" t="s">
        <v>1242</v>
      </c>
      <c r="R2140" s="1" t="s">
        <v>1243</v>
      </c>
      <c r="S2140" s="1" t="s">
        <v>44</v>
      </c>
      <c r="T2140" s="1" t="s">
        <v>45</v>
      </c>
      <c r="U2140" s="1">
        <v>4.8226301E8</v>
      </c>
      <c r="W2140" s="1" t="s">
        <v>44</v>
      </c>
      <c r="X2140" s="1" t="s">
        <v>45</v>
      </c>
      <c r="Y2140" s="1">
        <v>4.8226301E8</v>
      </c>
      <c r="Z2140" s="1">
        <v>7.6386556E7</v>
      </c>
      <c r="AA2140" s="1" t="s">
        <v>1242</v>
      </c>
      <c r="AB2140" s="1">
        <v>60000.0</v>
      </c>
      <c r="AC2140" s="2">
        <v>41915.0</v>
      </c>
      <c r="AD2140" s="1">
        <v>9100.0</v>
      </c>
      <c r="AE2140" s="1" t="s">
        <v>194</v>
      </c>
      <c r="AF2140" s="1" t="s">
        <v>3862</v>
      </c>
      <c r="AG2140" s="1" t="s">
        <v>1232</v>
      </c>
      <c r="AH2140" s="1">
        <v>1.0</v>
      </c>
      <c r="AI2140" s="1">
        <v>2015.0</v>
      </c>
      <c r="AJ2140" s="1">
        <v>2015.0</v>
      </c>
      <c r="AK2140" s="1" t="s">
        <v>1233</v>
      </c>
    </row>
    <row r="2141">
      <c r="A2141" s="1" t="s">
        <v>3397</v>
      </c>
      <c r="B2141" s="1" t="s">
        <v>3397</v>
      </c>
      <c r="C2141" s="1" t="s">
        <v>194</v>
      </c>
      <c r="E2141" s="1">
        <v>2.29266E7</v>
      </c>
      <c r="F2141" s="2">
        <v>41985.0</v>
      </c>
      <c r="G2141" s="1" t="s">
        <v>3398</v>
      </c>
      <c r="I2141" s="1" t="s">
        <v>3398</v>
      </c>
      <c r="L2141" s="1" t="s">
        <v>194</v>
      </c>
      <c r="M2141" s="1">
        <v>9100.0</v>
      </c>
      <c r="N2141" s="1" t="s">
        <v>194</v>
      </c>
      <c r="O2141" s="1">
        <v>7.8736952E7</v>
      </c>
      <c r="P2141" s="1" t="s">
        <v>3084</v>
      </c>
      <c r="R2141" s="1" t="s">
        <v>3085</v>
      </c>
      <c r="S2141" s="1" t="s">
        <v>44</v>
      </c>
      <c r="T2141" s="1" t="s">
        <v>45</v>
      </c>
      <c r="U2141" s="1">
        <v>4.82263485E8</v>
      </c>
      <c r="W2141" s="1" t="s">
        <v>3086</v>
      </c>
      <c r="X2141" s="1" t="s">
        <v>45</v>
      </c>
      <c r="Y2141" s="1">
        <v>4.81803356E8</v>
      </c>
      <c r="Z2141" s="1">
        <v>9434185.0</v>
      </c>
      <c r="AB2141" s="1">
        <v>67500.0</v>
      </c>
      <c r="AC2141" s="2">
        <v>41985.0</v>
      </c>
      <c r="AD2141" s="1">
        <v>9100.0</v>
      </c>
      <c r="AE2141" s="1" t="s">
        <v>194</v>
      </c>
      <c r="AF2141" s="1" t="s">
        <v>3863</v>
      </c>
      <c r="AG2141" s="1" t="s">
        <v>3402</v>
      </c>
      <c r="AH2141" s="1">
        <v>1.0</v>
      </c>
      <c r="AI2141" s="1">
        <v>2015.0</v>
      </c>
      <c r="AJ2141" s="1">
        <v>2015.0</v>
      </c>
      <c r="AK2141" s="1" t="s">
        <v>3403</v>
      </c>
    </row>
    <row r="2142">
      <c r="A2142" s="1" t="s">
        <v>3397</v>
      </c>
      <c r="B2142" s="1" t="s">
        <v>3397</v>
      </c>
      <c r="C2142" s="1" t="s">
        <v>194</v>
      </c>
      <c r="E2142" s="1">
        <v>2.29266E7</v>
      </c>
      <c r="F2142" s="2">
        <v>41338.0</v>
      </c>
      <c r="G2142" s="1" t="s">
        <v>3398</v>
      </c>
      <c r="I2142" s="1" t="s">
        <v>3398</v>
      </c>
      <c r="L2142" s="1" t="s">
        <v>194</v>
      </c>
      <c r="M2142" s="1">
        <v>9100.0</v>
      </c>
      <c r="N2142" s="1" t="s">
        <v>194</v>
      </c>
      <c r="O2142" s="1">
        <v>9.62104118E8</v>
      </c>
      <c r="P2142" s="1" t="s">
        <v>634</v>
      </c>
      <c r="R2142" s="1" t="s">
        <v>635</v>
      </c>
      <c r="S2142" s="1" t="s">
        <v>44</v>
      </c>
      <c r="T2142" s="1" t="s">
        <v>45</v>
      </c>
      <c r="U2142" s="1">
        <v>4.82351111E8</v>
      </c>
      <c r="W2142" s="1" t="s">
        <v>46</v>
      </c>
      <c r="X2142" s="1" t="s">
        <v>45</v>
      </c>
      <c r="Y2142" s="1">
        <v>4.82351111E8</v>
      </c>
      <c r="AB2142" s="1">
        <v>251655.0</v>
      </c>
      <c r="AC2142" s="2">
        <v>41338.0</v>
      </c>
      <c r="AD2142" s="1">
        <v>9100.0</v>
      </c>
      <c r="AE2142" s="1" t="s">
        <v>194</v>
      </c>
      <c r="AF2142" s="1" t="s">
        <v>3864</v>
      </c>
      <c r="AG2142" s="1" t="s">
        <v>3402</v>
      </c>
      <c r="AH2142" s="1">
        <v>1.0</v>
      </c>
      <c r="AI2142" s="1">
        <v>2015.0</v>
      </c>
      <c r="AJ2142" s="1">
        <v>2013.0</v>
      </c>
      <c r="AK2142" s="1" t="s">
        <v>3403</v>
      </c>
    </row>
    <row r="2143">
      <c r="A2143" s="1" t="s">
        <v>3397</v>
      </c>
      <c r="B2143" s="1" t="s">
        <v>3397</v>
      </c>
      <c r="C2143" s="1" t="s">
        <v>194</v>
      </c>
      <c r="E2143" s="1">
        <v>2.29266E7</v>
      </c>
      <c r="F2143" s="2">
        <v>41324.0</v>
      </c>
      <c r="G2143" s="1" t="s">
        <v>3398</v>
      </c>
      <c r="I2143" s="1" t="s">
        <v>3398</v>
      </c>
      <c r="L2143" s="1" t="s">
        <v>194</v>
      </c>
      <c r="M2143" s="1">
        <v>9100.0</v>
      </c>
      <c r="N2143" s="1" t="s">
        <v>194</v>
      </c>
      <c r="O2143" s="1">
        <v>1.91196877E8</v>
      </c>
      <c r="P2143" s="1" t="s">
        <v>3865</v>
      </c>
      <c r="R2143" s="1" t="s">
        <v>3866</v>
      </c>
      <c r="S2143" s="1" t="s">
        <v>44</v>
      </c>
      <c r="T2143" s="1" t="s">
        <v>45</v>
      </c>
      <c r="U2143" s="1">
        <v>4.82141271E8</v>
      </c>
      <c r="W2143" s="1" t="s">
        <v>46</v>
      </c>
      <c r="X2143" s="1" t="s">
        <v>45</v>
      </c>
      <c r="Y2143" s="1">
        <v>4.82141271E8</v>
      </c>
      <c r="AB2143" s="1">
        <v>106734.45</v>
      </c>
      <c r="AC2143" s="2">
        <v>41324.0</v>
      </c>
      <c r="AD2143" s="1">
        <v>9100.0</v>
      </c>
      <c r="AE2143" s="1" t="s">
        <v>194</v>
      </c>
      <c r="AF2143" s="1" t="s">
        <v>3867</v>
      </c>
      <c r="AG2143" s="1" t="s">
        <v>3402</v>
      </c>
      <c r="AH2143" s="1">
        <v>1.0</v>
      </c>
      <c r="AI2143" s="1">
        <v>2015.0</v>
      </c>
      <c r="AJ2143" s="1">
        <v>2013.0</v>
      </c>
      <c r="AK2143" s="1" t="s">
        <v>3403</v>
      </c>
    </row>
    <row r="2144">
      <c r="A2144" s="1" t="s">
        <v>3397</v>
      </c>
      <c r="B2144" s="1" t="s">
        <v>3397</v>
      </c>
      <c r="C2144" s="1" t="s">
        <v>194</v>
      </c>
      <c r="E2144" s="1">
        <v>2.29266E7</v>
      </c>
      <c r="F2144" s="2">
        <v>41815.0</v>
      </c>
      <c r="G2144" s="1" t="s">
        <v>3398</v>
      </c>
      <c r="I2144" s="1" t="s">
        <v>3398</v>
      </c>
      <c r="L2144" s="1" t="s">
        <v>194</v>
      </c>
      <c r="M2144" s="1">
        <v>9100.0</v>
      </c>
      <c r="N2144" s="1" t="s">
        <v>194</v>
      </c>
      <c r="O2144" s="1">
        <v>7.8783274E7</v>
      </c>
      <c r="P2144" s="1" t="s">
        <v>3868</v>
      </c>
      <c r="R2144" s="1" t="s">
        <v>3869</v>
      </c>
      <c r="S2144" s="1" t="s">
        <v>44</v>
      </c>
      <c r="T2144" s="1" t="s">
        <v>45</v>
      </c>
      <c r="U2144" s="1">
        <v>4.82262239E8</v>
      </c>
      <c r="W2144" s="1" t="s">
        <v>3870</v>
      </c>
      <c r="X2144" s="1" t="s">
        <v>45</v>
      </c>
      <c r="Y2144" s="1">
        <v>4.88644537E8</v>
      </c>
      <c r="AB2144" s="1">
        <v>106614.52</v>
      </c>
      <c r="AC2144" s="2">
        <v>41815.0</v>
      </c>
      <c r="AD2144" s="1">
        <v>9100.0</v>
      </c>
      <c r="AE2144" s="1" t="s">
        <v>194</v>
      </c>
      <c r="AF2144" s="1" t="s">
        <v>3871</v>
      </c>
      <c r="AG2144" s="1" t="s">
        <v>3402</v>
      </c>
      <c r="AH2144" s="1">
        <v>1.0</v>
      </c>
      <c r="AI2144" s="1">
        <v>2015.0</v>
      </c>
      <c r="AJ2144" s="1">
        <v>2014.0</v>
      </c>
      <c r="AK2144" s="1" t="s">
        <v>3403</v>
      </c>
    </row>
    <row r="2145">
      <c r="A2145" s="1" t="s">
        <v>3397</v>
      </c>
      <c r="B2145" s="1" t="s">
        <v>3397</v>
      </c>
      <c r="C2145" s="1" t="s">
        <v>194</v>
      </c>
      <c r="E2145" s="1">
        <v>2.29266E7</v>
      </c>
      <c r="F2145" s="2">
        <v>41374.0</v>
      </c>
      <c r="G2145" s="1" t="s">
        <v>3398</v>
      </c>
      <c r="I2145" s="1" t="s">
        <v>3398</v>
      </c>
      <c r="L2145" s="1" t="s">
        <v>194</v>
      </c>
      <c r="M2145" s="1">
        <v>9100.0</v>
      </c>
      <c r="N2145" s="1" t="s">
        <v>194</v>
      </c>
      <c r="O2145" s="1">
        <v>7.877691E7</v>
      </c>
      <c r="P2145" s="1" t="s">
        <v>3405</v>
      </c>
      <c r="R2145" s="1" t="s">
        <v>3406</v>
      </c>
      <c r="S2145" s="1" t="s">
        <v>44</v>
      </c>
      <c r="T2145" s="1" t="s">
        <v>45</v>
      </c>
      <c r="U2145" s="1">
        <v>4.8212302E8</v>
      </c>
      <c r="W2145" s="1" t="s">
        <v>3872</v>
      </c>
      <c r="X2145" s="1" t="s">
        <v>45</v>
      </c>
      <c r="Y2145" s="1">
        <v>4.83902286E8</v>
      </c>
      <c r="AB2145" s="1">
        <v>110000.0</v>
      </c>
      <c r="AC2145" s="2">
        <v>41374.0</v>
      </c>
      <c r="AD2145" s="1">
        <v>9100.0</v>
      </c>
      <c r="AE2145" s="1" t="s">
        <v>194</v>
      </c>
      <c r="AF2145" s="1" t="s">
        <v>3873</v>
      </c>
      <c r="AG2145" s="1" t="s">
        <v>3402</v>
      </c>
      <c r="AH2145" s="1">
        <v>1.0</v>
      </c>
      <c r="AI2145" s="1">
        <v>2015.0</v>
      </c>
      <c r="AJ2145" s="1">
        <v>2013.0</v>
      </c>
      <c r="AK2145" s="1" t="s">
        <v>3403</v>
      </c>
    </row>
    <row r="2146">
      <c r="A2146" s="1" t="s">
        <v>3397</v>
      </c>
      <c r="B2146" s="1" t="s">
        <v>3397</v>
      </c>
      <c r="C2146" s="1" t="s">
        <v>194</v>
      </c>
      <c r="E2146" s="1">
        <v>2.29266E7</v>
      </c>
      <c r="F2146" s="2">
        <v>41429.0</v>
      </c>
      <c r="G2146" s="1" t="s">
        <v>3398</v>
      </c>
      <c r="I2146" s="1" t="s">
        <v>3398</v>
      </c>
      <c r="L2146" s="1" t="s">
        <v>194</v>
      </c>
      <c r="M2146" s="1">
        <v>9100.0</v>
      </c>
      <c r="N2146" s="1" t="s">
        <v>194</v>
      </c>
      <c r="O2146" s="1">
        <v>7.8359005E7</v>
      </c>
      <c r="P2146" s="1" t="s">
        <v>486</v>
      </c>
      <c r="R2146" s="1" t="s">
        <v>487</v>
      </c>
      <c r="S2146" s="1" t="s">
        <v>44</v>
      </c>
      <c r="T2146" s="1" t="s">
        <v>45</v>
      </c>
      <c r="U2146" s="1">
        <v>4.82011006E8</v>
      </c>
      <c r="W2146" s="1" t="s">
        <v>46</v>
      </c>
      <c r="X2146" s="1" t="s">
        <v>45</v>
      </c>
      <c r="Y2146" s="1">
        <v>4.82011006E8</v>
      </c>
      <c r="AB2146" s="1">
        <v>250000.0</v>
      </c>
      <c r="AC2146" s="2">
        <v>41429.0</v>
      </c>
      <c r="AD2146" s="1">
        <v>9100.0</v>
      </c>
      <c r="AE2146" s="1" t="s">
        <v>194</v>
      </c>
      <c r="AF2146" s="1" t="s">
        <v>3874</v>
      </c>
      <c r="AG2146" s="1" t="s">
        <v>3402</v>
      </c>
      <c r="AH2146" s="1">
        <v>1.0</v>
      </c>
      <c r="AI2146" s="1">
        <v>2015.0</v>
      </c>
      <c r="AJ2146" s="1">
        <v>2013.0</v>
      </c>
      <c r="AK2146" s="1" t="s">
        <v>3403</v>
      </c>
    </row>
    <row r="2147">
      <c r="A2147" s="1" t="s">
        <v>3397</v>
      </c>
      <c r="B2147" s="1" t="s">
        <v>3397</v>
      </c>
      <c r="C2147" s="1" t="s">
        <v>194</v>
      </c>
      <c r="E2147" s="1">
        <v>2.29266E7</v>
      </c>
      <c r="F2147" s="2">
        <v>41674.0</v>
      </c>
      <c r="G2147" s="1" t="s">
        <v>3398</v>
      </c>
      <c r="I2147" s="1" t="s">
        <v>3398</v>
      </c>
      <c r="L2147" s="1" t="s">
        <v>194</v>
      </c>
      <c r="M2147" s="1">
        <v>9100.0</v>
      </c>
      <c r="N2147" s="1" t="s">
        <v>194</v>
      </c>
      <c r="O2147" s="1">
        <v>7.8568012E7</v>
      </c>
      <c r="P2147" s="1" t="s">
        <v>3875</v>
      </c>
      <c r="R2147" s="1" t="s">
        <v>3876</v>
      </c>
      <c r="S2147" s="1" t="s">
        <v>44</v>
      </c>
      <c r="T2147" s="1" t="s">
        <v>45</v>
      </c>
      <c r="U2147" s="1">
        <v>4.8238217E8</v>
      </c>
      <c r="W2147" s="1" t="s">
        <v>46</v>
      </c>
      <c r="X2147" s="1" t="s">
        <v>45</v>
      </c>
      <c r="Y2147" s="1">
        <v>4.8238217E8</v>
      </c>
      <c r="AB2147" s="1">
        <v>99950.0</v>
      </c>
      <c r="AC2147" s="2">
        <v>41674.0</v>
      </c>
      <c r="AD2147" s="1">
        <v>9100.0</v>
      </c>
      <c r="AE2147" s="1" t="s">
        <v>194</v>
      </c>
      <c r="AF2147" s="1" t="s">
        <v>3877</v>
      </c>
      <c r="AG2147" s="1" t="s">
        <v>3402</v>
      </c>
      <c r="AH2147" s="1">
        <v>1.0</v>
      </c>
      <c r="AI2147" s="1">
        <v>2015.0</v>
      </c>
      <c r="AJ2147" s="1">
        <v>2014.0</v>
      </c>
      <c r="AK2147" s="1" t="s">
        <v>3403</v>
      </c>
    </row>
    <row r="2148">
      <c r="A2148" s="1" t="s">
        <v>3413</v>
      </c>
      <c r="B2148" s="1" t="s">
        <v>3413</v>
      </c>
      <c r="C2148" s="1" t="s">
        <v>194</v>
      </c>
      <c r="E2148" s="1">
        <v>5.21188032E8</v>
      </c>
      <c r="F2148" s="2">
        <v>41976.0</v>
      </c>
      <c r="G2148" s="1" t="s">
        <v>1168</v>
      </c>
      <c r="I2148" s="1" t="s">
        <v>1168</v>
      </c>
      <c r="L2148" s="1" t="s">
        <v>194</v>
      </c>
      <c r="M2148" s="1">
        <v>9100.0</v>
      </c>
      <c r="N2148" s="1" t="s">
        <v>194</v>
      </c>
      <c r="O2148" s="1">
        <v>8.01081899E8</v>
      </c>
      <c r="P2148" s="1" t="s">
        <v>280</v>
      </c>
      <c r="R2148" s="1" t="s">
        <v>281</v>
      </c>
      <c r="S2148" s="1" t="s">
        <v>44</v>
      </c>
      <c r="T2148" s="1" t="s">
        <v>45</v>
      </c>
      <c r="U2148" s="1">
        <v>4.82033277E8</v>
      </c>
      <c r="W2148" s="1" t="s">
        <v>282</v>
      </c>
      <c r="X2148" s="1" t="s">
        <v>45</v>
      </c>
      <c r="Y2148" s="1">
        <v>4.82202899E8</v>
      </c>
      <c r="Z2148" s="1">
        <v>6.9828267E7</v>
      </c>
      <c r="AA2148" s="1" t="s">
        <v>624</v>
      </c>
      <c r="AB2148" s="1">
        <v>183731.0</v>
      </c>
      <c r="AC2148" s="2">
        <v>41976.0</v>
      </c>
      <c r="AD2148" s="1">
        <v>9100.0</v>
      </c>
      <c r="AE2148" s="1" t="s">
        <v>194</v>
      </c>
      <c r="AF2148" s="1" t="s">
        <v>3878</v>
      </c>
      <c r="AG2148" s="1" t="s">
        <v>1170</v>
      </c>
      <c r="AH2148" s="1">
        <v>1.0</v>
      </c>
      <c r="AI2148" s="1">
        <v>2015.0</v>
      </c>
      <c r="AJ2148" s="1">
        <v>2015.0</v>
      </c>
      <c r="AK2148" s="1" t="s">
        <v>1171</v>
      </c>
    </row>
    <row r="2149">
      <c r="A2149" s="1" t="s">
        <v>3413</v>
      </c>
      <c r="B2149" s="1" t="s">
        <v>3413</v>
      </c>
      <c r="C2149" s="1" t="s">
        <v>194</v>
      </c>
      <c r="E2149" s="1">
        <v>5.21188032E8</v>
      </c>
      <c r="F2149" s="2">
        <v>41886.0</v>
      </c>
      <c r="G2149" s="1" t="s">
        <v>1168</v>
      </c>
      <c r="I2149" s="1" t="s">
        <v>1168</v>
      </c>
      <c r="L2149" s="1" t="s">
        <v>194</v>
      </c>
      <c r="M2149" s="1">
        <v>9100.0</v>
      </c>
      <c r="N2149" s="1" t="s">
        <v>194</v>
      </c>
      <c r="O2149" s="1">
        <v>2.496865E7</v>
      </c>
      <c r="P2149" s="1" t="s">
        <v>609</v>
      </c>
      <c r="R2149" s="1" t="s">
        <v>610</v>
      </c>
      <c r="S2149" s="1" t="s">
        <v>44</v>
      </c>
      <c r="T2149" s="1" t="s">
        <v>45</v>
      </c>
      <c r="U2149" s="1">
        <v>4.8235168E8</v>
      </c>
      <c r="W2149" s="1" t="s">
        <v>46</v>
      </c>
      <c r="X2149" s="1" t="s">
        <v>45</v>
      </c>
      <c r="Y2149" s="1">
        <v>4.8235168E8</v>
      </c>
      <c r="AB2149" s="1">
        <v>155386.0</v>
      </c>
      <c r="AC2149" s="2">
        <v>41886.0</v>
      </c>
      <c r="AD2149" s="1">
        <v>9100.0</v>
      </c>
      <c r="AE2149" s="1" t="s">
        <v>194</v>
      </c>
      <c r="AF2149" s="1" t="s">
        <v>3707</v>
      </c>
      <c r="AG2149" s="1" t="s">
        <v>3000</v>
      </c>
      <c r="AH2149" s="1">
        <v>1.0</v>
      </c>
      <c r="AI2149" s="1">
        <v>2015.0</v>
      </c>
      <c r="AJ2149" s="1">
        <v>2014.0</v>
      </c>
      <c r="AK2149" s="1" t="s">
        <v>1171</v>
      </c>
    </row>
    <row r="2150">
      <c r="A2150" s="1" t="s">
        <v>3413</v>
      </c>
      <c r="B2150" s="1" t="s">
        <v>3413</v>
      </c>
      <c r="C2150" s="1" t="s">
        <v>194</v>
      </c>
      <c r="E2150" s="1">
        <v>5.21188032E8</v>
      </c>
      <c r="F2150" s="2">
        <v>41949.0</v>
      </c>
      <c r="G2150" s="1" t="s">
        <v>1168</v>
      </c>
      <c r="I2150" s="1" t="s">
        <v>1168</v>
      </c>
      <c r="L2150" s="1" t="s">
        <v>194</v>
      </c>
      <c r="M2150" s="1">
        <v>9100.0</v>
      </c>
      <c r="N2150" s="1" t="s">
        <v>194</v>
      </c>
      <c r="O2150" s="1">
        <v>9.62949843E8</v>
      </c>
      <c r="P2150" s="1" t="s">
        <v>619</v>
      </c>
      <c r="R2150" s="1" t="s">
        <v>620</v>
      </c>
      <c r="S2150" s="1" t="s">
        <v>44</v>
      </c>
      <c r="T2150" s="1" t="s">
        <v>45</v>
      </c>
      <c r="U2150" s="1">
        <v>4.82042306E8</v>
      </c>
      <c r="W2150" s="1" t="s">
        <v>44</v>
      </c>
      <c r="X2150" s="1" t="s">
        <v>45</v>
      </c>
      <c r="Y2150" s="1">
        <v>4.82042306E8</v>
      </c>
      <c r="Z2150" s="1">
        <v>8.9966642E7</v>
      </c>
      <c r="AA2150" s="1" t="s">
        <v>3528</v>
      </c>
      <c r="AB2150" s="1">
        <v>742561.0</v>
      </c>
      <c r="AC2150" s="2">
        <v>41949.0</v>
      </c>
      <c r="AD2150" s="1">
        <v>9100.0</v>
      </c>
      <c r="AE2150" s="1" t="s">
        <v>194</v>
      </c>
      <c r="AF2150" s="1" t="s">
        <v>3879</v>
      </c>
      <c r="AG2150" s="1" t="s">
        <v>1170</v>
      </c>
      <c r="AH2150" s="1">
        <v>1.0</v>
      </c>
      <c r="AI2150" s="1">
        <v>2015.0</v>
      </c>
      <c r="AJ2150" s="1">
        <v>2015.0</v>
      </c>
      <c r="AK2150" s="1" t="s">
        <v>1171</v>
      </c>
    </row>
    <row r="2151">
      <c r="A2151" s="1" t="s">
        <v>3413</v>
      </c>
      <c r="B2151" s="1" t="s">
        <v>3413</v>
      </c>
      <c r="C2151" s="1" t="s">
        <v>194</v>
      </c>
      <c r="E2151" s="1">
        <v>5.21188032E8</v>
      </c>
      <c r="F2151" s="2">
        <v>41960.0</v>
      </c>
      <c r="G2151" s="1" t="s">
        <v>1168</v>
      </c>
      <c r="I2151" s="1" t="s">
        <v>1168</v>
      </c>
      <c r="L2151" s="1" t="s">
        <v>194</v>
      </c>
      <c r="M2151" s="1">
        <v>9100.0</v>
      </c>
      <c r="N2151" s="1" t="s">
        <v>194</v>
      </c>
      <c r="O2151" s="1">
        <v>3.1613877E7</v>
      </c>
      <c r="P2151" s="1" t="s">
        <v>2626</v>
      </c>
      <c r="R2151" s="1" t="s">
        <v>2627</v>
      </c>
      <c r="S2151" s="1" t="s">
        <v>44</v>
      </c>
      <c r="T2151" s="1" t="s">
        <v>45</v>
      </c>
      <c r="U2151" s="1">
        <v>4.82111081E8</v>
      </c>
      <c r="W2151" s="1" t="s">
        <v>44</v>
      </c>
      <c r="X2151" s="1" t="s">
        <v>45</v>
      </c>
      <c r="Y2151" s="1">
        <v>4.82111081E8</v>
      </c>
      <c r="Z2151" s="1">
        <v>9.1615955E7</v>
      </c>
      <c r="AA2151" s="1" t="s">
        <v>3880</v>
      </c>
      <c r="AB2151" s="1">
        <v>222355.0</v>
      </c>
      <c r="AC2151" s="2">
        <v>41960.0</v>
      </c>
      <c r="AD2151" s="1">
        <v>9100.0</v>
      </c>
      <c r="AE2151" s="1" t="s">
        <v>194</v>
      </c>
      <c r="AF2151" s="1" t="s">
        <v>3881</v>
      </c>
      <c r="AG2151" s="1" t="s">
        <v>1170</v>
      </c>
      <c r="AH2151" s="1">
        <v>1.0</v>
      </c>
      <c r="AI2151" s="1">
        <v>2015.0</v>
      </c>
      <c r="AJ2151" s="1">
        <v>2015.0</v>
      </c>
      <c r="AK2151" s="1" t="s">
        <v>1171</v>
      </c>
    </row>
    <row r="2152">
      <c r="A2152" s="1" t="s">
        <v>3413</v>
      </c>
      <c r="B2152" s="1" t="s">
        <v>3413</v>
      </c>
      <c r="C2152" s="1" t="s">
        <v>194</v>
      </c>
      <c r="E2152" s="1">
        <v>5.21188032E8</v>
      </c>
      <c r="F2152" s="2">
        <v>41948.0</v>
      </c>
      <c r="G2152" s="1" t="s">
        <v>1168</v>
      </c>
      <c r="I2152" s="1" t="s">
        <v>1168</v>
      </c>
      <c r="L2152" s="1" t="s">
        <v>194</v>
      </c>
      <c r="M2152" s="1">
        <v>9100.0</v>
      </c>
      <c r="N2152" s="1" t="s">
        <v>194</v>
      </c>
      <c r="O2152" s="1">
        <v>7.6340843E7</v>
      </c>
      <c r="P2152" s="1" t="s">
        <v>461</v>
      </c>
      <c r="Q2152" s="1" t="s">
        <v>3882</v>
      </c>
      <c r="R2152" s="1" t="s">
        <v>1599</v>
      </c>
      <c r="S2152" s="1" t="s">
        <v>44</v>
      </c>
      <c r="T2152" s="1" t="s">
        <v>45</v>
      </c>
      <c r="U2152" s="1">
        <v>4.8202301E8</v>
      </c>
      <c r="W2152" s="1" t="s">
        <v>44</v>
      </c>
      <c r="X2152" s="1" t="s">
        <v>45</v>
      </c>
      <c r="Y2152" s="1">
        <v>4.82023096E8</v>
      </c>
      <c r="Z2152" s="1">
        <v>7.6340843E7</v>
      </c>
      <c r="AA2152" s="1" t="s">
        <v>461</v>
      </c>
      <c r="AB2152" s="1">
        <v>200587.0</v>
      </c>
      <c r="AC2152" s="2">
        <v>41948.0</v>
      </c>
      <c r="AD2152" s="1">
        <v>9100.0</v>
      </c>
      <c r="AE2152" s="1" t="s">
        <v>194</v>
      </c>
      <c r="AF2152" s="1" t="s">
        <v>3712</v>
      </c>
      <c r="AG2152" s="1" t="s">
        <v>1170</v>
      </c>
      <c r="AH2152" s="1">
        <v>1.0</v>
      </c>
      <c r="AI2152" s="1">
        <v>2015.0</v>
      </c>
      <c r="AJ2152" s="1">
        <v>2015.0</v>
      </c>
      <c r="AK2152" s="1" t="s">
        <v>1171</v>
      </c>
    </row>
    <row r="2153">
      <c r="A2153" s="1" t="s">
        <v>3413</v>
      </c>
      <c r="B2153" s="1" t="s">
        <v>3413</v>
      </c>
      <c r="C2153" s="1" t="s">
        <v>194</v>
      </c>
      <c r="E2153" s="1">
        <v>5.21188032E8</v>
      </c>
      <c r="F2153" s="2">
        <v>41940.0</v>
      </c>
      <c r="G2153" s="1" t="s">
        <v>1168</v>
      </c>
      <c r="I2153" s="1" t="s">
        <v>1168</v>
      </c>
      <c r="L2153" s="1" t="s">
        <v>194</v>
      </c>
      <c r="M2153" s="1">
        <v>9100.0</v>
      </c>
      <c r="N2153" s="1" t="s">
        <v>194</v>
      </c>
      <c r="O2153" s="1">
        <v>1.47777952E8</v>
      </c>
      <c r="P2153" s="1" t="s">
        <v>459</v>
      </c>
      <c r="Q2153" s="1" t="s">
        <v>626</v>
      </c>
      <c r="R2153" s="1" t="s">
        <v>627</v>
      </c>
      <c r="S2153" s="1" t="s">
        <v>44</v>
      </c>
      <c r="T2153" s="1" t="s">
        <v>45</v>
      </c>
      <c r="U2153" s="1">
        <v>4.82072112E8</v>
      </c>
      <c r="W2153" s="1" t="s">
        <v>44</v>
      </c>
      <c r="X2153" s="1" t="s">
        <v>45</v>
      </c>
      <c r="Y2153" s="1">
        <v>4.82072112E8</v>
      </c>
      <c r="Z2153" s="1">
        <v>7.6340843E7</v>
      </c>
      <c r="AA2153" s="1" t="s">
        <v>461</v>
      </c>
      <c r="AB2153" s="1">
        <v>406363.0</v>
      </c>
      <c r="AC2153" s="2">
        <v>41940.0</v>
      </c>
      <c r="AD2153" s="1">
        <v>9100.0</v>
      </c>
      <c r="AE2153" s="1" t="s">
        <v>194</v>
      </c>
      <c r="AF2153" s="1" t="s">
        <v>3883</v>
      </c>
      <c r="AG2153" s="1" t="s">
        <v>1170</v>
      </c>
      <c r="AH2153" s="1">
        <v>1.0</v>
      </c>
      <c r="AI2153" s="1">
        <v>2015.0</v>
      </c>
      <c r="AJ2153" s="1">
        <v>2015.0</v>
      </c>
      <c r="AK2153" s="1" t="s">
        <v>1171</v>
      </c>
    </row>
    <row r="2154">
      <c r="A2154" s="1" t="s">
        <v>3413</v>
      </c>
      <c r="B2154" s="1" t="s">
        <v>3413</v>
      </c>
      <c r="C2154" s="1" t="s">
        <v>194</v>
      </c>
      <c r="E2154" s="1">
        <v>5.21188032E8</v>
      </c>
      <c r="F2154" s="2">
        <v>41922.0</v>
      </c>
      <c r="G2154" s="1" t="s">
        <v>1168</v>
      </c>
      <c r="I2154" s="1" t="s">
        <v>1168</v>
      </c>
      <c r="L2154" s="1" t="s">
        <v>194</v>
      </c>
      <c r="M2154" s="1">
        <v>9100.0</v>
      </c>
      <c r="N2154" s="1" t="s">
        <v>194</v>
      </c>
      <c r="O2154" s="1">
        <v>8.30792151E8</v>
      </c>
      <c r="P2154" s="1" t="s">
        <v>594</v>
      </c>
      <c r="Q2154" s="1" t="s">
        <v>3536</v>
      </c>
      <c r="R2154" s="1" t="s">
        <v>596</v>
      </c>
      <c r="S2154" s="1" t="s">
        <v>44</v>
      </c>
      <c r="T2154" s="1" t="s">
        <v>45</v>
      </c>
      <c r="U2154" s="1">
        <v>4.82382356E8</v>
      </c>
      <c r="W2154" s="1" t="s">
        <v>44</v>
      </c>
      <c r="X2154" s="1" t="s">
        <v>45</v>
      </c>
      <c r="Y2154" s="1">
        <v>4.82382356E8</v>
      </c>
      <c r="Z2154" s="1">
        <v>9.60742484E8</v>
      </c>
      <c r="AB2154" s="1">
        <v>422524.0</v>
      </c>
      <c r="AC2154" s="2">
        <v>41922.0</v>
      </c>
      <c r="AD2154" s="1">
        <v>9100.0</v>
      </c>
      <c r="AE2154" s="1" t="s">
        <v>194</v>
      </c>
      <c r="AF2154" s="1" t="s">
        <v>3884</v>
      </c>
      <c r="AG2154" s="1" t="s">
        <v>1170</v>
      </c>
      <c r="AH2154" s="1">
        <v>1.0</v>
      </c>
      <c r="AI2154" s="1">
        <v>2015.0</v>
      </c>
      <c r="AJ2154" s="1">
        <v>2015.0</v>
      </c>
      <c r="AK2154" s="1" t="s">
        <v>1171</v>
      </c>
    </row>
    <row r="2155">
      <c r="A2155" s="1" t="s">
        <v>3413</v>
      </c>
      <c r="B2155" s="1" t="s">
        <v>3413</v>
      </c>
      <c r="C2155" s="1" t="s">
        <v>194</v>
      </c>
      <c r="E2155" s="1">
        <v>5.21188032E8</v>
      </c>
      <c r="F2155" s="2">
        <v>41894.0</v>
      </c>
      <c r="G2155" s="1" t="s">
        <v>1168</v>
      </c>
      <c r="I2155" s="1" t="s">
        <v>1168</v>
      </c>
      <c r="L2155" s="1" t="s">
        <v>194</v>
      </c>
      <c r="M2155" s="1">
        <v>9100.0</v>
      </c>
      <c r="N2155" s="1" t="s">
        <v>194</v>
      </c>
      <c r="O2155" s="1">
        <v>1.52807538E8</v>
      </c>
      <c r="P2155" s="1" t="s">
        <v>591</v>
      </c>
      <c r="R2155" s="1" t="s">
        <v>592</v>
      </c>
      <c r="S2155" s="1" t="s">
        <v>44</v>
      </c>
      <c r="T2155" s="1" t="s">
        <v>45</v>
      </c>
      <c r="U2155" s="1">
        <v>4.82191161E8</v>
      </c>
      <c r="W2155" s="1" t="s">
        <v>44</v>
      </c>
      <c r="X2155" s="1" t="s">
        <v>45</v>
      </c>
      <c r="Y2155" s="1">
        <v>4.82191161E8</v>
      </c>
      <c r="AB2155" s="1">
        <v>185704.0</v>
      </c>
      <c r="AC2155" s="2">
        <v>41894.0</v>
      </c>
      <c r="AD2155" s="1">
        <v>9100.0</v>
      </c>
      <c r="AE2155" s="1" t="s">
        <v>194</v>
      </c>
      <c r="AF2155" s="1" t="s">
        <v>3885</v>
      </c>
      <c r="AG2155" s="1" t="s">
        <v>1170</v>
      </c>
      <c r="AH2155" s="1">
        <v>1.0</v>
      </c>
      <c r="AI2155" s="1">
        <v>2015.0</v>
      </c>
      <c r="AJ2155" s="1">
        <v>2014.0</v>
      </c>
      <c r="AK2155" s="1" t="s">
        <v>1171</v>
      </c>
    </row>
    <row r="2156">
      <c r="A2156" s="1" t="s">
        <v>3413</v>
      </c>
      <c r="B2156" s="1" t="s">
        <v>3413</v>
      </c>
      <c r="C2156" s="1" t="s">
        <v>194</v>
      </c>
      <c r="E2156" s="1">
        <v>5.21188032E8</v>
      </c>
      <c r="F2156" s="2">
        <v>41891.0</v>
      </c>
      <c r="G2156" s="1" t="s">
        <v>1168</v>
      </c>
      <c r="I2156" s="1" t="s">
        <v>1168</v>
      </c>
      <c r="L2156" s="1" t="s">
        <v>194</v>
      </c>
      <c r="M2156" s="1">
        <v>9100.0</v>
      </c>
      <c r="N2156" s="1" t="s">
        <v>194</v>
      </c>
      <c r="O2156" s="1">
        <v>1.9859919E7</v>
      </c>
      <c r="P2156" s="1" t="s">
        <v>1657</v>
      </c>
      <c r="R2156" s="1" t="s">
        <v>1173</v>
      </c>
      <c r="S2156" s="1" t="s">
        <v>44</v>
      </c>
      <c r="T2156" s="1" t="s">
        <v>45</v>
      </c>
      <c r="U2156" s="1">
        <v>4.82191263E8</v>
      </c>
      <c r="W2156" s="1" t="s">
        <v>44</v>
      </c>
      <c r="X2156" s="1" t="s">
        <v>45</v>
      </c>
      <c r="Y2156" s="1">
        <v>4.82191263E8</v>
      </c>
      <c r="Z2156" s="1">
        <v>7.6373687E7</v>
      </c>
      <c r="AA2156" s="1" t="s">
        <v>529</v>
      </c>
      <c r="AB2156" s="1">
        <v>32532.0</v>
      </c>
      <c r="AC2156" s="2">
        <v>41891.0</v>
      </c>
      <c r="AD2156" s="1">
        <v>9100.0</v>
      </c>
      <c r="AE2156" s="1" t="s">
        <v>194</v>
      </c>
      <c r="AF2156" s="1" t="s">
        <v>3886</v>
      </c>
      <c r="AG2156" s="1" t="s">
        <v>1170</v>
      </c>
      <c r="AH2156" s="1">
        <v>1.0</v>
      </c>
      <c r="AI2156" s="1">
        <v>2015.0</v>
      </c>
      <c r="AJ2156" s="1">
        <v>2014.0</v>
      </c>
      <c r="AK2156" s="1" t="s">
        <v>1171</v>
      </c>
    </row>
    <row r="2157">
      <c r="A2157" s="1" t="s">
        <v>3413</v>
      </c>
      <c r="B2157" s="1" t="s">
        <v>3413</v>
      </c>
      <c r="C2157" s="1" t="s">
        <v>194</v>
      </c>
      <c r="E2157" s="1">
        <v>5.21188032E8</v>
      </c>
      <c r="F2157" s="2">
        <v>41893.0</v>
      </c>
      <c r="G2157" s="1" t="s">
        <v>1168</v>
      </c>
      <c r="I2157" s="1" t="s">
        <v>1168</v>
      </c>
      <c r="L2157" s="1" t="s">
        <v>194</v>
      </c>
      <c r="M2157" s="1">
        <v>9100.0</v>
      </c>
      <c r="N2157" s="1" t="s">
        <v>194</v>
      </c>
      <c r="O2157" s="1">
        <v>1.52892667E8</v>
      </c>
      <c r="P2157" s="1" t="s">
        <v>638</v>
      </c>
      <c r="Q2157" s="1" t="s">
        <v>3835</v>
      </c>
      <c r="R2157" s="1" t="s">
        <v>639</v>
      </c>
      <c r="S2157" s="1" t="s">
        <v>44</v>
      </c>
      <c r="T2157" s="1" t="s">
        <v>45</v>
      </c>
      <c r="U2157" s="1">
        <v>4.82343358E8</v>
      </c>
      <c r="W2157" s="1" t="s">
        <v>44</v>
      </c>
      <c r="X2157" s="1" t="s">
        <v>45</v>
      </c>
      <c r="Y2157" s="1">
        <v>4.82343358E8</v>
      </c>
      <c r="Z2157" s="1">
        <v>5.2461282E7</v>
      </c>
      <c r="AA2157" s="1" t="s">
        <v>3836</v>
      </c>
      <c r="AB2157" s="1">
        <v>282369.0</v>
      </c>
      <c r="AC2157" s="2">
        <v>41893.0</v>
      </c>
      <c r="AD2157" s="1">
        <v>9100.0</v>
      </c>
      <c r="AE2157" s="1" t="s">
        <v>194</v>
      </c>
      <c r="AF2157" s="1" t="s">
        <v>3887</v>
      </c>
      <c r="AG2157" s="1" t="s">
        <v>1170</v>
      </c>
      <c r="AH2157" s="1">
        <v>1.0</v>
      </c>
      <c r="AI2157" s="1">
        <v>2015.0</v>
      </c>
      <c r="AJ2157" s="1">
        <v>2014.0</v>
      </c>
      <c r="AK2157" s="1" t="s">
        <v>1171</v>
      </c>
    </row>
    <row r="2158">
      <c r="A2158" s="1" t="s">
        <v>3413</v>
      </c>
      <c r="B2158" s="1" t="s">
        <v>3413</v>
      </c>
      <c r="C2158" s="1" t="s">
        <v>194</v>
      </c>
      <c r="E2158" s="1">
        <v>5.21188032E8</v>
      </c>
      <c r="F2158" s="2">
        <v>41891.0</v>
      </c>
      <c r="G2158" s="1" t="s">
        <v>1168</v>
      </c>
      <c r="I2158" s="1" t="s">
        <v>1168</v>
      </c>
      <c r="L2158" s="1" t="s">
        <v>194</v>
      </c>
      <c r="M2158" s="1">
        <v>9100.0</v>
      </c>
      <c r="N2158" s="1" t="s">
        <v>194</v>
      </c>
      <c r="O2158" s="1">
        <v>9.62104118E8</v>
      </c>
      <c r="P2158" s="1" t="s">
        <v>634</v>
      </c>
      <c r="Q2158" s="1" t="s">
        <v>1690</v>
      </c>
      <c r="R2158" s="1" t="s">
        <v>635</v>
      </c>
      <c r="S2158" s="1" t="s">
        <v>44</v>
      </c>
      <c r="T2158" s="1" t="s">
        <v>45</v>
      </c>
      <c r="U2158" s="1">
        <v>4.82351111E8</v>
      </c>
      <c r="W2158" s="1" t="s">
        <v>46</v>
      </c>
      <c r="X2158" s="1" t="s">
        <v>45</v>
      </c>
      <c r="Y2158" s="1">
        <v>4.82351111E8</v>
      </c>
      <c r="Z2158" s="1">
        <v>3.1881956E7</v>
      </c>
      <c r="AA2158" s="1" t="s">
        <v>3888</v>
      </c>
      <c r="AB2158" s="1">
        <v>247531.0</v>
      </c>
      <c r="AC2158" s="2">
        <v>41891.0</v>
      </c>
      <c r="AD2158" s="1">
        <v>9100.0</v>
      </c>
      <c r="AE2158" s="1" t="s">
        <v>194</v>
      </c>
      <c r="AF2158" s="1" t="s">
        <v>3889</v>
      </c>
      <c r="AG2158" s="1" t="s">
        <v>1170</v>
      </c>
      <c r="AH2158" s="1">
        <v>1.0</v>
      </c>
      <c r="AI2158" s="1">
        <v>2015.0</v>
      </c>
      <c r="AJ2158" s="1">
        <v>2014.0</v>
      </c>
      <c r="AK2158" s="1" t="s">
        <v>1171</v>
      </c>
    </row>
    <row r="2159">
      <c r="A2159" s="1" t="s">
        <v>3413</v>
      </c>
      <c r="B2159" s="1" t="s">
        <v>3413</v>
      </c>
      <c r="C2159" s="1" t="s">
        <v>194</v>
      </c>
      <c r="E2159" s="1">
        <v>5.21188032E8</v>
      </c>
      <c r="F2159" s="2">
        <v>41878.0</v>
      </c>
      <c r="G2159" s="1" t="s">
        <v>1168</v>
      </c>
      <c r="I2159" s="1" t="s">
        <v>1168</v>
      </c>
      <c r="L2159" s="1" t="s">
        <v>194</v>
      </c>
      <c r="M2159" s="1">
        <v>9100.0</v>
      </c>
      <c r="N2159" s="1" t="s">
        <v>194</v>
      </c>
      <c r="O2159" s="1">
        <v>1.68568132E8</v>
      </c>
      <c r="P2159" s="1" t="s">
        <v>588</v>
      </c>
      <c r="R2159" s="1" t="s">
        <v>589</v>
      </c>
      <c r="S2159" s="1" t="s">
        <v>44</v>
      </c>
      <c r="T2159" s="1" t="s">
        <v>45</v>
      </c>
      <c r="U2159" s="1">
        <v>4.82143323E8</v>
      </c>
      <c r="W2159" s="1" t="s">
        <v>44</v>
      </c>
      <c r="X2159" s="1" t="s">
        <v>45</v>
      </c>
      <c r="Y2159" s="1">
        <v>4.82143323E8</v>
      </c>
      <c r="Z2159" s="1">
        <v>9.60742484E8</v>
      </c>
      <c r="AB2159" s="1">
        <v>411254.0</v>
      </c>
      <c r="AC2159" s="2">
        <v>41878.0</v>
      </c>
      <c r="AD2159" s="1">
        <v>9100.0</v>
      </c>
      <c r="AE2159" s="1" t="s">
        <v>194</v>
      </c>
      <c r="AF2159" s="1" t="s">
        <v>3890</v>
      </c>
      <c r="AG2159" s="1" t="s">
        <v>1170</v>
      </c>
      <c r="AH2159" s="1">
        <v>1.0</v>
      </c>
      <c r="AI2159" s="1">
        <v>2015.0</v>
      </c>
      <c r="AJ2159" s="1">
        <v>2014.0</v>
      </c>
      <c r="AK2159" s="1" t="s">
        <v>1171</v>
      </c>
    </row>
    <row r="2160">
      <c r="A2160" s="1" t="s">
        <v>3413</v>
      </c>
      <c r="B2160" s="1" t="s">
        <v>3413</v>
      </c>
      <c r="C2160" s="1" t="s">
        <v>194</v>
      </c>
      <c r="E2160" s="1">
        <v>5.21188032E8</v>
      </c>
      <c r="F2160" s="2">
        <v>41870.0</v>
      </c>
      <c r="G2160" s="1" t="s">
        <v>1168</v>
      </c>
      <c r="I2160" s="1" t="s">
        <v>1168</v>
      </c>
      <c r="L2160" s="1" t="s">
        <v>194</v>
      </c>
      <c r="M2160" s="1">
        <v>9100.0</v>
      </c>
      <c r="N2160" s="1" t="s">
        <v>194</v>
      </c>
      <c r="O2160" s="1">
        <v>8.25304442E8</v>
      </c>
      <c r="P2160" s="1" t="s">
        <v>829</v>
      </c>
      <c r="Q2160" s="1" t="s">
        <v>3496</v>
      </c>
      <c r="R2160" s="1" t="s">
        <v>830</v>
      </c>
      <c r="S2160" s="1" t="s">
        <v>44</v>
      </c>
      <c r="T2160" s="1" t="s">
        <v>45</v>
      </c>
      <c r="U2160" s="1">
        <v>4.82351762E8</v>
      </c>
      <c r="W2160" s="1" t="s">
        <v>44</v>
      </c>
      <c r="X2160" s="1" t="s">
        <v>45</v>
      </c>
      <c r="Y2160" s="1">
        <v>4.82351762E8</v>
      </c>
      <c r="Z2160" s="1">
        <v>1.08712E7</v>
      </c>
      <c r="AA2160" s="1" t="s">
        <v>3891</v>
      </c>
      <c r="AB2160" s="1">
        <v>109070.0</v>
      </c>
      <c r="AC2160" s="2">
        <v>41870.0</v>
      </c>
      <c r="AD2160" s="1">
        <v>9100.0</v>
      </c>
      <c r="AE2160" s="1" t="s">
        <v>194</v>
      </c>
      <c r="AF2160" s="1" t="s">
        <v>3892</v>
      </c>
      <c r="AG2160" s="1" t="s">
        <v>1170</v>
      </c>
      <c r="AH2160" s="1">
        <v>1.0</v>
      </c>
      <c r="AI2160" s="1">
        <v>2015.0</v>
      </c>
      <c r="AJ2160" s="1">
        <v>2014.0</v>
      </c>
      <c r="AK2160" s="1" t="s">
        <v>1171</v>
      </c>
    </row>
    <row r="2161">
      <c r="A2161" s="1" t="s">
        <v>3413</v>
      </c>
      <c r="B2161" s="1" t="s">
        <v>3413</v>
      </c>
      <c r="C2161" s="1" t="s">
        <v>194</v>
      </c>
      <c r="E2161" s="1">
        <v>5.21188032E8</v>
      </c>
      <c r="F2161" s="2">
        <v>41940.0</v>
      </c>
      <c r="G2161" s="1" t="s">
        <v>1168</v>
      </c>
      <c r="I2161" s="1" t="s">
        <v>1168</v>
      </c>
      <c r="L2161" s="1" t="s">
        <v>194</v>
      </c>
      <c r="M2161" s="1">
        <v>9100.0</v>
      </c>
      <c r="N2161" s="1" t="s">
        <v>194</v>
      </c>
      <c r="O2161" s="1">
        <v>7.8634042E7</v>
      </c>
      <c r="P2161" s="1" t="s">
        <v>2998</v>
      </c>
      <c r="R2161" s="1" t="s">
        <v>475</v>
      </c>
      <c r="S2161" s="1" t="s">
        <v>44</v>
      </c>
      <c r="T2161" s="1" t="s">
        <v>45</v>
      </c>
      <c r="U2161" s="1">
        <v>4.82133744E8</v>
      </c>
      <c r="W2161" s="1" t="s">
        <v>46</v>
      </c>
      <c r="X2161" s="1" t="s">
        <v>45</v>
      </c>
      <c r="Y2161" s="1">
        <v>4.82133744E8</v>
      </c>
      <c r="AB2161" s="1">
        <v>493565.0</v>
      </c>
      <c r="AC2161" s="2">
        <v>41940.0</v>
      </c>
      <c r="AD2161" s="1">
        <v>9100.0</v>
      </c>
      <c r="AE2161" s="1" t="s">
        <v>194</v>
      </c>
      <c r="AF2161" s="1" t="s">
        <v>3893</v>
      </c>
      <c r="AG2161" s="1" t="s">
        <v>3000</v>
      </c>
      <c r="AH2161" s="1">
        <v>1.0</v>
      </c>
      <c r="AI2161" s="1">
        <v>2015.0</v>
      </c>
      <c r="AJ2161" s="1">
        <v>2015.0</v>
      </c>
      <c r="AK2161" s="1" t="s">
        <v>1171</v>
      </c>
    </row>
    <row r="2162">
      <c r="A2162" s="1" t="s">
        <v>3413</v>
      </c>
      <c r="B2162" s="1" t="s">
        <v>3413</v>
      </c>
      <c r="C2162" s="1" t="s">
        <v>194</v>
      </c>
      <c r="E2162" s="1">
        <v>5.21188032E8</v>
      </c>
      <c r="F2162" s="2">
        <v>41984.0</v>
      </c>
      <c r="G2162" s="1" t="s">
        <v>1168</v>
      </c>
      <c r="I2162" s="1" t="s">
        <v>1168</v>
      </c>
      <c r="L2162" s="1" t="s">
        <v>194</v>
      </c>
      <c r="M2162" s="1">
        <v>9100.0</v>
      </c>
      <c r="N2162" s="1" t="s">
        <v>194</v>
      </c>
      <c r="O2162" s="1">
        <v>8.29503312E8</v>
      </c>
      <c r="P2162" s="1" t="s">
        <v>622</v>
      </c>
      <c r="Q2162" s="1" t="s">
        <v>3894</v>
      </c>
      <c r="R2162" s="1" t="s">
        <v>623</v>
      </c>
      <c r="S2162" s="1" t="s">
        <v>44</v>
      </c>
      <c r="T2162" s="1" t="s">
        <v>45</v>
      </c>
      <c r="U2162" s="1">
        <v>4.82035715E8</v>
      </c>
      <c r="W2162" s="1" t="s">
        <v>603</v>
      </c>
      <c r="X2162" s="1" t="s">
        <v>45</v>
      </c>
      <c r="Y2162" s="1">
        <v>4.82035715E8</v>
      </c>
      <c r="Z2162" s="1">
        <v>1.93311107E8</v>
      </c>
      <c r="AA2162" s="1" t="s">
        <v>3895</v>
      </c>
      <c r="AB2162" s="1">
        <v>784209.0</v>
      </c>
      <c r="AC2162" s="2">
        <v>41984.0</v>
      </c>
      <c r="AD2162" s="1">
        <v>9100.0</v>
      </c>
      <c r="AE2162" s="1" t="s">
        <v>194</v>
      </c>
      <c r="AF2162" s="1" t="s">
        <v>3896</v>
      </c>
      <c r="AG2162" s="1" t="s">
        <v>1170</v>
      </c>
      <c r="AH2162" s="1">
        <v>1.0</v>
      </c>
      <c r="AI2162" s="1">
        <v>2015.0</v>
      </c>
      <c r="AJ2162" s="1">
        <v>2015.0</v>
      </c>
      <c r="AK2162" s="1" t="s">
        <v>1171</v>
      </c>
    </row>
    <row r="2163">
      <c r="A2163" s="1" t="s">
        <v>3472</v>
      </c>
      <c r="B2163" s="1" t="s">
        <v>3472</v>
      </c>
      <c r="C2163" s="1" t="s">
        <v>194</v>
      </c>
      <c r="E2163" s="1">
        <v>8.9168336E7</v>
      </c>
      <c r="F2163" s="2">
        <v>41976.0</v>
      </c>
      <c r="G2163" s="1" t="s">
        <v>458</v>
      </c>
      <c r="I2163" s="1" t="s">
        <v>458</v>
      </c>
      <c r="L2163" s="1" t="s">
        <v>194</v>
      </c>
      <c r="M2163" s="1">
        <v>9100.0</v>
      </c>
      <c r="N2163" s="1" t="s">
        <v>194</v>
      </c>
      <c r="O2163" s="1">
        <v>8.30649195E8</v>
      </c>
      <c r="P2163" s="1" t="s">
        <v>545</v>
      </c>
      <c r="R2163" s="1" t="s">
        <v>547</v>
      </c>
      <c r="S2163" s="1" t="s">
        <v>44</v>
      </c>
      <c r="T2163" s="1" t="s">
        <v>45</v>
      </c>
      <c r="U2163" s="1">
        <v>4.82071E8</v>
      </c>
      <c r="W2163" s="1" t="s">
        <v>44</v>
      </c>
      <c r="X2163" s="1" t="s">
        <v>45</v>
      </c>
      <c r="Y2163" s="1">
        <v>4.82071E8</v>
      </c>
      <c r="Z2163" s="1">
        <v>6.9825594E7</v>
      </c>
      <c r="AA2163" s="1" t="s">
        <v>3897</v>
      </c>
      <c r="AB2163" s="1">
        <v>58031.0</v>
      </c>
      <c r="AC2163" s="2">
        <v>41976.0</v>
      </c>
      <c r="AD2163" s="1">
        <v>9100.0</v>
      </c>
      <c r="AE2163" s="1" t="s">
        <v>194</v>
      </c>
      <c r="AF2163" s="1" t="s">
        <v>3898</v>
      </c>
      <c r="AG2163" s="1" t="s">
        <v>463</v>
      </c>
      <c r="AH2163" s="1">
        <v>1.0</v>
      </c>
      <c r="AI2163" s="1">
        <v>2015.0</v>
      </c>
      <c r="AJ2163" s="1">
        <v>2015.0</v>
      </c>
      <c r="AK2163" s="1" t="s">
        <v>277</v>
      </c>
    </row>
    <row r="2164">
      <c r="A2164" s="1" t="s">
        <v>3472</v>
      </c>
      <c r="B2164" s="1" t="s">
        <v>3472</v>
      </c>
      <c r="C2164" s="1" t="s">
        <v>194</v>
      </c>
      <c r="E2164" s="1">
        <v>8.9168336E7</v>
      </c>
      <c r="F2164" s="2">
        <v>41988.0</v>
      </c>
      <c r="G2164" s="1" t="s">
        <v>458</v>
      </c>
      <c r="I2164" s="1" t="s">
        <v>458</v>
      </c>
      <c r="L2164" s="1" t="s">
        <v>194</v>
      </c>
      <c r="M2164" s="1">
        <v>9100.0</v>
      </c>
      <c r="N2164" s="1" t="s">
        <v>194</v>
      </c>
      <c r="O2164" s="1">
        <v>8.76992343E8</v>
      </c>
      <c r="P2164" s="1" t="s">
        <v>550</v>
      </c>
      <c r="R2164" s="1" t="s">
        <v>551</v>
      </c>
      <c r="S2164" s="1" t="s">
        <v>44</v>
      </c>
      <c r="T2164" s="1" t="s">
        <v>45</v>
      </c>
      <c r="U2164" s="1">
        <v>4.82102451E8</v>
      </c>
      <c r="W2164" s="1" t="s">
        <v>44</v>
      </c>
      <c r="X2164" s="1" t="s">
        <v>45</v>
      </c>
      <c r="Y2164" s="1">
        <v>4.82102451E8</v>
      </c>
      <c r="AB2164" s="1">
        <v>68596.0</v>
      </c>
      <c r="AC2164" s="2">
        <v>41988.0</v>
      </c>
      <c r="AD2164" s="1">
        <v>9100.0</v>
      </c>
      <c r="AE2164" s="1" t="s">
        <v>194</v>
      </c>
      <c r="AF2164" s="1" t="s">
        <v>3899</v>
      </c>
      <c r="AG2164" s="1" t="s">
        <v>463</v>
      </c>
      <c r="AH2164" s="1">
        <v>1.0</v>
      </c>
      <c r="AI2164" s="1">
        <v>2015.0</v>
      </c>
      <c r="AJ2164" s="1">
        <v>2015.0</v>
      </c>
      <c r="AK2164" s="1" t="s">
        <v>277</v>
      </c>
    </row>
    <row r="2165">
      <c r="A2165" s="1" t="s">
        <v>3472</v>
      </c>
      <c r="B2165" s="1" t="s">
        <v>3472</v>
      </c>
      <c r="C2165" s="1" t="s">
        <v>194</v>
      </c>
      <c r="E2165" s="1">
        <v>8.9168336E7</v>
      </c>
      <c r="F2165" s="2">
        <v>41968.0</v>
      </c>
      <c r="G2165" s="1" t="s">
        <v>458</v>
      </c>
      <c r="I2165" s="1" t="s">
        <v>458</v>
      </c>
      <c r="L2165" s="1" t="s">
        <v>194</v>
      </c>
      <c r="M2165" s="1">
        <v>9100.0</v>
      </c>
      <c r="N2165" s="1" t="s">
        <v>194</v>
      </c>
      <c r="O2165" s="1">
        <v>7.97531279E8</v>
      </c>
      <c r="P2165" s="1" t="s">
        <v>496</v>
      </c>
      <c r="R2165" s="1" t="s">
        <v>497</v>
      </c>
      <c r="S2165" s="1" t="s">
        <v>44</v>
      </c>
      <c r="T2165" s="1" t="s">
        <v>45</v>
      </c>
      <c r="U2165" s="1">
        <v>4.82123323E8</v>
      </c>
      <c r="W2165" s="1" t="s">
        <v>498</v>
      </c>
      <c r="X2165" s="1" t="s">
        <v>45</v>
      </c>
      <c r="Y2165" s="1">
        <v>4.82123323E8</v>
      </c>
      <c r="AB2165" s="1">
        <v>69757.0</v>
      </c>
      <c r="AC2165" s="2">
        <v>41968.0</v>
      </c>
      <c r="AD2165" s="1">
        <v>9100.0</v>
      </c>
      <c r="AE2165" s="1" t="s">
        <v>194</v>
      </c>
      <c r="AF2165" s="1" t="s">
        <v>3900</v>
      </c>
      <c r="AG2165" s="1" t="s">
        <v>463</v>
      </c>
      <c r="AH2165" s="1">
        <v>1.0</v>
      </c>
      <c r="AI2165" s="1">
        <v>2015.0</v>
      </c>
      <c r="AJ2165" s="1">
        <v>2015.0</v>
      </c>
      <c r="AK2165" s="1" t="s">
        <v>277</v>
      </c>
    </row>
    <row r="2166">
      <c r="A2166" s="1" t="s">
        <v>3472</v>
      </c>
      <c r="B2166" s="1" t="s">
        <v>3472</v>
      </c>
      <c r="C2166" s="1" t="s">
        <v>194</v>
      </c>
      <c r="E2166" s="1">
        <v>8.9168336E7</v>
      </c>
      <c r="F2166" s="2">
        <v>41922.0</v>
      </c>
      <c r="G2166" s="1" t="s">
        <v>458</v>
      </c>
      <c r="I2166" s="1" t="s">
        <v>458</v>
      </c>
      <c r="L2166" s="1" t="s">
        <v>194</v>
      </c>
      <c r="M2166" s="1">
        <v>9100.0</v>
      </c>
      <c r="N2166" s="1" t="s">
        <v>194</v>
      </c>
      <c r="O2166" s="1">
        <v>8.30792151E8</v>
      </c>
      <c r="P2166" s="1" t="s">
        <v>594</v>
      </c>
      <c r="Q2166" s="1" t="s">
        <v>3901</v>
      </c>
      <c r="R2166" s="1" t="s">
        <v>596</v>
      </c>
      <c r="S2166" s="1" t="s">
        <v>44</v>
      </c>
      <c r="T2166" s="1" t="s">
        <v>45</v>
      </c>
      <c r="U2166" s="1">
        <v>4.82382356E8</v>
      </c>
      <c r="W2166" s="1" t="s">
        <v>44</v>
      </c>
      <c r="X2166" s="1" t="s">
        <v>45</v>
      </c>
      <c r="Y2166" s="1">
        <v>4.82382356E8</v>
      </c>
      <c r="Z2166" s="1">
        <v>9.60742484E8</v>
      </c>
      <c r="AB2166" s="1">
        <v>41307.0</v>
      </c>
      <c r="AC2166" s="2">
        <v>41922.0</v>
      </c>
      <c r="AD2166" s="1">
        <v>9100.0</v>
      </c>
      <c r="AE2166" s="1" t="s">
        <v>194</v>
      </c>
      <c r="AF2166" s="1" t="s">
        <v>3902</v>
      </c>
      <c r="AG2166" s="1" t="s">
        <v>463</v>
      </c>
      <c r="AH2166" s="1">
        <v>1.0</v>
      </c>
      <c r="AI2166" s="1">
        <v>2015.0</v>
      </c>
      <c r="AJ2166" s="1">
        <v>2015.0</v>
      </c>
      <c r="AK2166" s="1" t="s">
        <v>277</v>
      </c>
    </row>
    <row r="2167">
      <c r="A2167" s="1" t="s">
        <v>3472</v>
      </c>
      <c r="B2167" s="1" t="s">
        <v>3472</v>
      </c>
      <c r="C2167" s="1" t="s">
        <v>194</v>
      </c>
      <c r="E2167" s="1">
        <v>8.9168336E7</v>
      </c>
      <c r="F2167" s="2">
        <v>41940.0</v>
      </c>
      <c r="G2167" s="1" t="s">
        <v>458</v>
      </c>
      <c r="I2167" s="1" t="s">
        <v>458</v>
      </c>
      <c r="L2167" s="1" t="s">
        <v>194</v>
      </c>
      <c r="M2167" s="1">
        <v>9100.0</v>
      </c>
      <c r="N2167" s="1" t="s">
        <v>194</v>
      </c>
      <c r="O2167" s="1">
        <v>1.47777952E8</v>
      </c>
      <c r="P2167" s="1" t="s">
        <v>459</v>
      </c>
      <c r="Q2167" s="1" t="s">
        <v>626</v>
      </c>
      <c r="R2167" s="1" t="s">
        <v>627</v>
      </c>
      <c r="S2167" s="1" t="s">
        <v>44</v>
      </c>
      <c r="T2167" s="1" t="s">
        <v>45</v>
      </c>
      <c r="U2167" s="1">
        <v>4.82072112E8</v>
      </c>
      <c r="W2167" s="1" t="s">
        <v>44</v>
      </c>
      <c r="X2167" s="1" t="s">
        <v>45</v>
      </c>
      <c r="Y2167" s="1">
        <v>4.82072112E8</v>
      </c>
      <c r="Z2167" s="1">
        <v>7.6340843E7</v>
      </c>
      <c r="AA2167" s="1" t="s">
        <v>461</v>
      </c>
      <c r="AB2167" s="1">
        <v>117309.0</v>
      </c>
      <c r="AC2167" s="2">
        <v>41940.0</v>
      </c>
      <c r="AD2167" s="1">
        <v>9100.0</v>
      </c>
      <c r="AE2167" s="1" t="s">
        <v>194</v>
      </c>
      <c r="AF2167" s="1" t="s">
        <v>3903</v>
      </c>
      <c r="AG2167" s="1" t="s">
        <v>463</v>
      </c>
      <c r="AH2167" s="1">
        <v>1.0</v>
      </c>
      <c r="AI2167" s="1">
        <v>2015.0</v>
      </c>
      <c r="AJ2167" s="1">
        <v>2015.0</v>
      </c>
      <c r="AK2167" s="1" t="s">
        <v>277</v>
      </c>
    </row>
    <row r="2168">
      <c r="A2168" s="1" t="s">
        <v>3472</v>
      </c>
      <c r="B2168" s="1" t="s">
        <v>3472</v>
      </c>
      <c r="C2168" s="1" t="s">
        <v>194</v>
      </c>
      <c r="E2168" s="1">
        <v>8.9168336E7</v>
      </c>
      <c r="F2168" s="2">
        <v>41925.0</v>
      </c>
      <c r="G2168" s="1" t="s">
        <v>458</v>
      </c>
      <c r="I2168" s="1" t="s">
        <v>458</v>
      </c>
      <c r="L2168" s="1" t="s">
        <v>194</v>
      </c>
      <c r="M2168" s="1">
        <v>9100.0</v>
      </c>
      <c r="N2168" s="1" t="s">
        <v>194</v>
      </c>
      <c r="O2168" s="1">
        <v>7.8465647E7</v>
      </c>
      <c r="P2168" s="1" t="s">
        <v>1176</v>
      </c>
      <c r="Q2168" s="1" t="s">
        <v>1692</v>
      </c>
      <c r="R2168" s="1" t="s">
        <v>1178</v>
      </c>
      <c r="S2168" s="1" t="s">
        <v>44</v>
      </c>
      <c r="T2168" s="1" t="s">
        <v>45</v>
      </c>
      <c r="U2168" s="1">
        <v>4.82281142E8</v>
      </c>
      <c r="W2168" s="1" t="s">
        <v>44</v>
      </c>
      <c r="X2168" s="1" t="s">
        <v>45</v>
      </c>
      <c r="Y2168" s="1">
        <v>4.82281142E8</v>
      </c>
      <c r="Z2168" s="1">
        <v>2.1087911E7</v>
      </c>
      <c r="AA2168" s="1" t="s">
        <v>1693</v>
      </c>
      <c r="AB2168" s="1">
        <v>29075.0</v>
      </c>
      <c r="AC2168" s="2">
        <v>41925.0</v>
      </c>
      <c r="AD2168" s="1">
        <v>9100.0</v>
      </c>
      <c r="AE2168" s="1" t="s">
        <v>194</v>
      </c>
      <c r="AF2168" s="1" t="s">
        <v>3904</v>
      </c>
      <c r="AG2168" s="1" t="s">
        <v>463</v>
      </c>
      <c r="AH2168" s="1">
        <v>1.0</v>
      </c>
      <c r="AI2168" s="1">
        <v>2015.0</v>
      </c>
      <c r="AJ2168" s="1">
        <v>2015.0</v>
      </c>
      <c r="AK2168" s="1" t="s">
        <v>277</v>
      </c>
    </row>
    <row r="2169">
      <c r="A2169" s="1" t="s">
        <v>3472</v>
      </c>
      <c r="B2169" s="1" t="s">
        <v>3472</v>
      </c>
      <c r="C2169" s="1" t="s">
        <v>194</v>
      </c>
      <c r="E2169" s="1">
        <v>8.9168336E7</v>
      </c>
      <c r="F2169" s="2">
        <v>41878.0</v>
      </c>
      <c r="G2169" s="1" t="s">
        <v>458</v>
      </c>
      <c r="I2169" s="1" t="s">
        <v>458</v>
      </c>
      <c r="L2169" s="1" t="s">
        <v>194</v>
      </c>
      <c r="M2169" s="1">
        <v>9100.0</v>
      </c>
      <c r="N2169" s="1" t="s">
        <v>194</v>
      </c>
      <c r="O2169" s="1">
        <v>1.38064923E8</v>
      </c>
      <c r="P2169" s="1" t="s">
        <v>585</v>
      </c>
      <c r="Q2169" s="1" t="s">
        <v>3454</v>
      </c>
      <c r="R2169" s="1" t="s">
        <v>586</v>
      </c>
      <c r="S2169" s="1" t="s">
        <v>44</v>
      </c>
      <c r="T2169" s="1" t="s">
        <v>45</v>
      </c>
      <c r="U2169" s="1">
        <v>4.82152861E8</v>
      </c>
      <c r="W2169" s="1" t="s">
        <v>44</v>
      </c>
      <c r="X2169" s="1" t="s">
        <v>45</v>
      </c>
      <c r="Y2169" s="1">
        <v>4.82152861E8</v>
      </c>
      <c r="Z2169" s="1">
        <v>9.60742484E8</v>
      </c>
      <c r="AB2169" s="1">
        <v>25191.0</v>
      </c>
      <c r="AC2169" s="2">
        <v>41878.0</v>
      </c>
      <c r="AD2169" s="1">
        <v>9100.0</v>
      </c>
      <c r="AE2169" s="1" t="s">
        <v>194</v>
      </c>
      <c r="AF2169" s="1" t="s">
        <v>3905</v>
      </c>
      <c r="AG2169" s="1" t="s">
        <v>463</v>
      </c>
      <c r="AH2169" s="1">
        <v>1.0</v>
      </c>
      <c r="AI2169" s="1">
        <v>2015.0</v>
      </c>
      <c r="AJ2169" s="1">
        <v>2014.0</v>
      </c>
      <c r="AK2169" s="1" t="s">
        <v>277</v>
      </c>
    </row>
    <row r="2170">
      <c r="A2170" s="1" t="s">
        <v>3472</v>
      </c>
      <c r="B2170" s="1" t="s">
        <v>3472</v>
      </c>
      <c r="C2170" s="1" t="s">
        <v>194</v>
      </c>
      <c r="E2170" s="1">
        <v>8.9168336E7</v>
      </c>
      <c r="F2170" s="2">
        <v>41940.0</v>
      </c>
      <c r="G2170" s="1" t="s">
        <v>458</v>
      </c>
      <c r="I2170" s="1" t="s">
        <v>458</v>
      </c>
      <c r="L2170" s="1" t="s">
        <v>194</v>
      </c>
      <c r="M2170" s="1">
        <v>9100.0</v>
      </c>
      <c r="N2170" s="1" t="s">
        <v>194</v>
      </c>
      <c r="O2170" s="1">
        <v>7.8634042E7</v>
      </c>
      <c r="P2170" s="1" t="s">
        <v>2998</v>
      </c>
      <c r="R2170" s="1" t="s">
        <v>475</v>
      </c>
      <c r="S2170" s="1" t="s">
        <v>44</v>
      </c>
      <c r="T2170" s="1" t="s">
        <v>45</v>
      </c>
      <c r="U2170" s="1">
        <v>4.82133744E8</v>
      </c>
      <c r="W2170" s="1" t="s">
        <v>46</v>
      </c>
      <c r="X2170" s="1" t="s">
        <v>45</v>
      </c>
      <c r="Y2170" s="1">
        <v>4.82133744E8</v>
      </c>
      <c r="AB2170" s="1">
        <v>117952.0</v>
      </c>
      <c r="AC2170" s="2">
        <v>41940.0</v>
      </c>
      <c r="AD2170" s="1">
        <v>9100.0</v>
      </c>
      <c r="AE2170" s="1" t="s">
        <v>194</v>
      </c>
      <c r="AF2170" s="1" t="s">
        <v>3906</v>
      </c>
      <c r="AG2170" s="1" t="s">
        <v>463</v>
      </c>
      <c r="AH2170" s="1">
        <v>1.0</v>
      </c>
      <c r="AI2170" s="1">
        <v>2015.0</v>
      </c>
      <c r="AJ2170" s="1">
        <v>2015.0</v>
      </c>
      <c r="AK2170" s="1" t="s">
        <v>277</v>
      </c>
    </row>
    <row r="2171">
      <c r="A2171" s="1" t="s">
        <v>3515</v>
      </c>
      <c r="B2171" s="1" t="s">
        <v>3515</v>
      </c>
      <c r="C2171" s="1" t="s">
        <v>645</v>
      </c>
      <c r="E2171" s="1">
        <v>4.64793056E8</v>
      </c>
      <c r="F2171" s="2">
        <v>41942.0</v>
      </c>
      <c r="G2171" s="1" t="s">
        <v>710</v>
      </c>
      <c r="I2171" s="1" t="s">
        <v>710</v>
      </c>
      <c r="L2171" s="1" t="s">
        <v>647</v>
      </c>
      <c r="M2171" s="1">
        <v>1200.0</v>
      </c>
      <c r="N2171" s="1" t="s">
        <v>647</v>
      </c>
      <c r="O2171" s="1">
        <v>9.6910162E8</v>
      </c>
      <c r="P2171" s="1" t="s">
        <v>579</v>
      </c>
      <c r="R2171" s="1" t="s">
        <v>580</v>
      </c>
      <c r="S2171" s="1" t="s">
        <v>44</v>
      </c>
      <c r="T2171" s="1" t="s">
        <v>45</v>
      </c>
      <c r="U2171" s="1">
        <v>4.82283905E8</v>
      </c>
      <c r="W2171" s="1" t="s">
        <v>287</v>
      </c>
      <c r="X2171" s="1" t="s">
        <v>45</v>
      </c>
      <c r="Y2171" s="1">
        <v>4.82283905E8</v>
      </c>
      <c r="Z2171" s="1">
        <v>1.00035047E8</v>
      </c>
      <c r="AA2171" s="1" t="s">
        <v>3907</v>
      </c>
      <c r="AB2171" s="1">
        <v>149793.8</v>
      </c>
      <c r="AC2171" s="2">
        <v>41942.0</v>
      </c>
      <c r="AD2171" s="1">
        <v>1200.0</v>
      </c>
      <c r="AE2171" s="1" t="s">
        <v>647</v>
      </c>
      <c r="AF2171" s="1" t="s">
        <v>3908</v>
      </c>
      <c r="AG2171" s="1" t="s">
        <v>712</v>
      </c>
      <c r="AH2171" s="1">
        <v>1.0</v>
      </c>
      <c r="AI2171" s="1">
        <v>2015.0</v>
      </c>
      <c r="AJ2171" s="1">
        <v>2015.0</v>
      </c>
      <c r="AK2171" s="1" t="s">
        <v>713</v>
      </c>
    </row>
    <row r="2172">
      <c r="A2172" s="1" t="s">
        <v>3515</v>
      </c>
      <c r="B2172" s="1" t="s">
        <v>3515</v>
      </c>
      <c r="C2172" s="1" t="s">
        <v>645</v>
      </c>
      <c r="E2172" s="1">
        <v>4.64793056E8</v>
      </c>
      <c r="F2172" s="2">
        <v>41963.0</v>
      </c>
      <c r="G2172" s="1" t="s">
        <v>710</v>
      </c>
      <c r="I2172" s="1" t="s">
        <v>710</v>
      </c>
      <c r="L2172" s="1" t="s">
        <v>647</v>
      </c>
      <c r="M2172" s="1">
        <v>1200.0</v>
      </c>
      <c r="N2172" s="1" t="s">
        <v>647</v>
      </c>
      <c r="O2172" s="1">
        <v>9.65349769E8</v>
      </c>
      <c r="P2172" s="1" t="s">
        <v>465</v>
      </c>
      <c r="Q2172" s="1" t="s">
        <v>466</v>
      </c>
      <c r="R2172" s="1" t="s">
        <v>467</v>
      </c>
      <c r="S2172" s="1" t="s">
        <v>44</v>
      </c>
      <c r="T2172" s="1" t="s">
        <v>45</v>
      </c>
      <c r="U2172" s="1">
        <v>4.8202322E8</v>
      </c>
      <c r="W2172" s="1" t="s">
        <v>44</v>
      </c>
      <c r="X2172" s="1" t="s">
        <v>45</v>
      </c>
      <c r="Y2172" s="1">
        <v>4.8202322E8</v>
      </c>
      <c r="Z2172" s="1">
        <v>1.6338926E8</v>
      </c>
      <c r="AA2172" s="1" t="s">
        <v>465</v>
      </c>
      <c r="AB2172" s="1">
        <v>39685.31</v>
      </c>
      <c r="AC2172" s="2">
        <v>41963.0</v>
      </c>
      <c r="AD2172" s="1">
        <v>1200.0</v>
      </c>
      <c r="AE2172" s="1" t="s">
        <v>647</v>
      </c>
      <c r="AF2172" s="1" t="s">
        <v>3909</v>
      </c>
      <c r="AG2172" s="1" t="s">
        <v>712</v>
      </c>
      <c r="AH2172" s="1">
        <v>1.0</v>
      </c>
      <c r="AI2172" s="1">
        <v>2015.0</v>
      </c>
      <c r="AJ2172" s="1">
        <v>2015.0</v>
      </c>
      <c r="AK2172" s="1" t="s">
        <v>713</v>
      </c>
    </row>
    <row r="2173">
      <c r="A2173" s="1" t="s">
        <v>3515</v>
      </c>
      <c r="B2173" s="1" t="s">
        <v>3515</v>
      </c>
      <c r="C2173" s="1" t="s">
        <v>645</v>
      </c>
      <c r="E2173" s="1">
        <v>4.64793056E8</v>
      </c>
      <c r="F2173" s="2">
        <v>41921.0</v>
      </c>
      <c r="G2173" s="1" t="s">
        <v>710</v>
      </c>
      <c r="I2173" s="1" t="s">
        <v>710</v>
      </c>
      <c r="L2173" s="1" t="s">
        <v>647</v>
      </c>
      <c r="M2173" s="1">
        <v>1200.0</v>
      </c>
      <c r="N2173" s="1" t="s">
        <v>647</v>
      </c>
      <c r="O2173" s="1">
        <v>7.3948895E7</v>
      </c>
      <c r="P2173" s="1" t="s">
        <v>847</v>
      </c>
      <c r="R2173" s="1" t="s">
        <v>848</v>
      </c>
      <c r="S2173" s="1" t="s">
        <v>44</v>
      </c>
      <c r="T2173" s="1" t="s">
        <v>45</v>
      </c>
      <c r="U2173" s="1">
        <v>4.82242003E8</v>
      </c>
      <c r="W2173" s="1" t="s">
        <v>903</v>
      </c>
      <c r="X2173" s="1" t="s">
        <v>45</v>
      </c>
      <c r="Y2173" s="1">
        <v>4.8224E8</v>
      </c>
      <c r="AB2173" s="1">
        <v>33946.58</v>
      </c>
      <c r="AC2173" s="2">
        <v>41921.0</v>
      </c>
      <c r="AD2173" s="1">
        <v>1200.0</v>
      </c>
      <c r="AE2173" s="1" t="s">
        <v>647</v>
      </c>
      <c r="AF2173" s="1" t="s">
        <v>3910</v>
      </c>
      <c r="AG2173" s="1" t="s">
        <v>712</v>
      </c>
      <c r="AH2173" s="1">
        <v>1.0</v>
      </c>
      <c r="AI2173" s="1">
        <v>2015.0</v>
      </c>
      <c r="AJ2173" s="1">
        <v>2015.0</v>
      </c>
      <c r="AK2173" s="1" t="s">
        <v>713</v>
      </c>
    </row>
    <row r="2174">
      <c r="A2174" s="1" t="s">
        <v>3515</v>
      </c>
      <c r="B2174" s="1" t="s">
        <v>3515</v>
      </c>
      <c r="C2174" s="1" t="s">
        <v>645</v>
      </c>
      <c r="E2174" s="1">
        <v>4.64793056E8</v>
      </c>
      <c r="F2174" s="2">
        <v>41935.0</v>
      </c>
      <c r="G2174" s="1" t="s">
        <v>710</v>
      </c>
      <c r="I2174" s="1" t="s">
        <v>710</v>
      </c>
      <c r="L2174" s="1" t="s">
        <v>647</v>
      </c>
      <c r="M2174" s="1">
        <v>1200.0</v>
      </c>
      <c r="N2174" s="1" t="s">
        <v>647</v>
      </c>
      <c r="O2174" s="1">
        <v>9.48021373E8</v>
      </c>
      <c r="P2174" s="1" t="s">
        <v>501</v>
      </c>
      <c r="R2174" s="1" t="s">
        <v>502</v>
      </c>
      <c r="S2174" s="1" t="s">
        <v>44</v>
      </c>
      <c r="T2174" s="1" t="s">
        <v>45</v>
      </c>
      <c r="U2174" s="1">
        <v>4.82072901E8</v>
      </c>
      <c r="W2174" s="1" t="s">
        <v>44</v>
      </c>
      <c r="X2174" s="1" t="s">
        <v>45</v>
      </c>
      <c r="Y2174" s="1">
        <v>4.82072901E8</v>
      </c>
      <c r="Z2174" s="1">
        <v>7496979.0</v>
      </c>
      <c r="AA2174" s="1" t="s">
        <v>488</v>
      </c>
      <c r="AB2174" s="1">
        <v>280252.36</v>
      </c>
      <c r="AC2174" s="2">
        <v>41935.0</v>
      </c>
      <c r="AD2174" s="1">
        <v>1200.0</v>
      </c>
      <c r="AE2174" s="1" t="s">
        <v>647</v>
      </c>
      <c r="AF2174" s="1" t="s">
        <v>3911</v>
      </c>
      <c r="AG2174" s="1" t="s">
        <v>712</v>
      </c>
      <c r="AH2174" s="1">
        <v>1.0</v>
      </c>
      <c r="AI2174" s="1">
        <v>2015.0</v>
      </c>
      <c r="AJ2174" s="1">
        <v>2015.0</v>
      </c>
      <c r="AK2174" s="1" t="s">
        <v>713</v>
      </c>
    </row>
    <row r="2175">
      <c r="A2175" s="1" t="s">
        <v>3515</v>
      </c>
      <c r="B2175" s="1" t="s">
        <v>3515</v>
      </c>
      <c r="C2175" s="1" t="s">
        <v>645</v>
      </c>
      <c r="E2175" s="1">
        <v>4.64793056E8</v>
      </c>
      <c r="F2175" s="2">
        <v>41914.0</v>
      </c>
      <c r="G2175" s="1" t="s">
        <v>710</v>
      </c>
      <c r="I2175" s="1" t="s">
        <v>710</v>
      </c>
      <c r="L2175" s="1" t="s">
        <v>647</v>
      </c>
      <c r="M2175" s="1">
        <v>1200.0</v>
      </c>
      <c r="N2175" s="1" t="s">
        <v>647</v>
      </c>
      <c r="O2175" s="1">
        <v>8.30649195E8</v>
      </c>
      <c r="P2175" s="1" t="s">
        <v>545</v>
      </c>
      <c r="R2175" s="1" t="s">
        <v>547</v>
      </c>
      <c r="S2175" s="1" t="s">
        <v>44</v>
      </c>
      <c r="T2175" s="1" t="s">
        <v>45</v>
      </c>
      <c r="U2175" s="1">
        <v>4.82071E8</v>
      </c>
      <c r="W2175" s="1" t="s">
        <v>44</v>
      </c>
      <c r="X2175" s="1" t="s">
        <v>45</v>
      </c>
      <c r="Y2175" s="1">
        <v>4.82071E8</v>
      </c>
      <c r="Z2175" s="1">
        <v>5.1516482E7</v>
      </c>
      <c r="AB2175" s="1">
        <v>377931.47</v>
      </c>
      <c r="AC2175" s="2">
        <v>41914.0</v>
      </c>
      <c r="AD2175" s="1">
        <v>1200.0</v>
      </c>
      <c r="AE2175" s="1" t="s">
        <v>647</v>
      </c>
      <c r="AF2175" s="1" t="s">
        <v>3912</v>
      </c>
      <c r="AG2175" s="1" t="s">
        <v>712</v>
      </c>
      <c r="AH2175" s="1">
        <v>1.0</v>
      </c>
      <c r="AI2175" s="1">
        <v>2015.0</v>
      </c>
      <c r="AJ2175" s="1">
        <v>2015.0</v>
      </c>
      <c r="AK2175" s="1" t="s">
        <v>713</v>
      </c>
    </row>
    <row r="2176">
      <c r="A2176" s="1" t="s">
        <v>3515</v>
      </c>
      <c r="B2176" s="1" t="s">
        <v>3515</v>
      </c>
      <c r="C2176" s="1" t="s">
        <v>645</v>
      </c>
      <c r="E2176" s="1">
        <v>4.64793056E8</v>
      </c>
      <c r="F2176" s="2">
        <v>41928.0</v>
      </c>
      <c r="G2176" s="1" t="s">
        <v>710</v>
      </c>
      <c r="I2176" s="1" t="s">
        <v>710</v>
      </c>
      <c r="L2176" s="1" t="s">
        <v>647</v>
      </c>
      <c r="M2176" s="1">
        <v>1200.0</v>
      </c>
      <c r="N2176" s="1" t="s">
        <v>647</v>
      </c>
      <c r="O2176" s="1">
        <v>8.30792151E8</v>
      </c>
      <c r="P2176" s="1" t="s">
        <v>594</v>
      </c>
      <c r="R2176" s="1" t="s">
        <v>596</v>
      </c>
      <c r="S2176" s="1" t="s">
        <v>44</v>
      </c>
      <c r="T2176" s="1" t="s">
        <v>45</v>
      </c>
      <c r="U2176" s="1">
        <v>4.82382356E8</v>
      </c>
      <c r="W2176" s="1" t="s">
        <v>44</v>
      </c>
      <c r="X2176" s="1" t="s">
        <v>45</v>
      </c>
      <c r="Y2176" s="1">
        <v>4.82382356E8</v>
      </c>
      <c r="Z2176" s="1">
        <v>9.60742484E8</v>
      </c>
      <c r="AB2176" s="1">
        <v>274242.12</v>
      </c>
      <c r="AC2176" s="2">
        <v>41928.0</v>
      </c>
      <c r="AD2176" s="1">
        <v>1200.0</v>
      </c>
      <c r="AE2176" s="1" t="s">
        <v>647</v>
      </c>
      <c r="AF2176" s="1" t="s">
        <v>3913</v>
      </c>
      <c r="AG2176" s="1" t="s">
        <v>712</v>
      </c>
      <c r="AH2176" s="1">
        <v>1.0</v>
      </c>
      <c r="AI2176" s="1">
        <v>2015.0</v>
      </c>
      <c r="AJ2176" s="1">
        <v>2015.0</v>
      </c>
      <c r="AK2176" s="1" t="s">
        <v>713</v>
      </c>
    </row>
    <row r="2177">
      <c r="A2177" s="1" t="s">
        <v>3515</v>
      </c>
      <c r="B2177" s="1" t="s">
        <v>3515</v>
      </c>
      <c r="C2177" s="1" t="s">
        <v>645</v>
      </c>
      <c r="E2177" s="1">
        <v>4.64793056E8</v>
      </c>
      <c r="F2177" s="2">
        <v>41935.0</v>
      </c>
      <c r="G2177" s="1" t="s">
        <v>710</v>
      </c>
      <c r="I2177" s="1" t="s">
        <v>710</v>
      </c>
      <c r="L2177" s="1" t="s">
        <v>647</v>
      </c>
      <c r="M2177" s="1">
        <v>1200.0</v>
      </c>
      <c r="N2177" s="1" t="s">
        <v>647</v>
      </c>
      <c r="O2177" s="1">
        <v>8.29503312E8</v>
      </c>
      <c r="P2177" s="1" t="s">
        <v>622</v>
      </c>
      <c r="R2177" s="1" t="s">
        <v>623</v>
      </c>
      <c r="S2177" s="1" t="s">
        <v>44</v>
      </c>
      <c r="T2177" s="1" t="s">
        <v>45</v>
      </c>
      <c r="U2177" s="1">
        <v>4.82035715E8</v>
      </c>
      <c r="W2177" s="1" t="s">
        <v>603</v>
      </c>
      <c r="X2177" s="1" t="s">
        <v>45</v>
      </c>
      <c r="Y2177" s="1">
        <v>4.82035715E8</v>
      </c>
      <c r="Z2177" s="1">
        <v>8.161259E7</v>
      </c>
      <c r="AA2177" s="1" t="s">
        <v>3914</v>
      </c>
      <c r="AB2177" s="1">
        <v>159784.42</v>
      </c>
      <c r="AC2177" s="2">
        <v>41935.0</v>
      </c>
      <c r="AD2177" s="1">
        <v>1200.0</v>
      </c>
      <c r="AE2177" s="1" t="s">
        <v>647</v>
      </c>
      <c r="AF2177" s="1" t="s">
        <v>3915</v>
      </c>
      <c r="AG2177" s="1" t="s">
        <v>712</v>
      </c>
      <c r="AH2177" s="1">
        <v>1.0</v>
      </c>
      <c r="AI2177" s="1">
        <v>2015.0</v>
      </c>
      <c r="AJ2177" s="1">
        <v>2015.0</v>
      </c>
      <c r="AK2177" s="1" t="s">
        <v>713</v>
      </c>
    </row>
    <row r="2178">
      <c r="A2178" s="1" t="s">
        <v>3515</v>
      </c>
      <c r="B2178" s="1" t="s">
        <v>3515</v>
      </c>
      <c r="C2178" s="1" t="s">
        <v>645</v>
      </c>
      <c r="E2178" s="1">
        <v>4.64793056E8</v>
      </c>
      <c r="F2178" s="2">
        <v>41949.0</v>
      </c>
      <c r="G2178" s="1" t="s">
        <v>710</v>
      </c>
      <c r="I2178" s="1" t="s">
        <v>710</v>
      </c>
      <c r="L2178" s="1" t="s">
        <v>647</v>
      </c>
      <c r="M2178" s="1">
        <v>1200.0</v>
      </c>
      <c r="N2178" s="1" t="s">
        <v>647</v>
      </c>
      <c r="O2178" s="1">
        <v>8.01337023E8</v>
      </c>
      <c r="P2178" s="1" t="s">
        <v>731</v>
      </c>
      <c r="Q2178" s="1" t="s">
        <v>732</v>
      </c>
      <c r="R2178" s="1" t="s">
        <v>733</v>
      </c>
      <c r="S2178" s="1" t="s">
        <v>44</v>
      </c>
      <c r="T2178" s="1" t="s">
        <v>45</v>
      </c>
      <c r="U2178" s="1">
        <v>4.82342968E8</v>
      </c>
      <c r="W2178" s="1" t="s">
        <v>44</v>
      </c>
      <c r="X2178" s="1" t="s">
        <v>45</v>
      </c>
      <c r="Y2178" s="1">
        <v>4.82342968E8</v>
      </c>
      <c r="Z2178" s="1">
        <v>8.01337023E8</v>
      </c>
      <c r="AA2178" s="1" t="s">
        <v>731</v>
      </c>
      <c r="AB2178" s="1">
        <v>86854.36</v>
      </c>
      <c r="AC2178" s="2">
        <v>41949.0</v>
      </c>
      <c r="AD2178" s="1">
        <v>1200.0</v>
      </c>
      <c r="AE2178" s="1" t="s">
        <v>647</v>
      </c>
      <c r="AF2178" s="1" t="s">
        <v>3916</v>
      </c>
      <c r="AG2178" s="1" t="s">
        <v>712</v>
      </c>
      <c r="AH2178" s="1">
        <v>1.0</v>
      </c>
      <c r="AI2178" s="1">
        <v>2015.0</v>
      </c>
      <c r="AJ2178" s="1">
        <v>2015.0</v>
      </c>
      <c r="AK2178" s="1" t="s">
        <v>713</v>
      </c>
    </row>
    <row r="2179">
      <c r="A2179" s="1" t="s">
        <v>3515</v>
      </c>
      <c r="B2179" s="1" t="s">
        <v>3515</v>
      </c>
      <c r="C2179" s="1" t="s">
        <v>645</v>
      </c>
      <c r="E2179" s="1">
        <v>4.64793056E8</v>
      </c>
      <c r="F2179" s="2">
        <v>41956.0</v>
      </c>
      <c r="G2179" s="1" t="s">
        <v>710</v>
      </c>
      <c r="I2179" s="1" t="s">
        <v>710</v>
      </c>
      <c r="L2179" s="1" t="s">
        <v>647</v>
      </c>
      <c r="M2179" s="1">
        <v>1200.0</v>
      </c>
      <c r="N2179" s="1" t="s">
        <v>647</v>
      </c>
      <c r="O2179" s="1">
        <v>7.97531279E8</v>
      </c>
      <c r="P2179" s="1" t="s">
        <v>496</v>
      </c>
      <c r="R2179" s="1" t="s">
        <v>497</v>
      </c>
      <c r="S2179" s="1" t="s">
        <v>44</v>
      </c>
      <c r="T2179" s="1" t="s">
        <v>45</v>
      </c>
      <c r="U2179" s="1">
        <v>4.82123323E8</v>
      </c>
      <c r="W2179" s="1" t="s">
        <v>498</v>
      </c>
      <c r="X2179" s="1" t="s">
        <v>45</v>
      </c>
      <c r="Y2179" s="1">
        <v>4.82123323E8</v>
      </c>
      <c r="AB2179" s="1">
        <v>340028.12</v>
      </c>
      <c r="AC2179" s="2">
        <v>41956.0</v>
      </c>
      <c r="AD2179" s="1">
        <v>1200.0</v>
      </c>
      <c r="AE2179" s="1" t="s">
        <v>647</v>
      </c>
      <c r="AF2179" s="1" t="s">
        <v>3917</v>
      </c>
      <c r="AG2179" s="1" t="s">
        <v>712</v>
      </c>
      <c r="AH2179" s="1">
        <v>1.0</v>
      </c>
      <c r="AI2179" s="1">
        <v>2015.0</v>
      </c>
      <c r="AJ2179" s="1">
        <v>2015.0</v>
      </c>
      <c r="AK2179" s="1" t="s">
        <v>713</v>
      </c>
    </row>
    <row r="2180">
      <c r="A2180" s="1" t="s">
        <v>3515</v>
      </c>
      <c r="B2180" s="1" t="s">
        <v>3515</v>
      </c>
      <c r="C2180" s="1" t="s">
        <v>645</v>
      </c>
      <c r="E2180" s="1">
        <v>4.64793056E8</v>
      </c>
      <c r="F2180" s="2">
        <v>41837.0</v>
      </c>
      <c r="G2180" s="1" t="s">
        <v>710</v>
      </c>
      <c r="I2180" s="1" t="s">
        <v>710</v>
      </c>
      <c r="L2180" s="1" t="s">
        <v>647</v>
      </c>
      <c r="M2180" s="1">
        <v>1200.0</v>
      </c>
      <c r="N2180" s="1" t="s">
        <v>647</v>
      </c>
      <c r="O2180" s="1">
        <v>7.94990296E8</v>
      </c>
      <c r="P2180" s="1" t="s">
        <v>601</v>
      </c>
      <c r="R2180" s="1" t="s">
        <v>602</v>
      </c>
      <c r="S2180" s="1" t="s">
        <v>44</v>
      </c>
      <c r="T2180" s="1" t="s">
        <v>45</v>
      </c>
      <c r="U2180" s="1">
        <v>4.82032827E8</v>
      </c>
      <c r="W2180" s="1" t="s">
        <v>603</v>
      </c>
      <c r="X2180" s="1" t="s">
        <v>45</v>
      </c>
      <c r="Y2180" s="1">
        <v>4.82032827E8</v>
      </c>
      <c r="Z2180" s="1">
        <v>7.8920287E7</v>
      </c>
      <c r="AA2180" s="1" t="s">
        <v>3918</v>
      </c>
      <c r="AB2180" s="1">
        <v>30287.6</v>
      </c>
      <c r="AC2180" s="2">
        <v>41837.0</v>
      </c>
      <c r="AD2180" s="1">
        <v>1200.0</v>
      </c>
      <c r="AE2180" s="1" t="s">
        <v>647</v>
      </c>
      <c r="AF2180" s="1" t="s">
        <v>3919</v>
      </c>
      <c r="AG2180" s="1" t="s">
        <v>712</v>
      </c>
      <c r="AH2180" s="1">
        <v>1.0</v>
      </c>
      <c r="AI2180" s="1">
        <v>2015.0</v>
      </c>
      <c r="AJ2180" s="1">
        <v>2014.0</v>
      </c>
      <c r="AK2180" s="1" t="s">
        <v>713</v>
      </c>
    </row>
    <row r="2181">
      <c r="A2181" s="1" t="s">
        <v>3515</v>
      </c>
      <c r="B2181" s="1" t="s">
        <v>3515</v>
      </c>
      <c r="C2181" s="1" t="s">
        <v>645</v>
      </c>
      <c r="E2181" s="1">
        <v>4.64793056E8</v>
      </c>
      <c r="F2181" s="2">
        <v>41942.0</v>
      </c>
      <c r="G2181" s="1" t="s">
        <v>710</v>
      </c>
      <c r="I2181" s="1" t="s">
        <v>710</v>
      </c>
      <c r="L2181" s="1" t="s">
        <v>647</v>
      </c>
      <c r="M2181" s="1">
        <v>1200.0</v>
      </c>
      <c r="N2181" s="1" t="s">
        <v>647</v>
      </c>
      <c r="O2181" s="1">
        <v>7.93697942E8</v>
      </c>
      <c r="P2181" s="1" t="s">
        <v>459</v>
      </c>
      <c r="R2181" s="1" t="s">
        <v>460</v>
      </c>
      <c r="S2181" s="1" t="s">
        <v>44</v>
      </c>
      <c r="T2181" s="1" t="s">
        <v>45</v>
      </c>
      <c r="U2181" s="1">
        <v>4.82141601E8</v>
      </c>
      <c r="W2181" s="1" t="s">
        <v>44</v>
      </c>
      <c r="X2181" s="1" t="s">
        <v>45</v>
      </c>
      <c r="Y2181" s="1">
        <v>4.82141601E8</v>
      </c>
      <c r="Z2181" s="1">
        <v>7.6340843E7</v>
      </c>
      <c r="AA2181" s="1" t="s">
        <v>461</v>
      </c>
      <c r="AB2181" s="1">
        <v>76182.02</v>
      </c>
      <c r="AC2181" s="2">
        <v>41942.0</v>
      </c>
      <c r="AD2181" s="1">
        <v>1200.0</v>
      </c>
      <c r="AE2181" s="1" t="s">
        <v>647</v>
      </c>
      <c r="AF2181" s="1" t="s">
        <v>3920</v>
      </c>
      <c r="AG2181" s="1" t="s">
        <v>712</v>
      </c>
      <c r="AH2181" s="1">
        <v>1.0</v>
      </c>
      <c r="AI2181" s="1">
        <v>2015.0</v>
      </c>
      <c r="AJ2181" s="1">
        <v>2015.0</v>
      </c>
      <c r="AK2181" s="1" t="s">
        <v>713</v>
      </c>
    </row>
    <row r="2182">
      <c r="A2182" s="1" t="s">
        <v>3515</v>
      </c>
      <c r="B2182" s="1" t="s">
        <v>3515</v>
      </c>
      <c r="C2182" s="1" t="s">
        <v>645</v>
      </c>
      <c r="E2182" s="1">
        <v>4.64793056E8</v>
      </c>
      <c r="F2182" s="2">
        <v>41928.0</v>
      </c>
      <c r="G2182" s="1" t="s">
        <v>710</v>
      </c>
      <c r="I2182" s="1" t="s">
        <v>710</v>
      </c>
      <c r="L2182" s="1" t="s">
        <v>647</v>
      </c>
      <c r="M2182" s="1">
        <v>1200.0</v>
      </c>
      <c r="N2182" s="1" t="s">
        <v>647</v>
      </c>
      <c r="O2182" s="1">
        <v>7.93697355E8</v>
      </c>
      <c r="P2182" s="1" t="s">
        <v>691</v>
      </c>
      <c r="Q2182" s="1" t="s">
        <v>1194</v>
      </c>
      <c r="R2182" s="1" t="s">
        <v>692</v>
      </c>
      <c r="S2182" s="1" t="s">
        <v>44</v>
      </c>
      <c r="T2182" s="1" t="s">
        <v>45</v>
      </c>
      <c r="U2182" s="1">
        <v>4.82111554E8</v>
      </c>
      <c r="W2182" s="1" t="s">
        <v>44</v>
      </c>
      <c r="X2182" s="1" t="s">
        <v>45</v>
      </c>
      <c r="Y2182" s="1">
        <v>4.82111552E8</v>
      </c>
      <c r="Z2182" s="1">
        <v>1.67532282E8</v>
      </c>
      <c r="AB2182" s="1">
        <v>161959.11</v>
      </c>
      <c r="AC2182" s="2">
        <v>41928.0</v>
      </c>
      <c r="AD2182" s="1">
        <v>1200.0</v>
      </c>
      <c r="AE2182" s="1" t="s">
        <v>647</v>
      </c>
      <c r="AF2182" s="1" t="s">
        <v>3921</v>
      </c>
      <c r="AG2182" s="1" t="s">
        <v>712</v>
      </c>
      <c r="AH2182" s="1">
        <v>1.0</v>
      </c>
      <c r="AI2182" s="1">
        <v>2015.0</v>
      </c>
      <c r="AJ2182" s="1">
        <v>2015.0</v>
      </c>
      <c r="AK2182" s="1" t="s">
        <v>713</v>
      </c>
    </row>
    <row r="2183">
      <c r="A2183" s="1" t="s">
        <v>3515</v>
      </c>
      <c r="B2183" s="1" t="s">
        <v>3515</v>
      </c>
      <c r="C2183" s="1" t="s">
        <v>645</v>
      </c>
      <c r="E2183" s="1">
        <v>4.64793056E8</v>
      </c>
      <c r="F2183" s="2">
        <v>41942.0</v>
      </c>
      <c r="G2183" s="1" t="s">
        <v>710</v>
      </c>
      <c r="I2183" s="1" t="s">
        <v>710</v>
      </c>
      <c r="L2183" s="1" t="s">
        <v>647</v>
      </c>
      <c r="M2183" s="1">
        <v>1200.0</v>
      </c>
      <c r="N2183" s="1" t="s">
        <v>647</v>
      </c>
      <c r="O2183" s="1">
        <v>1.98438892E8</v>
      </c>
      <c r="P2183" s="1" t="s">
        <v>505</v>
      </c>
      <c r="R2183" s="1" t="s">
        <v>506</v>
      </c>
      <c r="S2183" s="1" t="s">
        <v>44</v>
      </c>
      <c r="T2183" s="1" t="s">
        <v>45</v>
      </c>
      <c r="U2183" s="1">
        <v>4.82123572E8</v>
      </c>
      <c r="W2183" s="1" t="s">
        <v>498</v>
      </c>
      <c r="X2183" s="1" t="s">
        <v>45</v>
      </c>
      <c r="Y2183" s="1">
        <v>4.82123572E8</v>
      </c>
      <c r="Z2183" s="1">
        <v>1.98438892E8</v>
      </c>
      <c r="AA2183" s="1" t="s">
        <v>505</v>
      </c>
      <c r="AB2183" s="1">
        <v>286358.16</v>
      </c>
      <c r="AC2183" s="2">
        <v>41942.0</v>
      </c>
      <c r="AD2183" s="1">
        <v>1200.0</v>
      </c>
      <c r="AE2183" s="1" t="s">
        <v>647</v>
      </c>
      <c r="AF2183" s="1" t="s">
        <v>3922</v>
      </c>
      <c r="AG2183" s="1" t="s">
        <v>712</v>
      </c>
      <c r="AH2183" s="1">
        <v>1.0</v>
      </c>
      <c r="AI2183" s="1">
        <v>2015.0</v>
      </c>
      <c r="AJ2183" s="1">
        <v>2015.0</v>
      </c>
      <c r="AK2183" s="1" t="s">
        <v>713</v>
      </c>
    </row>
    <row r="2184">
      <c r="A2184" s="1" t="s">
        <v>3515</v>
      </c>
      <c r="B2184" s="1" t="s">
        <v>3515</v>
      </c>
      <c r="C2184" s="1" t="s">
        <v>645</v>
      </c>
      <c r="E2184" s="1">
        <v>4.64793056E8</v>
      </c>
      <c r="F2184" s="2">
        <v>41942.0</v>
      </c>
      <c r="G2184" s="1" t="s">
        <v>710</v>
      </c>
      <c r="I2184" s="1" t="s">
        <v>710</v>
      </c>
      <c r="L2184" s="1" t="s">
        <v>647</v>
      </c>
      <c r="M2184" s="1">
        <v>1200.0</v>
      </c>
      <c r="N2184" s="1" t="s">
        <v>647</v>
      </c>
      <c r="O2184" s="1">
        <v>1.98438892E8</v>
      </c>
      <c r="P2184" s="1" t="s">
        <v>505</v>
      </c>
      <c r="R2184" s="1" t="s">
        <v>506</v>
      </c>
      <c r="S2184" s="1" t="s">
        <v>44</v>
      </c>
      <c r="T2184" s="1" t="s">
        <v>45</v>
      </c>
      <c r="U2184" s="1">
        <v>4.82123572E8</v>
      </c>
      <c r="W2184" s="1" t="s">
        <v>498</v>
      </c>
      <c r="X2184" s="1" t="s">
        <v>45</v>
      </c>
      <c r="Y2184" s="1">
        <v>4.82123572E8</v>
      </c>
      <c r="Z2184" s="1">
        <v>1.98438892E8</v>
      </c>
      <c r="AA2184" s="1" t="s">
        <v>505</v>
      </c>
      <c r="AB2184" s="1">
        <v>156505.35</v>
      </c>
      <c r="AC2184" s="2">
        <v>41942.0</v>
      </c>
      <c r="AD2184" s="1">
        <v>1200.0</v>
      </c>
      <c r="AE2184" s="1" t="s">
        <v>647</v>
      </c>
      <c r="AF2184" s="1" t="s">
        <v>3923</v>
      </c>
      <c r="AG2184" s="1" t="s">
        <v>712</v>
      </c>
      <c r="AH2184" s="1">
        <v>1.0</v>
      </c>
      <c r="AI2184" s="1">
        <v>2015.0</v>
      </c>
      <c r="AJ2184" s="1">
        <v>2015.0</v>
      </c>
      <c r="AK2184" s="1" t="s">
        <v>713</v>
      </c>
    </row>
    <row r="2185">
      <c r="A2185" s="1" t="s">
        <v>3515</v>
      </c>
      <c r="B2185" s="1" t="s">
        <v>3515</v>
      </c>
      <c r="C2185" s="1" t="s">
        <v>645</v>
      </c>
      <c r="E2185" s="1">
        <v>4.64793056E8</v>
      </c>
      <c r="F2185" s="2">
        <v>41935.0</v>
      </c>
      <c r="G2185" s="1" t="s">
        <v>710</v>
      </c>
      <c r="I2185" s="1" t="s">
        <v>710</v>
      </c>
      <c r="L2185" s="1" t="s">
        <v>647</v>
      </c>
      <c r="M2185" s="1">
        <v>1200.0</v>
      </c>
      <c r="N2185" s="1" t="s">
        <v>647</v>
      </c>
      <c r="O2185" s="1">
        <v>1.01550176E8</v>
      </c>
      <c r="P2185" s="1" t="s">
        <v>719</v>
      </c>
      <c r="R2185" s="1" t="s">
        <v>720</v>
      </c>
      <c r="S2185" s="1" t="s">
        <v>44</v>
      </c>
      <c r="T2185" s="1" t="s">
        <v>45</v>
      </c>
      <c r="U2185" s="1">
        <v>4.82132731E8</v>
      </c>
      <c r="W2185" s="1" t="s">
        <v>44</v>
      </c>
      <c r="X2185" s="1" t="s">
        <v>45</v>
      </c>
      <c r="Y2185" s="1">
        <v>4.8213E8</v>
      </c>
      <c r="Z2185" s="1">
        <v>1.01550176E8</v>
      </c>
      <c r="AA2185" s="1" t="s">
        <v>719</v>
      </c>
      <c r="AB2185" s="1">
        <v>229398.51</v>
      </c>
      <c r="AC2185" s="2">
        <v>41935.0</v>
      </c>
      <c r="AD2185" s="1">
        <v>1200.0</v>
      </c>
      <c r="AE2185" s="1" t="s">
        <v>647</v>
      </c>
      <c r="AF2185" s="1" t="s">
        <v>3924</v>
      </c>
      <c r="AG2185" s="1" t="s">
        <v>712</v>
      </c>
      <c r="AH2185" s="1">
        <v>1.0</v>
      </c>
      <c r="AI2185" s="1">
        <v>2015.0</v>
      </c>
      <c r="AJ2185" s="1">
        <v>2015.0</v>
      </c>
      <c r="AK2185" s="1" t="s">
        <v>713</v>
      </c>
    </row>
    <row r="2186">
      <c r="A2186" s="1" t="s">
        <v>3515</v>
      </c>
      <c r="B2186" s="1" t="s">
        <v>3515</v>
      </c>
      <c r="C2186" s="1" t="s">
        <v>645</v>
      </c>
      <c r="E2186" s="1">
        <v>4.64793056E8</v>
      </c>
      <c r="F2186" s="2">
        <v>41928.0</v>
      </c>
      <c r="G2186" s="1" t="s">
        <v>710</v>
      </c>
      <c r="I2186" s="1" t="s">
        <v>710</v>
      </c>
      <c r="L2186" s="1" t="s">
        <v>647</v>
      </c>
      <c r="M2186" s="1">
        <v>1200.0</v>
      </c>
      <c r="N2186" s="1" t="s">
        <v>647</v>
      </c>
      <c r="O2186" s="1">
        <v>1.6389763E8</v>
      </c>
      <c r="P2186" s="1" t="s">
        <v>843</v>
      </c>
      <c r="Q2186" s="1" t="s">
        <v>844</v>
      </c>
      <c r="R2186" s="1" t="s">
        <v>845</v>
      </c>
      <c r="S2186" s="1" t="s">
        <v>44</v>
      </c>
      <c r="T2186" s="1" t="s">
        <v>45</v>
      </c>
      <c r="U2186" s="1">
        <v>4.82383647E8</v>
      </c>
      <c r="W2186" s="1" t="s">
        <v>46</v>
      </c>
      <c r="X2186" s="1" t="s">
        <v>45</v>
      </c>
      <c r="Y2186" s="1">
        <v>4.82383647E8</v>
      </c>
      <c r="Z2186" s="1">
        <v>1.6389763E8</v>
      </c>
      <c r="AA2186" s="1" t="s">
        <v>843</v>
      </c>
      <c r="AB2186" s="1">
        <v>149179.81</v>
      </c>
      <c r="AC2186" s="2">
        <v>41928.0</v>
      </c>
      <c r="AD2186" s="1">
        <v>1200.0</v>
      </c>
      <c r="AE2186" s="1" t="s">
        <v>647</v>
      </c>
      <c r="AF2186" s="1" t="s">
        <v>3925</v>
      </c>
      <c r="AG2186" s="1" t="s">
        <v>712</v>
      </c>
      <c r="AH2186" s="1">
        <v>1.0</v>
      </c>
      <c r="AI2186" s="1">
        <v>2015.0</v>
      </c>
      <c r="AJ2186" s="1">
        <v>2015.0</v>
      </c>
      <c r="AK2186" s="1" t="s">
        <v>713</v>
      </c>
    </row>
    <row r="2187">
      <c r="A2187" s="1" t="s">
        <v>3515</v>
      </c>
      <c r="B2187" s="1" t="s">
        <v>3515</v>
      </c>
      <c r="C2187" s="1" t="s">
        <v>645</v>
      </c>
      <c r="E2187" s="1">
        <v>4.64793056E8</v>
      </c>
      <c r="F2187" s="2">
        <v>41928.0</v>
      </c>
      <c r="G2187" s="1" t="s">
        <v>710</v>
      </c>
      <c r="I2187" s="1" t="s">
        <v>710</v>
      </c>
      <c r="L2187" s="1" t="s">
        <v>647</v>
      </c>
      <c r="M2187" s="1">
        <v>1200.0</v>
      </c>
      <c r="N2187" s="1" t="s">
        <v>647</v>
      </c>
      <c r="O2187" s="1">
        <v>7.8634042E7</v>
      </c>
      <c r="P2187" s="1" t="s">
        <v>2998</v>
      </c>
      <c r="R2187" s="1" t="s">
        <v>475</v>
      </c>
      <c r="S2187" s="1" t="s">
        <v>44</v>
      </c>
      <c r="T2187" s="1" t="s">
        <v>45</v>
      </c>
      <c r="U2187" s="1">
        <v>4.82133744E8</v>
      </c>
      <c r="W2187" s="1" t="s">
        <v>46</v>
      </c>
      <c r="X2187" s="1" t="s">
        <v>45</v>
      </c>
      <c r="Y2187" s="1">
        <v>4.8213E8</v>
      </c>
      <c r="AB2187" s="1">
        <v>132165.67</v>
      </c>
      <c r="AC2187" s="2">
        <v>41928.0</v>
      </c>
      <c r="AD2187" s="1">
        <v>1200.0</v>
      </c>
      <c r="AE2187" s="1" t="s">
        <v>647</v>
      </c>
      <c r="AF2187" s="1" t="s">
        <v>3926</v>
      </c>
      <c r="AG2187" s="1" t="s">
        <v>712</v>
      </c>
      <c r="AH2187" s="1">
        <v>1.0</v>
      </c>
      <c r="AI2187" s="1">
        <v>2015.0</v>
      </c>
      <c r="AJ2187" s="1">
        <v>2015.0</v>
      </c>
      <c r="AK2187" s="1" t="s">
        <v>713</v>
      </c>
    </row>
    <row r="2188">
      <c r="A2188" s="1" t="s">
        <v>3515</v>
      </c>
      <c r="B2188" s="1" t="s">
        <v>3515</v>
      </c>
      <c r="C2188" s="1" t="s">
        <v>645</v>
      </c>
      <c r="E2188" s="1">
        <v>4.64793056E8</v>
      </c>
      <c r="F2188" s="2">
        <v>41919.0</v>
      </c>
      <c r="G2188" s="1" t="s">
        <v>710</v>
      </c>
      <c r="I2188" s="1" t="s">
        <v>710</v>
      </c>
      <c r="L2188" s="1" t="s">
        <v>647</v>
      </c>
      <c r="M2188" s="1">
        <v>1200.0</v>
      </c>
      <c r="N2188" s="1" t="s">
        <v>647</v>
      </c>
      <c r="O2188" s="1">
        <v>8.0463354E7</v>
      </c>
      <c r="P2188" s="1" t="s">
        <v>518</v>
      </c>
      <c r="Q2188" s="1" t="s">
        <v>3927</v>
      </c>
      <c r="R2188" s="1" t="s">
        <v>519</v>
      </c>
      <c r="S2188" s="1" t="s">
        <v>44</v>
      </c>
      <c r="T2188" s="1" t="s">
        <v>45</v>
      </c>
      <c r="U2188" s="1">
        <v>4.82102105E8</v>
      </c>
      <c r="W2188" s="1" t="s">
        <v>44</v>
      </c>
      <c r="X2188" s="1" t="s">
        <v>45</v>
      </c>
      <c r="Y2188" s="1">
        <v>4.82102105E8</v>
      </c>
      <c r="Z2188" s="1">
        <v>8.0463354E7</v>
      </c>
      <c r="AA2188" s="1" t="s">
        <v>518</v>
      </c>
      <c r="AB2188" s="1">
        <v>226704.92</v>
      </c>
      <c r="AC2188" s="2">
        <v>41919.0</v>
      </c>
      <c r="AD2188" s="1">
        <v>1200.0</v>
      </c>
      <c r="AE2188" s="1" t="s">
        <v>647</v>
      </c>
      <c r="AF2188" s="1" t="s">
        <v>3928</v>
      </c>
      <c r="AG2188" s="1" t="s">
        <v>712</v>
      </c>
      <c r="AH2188" s="1">
        <v>1.0</v>
      </c>
      <c r="AI2188" s="1">
        <v>2015.0</v>
      </c>
      <c r="AJ2188" s="1">
        <v>2015.0</v>
      </c>
      <c r="AK2188" s="1" t="s">
        <v>713</v>
      </c>
    </row>
    <row r="2189">
      <c r="A2189" s="1" t="s">
        <v>3515</v>
      </c>
      <c r="B2189" s="1" t="s">
        <v>3515</v>
      </c>
      <c r="C2189" s="1" t="s">
        <v>645</v>
      </c>
      <c r="E2189" s="1">
        <v>4.64793056E8</v>
      </c>
      <c r="F2189" s="2">
        <v>41928.0</v>
      </c>
      <c r="G2189" s="1" t="s">
        <v>710</v>
      </c>
      <c r="I2189" s="1" t="s">
        <v>710</v>
      </c>
      <c r="L2189" s="1" t="s">
        <v>647</v>
      </c>
      <c r="M2189" s="1">
        <v>1200.0</v>
      </c>
      <c r="N2189" s="1" t="s">
        <v>647</v>
      </c>
      <c r="O2189" s="1">
        <v>7.8776131E7</v>
      </c>
      <c r="P2189" s="1" t="s">
        <v>3149</v>
      </c>
      <c r="Q2189" s="1" t="s">
        <v>1673</v>
      </c>
      <c r="R2189" s="1" t="s">
        <v>3150</v>
      </c>
      <c r="S2189" s="1" t="s">
        <v>44</v>
      </c>
      <c r="T2189" s="1" t="s">
        <v>45</v>
      </c>
      <c r="U2189" s="1">
        <v>4.82281775E8</v>
      </c>
      <c r="W2189" s="1" t="s">
        <v>44</v>
      </c>
      <c r="X2189" s="1" t="s">
        <v>45</v>
      </c>
      <c r="Y2189" s="1">
        <v>4.82281775E8</v>
      </c>
      <c r="Z2189" s="1">
        <v>8.874258E7</v>
      </c>
      <c r="AA2189" s="1" t="s">
        <v>1674</v>
      </c>
      <c r="AB2189" s="1">
        <v>47343.7</v>
      </c>
      <c r="AC2189" s="2">
        <v>41928.0</v>
      </c>
      <c r="AD2189" s="1">
        <v>1200.0</v>
      </c>
      <c r="AE2189" s="1" t="s">
        <v>647</v>
      </c>
      <c r="AF2189" s="1" t="s">
        <v>3929</v>
      </c>
      <c r="AG2189" s="1" t="s">
        <v>712</v>
      </c>
      <c r="AH2189" s="1">
        <v>1.0</v>
      </c>
      <c r="AI2189" s="1">
        <v>2015.0</v>
      </c>
      <c r="AJ2189" s="1">
        <v>2015.0</v>
      </c>
      <c r="AK2189" s="1" t="s">
        <v>713</v>
      </c>
    </row>
    <row r="2190">
      <c r="A2190" s="1" t="s">
        <v>3515</v>
      </c>
      <c r="B2190" s="1" t="s">
        <v>3515</v>
      </c>
      <c r="C2190" s="1" t="s">
        <v>645</v>
      </c>
      <c r="E2190" s="1">
        <v>4.64793056E8</v>
      </c>
      <c r="F2190" s="2">
        <v>41921.0</v>
      </c>
      <c r="G2190" s="1" t="s">
        <v>710</v>
      </c>
      <c r="I2190" s="1" t="s">
        <v>710</v>
      </c>
      <c r="L2190" s="1" t="s">
        <v>647</v>
      </c>
      <c r="M2190" s="1">
        <v>1200.0</v>
      </c>
      <c r="N2190" s="1" t="s">
        <v>647</v>
      </c>
      <c r="O2190" s="1">
        <v>7.8515458E7</v>
      </c>
      <c r="P2190" s="1" t="s">
        <v>3248</v>
      </c>
      <c r="Q2190" s="1" t="s">
        <v>3249</v>
      </c>
      <c r="R2190" s="1" t="s">
        <v>3250</v>
      </c>
      <c r="S2190" s="1" t="s">
        <v>44</v>
      </c>
      <c r="T2190" s="1" t="s">
        <v>45</v>
      </c>
      <c r="U2190" s="1">
        <v>4.82351933E8</v>
      </c>
      <c r="W2190" s="1" t="s">
        <v>44</v>
      </c>
      <c r="X2190" s="1" t="s">
        <v>45</v>
      </c>
      <c r="Y2190" s="1">
        <v>4.82351933E8</v>
      </c>
      <c r="Z2190" s="1">
        <v>9.67815499E8</v>
      </c>
      <c r="AA2190" s="1" t="s">
        <v>3743</v>
      </c>
      <c r="AB2190" s="1">
        <v>29829.73</v>
      </c>
      <c r="AC2190" s="2">
        <v>41921.0</v>
      </c>
      <c r="AD2190" s="1">
        <v>1200.0</v>
      </c>
      <c r="AE2190" s="1" t="s">
        <v>647</v>
      </c>
      <c r="AF2190" s="1" t="s">
        <v>3930</v>
      </c>
      <c r="AG2190" s="1" t="s">
        <v>712</v>
      </c>
      <c r="AH2190" s="1">
        <v>1.0</v>
      </c>
      <c r="AI2190" s="1">
        <v>2015.0</v>
      </c>
      <c r="AJ2190" s="1">
        <v>2015.0</v>
      </c>
      <c r="AK2190" s="1" t="s">
        <v>713</v>
      </c>
    </row>
    <row r="2191">
      <c r="A2191" s="1" t="s">
        <v>3515</v>
      </c>
      <c r="B2191" s="1" t="s">
        <v>3515</v>
      </c>
      <c r="C2191" s="1" t="s">
        <v>645</v>
      </c>
      <c r="E2191" s="1">
        <v>4.64793056E8</v>
      </c>
      <c r="F2191" s="2">
        <v>41977.0</v>
      </c>
      <c r="G2191" s="1" t="s">
        <v>710</v>
      </c>
      <c r="I2191" s="1" t="s">
        <v>710</v>
      </c>
      <c r="L2191" s="1" t="s">
        <v>647</v>
      </c>
      <c r="M2191" s="1">
        <v>1200.0</v>
      </c>
      <c r="N2191" s="1" t="s">
        <v>647</v>
      </c>
      <c r="O2191" s="1">
        <v>7.6340843E7</v>
      </c>
      <c r="P2191" s="1" t="s">
        <v>461</v>
      </c>
      <c r="Q2191" s="1" t="s">
        <v>1191</v>
      </c>
      <c r="R2191" s="1" t="s">
        <v>1599</v>
      </c>
      <c r="S2191" s="1" t="s">
        <v>44</v>
      </c>
      <c r="T2191" s="1" t="s">
        <v>45</v>
      </c>
      <c r="U2191" s="1">
        <v>4.8202301E8</v>
      </c>
      <c r="W2191" s="1" t="s">
        <v>44</v>
      </c>
      <c r="X2191" s="1" t="s">
        <v>45</v>
      </c>
      <c r="Y2191" s="1">
        <v>4.82023096E8</v>
      </c>
      <c r="Z2191" s="1">
        <v>7.6340843E7</v>
      </c>
      <c r="AA2191" s="1" t="s">
        <v>461</v>
      </c>
      <c r="AB2191" s="1">
        <v>2163995.76</v>
      </c>
      <c r="AC2191" s="2">
        <v>41977.0</v>
      </c>
      <c r="AD2191" s="1">
        <v>1200.0</v>
      </c>
      <c r="AE2191" s="1" t="s">
        <v>647</v>
      </c>
      <c r="AF2191" s="1" t="s">
        <v>3931</v>
      </c>
      <c r="AG2191" s="1" t="s">
        <v>712</v>
      </c>
      <c r="AH2191" s="1">
        <v>1.0</v>
      </c>
      <c r="AI2191" s="1">
        <v>2015.0</v>
      </c>
      <c r="AJ2191" s="1">
        <v>2015.0</v>
      </c>
      <c r="AK2191" s="1" t="s">
        <v>713</v>
      </c>
    </row>
    <row r="2192">
      <c r="A2192" s="1" t="s">
        <v>3515</v>
      </c>
      <c r="B2192" s="1" t="s">
        <v>3515</v>
      </c>
      <c r="C2192" s="1" t="s">
        <v>645</v>
      </c>
      <c r="E2192" s="1">
        <v>4.64793056E8</v>
      </c>
      <c r="F2192" s="2">
        <v>41921.0</v>
      </c>
      <c r="G2192" s="1" t="s">
        <v>710</v>
      </c>
      <c r="I2192" s="1" t="s">
        <v>710</v>
      </c>
      <c r="L2192" s="1" t="s">
        <v>647</v>
      </c>
      <c r="M2192" s="1">
        <v>1200.0</v>
      </c>
      <c r="N2192" s="1" t="s">
        <v>647</v>
      </c>
      <c r="O2192" s="1">
        <v>5.3529803E7</v>
      </c>
      <c r="P2192" s="1" t="s">
        <v>950</v>
      </c>
      <c r="R2192" s="1" t="s">
        <v>951</v>
      </c>
      <c r="S2192" s="1" t="s">
        <v>44</v>
      </c>
      <c r="T2192" s="1" t="s">
        <v>45</v>
      </c>
      <c r="U2192" s="1">
        <v>4.82241518E8</v>
      </c>
      <c r="W2192" s="1" t="s">
        <v>46</v>
      </c>
      <c r="X2192" s="1" t="s">
        <v>45</v>
      </c>
      <c r="Y2192" s="1">
        <v>4.8224E8</v>
      </c>
      <c r="AB2192" s="1">
        <v>45088.6</v>
      </c>
      <c r="AC2192" s="2">
        <v>41921.0</v>
      </c>
      <c r="AD2192" s="1">
        <v>1200.0</v>
      </c>
      <c r="AE2192" s="1" t="s">
        <v>647</v>
      </c>
      <c r="AF2192" s="1" t="s">
        <v>3932</v>
      </c>
      <c r="AG2192" s="1" t="s">
        <v>712</v>
      </c>
      <c r="AH2192" s="1">
        <v>1.0</v>
      </c>
      <c r="AI2192" s="1">
        <v>2015.0</v>
      </c>
      <c r="AJ2192" s="1">
        <v>2015.0</v>
      </c>
      <c r="AK2192" s="1" t="s">
        <v>713</v>
      </c>
    </row>
    <row r="2193">
      <c r="A2193" s="1" t="s">
        <v>3515</v>
      </c>
      <c r="B2193" s="1" t="s">
        <v>3515</v>
      </c>
      <c r="C2193" s="1" t="s">
        <v>645</v>
      </c>
      <c r="E2193" s="1">
        <v>4.64793056E8</v>
      </c>
      <c r="F2193" s="2">
        <v>41919.0</v>
      </c>
      <c r="G2193" s="1" t="s">
        <v>710</v>
      </c>
      <c r="I2193" s="1" t="s">
        <v>710</v>
      </c>
      <c r="L2193" s="1" t="s">
        <v>647</v>
      </c>
      <c r="M2193" s="1">
        <v>1200.0</v>
      </c>
      <c r="N2193" s="1" t="s">
        <v>647</v>
      </c>
      <c r="O2193" s="1">
        <v>7.3832607E7</v>
      </c>
      <c r="P2193" s="1" t="s">
        <v>482</v>
      </c>
      <c r="R2193" s="1" t="s">
        <v>483</v>
      </c>
      <c r="S2193" s="1" t="s">
        <v>44</v>
      </c>
      <c r="T2193" s="1" t="s">
        <v>45</v>
      </c>
      <c r="U2193" s="1">
        <v>4.82074288E8</v>
      </c>
      <c r="W2193" s="1" t="s">
        <v>44</v>
      </c>
      <c r="X2193" s="1" t="s">
        <v>45</v>
      </c>
      <c r="Y2193" s="1">
        <v>4.82074288E8</v>
      </c>
      <c r="Z2193" s="1">
        <v>1.84200426E8</v>
      </c>
      <c r="AB2193" s="1">
        <v>233276.44</v>
      </c>
      <c r="AC2193" s="2">
        <v>41919.0</v>
      </c>
      <c r="AD2193" s="1">
        <v>1200.0</v>
      </c>
      <c r="AE2193" s="1" t="s">
        <v>647</v>
      </c>
      <c r="AF2193" s="1" t="s">
        <v>3933</v>
      </c>
      <c r="AG2193" s="1" t="s">
        <v>712</v>
      </c>
      <c r="AH2193" s="1">
        <v>1.0</v>
      </c>
      <c r="AI2193" s="1">
        <v>2015.0</v>
      </c>
      <c r="AJ2193" s="1">
        <v>2015.0</v>
      </c>
      <c r="AK2193" s="1" t="s">
        <v>713</v>
      </c>
    </row>
    <row r="2194">
      <c r="A2194" s="1" t="s">
        <v>3515</v>
      </c>
      <c r="B2194" s="1" t="s">
        <v>3515</v>
      </c>
      <c r="C2194" s="1" t="s">
        <v>645</v>
      </c>
      <c r="E2194" s="1">
        <v>4.64793056E8</v>
      </c>
      <c r="F2194" s="2">
        <v>41928.0</v>
      </c>
      <c r="G2194" s="1" t="s">
        <v>710</v>
      </c>
      <c r="I2194" s="1" t="s">
        <v>710</v>
      </c>
      <c r="L2194" s="1" t="s">
        <v>647</v>
      </c>
      <c r="M2194" s="1">
        <v>1200.0</v>
      </c>
      <c r="N2194" s="1" t="s">
        <v>647</v>
      </c>
      <c r="O2194" s="1">
        <v>6.6707493E7</v>
      </c>
      <c r="P2194" s="1" t="s">
        <v>541</v>
      </c>
      <c r="Q2194" s="1" t="s">
        <v>3092</v>
      </c>
      <c r="R2194" s="1" t="s">
        <v>542</v>
      </c>
      <c r="S2194" s="1" t="s">
        <v>44</v>
      </c>
      <c r="T2194" s="1" t="s">
        <v>45</v>
      </c>
      <c r="U2194" s="1">
        <v>4.8210252E8</v>
      </c>
      <c r="W2194" s="1" t="s">
        <v>44</v>
      </c>
      <c r="X2194" s="1" t="s">
        <v>45</v>
      </c>
      <c r="Y2194" s="1">
        <v>4.8210252E8</v>
      </c>
      <c r="Z2194" s="1">
        <v>8.4297738E7</v>
      </c>
      <c r="AA2194" s="1" t="s">
        <v>3091</v>
      </c>
      <c r="AB2194" s="1">
        <v>217291.17</v>
      </c>
      <c r="AC2194" s="2">
        <v>41928.0</v>
      </c>
      <c r="AD2194" s="1">
        <v>1200.0</v>
      </c>
      <c r="AE2194" s="1" t="s">
        <v>647</v>
      </c>
      <c r="AF2194" s="1" t="s">
        <v>3934</v>
      </c>
      <c r="AG2194" s="1" t="s">
        <v>712</v>
      </c>
      <c r="AH2194" s="1">
        <v>1.0</v>
      </c>
      <c r="AI2194" s="1">
        <v>2015.0</v>
      </c>
      <c r="AJ2194" s="1">
        <v>2015.0</v>
      </c>
      <c r="AK2194" s="1" t="s">
        <v>713</v>
      </c>
    </row>
    <row r="2195">
      <c r="A2195" s="1" t="s">
        <v>3515</v>
      </c>
      <c r="B2195" s="1" t="s">
        <v>3515</v>
      </c>
      <c r="C2195" s="1" t="s">
        <v>645</v>
      </c>
      <c r="E2195" s="1">
        <v>4.64793056E8</v>
      </c>
      <c r="F2195" s="2">
        <v>41928.0</v>
      </c>
      <c r="G2195" s="1" t="s">
        <v>710</v>
      </c>
      <c r="I2195" s="1" t="s">
        <v>710</v>
      </c>
      <c r="L2195" s="1" t="s">
        <v>647</v>
      </c>
      <c r="M2195" s="1">
        <v>1200.0</v>
      </c>
      <c r="N2195" s="1" t="s">
        <v>647</v>
      </c>
      <c r="O2195" s="1">
        <v>5.5374645E7</v>
      </c>
      <c r="P2195" s="1" t="s">
        <v>3062</v>
      </c>
      <c r="R2195" s="1" t="s">
        <v>3063</v>
      </c>
      <c r="S2195" s="1" t="s">
        <v>44</v>
      </c>
      <c r="T2195" s="1" t="s">
        <v>45</v>
      </c>
      <c r="U2195" s="1">
        <v>4.8234393E8</v>
      </c>
      <c r="W2195" s="1" t="s">
        <v>44</v>
      </c>
      <c r="X2195" s="1" t="s">
        <v>45</v>
      </c>
      <c r="Y2195" s="1">
        <v>4.8234393E8</v>
      </c>
      <c r="Z2195" s="1">
        <v>7.2582877E7</v>
      </c>
      <c r="AA2195" s="1" t="s">
        <v>3770</v>
      </c>
      <c r="AB2195" s="1">
        <v>28068.81</v>
      </c>
      <c r="AC2195" s="2">
        <v>41928.0</v>
      </c>
      <c r="AD2195" s="1">
        <v>1200.0</v>
      </c>
      <c r="AE2195" s="1" t="s">
        <v>647</v>
      </c>
      <c r="AF2195" s="1" t="s">
        <v>3935</v>
      </c>
      <c r="AG2195" s="1" t="s">
        <v>712</v>
      </c>
      <c r="AH2195" s="1">
        <v>1.0</v>
      </c>
      <c r="AI2195" s="1">
        <v>2015.0</v>
      </c>
      <c r="AJ2195" s="1">
        <v>2015.0</v>
      </c>
      <c r="AK2195" s="1" t="s">
        <v>713</v>
      </c>
    </row>
    <row r="2196">
      <c r="A2196" s="1" t="s">
        <v>3515</v>
      </c>
      <c r="B2196" s="1" t="s">
        <v>3515</v>
      </c>
      <c r="C2196" s="1" t="s">
        <v>645</v>
      </c>
      <c r="E2196" s="1">
        <v>4.64793056E8</v>
      </c>
      <c r="F2196" s="2">
        <v>41928.0</v>
      </c>
      <c r="G2196" s="1" t="s">
        <v>710</v>
      </c>
      <c r="I2196" s="1" t="s">
        <v>710</v>
      </c>
      <c r="L2196" s="1" t="s">
        <v>647</v>
      </c>
      <c r="M2196" s="1">
        <v>1200.0</v>
      </c>
      <c r="N2196" s="1" t="s">
        <v>647</v>
      </c>
      <c r="O2196" s="1">
        <v>3.7602699E7</v>
      </c>
      <c r="P2196" s="1" t="s">
        <v>535</v>
      </c>
      <c r="R2196" s="1" t="s">
        <v>536</v>
      </c>
      <c r="S2196" s="1" t="s">
        <v>44</v>
      </c>
      <c r="T2196" s="1" t="s">
        <v>45</v>
      </c>
      <c r="U2196" s="1">
        <v>4.82052545E8</v>
      </c>
      <c r="W2196" s="1" t="s">
        <v>46</v>
      </c>
      <c r="X2196" s="1" t="s">
        <v>45</v>
      </c>
      <c r="Y2196" s="1">
        <v>4.82052545E8</v>
      </c>
      <c r="AB2196" s="1">
        <v>244691.2</v>
      </c>
      <c r="AC2196" s="2">
        <v>41928.0</v>
      </c>
      <c r="AD2196" s="1">
        <v>1200.0</v>
      </c>
      <c r="AE2196" s="1" t="s">
        <v>647</v>
      </c>
      <c r="AF2196" s="1" t="s">
        <v>3936</v>
      </c>
      <c r="AG2196" s="1" t="s">
        <v>712</v>
      </c>
      <c r="AH2196" s="1">
        <v>1.0</v>
      </c>
      <c r="AI2196" s="1">
        <v>2015.0</v>
      </c>
      <c r="AJ2196" s="1">
        <v>2015.0</v>
      </c>
      <c r="AK2196" s="1" t="s">
        <v>713</v>
      </c>
    </row>
    <row r="2197">
      <c r="A2197" s="1" t="s">
        <v>3515</v>
      </c>
      <c r="B2197" s="1" t="s">
        <v>3515</v>
      </c>
      <c r="C2197" s="1" t="s">
        <v>645</v>
      </c>
      <c r="E2197" s="1">
        <v>4.64793056E8</v>
      </c>
      <c r="F2197" s="2">
        <v>41919.0</v>
      </c>
      <c r="G2197" s="1" t="s">
        <v>710</v>
      </c>
      <c r="I2197" s="1" t="s">
        <v>710</v>
      </c>
      <c r="L2197" s="1" t="s">
        <v>647</v>
      </c>
      <c r="M2197" s="1">
        <v>1200.0</v>
      </c>
      <c r="N2197" s="1" t="s">
        <v>647</v>
      </c>
      <c r="O2197" s="1">
        <v>1.52892667E8</v>
      </c>
      <c r="P2197" s="1" t="s">
        <v>638</v>
      </c>
      <c r="R2197" s="1" t="s">
        <v>639</v>
      </c>
      <c r="S2197" s="1" t="s">
        <v>44</v>
      </c>
      <c r="T2197" s="1" t="s">
        <v>45</v>
      </c>
      <c r="U2197" s="1">
        <v>4.82343358E8</v>
      </c>
      <c r="W2197" s="1" t="s">
        <v>46</v>
      </c>
      <c r="X2197" s="1" t="s">
        <v>45</v>
      </c>
      <c r="Y2197" s="1">
        <v>4.8234E8</v>
      </c>
      <c r="AB2197" s="1">
        <v>166901.03</v>
      </c>
      <c r="AC2197" s="2">
        <v>41919.0</v>
      </c>
      <c r="AD2197" s="1">
        <v>1200.0</v>
      </c>
      <c r="AE2197" s="1" t="s">
        <v>647</v>
      </c>
      <c r="AF2197" s="1" t="s">
        <v>3544</v>
      </c>
      <c r="AG2197" s="1" t="s">
        <v>712</v>
      </c>
      <c r="AH2197" s="1">
        <v>1.0</v>
      </c>
      <c r="AI2197" s="1">
        <v>2015.0</v>
      </c>
      <c r="AJ2197" s="1">
        <v>2015.0</v>
      </c>
      <c r="AK2197" s="1" t="s">
        <v>713</v>
      </c>
    </row>
    <row r="2198">
      <c r="A2198" s="1" t="s">
        <v>3515</v>
      </c>
      <c r="B2198" s="1" t="s">
        <v>3515</v>
      </c>
      <c r="C2198" s="1" t="s">
        <v>645</v>
      </c>
      <c r="E2198" s="1">
        <v>4.64793056E8</v>
      </c>
      <c r="F2198" s="2">
        <v>41942.0</v>
      </c>
      <c r="G2198" s="1" t="s">
        <v>710</v>
      </c>
      <c r="I2198" s="1" t="s">
        <v>710</v>
      </c>
      <c r="L2198" s="1" t="s">
        <v>647</v>
      </c>
      <c r="M2198" s="1">
        <v>1200.0</v>
      </c>
      <c r="N2198" s="1" t="s">
        <v>647</v>
      </c>
      <c r="O2198" s="1">
        <v>2.5773859E7</v>
      </c>
      <c r="P2198" s="1" t="s">
        <v>872</v>
      </c>
      <c r="R2198" s="1" t="s">
        <v>873</v>
      </c>
      <c r="S2198" s="1" t="s">
        <v>44</v>
      </c>
      <c r="T2198" s="1" t="s">
        <v>45</v>
      </c>
      <c r="U2198" s="1">
        <v>4.82042042E8</v>
      </c>
      <c r="W2198" s="1" t="s">
        <v>44</v>
      </c>
      <c r="X2198" s="1" t="s">
        <v>45</v>
      </c>
      <c r="Y2198" s="1">
        <v>4.82042042E8</v>
      </c>
      <c r="AB2198" s="1">
        <v>118663.75</v>
      </c>
      <c r="AC2198" s="2">
        <v>41942.0</v>
      </c>
      <c r="AD2198" s="1">
        <v>1200.0</v>
      </c>
      <c r="AE2198" s="1" t="s">
        <v>647</v>
      </c>
      <c r="AF2198" s="1" t="s">
        <v>3937</v>
      </c>
      <c r="AG2198" s="1" t="s">
        <v>712</v>
      </c>
      <c r="AH2198" s="1">
        <v>1.0</v>
      </c>
      <c r="AI2198" s="1">
        <v>2015.0</v>
      </c>
      <c r="AJ2198" s="1">
        <v>2015.0</v>
      </c>
      <c r="AK2198" s="1" t="s">
        <v>713</v>
      </c>
    </row>
    <row r="2199">
      <c r="A2199" s="1" t="s">
        <v>3515</v>
      </c>
      <c r="B2199" s="1" t="s">
        <v>3515</v>
      </c>
      <c r="C2199" s="1" t="s">
        <v>645</v>
      </c>
      <c r="E2199" s="1">
        <v>4.64793056E8</v>
      </c>
      <c r="F2199" s="2">
        <v>41928.0</v>
      </c>
      <c r="G2199" s="1" t="s">
        <v>710</v>
      </c>
      <c r="I2199" s="1" t="s">
        <v>710</v>
      </c>
      <c r="L2199" s="1" t="s">
        <v>647</v>
      </c>
      <c r="M2199" s="1">
        <v>1200.0</v>
      </c>
      <c r="N2199" s="1" t="s">
        <v>647</v>
      </c>
      <c r="O2199" s="1">
        <v>1.9859285E7</v>
      </c>
      <c r="P2199" s="1" t="s">
        <v>1172</v>
      </c>
      <c r="R2199" s="1" t="s">
        <v>1173</v>
      </c>
      <c r="S2199" s="1" t="s">
        <v>44</v>
      </c>
      <c r="T2199" s="1" t="s">
        <v>45</v>
      </c>
      <c r="U2199" s="1">
        <v>4.82191263E8</v>
      </c>
      <c r="W2199" s="1" t="s">
        <v>44</v>
      </c>
      <c r="X2199" s="1" t="s">
        <v>45</v>
      </c>
      <c r="Y2199" s="1">
        <v>4.82191263E8</v>
      </c>
      <c r="AB2199" s="1">
        <v>100961.36</v>
      </c>
      <c r="AC2199" s="2">
        <v>41928.0</v>
      </c>
      <c r="AD2199" s="1">
        <v>1200.0</v>
      </c>
      <c r="AE2199" s="1" t="s">
        <v>647</v>
      </c>
      <c r="AF2199" s="1" t="s">
        <v>3938</v>
      </c>
      <c r="AG2199" s="1" t="s">
        <v>712</v>
      </c>
      <c r="AH2199" s="1">
        <v>1.0</v>
      </c>
      <c r="AI2199" s="1">
        <v>2015.0</v>
      </c>
      <c r="AJ2199" s="1">
        <v>2015.0</v>
      </c>
      <c r="AK2199" s="1" t="s">
        <v>713</v>
      </c>
    </row>
    <row r="2200">
      <c r="A2200" s="1" t="s">
        <v>3515</v>
      </c>
      <c r="B2200" s="1" t="s">
        <v>3515</v>
      </c>
      <c r="C2200" s="1" t="s">
        <v>645</v>
      </c>
      <c r="E2200" s="1">
        <v>4.64793056E8</v>
      </c>
      <c r="F2200" s="2">
        <v>41928.0</v>
      </c>
      <c r="G2200" s="1" t="s">
        <v>710</v>
      </c>
      <c r="I2200" s="1" t="s">
        <v>710</v>
      </c>
      <c r="L2200" s="1" t="s">
        <v>647</v>
      </c>
      <c r="M2200" s="1">
        <v>1200.0</v>
      </c>
      <c r="N2200" s="1" t="s">
        <v>647</v>
      </c>
      <c r="O2200" s="1">
        <v>3537326.0</v>
      </c>
      <c r="P2200" s="1" t="s">
        <v>560</v>
      </c>
      <c r="R2200" s="1" t="s">
        <v>561</v>
      </c>
      <c r="S2200" s="1" t="s">
        <v>44</v>
      </c>
      <c r="T2200" s="1" t="s">
        <v>45</v>
      </c>
      <c r="U2200" s="1">
        <v>4.8212177E8</v>
      </c>
      <c r="W2200" s="1" t="s">
        <v>498</v>
      </c>
      <c r="X2200" s="1" t="s">
        <v>45</v>
      </c>
      <c r="Y2200" s="1">
        <v>4.82121754E8</v>
      </c>
      <c r="Z2200" s="1">
        <v>3537326.0</v>
      </c>
      <c r="AA2200" s="1" t="s">
        <v>560</v>
      </c>
      <c r="AB2200" s="1">
        <v>25796.35</v>
      </c>
      <c r="AC2200" s="2">
        <v>41928.0</v>
      </c>
      <c r="AD2200" s="1">
        <v>1200.0</v>
      </c>
      <c r="AE2200" s="1" t="s">
        <v>647</v>
      </c>
      <c r="AF2200" s="1" t="s">
        <v>3939</v>
      </c>
      <c r="AG2200" s="1" t="s">
        <v>712</v>
      </c>
      <c r="AH2200" s="1">
        <v>1.0</v>
      </c>
      <c r="AI2200" s="1">
        <v>2015.0</v>
      </c>
      <c r="AJ2200" s="1">
        <v>2015.0</v>
      </c>
      <c r="AK2200" s="1" t="s">
        <v>713</v>
      </c>
    </row>
    <row r="2201">
      <c r="A2201" s="1" t="s">
        <v>1913</v>
      </c>
      <c r="B2201" s="1" t="s">
        <v>1913</v>
      </c>
      <c r="C2201" s="1" t="s">
        <v>645</v>
      </c>
      <c r="E2201" s="1">
        <v>1.4642656E8</v>
      </c>
      <c r="F2201" s="2">
        <v>41999.0</v>
      </c>
      <c r="G2201" s="1" t="s">
        <v>710</v>
      </c>
      <c r="I2201" s="1" t="s">
        <v>710</v>
      </c>
      <c r="L2201" s="1" t="s">
        <v>647</v>
      </c>
      <c r="M2201" s="1">
        <v>1200.0</v>
      </c>
      <c r="N2201" s="1" t="s">
        <v>647</v>
      </c>
      <c r="O2201" s="1">
        <v>7.6340843E7</v>
      </c>
      <c r="P2201" s="1" t="s">
        <v>461</v>
      </c>
      <c r="R2201" s="1" t="s">
        <v>1599</v>
      </c>
      <c r="S2201" s="1" t="s">
        <v>44</v>
      </c>
      <c r="T2201" s="1" t="s">
        <v>45</v>
      </c>
      <c r="U2201" s="1">
        <v>4.8202301E8</v>
      </c>
      <c r="W2201" s="1" t="s">
        <v>44</v>
      </c>
      <c r="X2201" s="1" t="s">
        <v>45</v>
      </c>
      <c r="Y2201" s="1">
        <v>4.82023096E8</v>
      </c>
      <c r="Z2201" s="1">
        <v>7.6340843E7</v>
      </c>
      <c r="AA2201" s="1" t="s">
        <v>461</v>
      </c>
      <c r="AB2201" s="1">
        <v>2905868.83</v>
      </c>
      <c r="AC2201" s="2">
        <v>41999.0</v>
      </c>
      <c r="AD2201" s="1">
        <v>1200.0</v>
      </c>
      <c r="AE2201" s="1" t="s">
        <v>647</v>
      </c>
      <c r="AF2201" s="1" t="s">
        <v>3940</v>
      </c>
      <c r="AG2201" s="1" t="s">
        <v>712</v>
      </c>
      <c r="AH2201" s="1">
        <v>1.0</v>
      </c>
      <c r="AI2201" s="1">
        <v>2015.0</v>
      </c>
      <c r="AJ2201" s="1">
        <v>2015.0</v>
      </c>
      <c r="AK2201" s="1" t="s">
        <v>713</v>
      </c>
    </row>
    <row r="2202">
      <c r="A2202" s="1" t="s">
        <v>1913</v>
      </c>
      <c r="B2202" s="1" t="s">
        <v>1913</v>
      </c>
      <c r="C2202" s="1" t="s">
        <v>645</v>
      </c>
      <c r="E2202" s="1">
        <v>1.4642656E8</v>
      </c>
      <c r="F2202" s="2">
        <v>41984.0</v>
      </c>
      <c r="G2202" s="1" t="s">
        <v>710</v>
      </c>
      <c r="I2202" s="1" t="s">
        <v>710</v>
      </c>
      <c r="L2202" s="1" t="s">
        <v>647</v>
      </c>
      <c r="M2202" s="1">
        <v>1200.0</v>
      </c>
      <c r="N2202" s="1" t="s">
        <v>647</v>
      </c>
      <c r="O2202" s="1">
        <v>9.6910162E8</v>
      </c>
      <c r="P2202" s="1" t="s">
        <v>579</v>
      </c>
      <c r="R2202" s="1" t="s">
        <v>580</v>
      </c>
      <c r="S2202" s="1" t="s">
        <v>44</v>
      </c>
      <c r="T2202" s="1" t="s">
        <v>45</v>
      </c>
      <c r="U2202" s="1">
        <v>4.82283905E8</v>
      </c>
      <c r="W2202" s="1" t="s">
        <v>287</v>
      </c>
      <c r="X2202" s="1" t="s">
        <v>45</v>
      </c>
      <c r="Y2202" s="1">
        <v>4.82283905E8</v>
      </c>
      <c r="AB2202" s="1">
        <v>36300.78</v>
      </c>
      <c r="AC2202" s="2">
        <v>41984.0</v>
      </c>
      <c r="AD2202" s="1">
        <v>1200.0</v>
      </c>
      <c r="AE2202" s="1" t="s">
        <v>647</v>
      </c>
      <c r="AF2202" s="1" t="s">
        <v>3941</v>
      </c>
      <c r="AG2202" s="1" t="s">
        <v>712</v>
      </c>
      <c r="AH2202" s="1">
        <v>1.0</v>
      </c>
      <c r="AI2202" s="1">
        <v>2015.0</v>
      </c>
      <c r="AJ2202" s="1">
        <v>2015.0</v>
      </c>
      <c r="AK2202" s="1" t="s">
        <v>713</v>
      </c>
    </row>
    <row r="2203">
      <c r="A2203" s="1" t="s">
        <v>1913</v>
      </c>
      <c r="B2203" s="1" t="s">
        <v>1913</v>
      </c>
      <c r="C2203" s="1" t="s">
        <v>645</v>
      </c>
      <c r="E2203" s="1">
        <v>1.4642656E8</v>
      </c>
      <c r="F2203" s="2">
        <v>41956.0</v>
      </c>
      <c r="G2203" s="1" t="s">
        <v>710</v>
      </c>
      <c r="I2203" s="1" t="s">
        <v>710</v>
      </c>
      <c r="L2203" s="1" t="s">
        <v>647</v>
      </c>
      <c r="M2203" s="1">
        <v>1200.0</v>
      </c>
      <c r="N2203" s="1" t="s">
        <v>647</v>
      </c>
      <c r="O2203" s="1">
        <v>8.29630537E8</v>
      </c>
      <c r="P2203" s="1" t="s">
        <v>531</v>
      </c>
      <c r="Q2203" s="1" t="s">
        <v>532</v>
      </c>
      <c r="R2203" s="1" t="s">
        <v>533</v>
      </c>
      <c r="S2203" s="1" t="s">
        <v>44</v>
      </c>
      <c r="T2203" s="1" t="s">
        <v>45</v>
      </c>
      <c r="U2203" s="1">
        <v>4.8219181E8</v>
      </c>
      <c r="W2203" s="1" t="s">
        <v>44</v>
      </c>
      <c r="X2203" s="1" t="s">
        <v>45</v>
      </c>
      <c r="Y2203" s="1">
        <v>4.8219181E8</v>
      </c>
      <c r="AB2203" s="1">
        <v>37001.96</v>
      </c>
      <c r="AC2203" s="2">
        <v>41956.0</v>
      </c>
      <c r="AD2203" s="1">
        <v>1200.0</v>
      </c>
      <c r="AE2203" s="1" t="s">
        <v>647</v>
      </c>
      <c r="AF2203" s="1" t="s">
        <v>3942</v>
      </c>
      <c r="AG2203" s="1" t="s">
        <v>712</v>
      </c>
      <c r="AH2203" s="1">
        <v>1.0</v>
      </c>
      <c r="AI2203" s="1">
        <v>2015.0</v>
      </c>
      <c r="AJ2203" s="1">
        <v>2015.0</v>
      </c>
      <c r="AK2203" s="1" t="s">
        <v>713</v>
      </c>
    </row>
    <row r="2204">
      <c r="A2204" s="1" t="s">
        <v>1913</v>
      </c>
      <c r="B2204" s="1" t="s">
        <v>1913</v>
      </c>
      <c r="C2204" s="1" t="s">
        <v>645</v>
      </c>
      <c r="E2204" s="1">
        <v>1.4642656E8</v>
      </c>
      <c r="F2204" s="2">
        <v>41991.0</v>
      </c>
      <c r="G2204" s="1" t="s">
        <v>710</v>
      </c>
      <c r="I2204" s="1" t="s">
        <v>710</v>
      </c>
      <c r="L2204" s="1" t="s">
        <v>647</v>
      </c>
      <c r="M2204" s="1">
        <v>1200.0</v>
      </c>
      <c r="N2204" s="1" t="s">
        <v>647</v>
      </c>
      <c r="O2204" s="1">
        <v>3.9866801E7</v>
      </c>
      <c r="P2204" s="1" t="s">
        <v>612</v>
      </c>
      <c r="R2204" s="1" t="s">
        <v>613</v>
      </c>
      <c r="S2204" s="1" t="s">
        <v>44</v>
      </c>
      <c r="T2204" s="1" t="s">
        <v>45</v>
      </c>
      <c r="U2204" s="1">
        <v>4.8212E8</v>
      </c>
      <c r="W2204" s="1" t="s">
        <v>607</v>
      </c>
      <c r="X2204" s="1" t="s">
        <v>45</v>
      </c>
      <c r="Y2204" s="1">
        <v>4.82120012E8</v>
      </c>
      <c r="Z2204" s="1">
        <v>3.9866801E7</v>
      </c>
      <c r="AA2204" s="1" t="s">
        <v>612</v>
      </c>
      <c r="AB2204" s="1">
        <v>182334.82</v>
      </c>
      <c r="AC2204" s="2">
        <v>41991.0</v>
      </c>
      <c r="AD2204" s="1">
        <v>1200.0</v>
      </c>
      <c r="AE2204" s="1" t="s">
        <v>647</v>
      </c>
      <c r="AF2204" s="1" t="s">
        <v>3943</v>
      </c>
      <c r="AG2204" s="1" t="s">
        <v>712</v>
      </c>
      <c r="AH2204" s="1">
        <v>1.0</v>
      </c>
      <c r="AI2204" s="1">
        <v>2015.0</v>
      </c>
      <c r="AJ2204" s="1">
        <v>2015.0</v>
      </c>
      <c r="AK2204" s="1" t="s">
        <v>713</v>
      </c>
    </row>
    <row r="2205">
      <c r="A2205" s="1" t="s">
        <v>1913</v>
      </c>
      <c r="B2205" s="1" t="s">
        <v>1913</v>
      </c>
      <c r="C2205" s="1" t="s">
        <v>645</v>
      </c>
      <c r="E2205" s="1">
        <v>1.4642656E8</v>
      </c>
      <c r="F2205" s="2">
        <v>41984.0</v>
      </c>
      <c r="G2205" s="1" t="s">
        <v>710</v>
      </c>
      <c r="I2205" s="1" t="s">
        <v>710</v>
      </c>
      <c r="L2205" s="1" t="s">
        <v>647</v>
      </c>
      <c r="M2205" s="1">
        <v>1200.0</v>
      </c>
      <c r="N2205" s="1" t="s">
        <v>647</v>
      </c>
      <c r="O2205" s="1">
        <v>5.2874042E7</v>
      </c>
      <c r="P2205" s="1" t="s">
        <v>538</v>
      </c>
      <c r="R2205" s="1" t="s">
        <v>539</v>
      </c>
      <c r="S2205" s="1" t="s">
        <v>44</v>
      </c>
      <c r="T2205" s="1" t="s">
        <v>45</v>
      </c>
      <c r="U2205" s="1">
        <v>4.82091524E8</v>
      </c>
      <c r="W2205" s="1" t="s">
        <v>44</v>
      </c>
      <c r="X2205" s="1" t="s">
        <v>45</v>
      </c>
      <c r="Y2205" s="1">
        <v>4.82091524E8</v>
      </c>
      <c r="AB2205" s="1">
        <v>65901.94</v>
      </c>
      <c r="AC2205" s="2">
        <v>41984.0</v>
      </c>
      <c r="AD2205" s="1">
        <v>1200.0</v>
      </c>
      <c r="AE2205" s="1" t="s">
        <v>647</v>
      </c>
      <c r="AF2205" s="1" t="s">
        <v>3944</v>
      </c>
      <c r="AG2205" s="1" t="s">
        <v>712</v>
      </c>
      <c r="AH2205" s="1">
        <v>1.0</v>
      </c>
      <c r="AI2205" s="1">
        <v>2015.0</v>
      </c>
      <c r="AJ2205" s="1">
        <v>2015.0</v>
      </c>
      <c r="AK2205" s="1" t="s">
        <v>713</v>
      </c>
    </row>
    <row r="2206">
      <c r="A2206" s="1" t="s">
        <v>1913</v>
      </c>
      <c r="B2206" s="1" t="s">
        <v>1913</v>
      </c>
      <c r="C2206" s="1" t="s">
        <v>645</v>
      </c>
      <c r="E2206" s="1">
        <v>1.4642656E8</v>
      </c>
      <c r="F2206" s="2">
        <v>41999.0</v>
      </c>
      <c r="G2206" s="1" t="s">
        <v>710</v>
      </c>
      <c r="I2206" s="1" t="s">
        <v>710</v>
      </c>
      <c r="L2206" s="1" t="s">
        <v>647</v>
      </c>
      <c r="M2206" s="1">
        <v>1200.0</v>
      </c>
      <c r="N2206" s="1" t="s">
        <v>647</v>
      </c>
      <c r="O2206" s="1">
        <v>1.6338926E8</v>
      </c>
      <c r="P2206" s="1" t="s">
        <v>465</v>
      </c>
      <c r="Q2206" s="1" t="s">
        <v>598</v>
      </c>
      <c r="R2206" s="1" t="s">
        <v>599</v>
      </c>
      <c r="S2206" s="1" t="s">
        <v>44</v>
      </c>
      <c r="T2206" s="1" t="s">
        <v>45</v>
      </c>
      <c r="U2206" s="1">
        <v>4.82023457E8</v>
      </c>
      <c r="W2206" s="1" t="s">
        <v>44</v>
      </c>
      <c r="X2206" s="1" t="s">
        <v>45</v>
      </c>
      <c r="Y2206" s="1">
        <v>4.82023457E8</v>
      </c>
      <c r="Z2206" s="1">
        <v>1.6338926E8</v>
      </c>
      <c r="AA2206" s="1" t="s">
        <v>465</v>
      </c>
      <c r="AB2206" s="1">
        <v>100688.78</v>
      </c>
      <c r="AC2206" s="2">
        <v>41999.0</v>
      </c>
      <c r="AD2206" s="1">
        <v>1200.0</v>
      </c>
      <c r="AE2206" s="1" t="s">
        <v>647</v>
      </c>
      <c r="AF2206" s="1" t="s">
        <v>3945</v>
      </c>
      <c r="AG2206" s="1" t="s">
        <v>712</v>
      </c>
      <c r="AH2206" s="1">
        <v>1.0</v>
      </c>
      <c r="AI2206" s="1">
        <v>2015.0</v>
      </c>
      <c r="AJ2206" s="1">
        <v>2015.0</v>
      </c>
      <c r="AK2206" s="1" t="s">
        <v>713</v>
      </c>
    </row>
    <row r="2207">
      <c r="A2207" s="1" t="s">
        <v>1913</v>
      </c>
      <c r="B2207" s="1" t="s">
        <v>1913</v>
      </c>
      <c r="C2207" s="1" t="s">
        <v>645</v>
      </c>
      <c r="E2207" s="1">
        <v>1.4642656E8</v>
      </c>
      <c r="F2207" s="2">
        <v>41984.0</v>
      </c>
      <c r="G2207" s="1" t="s">
        <v>710</v>
      </c>
      <c r="I2207" s="1" t="s">
        <v>710</v>
      </c>
      <c r="L2207" s="1" t="s">
        <v>647</v>
      </c>
      <c r="M2207" s="1">
        <v>1200.0</v>
      </c>
      <c r="N2207" s="1" t="s">
        <v>647</v>
      </c>
      <c r="O2207" s="1">
        <v>9.48021373E8</v>
      </c>
      <c r="P2207" s="1" t="s">
        <v>501</v>
      </c>
      <c r="R2207" s="1" t="s">
        <v>502</v>
      </c>
      <c r="S2207" s="1" t="s">
        <v>44</v>
      </c>
      <c r="T2207" s="1" t="s">
        <v>45</v>
      </c>
      <c r="U2207" s="1">
        <v>4.82072901E8</v>
      </c>
      <c r="W2207" s="1" t="s">
        <v>44</v>
      </c>
      <c r="X2207" s="1" t="s">
        <v>45</v>
      </c>
      <c r="Y2207" s="1">
        <v>4.82072901E8</v>
      </c>
      <c r="AB2207" s="1">
        <v>35952.04</v>
      </c>
      <c r="AC2207" s="2">
        <v>41984.0</v>
      </c>
      <c r="AD2207" s="1">
        <v>1200.0</v>
      </c>
      <c r="AE2207" s="1" t="s">
        <v>647</v>
      </c>
      <c r="AF2207" s="1" t="s">
        <v>3946</v>
      </c>
      <c r="AG2207" s="1" t="s">
        <v>712</v>
      </c>
      <c r="AH2207" s="1">
        <v>1.0</v>
      </c>
      <c r="AI2207" s="1">
        <v>2015.0</v>
      </c>
      <c r="AJ2207" s="1">
        <v>2015.0</v>
      </c>
      <c r="AK2207" s="1" t="s">
        <v>713</v>
      </c>
    </row>
    <row r="2208">
      <c r="A2208" s="1" t="s">
        <v>1913</v>
      </c>
      <c r="B2208" s="1" t="s">
        <v>1913</v>
      </c>
      <c r="C2208" s="1" t="s">
        <v>645</v>
      </c>
      <c r="E2208" s="1">
        <v>1.4642656E8</v>
      </c>
      <c r="F2208" s="2">
        <v>41984.0</v>
      </c>
      <c r="G2208" s="1" t="s">
        <v>710</v>
      </c>
      <c r="I2208" s="1" t="s">
        <v>710</v>
      </c>
      <c r="L2208" s="1" t="s">
        <v>647</v>
      </c>
      <c r="M2208" s="1">
        <v>1200.0</v>
      </c>
      <c r="N2208" s="1" t="s">
        <v>647</v>
      </c>
      <c r="O2208" s="1">
        <v>8.25304442E8</v>
      </c>
      <c r="P2208" s="1" t="s">
        <v>829</v>
      </c>
      <c r="R2208" s="1" t="s">
        <v>830</v>
      </c>
      <c r="S2208" s="1" t="s">
        <v>44</v>
      </c>
      <c r="T2208" s="1" t="s">
        <v>45</v>
      </c>
      <c r="U2208" s="1">
        <v>4.82351762E8</v>
      </c>
      <c r="W2208" s="1" t="s">
        <v>44</v>
      </c>
      <c r="X2208" s="1" t="s">
        <v>45</v>
      </c>
      <c r="Y2208" s="1">
        <v>4.82351762E8</v>
      </c>
      <c r="AB2208" s="1">
        <v>25839.0</v>
      </c>
      <c r="AC2208" s="2">
        <v>41984.0</v>
      </c>
      <c r="AD2208" s="1">
        <v>1200.0</v>
      </c>
      <c r="AE2208" s="1" t="s">
        <v>647</v>
      </c>
      <c r="AF2208" s="1" t="s">
        <v>3947</v>
      </c>
      <c r="AG2208" s="1" t="s">
        <v>712</v>
      </c>
      <c r="AH2208" s="1">
        <v>1.0</v>
      </c>
      <c r="AI2208" s="1">
        <v>2015.0</v>
      </c>
      <c r="AJ2208" s="1">
        <v>2015.0</v>
      </c>
      <c r="AK2208" s="1" t="s">
        <v>713</v>
      </c>
    </row>
    <row r="2209">
      <c r="A2209" s="1" t="s">
        <v>1913</v>
      </c>
      <c r="B2209" s="1" t="s">
        <v>1913</v>
      </c>
      <c r="C2209" s="1" t="s">
        <v>645</v>
      </c>
      <c r="E2209" s="1">
        <v>1.4642656E8</v>
      </c>
      <c r="F2209" s="2">
        <v>41999.0</v>
      </c>
      <c r="G2209" s="1" t="s">
        <v>710</v>
      </c>
      <c r="I2209" s="1" t="s">
        <v>710</v>
      </c>
      <c r="L2209" s="1" t="s">
        <v>647</v>
      </c>
      <c r="M2209" s="1">
        <v>1200.0</v>
      </c>
      <c r="N2209" s="1" t="s">
        <v>647</v>
      </c>
      <c r="O2209" s="1">
        <v>6533863.0</v>
      </c>
      <c r="P2209" s="1" t="s">
        <v>3194</v>
      </c>
      <c r="Q2209" s="1" t="s">
        <v>3195</v>
      </c>
      <c r="R2209" s="1" t="s">
        <v>3196</v>
      </c>
      <c r="S2209" s="1" t="s">
        <v>44</v>
      </c>
      <c r="T2209" s="1" t="s">
        <v>45</v>
      </c>
      <c r="U2209" s="1">
        <v>4.82261894E8</v>
      </c>
      <c r="W2209" s="1" t="s">
        <v>3197</v>
      </c>
      <c r="X2209" s="1" t="s">
        <v>45</v>
      </c>
      <c r="Y2209" s="1">
        <v>4.81339647E8</v>
      </c>
      <c r="Z2209" s="1">
        <v>6533863.0</v>
      </c>
      <c r="AB2209" s="1">
        <v>60234.2</v>
      </c>
      <c r="AC2209" s="2">
        <v>41999.0</v>
      </c>
      <c r="AD2209" s="1">
        <v>1200.0</v>
      </c>
      <c r="AE2209" s="1" t="s">
        <v>647</v>
      </c>
      <c r="AF2209" s="1" t="s">
        <v>3948</v>
      </c>
      <c r="AG2209" s="1" t="s">
        <v>712</v>
      </c>
      <c r="AH2209" s="1">
        <v>1.0</v>
      </c>
      <c r="AI2209" s="1">
        <v>2015.0</v>
      </c>
      <c r="AJ2209" s="1">
        <v>2015.0</v>
      </c>
      <c r="AK2209" s="1" t="s">
        <v>713</v>
      </c>
    </row>
    <row r="2210">
      <c r="A2210" s="1" t="s">
        <v>1913</v>
      </c>
      <c r="B2210" s="1" t="s">
        <v>1913</v>
      </c>
      <c r="C2210" s="1" t="s">
        <v>645</v>
      </c>
      <c r="E2210" s="1">
        <v>1.4642656E8</v>
      </c>
      <c r="F2210" s="2">
        <v>41984.0</v>
      </c>
      <c r="G2210" s="1" t="s">
        <v>710</v>
      </c>
      <c r="I2210" s="1" t="s">
        <v>710</v>
      </c>
      <c r="L2210" s="1" t="s">
        <v>647</v>
      </c>
      <c r="M2210" s="1">
        <v>1200.0</v>
      </c>
      <c r="N2210" s="1" t="s">
        <v>647</v>
      </c>
      <c r="O2210" s="1">
        <v>8.29503312E8</v>
      </c>
      <c r="P2210" s="1" t="s">
        <v>622</v>
      </c>
      <c r="R2210" s="1" t="s">
        <v>623</v>
      </c>
      <c r="S2210" s="1" t="s">
        <v>44</v>
      </c>
      <c r="T2210" s="1" t="s">
        <v>45</v>
      </c>
      <c r="U2210" s="1">
        <v>4.82035715E8</v>
      </c>
      <c r="W2210" s="1" t="s">
        <v>603</v>
      </c>
      <c r="X2210" s="1" t="s">
        <v>45</v>
      </c>
      <c r="Y2210" s="1">
        <v>4.82035715E8</v>
      </c>
      <c r="AB2210" s="1">
        <v>43538.87</v>
      </c>
      <c r="AC2210" s="2">
        <v>41984.0</v>
      </c>
      <c r="AD2210" s="1">
        <v>1200.0</v>
      </c>
      <c r="AE2210" s="1" t="s">
        <v>647</v>
      </c>
      <c r="AF2210" s="1" t="s">
        <v>3949</v>
      </c>
      <c r="AG2210" s="1" t="s">
        <v>712</v>
      </c>
      <c r="AH2210" s="1">
        <v>1.0</v>
      </c>
      <c r="AI2210" s="1">
        <v>2015.0</v>
      </c>
      <c r="AJ2210" s="1">
        <v>2015.0</v>
      </c>
      <c r="AK2210" s="1" t="s">
        <v>713</v>
      </c>
    </row>
    <row r="2211">
      <c r="A2211" s="1" t="s">
        <v>1913</v>
      </c>
      <c r="B2211" s="1" t="s">
        <v>1913</v>
      </c>
      <c r="C2211" s="1" t="s">
        <v>645</v>
      </c>
      <c r="E2211" s="1">
        <v>1.4642656E8</v>
      </c>
      <c r="F2211" s="2">
        <v>41984.0</v>
      </c>
      <c r="G2211" s="1" t="s">
        <v>710</v>
      </c>
      <c r="I2211" s="1" t="s">
        <v>710</v>
      </c>
      <c r="L2211" s="1" t="s">
        <v>647</v>
      </c>
      <c r="M2211" s="1">
        <v>1200.0</v>
      </c>
      <c r="N2211" s="1" t="s">
        <v>647</v>
      </c>
      <c r="O2211" s="1">
        <v>7.3832607E7</v>
      </c>
      <c r="P2211" s="1" t="s">
        <v>482</v>
      </c>
      <c r="R2211" s="1" t="s">
        <v>483</v>
      </c>
      <c r="S2211" s="1" t="s">
        <v>44</v>
      </c>
      <c r="T2211" s="1" t="s">
        <v>45</v>
      </c>
      <c r="U2211" s="1">
        <v>4.82074288E8</v>
      </c>
      <c r="W2211" s="1" t="s">
        <v>44</v>
      </c>
      <c r="X2211" s="1" t="s">
        <v>45</v>
      </c>
      <c r="Y2211" s="1">
        <v>4.82074288E8</v>
      </c>
      <c r="AB2211" s="1">
        <v>60183.19</v>
      </c>
      <c r="AC2211" s="2">
        <v>41984.0</v>
      </c>
      <c r="AD2211" s="1">
        <v>1200.0</v>
      </c>
      <c r="AE2211" s="1" t="s">
        <v>647</v>
      </c>
      <c r="AF2211" s="1" t="s">
        <v>3950</v>
      </c>
      <c r="AG2211" s="1" t="s">
        <v>712</v>
      </c>
      <c r="AH2211" s="1">
        <v>1.0</v>
      </c>
      <c r="AI2211" s="1">
        <v>2015.0</v>
      </c>
      <c r="AJ2211" s="1">
        <v>2015.0</v>
      </c>
      <c r="AK2211" s="1" t="s">
        <v>713</v>
      </c>
    </row>
    <row r="2212">
      <c r="A2212" s="1" t="s">
        <v>1913</v>
      </c>
      <c r="B2212" s="1" t="s">
        <v>1913</v>
      </c>
      <c r="C2212" s="1" t="s">
        <v>645</v>
      </c>
      <c r="E2212" s="1">
        <v>1.4642656E8</v>
      </c>
      <c r="F2212" s="2">
        <v>41991.0</v>
      </c>
      <c r="G2212" s="1" t="s">
        <v>710</v>
      </c>
      <c r="I2212" s="1" t="s">
        <v>710</v>
      </c>
      <c r="L2212" s="1" t="s">
        <v>647</v>
      </c>
      <c r="M2212" s="1">
        <v>1200.0</v>
      </c>
      <c r="N2212" s="1" t="s">
        <v>647</v>
      </c>
      <c r="O2212" s="1">
        <v>8.5464519E7</v>
      </c>
      <c r="P2212" s="1" t="s">
        <v>704</v>
      </c>
      <c r="Q2212" s="1" t="s">
        <v>705</v>
      </c>
      <c r="R2212" s="1" t="s">
        <v>706</v>
      </c>
      <c r="S2212" s="1" t="s">
        <v>44</v>
      </c>
      <c r="T2212" s="1" t="s">
        <v>45</v>
      </c>
      <c r="U2212" s="1">
        <v>4.82012015E8</v>
      </c>
      <c r="W2212" s="1" t="s">
        <v>44</v>
      </c>
      <c r="X2212" s="1" t="s">
        <v>45</v>
      </c>
      <c r="Y2212" s="1">
        <v>4.82192044E8</v>
      </c>
      <c r="AB2212" s="1">
        <v>37598.38</v>
      </c>
      <c r="AC2212" s="2">
        <v>41991.0</v>
      </c>
      <c r="AD2212" s="1">
        <v>1200.0</v>
      </c>
      <c r="AE2212" s="1" t="s">
        <v>647</v>
      </c>
      <c r="AF2212" s="1" t="s">
        <v>3951</v>
      </c>
      <c r="AG2212" s="1" t="s">
        <v>712</v>
      </c>
      <c r="AH2212" s="1">
        <v>1.0</v>
      </c>
      <c r="AI2212" s="1">
        <v>2015.0</v>
      </c>
      <c r="AJ2212" s="1">
        <v>2015.0</v>
      </c>
      <c r="AK2212" s="1" t="s">
        <v>713</v>
      </c>
    </row>
    <row r="2213">
      <c r="A2213" s="1" t="s">
        <v>1913</v>
      </c>
      <c r="B2213" s="1" t="s">
        <v>1913</v>
      </c>
      <c r="C2213" s="1" t="s">
        <v>645</v>
      </c>
      <c r="E2213" s="1">
        <v>1.4642656E8</v>
      </c>
      <c r="F2213" s="2">
        <v>41984.0</v>
      </c>
      <c r="G2213" s="1" t="s">
        <v>710</v>
      </c>
      <c r="I2213" s="1" t="s">
        <v>710</v>
      </c>
      <c r="L2213" s="1" t="s">
        <v>647</v>
      </c>
      <c r="M2213" s="1">
        <v>1200.0</v>
      </c>
      <c r="N2213" s="1" t="s">
        <v>647</v>
      </c>
      <c r="O2213" s="1">
        <v>1.17726252E8</v>
      </c>
      <c r="P2213" s="1" t="s">
        <v>512</v>
      </c>
      <c r="R2213" s="1" t="s">
        <v>513</v>
      </c>
      <c r="S2213" s="1" t="s">
        <v>44</v>
      </c>
      <c r="T2213" s="1" t="s">
        <v>45</v>
      </c>
      <c r="U2213" s="1">
        <v>4.82193259E8</v>
      </c>
      <c r="W2213" s="1" t="s">
        <v>44</v>
      </c>
      <c r="X2213" s="1" t="s">
        <v>45</v>
      </c>
      <c r="Y2213" s="1">
        <v>4.82193259E8</v>
      </c>
      <c r="AB2213" s="1">
        <v>177761.52</v>
      </c>
      <c r="AC2213" s="2">
        <v>41984.0</v>
      </c>
      <c r="AD2213" s="1">
        <v>1200.0</v>
      </c>
      <c r="AE2213" s="1" t="s">
        <v>647</v>
      </c>
      <c r="AF2213" s="1" t="s">
        <v>3952</v>
      </c>
      <c r="AG2213" s="1" t="s">
        <v>712</v>
      </c>
      <c r="AH2213" s="1">
        <v>1.0</v>
      </c>
      <c r="AI2213" s="1">
        <v>2015.0</v>
      </c>
      <c r="AJ2213" s="1">
        <v>2015.0</v>
      </c>
      <c r="AK2213" s="1" t="s">
        <v>713</v>
      </c>
    </row>
    <row r="2214">
      <c r="A2214" s="1" t="s">
        <v>1913</v>
      </c>
      <c r="B2214" s="1" t="s">
        <v>1913</v>
      </c>
      <c r="C2214" s="1" t="s">
        <v>645</v>
      </c>
      <c r="E2214" s="1">
        <v>1.4642656E8</v>
      </c>
      <c r="F2214" s="2">
        <v>41977.0</v>
      </c>
      <c r="G2214" s="1" t="s">
        <v>710</v>
      </c>
      <c r="I2214" s="1" t="s">
        <v>710</v>
      </c>
      <c r="L2214" s="1" t="s">
        <v>647</v>
      </c>
      <c r="M2214" s="1">
        <v>1200.0</v>
      </c>
      <c r="N2214" s="1" t="s">
        <v>647</v>
      </c>
      <c r="O2214" s="1">
        <v>9.62378779E8</v>
      </c>
      <c r="P2214" s="1" t="s">
        <v>478</v>
      </c>
      <c r="R2214" s="1" t="s">
        <v>479</v>
      </c>
      <c r="S2214" s="1" t="s">
        <v>44</v>
      </c>
      <c r="T2214" s="1" t="s">
        <v>45</v>
      </c>
      <c r="U2214" s="1">
        <v>4.82342225E8</v>
      </c>
      <c r="W2214" s="1" t="s">
        <v>44</v>
      </c>
      <c r="X2214" s="1" t="s">
        <v>45</v>
      </c>
      <c r="Y2214" s="1">
        <v>4.82342225E8</v>
      </c>
      <c r="AB2214" s="1">
        <v>74235.6</v>
      </c>
      <c r="AC2214" s="2">
        <v>41977.0</v>
      </c>
      <c r="AD2214" s="1">
        <v>1200.0</v>
      </c>
      <c r="AE2214" s="1" t="s">
        <v>647</v>
      </c>
      <c r="AF2214" s="1" t="s">
        <v>3953</v>
      </c>
      <c r="AG2214" s="1" t="s">
        <v>712</v>
      </c>
      <c r="AH2214" s="1">
        <v>1.0</v>
      </c>
      <c r="AI2214" s="1">
        <v>2015.0</v>
      </c>
      <c r="AJ2214" s="1">
        <v>2015.0</v>
      </c>
      <c r="AK2214" s="1" t="s">
        <v>713</v>
      </c>
    </row>
    <row r="2215">
      <c r="A2215" s="1" t="s">
        <v>1913</v>
      </c>
      <c r="B2215" s="1" t="s">
        <v>1913</v>
      </c>
      <c r="C2215" s="1" t="s">
        <v>645</v>
      </c>
      <c r="E2215" s="1">
        <v>1.4642656E8</v>
      </c>
      <c r="F2215" s="2">
        <v>41984.0</v>
      </c>
      <c r="G2215" s="1" t="s">
        <v>710</v>
      </c>
      <c r="I2215" s="1" t="s">
        <v>710</v>
      </c>
      <c r="L2215" s="1" t="s">
        <v>647</v>
      </c>
      <c r="M2215" s="1">
        <v>1200.0</v>
      </c>
      <c r="N2215" s="1" t="s">
        <v>647</v>
      </c>
      <c r="O2215" s="1">
        <v>7.3832607E7</v>
      </c>
      <c r="P2215" s="1" t="s">
        <v>482</v>
      </c>
      <c r="R2215" s="1" t="s">
        <v>483</v>
      </c>
      <c r="S2215" s="1" t="s">
        <v>44</v>
      </c>
      <c r="T2215" s="1" t="s">
        <v>45</v>
      </c>
      <c r="U2215" s="1">
        <v>4.82074288E8</v>
      </c>
      <c r="W2215" s="1" t="s">
        <v>44</v>
      </c>
      <c r="X2215" s="1" t="s">
        <v>45</v>
      </c>
      <c r="Y2215" s="1">
        <v>4.82074288E8</v>
      </c>
      <c r="AB2215" s="1">
        <v>104150.4</v>
      </c>
      <c r="AC2215" s="2">
        <v>41984.0</v>
      </c>
      <c r="AD2215" s="1">
        <v>1200.0</v>
      </c>
      <c r="AE2215" s="1" t="s">
        <v>647</v>
      </c>
      <c r="AF2215" s="1" t="s">
        <v>3954</v>
      </c>
      <c r="AG2215" s="1" t="s">
        <v>712</v>
      </c>
      <c r="AH2215" s="1">
        <v>1.0</v>
      </c>
      <c r="AI2215" s="1">
        <v>2015.0</v>
      </c>
      <c r="AJ2215" s="1">
        <v>2015.0</v>
      </c>
      <c r="AK2215" s="1" t="s">
        <v>713</v>
      </c>
    </row>
    <row r="2216">
      <c r="A2216" s="1" t="s">
        <v>3750</v>
      </c>
      <c r="B2216" s="1" t="s">
        <v>3750</v>
      </c>
      <c r="C2216" s="1" t="s">
        <v>129</v>
      </c>
      <c r="E2216" s="1">
        <v>2.466944E7</v>
      </c>
      <c r="F2216" s="2">
        <v>41913.0</v>
      </c>
      <c r="G2216" s="1" t="s">
        <v>3751</v>
      </c>
      <c r="I2216" s="1" t="s">
        <v>3751</v>
      </c>
      <c r="L2216" s="1" t="s">
        <v>40</v>
      </c>
      <c r="M2216" s="1">
        <v>7500.0</v>
      </c>
      <c r="N2216" s="1" t="s">
        <v>40</v>
      </c>
      <c r="O2216" s="1">
        <v>2.0830303E7</v>
      </c>
      <c r="P2216" s="1" t="s">
        <v>424</v>
      </c>
      <c r="Q2216" s="1" t="s">
        <v>425</v>
      </c>
      <c r="R2216" s="1" t="s">
        <v>426</v>
      </c>
      <c r="S2216" s="1" t="s">
        <v>44</v>
      </c>
      <c r="T2216" s="1" t="s">
        <v>45</v>
      </c>
      <c r="U2216" s="1">
        <v>4.82012002E8</v>
      </c>
      <c r="W2216" s="1" t="s">
        <v>44</v>
      </c>
      <c r="X2216" s="1" t="s">
        <v>45</v>
      </c>
      <c r="Y2216" s="1">
        <v>4.82012002E8</v>
      </c>
      <c r="Z2216" s="1">
        <v>2.0830303E7</v>
      </c>
      <c r="AA2216" s="1" t="s">
        <v>424</v>
      </c>
      <c r="AB2216" s="1">
        <v>297415.0</v>
      </c>
      <c r="AC2216" s="2">
        <v>41913.0</v>
      </c>
      <c r="AD2216" s="1">
        <v>7500.0</v>
      </c>
      <c r="AE2216" s="1" t="s">
        <v>40</v>
      </c>
      <c r="AF2216" s="1" t="s">
        <v>2642</v>
      </c>
      <c r="AG2216" s="1" t="s">
        <v>3955</v>
      </c>
      <c r="AH2216" s="1">
        <v>11.0</v>
      </c>
      <c r="AI2216" s="1">
        <v>2014.0</v>
      </c>
      <c r="AJ2216" s="1">
        <v>2015.0</v>
      </c>
      <c r="AK2216" s="1" t="s">
        <v>1275</v>
      </c>
    </row>
    <row r="2217">
      <c r="A2217" s="1" t="s">
        <v>198</v>
      </c>
      <c r="B2217" s="1" t="s">
        <v>198</v>
      </c>
      <c r="C2217" s="1" t="s">
        <v>38</v>
      </c>
      <c r="E2217" s="1">
        <v>9391444.0</v>
      </c>
      <c r="F2217" s="2">
        <v>41985.0</v>
      </c>
      <c r="G2217" s="1" t="s">
        <v>2086</v>
      </c>
      <c r="I2217" s="1" t="s">
        <v>2086</v>
      </c>
      <c r="L2217" s="1" t="s">
        <v>40</v>
      </c>
      <c r="M2217" s="1">
        <v>7500.0</v>
      </c>
      <c r="N2217" s="1" t="s">
        <v>40</v>
      </c>
      <c r="O2217" s="1">
        <v>7.3134603E7</v>
      </c>
      <c r="P2217" s="1" t="s">
        <v>41</v>
      </c>
      <c r="Q2217" s="1" t="s">
        <v>252</v>
      </c>
      <c r="R2217" s="1" t="s">
        <v>253</v>
      </c>
      <c r="S2217" s="1" t="s">
        <v>44</v>
      </c>
      <c r="T2217" s="1" t="s">
        <v>45</v>
      </c>
      <c r="U2217" s="1">
        <v>4.8202345E8</v>
      </c>
      <c r="W2217" s="1" t="s">
        <v>46</v>
      </c>
      <c r="X2217" s="1" t="s">
        <v>45</v>
      </c>
      <c r="Y2217" s="1">
        <v>4.8202345E8</v>
      </c>
      <c r="Z2217" s="1">
        <v>7.3134603E7</v>
      </c>
      <c r="AA2217" s="1" t="s">
        <v>41</v>
      </c>
      <c r="AB2217" s="1">
        <v>101444.0</v>
      </c>
      <c r="AC2217" s="2">
        <v>41985.0</v>
      </c>
      <c r="AD2217" s="1">
        <v>7500.0</v>
      </c>
      <c r="AE2217" s="1" t="s">
        <v>40</v>
      </c>
      <c r="AF2217" s="1" t="s">
        <v>1527</v>
      </c>
      <c r="AG2217" s="1" t="s">
        <v>2909</v>
      </c>
      <c r="AH2217" s="1">
        <v>1.0</v>
      </c>
      <c r="AI2217" s="1">
        <v>2015.0</v>
      </c>
      <c r="AJ2217" s="1">
        <v>2015.0</v>
      </c>
      <c r="AK2217" s="1" t="s">
        <v>202</v>
      </c>
    </row>
    <row r="2218">
      <c r="A2218" s="1" t="s">
        <v>3956</v>
      </c>
      <c r="B2218" s="1" t="s">
        <v>3956</v>
      </c>
      <c r="C2218" s="1" t="s">
        <v>207</v>
      </c>
      <c r="E2218" s="1">
        <v>2.48575334E9</v>
      </c>
      <c r="F2218" s="2">
        <v>41548.0</v>
      </c>
      <c r="G2218" s="1" t="s">
        <v>3957</v>
      </c>
      <c r="I2218" s="1" t="s">
        <v>3957</v>
      </c>
      <c r="L2218" s="1" t="s">
        <v>40</v>
      </c>
      <c r="M2218" s="1">
        <v>7500.0</v>
      </c>
      <c r="N2218" s="1" t="s">
        <v>40</v>
      </c>
      <c r="O2218" s="1">
        <v>3.8775243E7</v>
      </c>
      <c r="P2218" s="1" t="s">
        <v>209</v>
      </c>
      <c r="Q2218" s="1" t="s">
        <v>210</v>
      </c>
      <c r="R2218" s="1" t="s">
        <v>211</v>
      </c>
      <c r="S2218" s="1" t="s">
        <v>44</v>
      </c>
      <c r="T2218" s="1" t="s">
        <v>45</v>
      </c>
      <c r="U2218" s="1">
        <v>4.82023068E8</v>
      </c>
      <c r="W2218" s="1" t="s">
        <v>46</v>
      </c>
      <c r="X2218" s="1" t="s">
        <v>45</v>
      </c>
      <c r="Y2218" s="1">
        <v>4.82023068E8</v>
      </c>
      <c r="Z2218" s="1">
        <v>3.8775243E7</v>
      </c>
      <c r="AA2218" s="1" t="s">
        <v>209</v>
      </c>
      <c r="AB2218" s="1">
        <v>8199.72</v>
      </c>
      <c r="AC2218" s="2">
        <v>41548.0</v>
      </c>
      <c r="AD2218" s="1">
        <v>7500.0</v>
      </c>
      <c r="AE2218" s="1" t="s">
        <v>40</v>
      </c>
      <c r="AF2218" s="1">
        <v>2.014069E7</v>
      </c>
      <c r="AG2218" s="1" t="s">
        <v>212</v>
      </c>
      <c r="AH2218" s="1">
        <v>10.0</v>
      </c>
      <c r="AI2218" s="1">
        <v>2013.0</v>
      </c>
      <c r="AJ2218" s="1">
        <v>2014.0</v>
      </c>
      <c r="AK2218" s="1" t="s">
        <v>213</v>
      </c>
    </row>
    <row r="2219">
      <c r="A2219" s="1" t="s">
        <v>3956</v>
      </c>
      <c r="B2219" s="1" t="s">
        <v>3956</v>
      </c>
      <c r="C2219" s="1" t="s">
        <v>207</v>
      </c>
      <c r="E2219" s="1">
        <v>2.48575334E9</v>
      </c>
      <c r="F2219" s="2">
        <v>41548.0</v>
      </c>
      <c r="G2219" s="1" t="s">
        <v>3957</v>
      </c>
      <c r="I2219" s="1" t="s">
        <v>3957</v>
      </c>
      <c r="L2219" s="1" t="s">
        <v>40</v>
      </c>
      <c r="M2219" s="1">
        <v>7500.0</v>
      </c>
      <c r="N2219" s="1" t="s">
        <v>40</v>
      </c>
      <c r="O2219" s="1">
        <v>3.8775243E7</v>
      </c>
      <c r="P2219" s="1" t="s">
        <v>209</v>
      </c>
      <c r="Q2219" s="1" t="s">
        <v>210</v>
      </c>
      <c r="R2219" s="1" t="s">
        <v>211</v>
      </c>
      <c r="S2219" s="1" t="s">
        <v>44</v>
      </c>
      <c r="T2219" s="1" t="s">
        <v>45</v>
      </c>
      <c r="U2219" s="1">
        <v>4.82023068E8</v>
      </c>
      <c r="W2219" s="1" t="s">
        <v>46</v>
      </c>
      <c r="X2219" s="1" t="s">
        <v>45</v>
      </c>
      <c r="Y2219" s="1">
        <v>4.82023068E8</v>
      </c>
      <c r="Z2219" s="1">
        <v>3.8775243E7</v>
      </c>
      <c r="AA2219" s="1" t="s">
        <v>209</v>
      </c>
      <c r="AB2219" s="1">
        <v>731.13</v>
      </c>
      <c r="AC2219" s="2">
        <v>41548.0</v>
      </c>
      <c r="AD2219" s="1">
        <v>7500.0</v>
      </c>
      <c r="AE2219" s="1" t="s">
        <v>40</v>
      </c>
      <c r="AF2219" s="1">
        <v>2.0140695E7</v>
      </c>
      <c r="AG2219" s="1" t="s">
        <v>212</v>
      </c>
      <c r="AH2219" s="1">
        <v>10.0</v>
      </c>
      <c r="AI2219" s="1">
        <v>2013.0</v>
      </c>
      <c r="AJ2219" s="1">
        <v>2014.0</v>
      </c>
      <c r="AK2219" s="1" t="s">
        <v>213</v>
      </c>
    </row>
    <row r="2220">
      <c r="A2220" s="1" t="s">
        <v>3956</v>
      </c>
      <c r="B2220" s="1" t="s">
        <v>3956</v>
      </c>
      <c r="C2220" s="1" t="s">
        <v>207</v>
      </c>
      <c r="E2220" s="1">
        <v>2.48575334E9</v>
      </c>
      <c r="F2220" s="2">
        <v>41548.0</v>
      </c>
      <c r="G2220" s="1" t="s">
        <v>3957</v>
      </c>
      <c r="I2220" s="1" t="s">
        <v>3957</v>
      </c>
      <c r="L2220" s="1" t="s">
        <v>40</v>
      </c>
      <c r="M2220" s="1">
        <v>7500.0</v>
      </c>
      <c r="N2220" s="1" t="s">
        <v>40</v>
      </c>
      <c r="O2220" s="1">
        <v>3.8775243E7</v>
      </c>
      <c r="P2220" s="1" t="s">
        <v>209</v>
      </c>
      <c r="Q2220" s="1" t="s">
        <v>210</v>
      </c>
      <c r="R2220" s="1" t="s">
        <v>211</v>
      </c>
      <c r="S2220" s="1" t="s">
        <v>44</v>
      </c>
      <c r="T2220" s="1" t="s">
        <v>45</v>
      </c>
      <c r="U2220" s="1">
        <v>4.82023068E8</v>
      </c>
      <c r="W2220" s="1" t="s">
        <v>46</v>
      </c>
      <c r="X2220" s="1" t="s">
        <v>45</v>
      </c>
      <c r="Y2220" s="1">
        <v>4.82023068E8</v>
      </c>
      <c r="Z2220" s="1">
        <v>3.8775243E7</v>
      </c>
      <c r="AA2220" s="1" t="s">
        <v>209</v>
      </c>
      <c r="AB2220" s="1">
        <v>9966.75</v>
      </c>
      <c r="AC2220" s="2">
        <v>41548.0</v>
      </c>
      <c r="AD2220" s="1">
        <v>7500.0</v>
      </c>
      <c r="AE2220" s="1" t="s">
        <v>40</v>
      </c>
      <c r="AF2220" s="1">
        <v>2.0140687E7</v>
      </c>
      <c r="AG2220" s="1" t="s">
        <v>212</v>
      </c>
      <c r="AH2220" s="1">
        <v>10.0</v>
      </c>
      <c r="AI2220" s="1">
        <v>2013.0</v>
      </c>
      <c r="AJ2220" s="1">
        <v>2014.0</v>
      </c>
      <c r="AK2220" s="1" t="s">
        <v>213</v>
      </c>
    </row>
    <row r="2221">
      <c r="A2221" s="1" t="s">
        <v>3958</v>
      </c>
      <c r="B2221" s="1" t="s">
        <v>3958</v>
      </c>
      <c r="C2221" s="1" t="s">
        <v>207</v>
      </c>
      <c r="E2221" s="1">
        <v>4.972778E9</v>
      </c>
      <c r="F2221" s="2">
        <v>41183.0</v>
      </c>
      <c r="G2221" s="1" t="s">
        <v>3959</v>
      </c>
      <c r="I2221" s="1" t="s">
        <v>3959</v>
      </c>
      <c r="L2221" s="1" t="s">
        <v>40</v>
      </c>
      <c r="M2221" s="1">
        <v>7500.0</v>
      </c>
      <c r="N2221" s="1" t="s">
        <v>40</v>
      </c>
      <c r="O2221" s="1">
        <v>3.8775243E7</v>
      </c>
      <c r="P2221" s="1" t="s">
        <v>209</v>
      </c>
      <c r="Q2221" s="1" t="s">
        <v>210</v>
      </c>
      <c r="R2221" s="1" t="s">
        <v>211</v>
      </c>
      <c r="S2221" s="1" t="s">
        <v>44</v>
      </c>
      <c r="T2221" s="1" t="s">
        <v>45</v>
      </c>
      <c r="U2221" s="1">
        <v>4.82023068E8</v>
      </c>
      <c r="W2221" s="1" t="s">
        <v>46</v>
      </c>
      <c r="X2221" s="1" t="s">
        <v>45</v>
      </c>
      <c r="Y2221" s="1">
        <v>4.82023068E8</v>
      </c>
      <c r="Z2221" s="1">
        <v>3.8775243E7</v>
      </c>
      <c r="AA2221" s="1" t="s">
        <v>209</v>
      </c>
      <c r="AB2221" s="1">
        <v>416.12</v>
      </c>
      <c r="AC2221" s="2">
        <v>41183.0</v>
      </c>
      <c r="AD2221" s="1">
        <v>7500.0</v>
      </c>
      <c r="AE2221" s="1" t="s">
        <v>40</v>
      </c>
      <c r="AF2221" s="1">
        <v>2.0131083E7</v>
      </c>
      <c r="AG2221" s="1" t="s">
        <v>212</v>
      </c>
      <c r="AH2221" s="1">
        <v>10.0</v>
      </c>
      <c r="AI2221" s="1">
        <v>2013.0</v>
      </c>
      <c r="AJ2221" s="1">
        <v>2013.0</v>
      </c>
      <c r="AK2221" s="1" t="s">
        <v>213</v>
      </c>
    </row>
    <row r="2222">
      <c r="A2222" s="1" t="s">
        <v>3958</v>
      </c>
      <c r="B2222" s="1" t="s">
        <v>3958</v>
      </c>
      <c r="C2222" s="1" t="s">
        <v>207</v>
      </c>
      <c r="E2222" s="1">
        <v>4.972778E9</v>
      </c>
      <c r="F2222" s="2">
        <v>41183.0</v>
      </c>
      <c r="G2222" s="1" t="s">
        <v>3959</v>
      </c>
      <c r="I2222" s="1" t="s">
        <v>3959</v>
      </c>
      <c r="L2222" s="1" t="s">
        <v>40</v>
      </c>
      <c r="M2222" s="1">
        <v>7500.0</v>
      </c>
      <c r="N2222" s="1" t="s">
        <v>40</v>
      </c>
      <c r="O2222" s="1">
        <v>3.8775243E7</v>
      </c>
      <c r="P2222" s="1" t="s">
        <v>209</v>
      </c>
      <c r="Q2222" s="1" t="s">
        <v>210</v>
      </c>
      <c r="R2222" s="1" t="s">
        <v>211</v>
      </c>
      <c r="S2222" s="1" t="s">
        <v>44</v>
      </c>
      <c r="T2222" s="1" t="s">
        <v>45</v>
      </c>
      <c r="U2222" s="1">
        <v>4.82023068E8</v>
      </c>
      <c r="W2222" s="1" t="s">
        <v>46</v>
      </c>
      <c r="X2222" s="1" t="s">
        <v>45</v>
      </c>
      <c r="Y2222" s="1">
        <v>4.82023068E8</v>
      </c>
      <c r="Z2222" s="1">
        <v>3.8775243E7</v>
      </c>
      <c r="AA2222" s="1" t="s">
        <v>209</v>
      </c>
      <c r="AB2222" s="1">
        <v>416.12</v>
      </c>
      <c r="AC2222" s="2">
        <v>41183.0</v>
      </c>
      <c r="AD2222" s="1">
        <v>7500.0</v>
      </c>
      <c r="AE2222" s="1" t="s">
        <v>40</v>
      </c>
      <c r="AF2222" s="1">
        <v>2.0131083E7</v>
      </c>
      <c r="AG2222" s="1" t="s">
        <v>212</v>
      </c>
      <c r="AH2222" s="1">
        <v>10.0</v>
      </c>
      <c r="AI2222" s="1">
        <v>2013.0</v>
      </c>
      <c r="AJ2222" s="1">
        <v>2013.0</v>
      </c>
      <c r="AK2222" s="1" t="s">
        <v>213</v>
      </c>
    </row>
    <row r="2223">
      <c r="A2223" s="1" t="s">
        <v>3958</v>
      </c>
      <c r="B2223" s="1" t="s">
        <v>3958</v>
      </c>
      <c r="C2223" s="1" t="s">
        <v>207</v>
      </c>
      <c r="E2223" s="1">
        <v>4.972778E9</v>
      </c>
      <c r="F2223" s="2">
        <v>41548.0</v>
      </c>
      <c r="G2223" s="1" t="s">
        <v>3959</v>
      </c>
      <c r="I2223" s="1" t="s">
        <v>3959</v>
      </c>
      <c r="L2223" s="1" t="s">
        <v>40</v>
      </c>
      <c r="M2223" s="1">
        <v>7500.0</v>
      </c>
      <c r="N2223" s="1" t="s">
        <v>40</v>
      </c>
      <c r="O2223" s="1">
        <v>7.6377316E7</v>
      </c>
      <c r="P2223" s="1" t="s">
        <v>2302</v>
      </c>
      <c r="Q2223" s="1" t="s">
        <v>3960</v>
      </c>
      <c r="R2223" s="1" t="s">
        <v>2303</v>
      </c>
      <c r="S2223" s="1" t="s">
        <v>44</v>
      </c>
      <c r="T2223" s="1" t="s">
        <v>45</v>
      </c>
      <c r="U2223" s="1">
        <v>4.82012119E8</v>
      </c>
      <c r="W2223" s="1" t="s">
        <v>46</v>
      </c>
      <c r="X2223" s="1" t="s">
        <v>45</v>
      </c>
      <c r="Y2223" s="1">
        <v>4.82012119E8</v>
      </c>
      <c r="Z2223" s="1">
        <v>5.3866661E7</v>
      </c>
      <c r="AB2223" s="1">
        <v>11697.73</v>
      </c>
      <c r="AC2223" s="2">
        <v>41548.0</v>
      </c>
      <c r="AD2223" s="1">
        <v>7500.0</v>
      </c>
      <c r="AE2223" s="1" t="s">
        <v>40</v>
      </c>
      <c r="AF2223" s="1">
        <v>2.0140061E7</v>
      </c>
      <c r="AG2223" s="1" t="s">
        <v>212</v>
      </c>
      <c r="AH2223" s="1">
        <v>10.0</v>
      </c>
      <c r="AI2223" s="1">
        <v>2013.0</v>
      </c>
      <c r="AJ2223" s="1">
        <v>2014.0</v>
      </c>
      <c r="AK2223" s="1" t="s">
        <v>213</v>
      </c>
    </row>
    <row r="2224">
      <c r="A2224" s="1" t="s">
        <v>3958</v>
      </c>
      <c r="B2224" s="1" t="s">
        <v>3958</v>
      </c>
      <c r="C2224" s="1" t="s">
        <v>207</v>
      </c>
      <c r="E2224" s="1">
        <v>4.972778E9</v>
      </c>
      <c r="F2224" s="2">
        <v>41548.0</v>
      </c>
      <c r="G2224" s="1" t="s">
        <v>3959</v>
      </c>
      <c r="I2224" s="1" t="s">
        <v>3959</v>
      </c>
      <c r="L2224" s="1" t="s">
        <v>40</v>
      </c>
      <c r="M2224" s="1">
        <v>7500.0</v>
      </c>
      <c r="N2224" s="1" t="s">
        <v>40</v>
      </c>
      <c r="O2224" s="1">
        <v>3.8775243E7</v>
      </c>
      <c r="P2224" s="1" t="s">
        <v>209</v>
      </c>
      <c r="Q2224" s="1" t="s">
        <v>210</v>
      </c>
      <c r="R2224" s="1" t="s">
        <v>211</v>
      </c>
      <c r="S2224" s="1" t="s">
        <v>44</v>
      </c>
      <c r="T2224" s="1" t="s">
        <v>45</v>
      </c>
      <c r="U2224" s="1">
        <v>4.82023068E8</v>
      </c>
      <c r="W2224" s="1" t="s">
        <v>46</v>
      </c>
      <c r="X2224" s="1" t="s">
        <v>45</v>
      </c>
      <c r="Y2224" s="1">
        <v>4.82023068E8</v>
      </c>
      <c r="Z2224" s="1">
        <v>3.8775243E7</v>
      </c>
      <c r="AA2224" s="1" t="s">
        <v>209</v>
      </c>
      <c r="AB2224" s="1">
        <v>3750.0</v>
      </c>
      <c r="AC2224" s="2">
        <v>41548.0</v>
      </c>
      <c r="AD2224" s="1">
        <v>7500.0</v>
      </c>
      <c r="AE2224" s="1" t="s">
        <v>40</v>
      </c>
      <c r="AF2224" s="1">
        <v>2.0142024E7</v>
      </c>
      <c r="AG2224" s="1" t="s">
        <v>212</v>
      </c>
      <c r="AH2224" s="1">
        <v>10.0</v>
      </c>
      <c r="AI2224" s="1">
        <v>2013.0</v>
      </c>
      <c r="AJ2224" s="1">
        <v>2014.0</v>
      </c>
      <c r="AK2224" s="1" t="s">
        <v>213</v>
      </c>
    </row>
    <row r="2225">
      <c r="A2225" s="1" t="s">
        <v>3958</v>
      </c>
      <c r="B2225" s="1" t="s">
        <v>3958</v>
      </c>
      <c r="C2225" s="1" t="s">
        <v>207</v>
      </c>
      <c r="E2225" s="1">
        <v>4.972778E9</v>
      </c>
      <c r="F2225" s="2">
        <v>41548.0</v>
      </c>
      <c r="G2225" s="1" t="s">
        <v>3959</v>
      </c>
      <c r="I2225" s="1" t="s">
        <v>3959</v>
      </c>
      <c r="L2225" s="1" t="s">
        <v>40</v>
      </c>
      <c r="M2225" s="1">
        <v>7500.0</v>
      </c>
      <c r="N2225" s="1" t="s">
        <v>40</v>
      </c>
      <c r="O2225" s="1">
        <v>8.09204196E8</v>
      </c>
      <c r="P2225" s="1" t="s">
        <v>175</v>
      </c>
      <c r="Q2225" s="1" t="s">
        <v>2775</v>
      </c>
      <c r="R2225" s="1" t="s">
        <v>2078</v>
      </c>
      <c r="S2225" s="1" t="s">
        <v>44</v>
      </c>
      <c r="T2225" s="1" t="s">
        <v>45</v>
      </c>
      <c r="U2225" s="1">
        <v>4.82023026E8</v>
      </c>
      <c r="W2225" s="1" t="s">
        <v>46</v>
      </c>
      <c r="X2225" s="1" t="s">
        <v>45</v>
      </c>
      <c r="Y2225" s="1">
        <v>4.82023026E8</v>
      </c>
      <c r="Z2225" s="1">
        <v>8.09204196E8</v>
      </c>
      <c r="AA2225" s="1" t="s">
        <v>175</v>
      </c>
      <c r="AB2225" s="1">
        <v>63359.0</v>
      </c>
      <c r="AC2225" s="2">
        <v>41548.0</v>
      </c>
      <c r="AD2225" s="1">
        <v>7500.0</v>
      </c>
      <c r="AE2225" s="1" t="s">
        <v>40</v>
      </c>
      <c r="AF2225" s="1">
        <v>2.0141916E7</v>
      </c>
      <c r="AG2225" s="1" t="s">
        <v>212</v>
      </c>
      <c r="AH2225" s="1">
        <v>10.0</v>
      </c>
      <c r="AI2225" s="1">
        <v>2013.0</v>
      </c>
      <c r="AJ2225" s="1">
        <v>2014.0</v>
      </c>
      <c r="AK2225" s="1" t="s">
        <v>213</v>
      </c>
    </row>
    <row r="2226">
      <c r="A2226" s="1" t="s">
        <v>3961</v>
      </c>
      <c r="B2226" s="1" t="s">
        <v>3961</v>
      </c>
      <c r="C2226" s="1" t="s">
        <v>207</v>
      </c>
      <c r="E2226" s="1">
        <v>1.5943497E9</v>
      </c>
      <c r="F2226" s="2">
        <v>41548.0</v>
      </c>
      <c r="G2226" s="1" t="s">
        <v>3962</v>
      </c>
      <c r="I2226" s="1" t="s">
        <v>3962</v>
      </c>
      <c r="L2226" s="1" t="s">
        <v>40</v>
      </c>
      <c r="M2226" s="1">
        <v>7500.0</v>
      </c>
      <c r="N2226" s="1" t="s">
        <v>40</v>
      </c>
      <c r="O2226" s="1">
        <v>7.6377316E7</v>
      </c>
      <c r="P2226" s="1" t="s">
        <v>2302</v>
      </c>
      <c r="Q2226" s="1" t="s">
        <v>3960</v>
      </c>
      <c r="R2226" s="1" t="s">
        <v>2303</v>
      </c>
      <c r="S2226" s="1" t="s">
        <v>44</v>
      </c>
      <c r="T2226" s="1" t="s">
        <v>45</v>
      </c>
      <c r="U2226" s="1">
        <v>4.82012119E8</v>
      </c>
      <c r="W2226" s="1" t="s">
        <v>46</v>
      </c>
      <c r="X2226" s="1" t="s">
        <v>45</v>
      </c>
      <c r="Y2226" s="1">
        <v>4.82012119E8</v>
      </c>
      <c r="Z2226" s="1">
        <v>5.3866661E7</v>
      </c>
      <c r="AB2226" s="1">
        <v>11697.73</v>
      </c>
      <c r="AC2226" s="2">
        <v>41548.0</v>
      </c>
      <c r="AD2226" s="1">
        <v>7500.0</v>
      </c>
      <c r="AE2226" s="1" t="s">
        <v>40</v>
      </c>
      <c r="AF2226" s="1">
        <v>2.0140061E7</v>
      </c>
      <c r="AG2226" s="1" t="s">
        <v>212</v>
      </c>
      <c r="AH2226" s="1">
        <v>10.0</v>
      </c>
      <c r="AI2226" s="1">
        <v>2013.0</v>
      </c>
      <c r="AJ2226" s="1">
        <v>2014.0</v>
      </c>
      <c r="AK2226" s="1" t="s">
        <v>213</v>
      </c>
    </row>
    <row r="2227">
      <c r="A2227" s="1" t="s">
        <v>3961</v>
      </c>
      <c r="B2227" s="1" t="s">
        <v>3961</v>
      </c>
      <c r="C2227" s="1" t="s">
        <v>207</v>
      </c>
      <c r="E2227" s="1">
        <v>1.5943497E9</v>
      </c>
      <c r="F2227" s="2">
        <v>41548.0</v>
      </c>
      <c r="G2227" s="1" t="s">
        <v>3962</v>
      </c>
      <c r="I2227" s="1" t="s">
        <v>3962</v>
      </c>
      <c r="L2227" s="1" t="s">
        <v>40</v>
      </c>
      <c r="M2227" s="1">
        <v>7500.0</v>
      </c>
      <c r="N2227" s="1" t="s">
        <v>40</v>
      </c>
      <c r="O2227" s="1">
        <v>7.92267549E8</v>
      </c>
      <c r="P2227" s="1" t="s">
        <v>41</v>
      </c>
      <c r="Q2227" s="1" t="s">
        <v>2769</v>
      </c>
      <c r="R2227" s="1" t="s">
        <v>2770</v>
      </c>
      <c r="S2227" s="1" t="s">
        <v>44</v>
      </c>
      <c r="T2227" s="1" t="s">
        <v>45</v>
      </c>
      <c r="U2227" s="1">
        <v>4.82353296E8</v>
      </c>
      <c r="W2227" s="1" t="s">
        <v>46</v>
      </c>
      <c r="X2227" s="1" t="s">
        <v>45</v>
      </c>
      <c r="Y2227" s="1">
        <v>4.82353456E8</v>
      </c>
      <c r="Z2227" s="1">
        <v>7.3134603E7</v>
      </c>
      <c r="AA2227" s="1" t="s">
        <v>41</v>
      </c>
      <c r="AB2227" s="1">
        <v>2074687.5</v>
      </c>
      <c r="AC2227" s="2">
        <v>41548.0</v>
      </c>
      <c r="AD2227" s="1">
        <v>7500.0</v>
      </c>
      <c r="AE2227" s="1" t="s">
        <v>40</v>
      </c>
      <c r="AF2227" s="1">
        <v>2.0140478E7</v>
      </c>
      <c r="AG2227" s="1" t="s">
        <v>212</v>
      </c>
      <c r="AH2227" s="1">
        <v>10.0</v>
      </c>
      <c r="AI2227" s="1">
        <v>2013.0</v>
      </c>
      <c r="AJ2227" s="1">
        <v>2014.0</v>
      </c>
      <c r="AK2227" s="1" t="s">
        <v>213</v>
      </c>
    </row>
    <row r="2228">
      <c r="A2228" s="1" t="s">
        <v>3961</v>
      </c>
      <c r="B2228" s="1" t="s">
        <v>3961</v>
      </c>
      <c r="C2228" s="1" t="s">
        <v>207</v>
      </c>
      <c r="E2228" s="1">
        <v>1.5943497E9</v>
      </c>
      <c r="F2228" s="2">
        <v>41548.0</v>
      </c>
      <c r="G2228" s="1" t="s">
        <v>3962</v>
      </c>
      <c r="I2228" s="1" t="s">
        <v>3962</v>
      </c>
      <c r="L2228" s="1" t="s">
        <v>40</v>
      </c>
      <c r="M2228" s="1">
        <v>7500.0</v>
      </c>
      <c r="N2228" s="1" t="s">
        <v>40</v>
      </c>
      <c r="O2228" s="1">
        <v>3.8775243E7</v>
      </c>
      <c r="P2228" s="1" t="s">
        <v>209</v>
      </c>
      <c r="Q2228" s="1" t="s">
        <v>210</v>
      </c>
      <c r="R2228" s="1" t="s">
        <v>211</v>
      </c>
      <c r="S2228" s="1" t="s">
        <v>44</v>
      </c>
      <c r="T2228" s="1" t="s">
        <v>45</v>
      </c>
      <c r="U2228" s="1">
        <v>4.82023068E8</v>
      </c>
      <c r="W2228" s="1" t="s">
        <v>46</v>
      </c>
      <c r="X2228" s="1" t="s">
        <v>45</v>
      </c>
      <c r="Y2228" s="1">
        <v>4.82023068E8</v>
      </c>
      <c r="Z2228" s="1">
        <v>3.8775243E7</v>
      </c>
      <c r="AA2228" s="1" t="s">
        <v>209</v>
      </c>
      <c r="AB2228" s="1">
        <v>0.0</v>
      </c>
      <c r="AC2228" s="2">
        <v>41548.0</v>
      </c>
      <c r="AD2228" s="1">
        <v>7500.0</v>
      </c>
      <c r="AE2228" s="1" t="s">
        <v>40</v>
      </c>
      <c r="AF2228" s="1">
        <v>2.0140734E7</v>
      </c>
      <c r="AG2228" s="1" t="s">
        <v>212</v>
      </c>
      <c r="AH2228" s="1">
        <v>10.0</v>
      </c>
      <c r="AI2228" s="1">
        <v>2013.0</v>
      </c>
      <c r="AJ2228" s="1">
        <v>2014.0</v>
      </c>
      <c r="AK2228" s="1" t="s">
        <v>213</v>
      </c>
    </row>
    <row r="2229">
      <c r="A2229" s="1" t="s">
        <v>3961</v>
      </c>
      <c r="B2229" s="1" t="s">
        <v>3961</v>
      </c>
      <c r="C2229" s="1" t="s">
        <v>207</v>
      </c>
      <c r="E2229" s="1">
        <v>1.5943497E9</v>
      </c>
      <c r="F2229" s="2">
        <v>41548.0</v>
      </c>
      <c r="G2229" s="1" t="s">
        <v>3962</v>
      </c>
      <c r="I2229" s="1" t="s">
        <v>3962</v>
      </c>
      <c r="L2229" s="1" t="s">
        <v>40</v>
      </c>
      <c r="M2229" s="1">
        <v>7500.0</v>
      </c>
      <c r="N2229" s="1" t="s">
        <v>40</v>
      </c>
      <c r="O2229" s="1">
        <v>3.8775243E7</v>
      </c>
      <c r="P2229" s="1" t="s">
        <v>209</v>
      </c>
      <c r="Q2229" s="1" t="s">
        <v>210</v>
      </c>
      <c r="R2229" s="1" t="s">
        <v>211</v>
      </c>
      <c r="S2229" s="1" t="s">
        <v>44</v>
      </c>
      <c r="T2229" s="1" t="s">
        <v>45</v>
      </c>
      <c r="U2229" s="1">
        <v>4.82023068E8</v>
      </c>
      <c r="W2229" s="1" t="s">
        <v>46</v>
      </c>
      <c r="X2229" s="1" t="s">
        <v>45</v>
      </c>
      <c r="Y2229" s="1">
        <v>4.82023068E8</v>
      </c>
      <c r="Z2229" s="1">
        <v>3.8775243E7</v>
      </c>
      <c r="AA2229" s="1" t="s">
        <v>209</v>
      </c>
      <c r="AB2229" s="1">
        <v>9966.75</v>
      </c>
      <c r="AC2229" s="2">
        <v>41548.0</v>
      </c>
      <c r="AD2229" s="1">
        <v>7500.0</v>
      </c>
      <c r="AE2229" s="1" t="s">
        <v>40</v>
      </c>
      <c r="AF2229" s="1">
        <v>2.0140687E7</v>
      </c>
      <c r="AG2229" s="1" t="s">
        <v>212</v>
      </c>
      <c r="AH2229" s="1">
        <v>10.0</v>
      </c>
      <c r="AI2229" s="1">
        <v>2013.0</v>
      </c>
      <c r="AJ2229" s="1">
        <v>2014.0</v>
      </c>
      <c r="AK2229" s="1" t="s">
        <v>213</v>
      </c>
    </row>
    <row r="2230">
      <c r="A2230" s="1" t="s">
        <v>3963</v>
      </c>
      <c r="B2230" s="1" t="s">
        <v>3963</v>
      </c>
      <c r="C2230" s="1" t="s">
        <v>207</v>
      </c>
      <c r="E2230" s="1">
        <v>2.32482304E9</v>
      </c>
      <c r="F2230" s="2">
        <v>41548.0</v>
      </c>
      <c r="G2230" s="1" t="s">
        <v>3964</v>
      </c>
      <c r="I2230" s="1" t="s">
        <v>3964</v>
      </c>
      <c r="L2230" s="1" t="s">
        <v>40</v>
      </c>
      <c r="M2230" s="1">
        <v>7500.0</v>
      </c>
      <c r="N2230" s="1" t="s">
        <v>40</v>
      </c>
      <c r="O2230" s="1">
        <v>4.6842605E7</v>
      </c>
      <c r="P2230" s="1" t="s">
        <v>165</v>
      </c>
      <c r="Q2230" s="1" t="s">
        <v>166</v>
      </c>
      <c r="R2230" s="1" t="s">
        <v>167</v>
      </c>
      <c r="S2230" s="1" t="s">
        <v>44</v>
      </c>
      <c r="T2230" s="1" t="s">
        <v>45</v>
      </c>
      <c r="U2230" s="1">
        <v>4.82074544E8</v>
      </c>
      <c r="W2230" s="1" t="s">
        <v>46</v>
      </c>
      <c r="X2230" s="1" t="s">
        <v>45</v>
      </c>
      <c r="Y2230" s="1">
        <v>4.82074544E8</v>
      </c>
      <c r="Z2230" s="1">
        <v>7.3134603E7</v>
      </c>
      <c r="AA2230" s="1" t="s">
        <v>41</v>
      </c>
      <c r="AB2230" s="1">
        <v>4701738.64</v>
      </c>
      <c r="AC2230" s="2">
        <v>41548.0</v>
      </c>
      <c r="AD2230" s="1">
        <v>7500.0</v>
      </c>
      <c r="AE2230" s="1" t="s">
        <v>40</v>
      </c>
      <c r="AF2230" s="1">
        <v>2.0141101E7</v>
      </c>
      <c r="AG2230" s="1" t="s">
        <v>212</v>
      </c>
      <c r="AH2230" s="1">
        <v>10.0</v>
      </c>
      <c r="AI2230" s="1">
        <v>2013.0</v>
      </c>
      <c r="AJ2230" s="1">
        <v>2014.0</v>
      </c>
      <c r="AK2230" s="1" t="s">
        <v>213</v>
      </c>
    </row>
    <row r="2231">
      <c r="A2231" s="1" t="s">
        <v>3963</v>
      </c>
      <c r="B2231" s="1" t="s">
        <v>3963</v>
      </c>
      <c r="C2231" s="1" t="s">
        <v>207</v>
      </c>
      <c r="E2231" s="1">
        <v>2.32482304E9</v>
      </c>
      <c r="F2231" s="2">
        <v>41548.0</v>
      </c>
      <c r="G2231" s="1" t="s">
        <v>3964</v>
      </c>
      <c r="I2231" s="1" t="s">
        <v>3964</v>
      </c>
      <c r="L2231" s="1" t="s">
        <v>40</v>
      </c>
      <c r="M2231" s="1">
        <v>7500.0</v>
      </c>
      <c r="N2231" s="1" t="s">
        <v>40</v>
      </c>
      <c r="O2231" s="1">
        <v>3.8775243E7</v>
      </c>
      <c r="P2231" s="1" t="s">
        <v>209</v>
      </c>
      <c r="Q2231" s="1" t="s">
        <v>210</v>
      </c>
      <c r="R2231" s="1" t="s">
        <v>211</v>
      </c>
      <c r="S2231" s="1" t="s">
        <v>44</v>
      </c>
      <c r="T2231" s="1" t="s">
        <v>45</v>
      </c>
      <c r="U2231" s="1">
        <v>4.82023068E8</v>
      </c>
      <c r="W2231" s="1" t="s">
        <v>46</v>
      </c>
      <c r="X2231" s="1" t="s">
        <v>45</v>
      </c>
      <c r="Y2231" s="1">
        <v>4.82023068E8</v>
      </c>
      <c r="Z2231" s="1">
        <v>3.8775243E7</v>
      </c>
      <c r="AA2231" s="1" t="s">
        <v>209</v>
      </c>
      <c r="AB2231" s="1">
        <v>0.0</v>
      </c>
      <c r="AC2231" s="2">
        <v>41548.0</v>
      </c>
      <c r="AD2231" s="1">
        <v>7500.0</v>
      </c>
      <c r="AE2231" s="1" t="s">
        <v>40</v>
      </c>
      <c r="AF2231" s="1">
        <v>2.0140734E7</v>
      </c>
      <c r="AG2231" s="1" t="s">
        <v>212</v>
      </c>
      <c r="AH2231" s="1">
        <v>10.0</v>
      </c>
      <c r="AI2231" s="1">
        <v>2013.0</v>
      </c>
      <c r="AJ2231" s="1">
        <v>2014.0</v>
      </c>
      <c r="AK2231" s="1" t="s">
        <v>213</v>
      </c>
    </row>
    <row r="2232">
      <c r="A2232" s="1" t="s">
        <v>3965</v>
      </c>
      <c r="B2232" s="1" t="s">
        <v>3965</v>
      </c>
      <c r="C2232" s="1" t="s">
        <v>2091</v>
      </c>
      <c r="E2232" s="1">
        <v>1.7354832E7</v>
      </c>
      <c r="F2232" s="2">
        <v>41617.0</v>
      </c>
      <c r="G2232" s="1" t="s">
        <v>2092</v>
      </c>
      <c r="I2232" s="1" t="s">
        <v>2092</v>
      </c>
      <c r="L2232" s="1" t="s">
        <v>151</v>
      </c>
      <c r="M2232" s="1">
        <v>6900.0</v>
      </c>
      <c r="N2232" s="1" t="s">
        <v>151</v>
      </c>
      <c r="O2232" s="1">
        <v>2.082621E7</v>
      </c>
      <c r="P2232" s="1" t="s">
        <v>983</v>
      </c>
      <c r="Q2232" s="1" t="s">
        <v>984</v>
      </c>
      <c r="R2232" s="1" t="s">
        <v>2093</v>
      </c>
      <c r="S2232" s="1" t="s">
        <v>44</v>
      </c>
      <c r="T2232" s="1" t="s">
        <v>45</v>
      </c>
      <c r="U2232" s="1">
        <v>4.82131204E8</v>
      </c>
      <c r="W2232" s="1" t="s">
        <v>46</v>
      </c>
      <c r="X2232" s="1" t="s">
        <v>45</v>
      </c>
      <c r="Y2232" s="1">
        <v>4.82131204E8</v>
      </c>
      <c r="Z2232" s="1">
        <v>6530661.0</v>
      </c>
      <c r="AA2232" s="1" t="s">
        <v>76</v>
      </c>
      <c r="AB2232" s="1">
        <v>330832.0</v>
      </c>
      <c r="AC2232" s="2">
        <v>41617.0</v>
      </c>
      <c r="AD2232" s="1">
        <v>6900.0</v>
      </c>
      <c r="AE2232" s="1" t="s">
        <v>151</v>
      </c>
      <c r="AF2232" s="1" t="s">
        <v>3966</v>
      </c>
      <c r="AG2232" s="1" t="s">
        <v>3967</v>
      </c>
      <c r="AH2232" s="1">
        <v>1.0</v>
      </c>
      <c r="AI2232" s="1">
        <v>2015.0</v>
      </c>
      <c r="AJ2232" s="1">
        <v>2014.0</v>
      </c>
      <c r="AK2232" s="1" t="s">
        <v>2096</v>
      </c>
    </row>
    <row r="2233">
      <c r="A2233" s="1" t="s">
        <v>3968</v>
      </c>
      <c r="B2233" s="1" t="s">
        <v>3968</v>
      </c>
      <c r="C2233" s="1" t="s">
        <v>207</v>
      </c>
      <c r="E2233" s="1">
        <v>2.98917299E9</v>
      </c>
      <c r="F2233" s="2">
        <v>41913.0</v>
      </c>
      <c r="G2233" s="1" t="s">
        <v>3969</v>
      </c>
      <c r="I2233" s="1" t="s">
        <v>3969</v>
      </c>
      <c r="L2233" s="1" t="s">
        <v>40</v>
      </c>
      <c r="M2233" s="1">
        <v>7500.0</v>
      </c>
      <c r="N2233" s="1" t="s">
        <v>40</v>
      </c>
      <c r="O2233" s="1">
        <v>4.6842605E7</v>
      </c>
      <c r="P2233" s="1" t="s">
        <v>165</v>
      </c>
      <c r="Q2233" s="1" t="s">
        <v>166</v>
      </c>
      <c r="R2233" s="1" t="s">
        <v>167</v>
      </c>
      <c r="S2233" s="1" t="s">
        <v>44</v>
      </c>
      <c r="T2233" s="1" t="s">
        <v>45</v>
      </c>
      <c r="U2233" s="1">
        <v>4.82074544E8</v>
      </c>
      <c r="W2233" s="1" t="s">
        <v>46</v>
      </c>
      <c r="X2233" s="1" t="s">
        <v>45</v>
      </c>
      <c r="Y2233" s="1">
        <v>4.82074544E8</v>
      </c>
      <c r="AB2233" s="1">
        <v>4992620.28</v>
      </c>
      <c r="AC2233" s="2">
        <v>41913.0</v>
      </c>
      <c r="AD2233" s="1">
        <v>7500.0</v>
      </c>
      <c r="AE2233" s="1" t="s">
        <v>40</v>
      </c>
      <c r="AF2233" s="1">
        <v>2.0150467E7</v>
      </c>
      <c r="AG2233" s="1" t="s">
        <v>212</v>
      </c>
      <c r="AH2233" s="1">
        <v>10.0</v>
      </c>
      <c r="AI2233" s="1">
        <v>2014.0</v>
      </c>
      <c r="AJ2233" s="1">
        <v>2015.0</v>
      </c>
      <c r="AK2233" s="1" t="s">
        <v>213</v>
      </c>
    </row>
    <row r="2234">
      <c r="A2234" s="1" t="s">
        <v>3968</v>
      </c>
      <c r="B2234" s="1" t="s">
        <v>3968</v>
      </c>
      <c r="C2234" s="1" t="s">
        <v>207</v>
      </c>
      <c r="E2234" s="1">
        <v>2.98917299E9</v>
      </c>
      <c r="F2234" s="2">
        <v>41913.0</v>
      </c>
      <c r="G2234" s="1" t="s">
        <v>3969</v>
      </c>
      <c r="I2234" s="1" t="s">
        <v>3969</v>
      </c>
      <c r="L2234" s="1" t="s">
        <v>40</v>
      </c>
      <c r="M2234" s="1">
        <v>7500.0</v>
      </c>
      <c r="N2234" s="1" t="s">
        <v>40</v>
      </c>
      <c r="O2234" s="1">
        <v>7.92267549E8</v>
      </c>
      <c r="P2234" s="1" t="s">
        <v>41</v>
      </c>
      <c r="Q2234" s="1" t="s">
        <v>2769</v>
      </c>
      <c r="R2234" s="1" t="s">
        <v>2770</v>
      </c>
      <c r="S2234" s="1" t="s">
        <v>44</v>
      </c>
      <c r="T2234" s="1" t="s">
        <v>45</v>
      </c>
      <c r="U2234" s="1">
        <v>4.82353296E8</v>
      </c>
      <c r="W2234" s="1" t="s">
        <v>46</v>
      </c>
      <c r="X2234" s="1" t="s">
        <v>45</v>
      </c>
      <c r="Y2234" s="1">
        <v>4.82353456E8</v>
      </c>
      <c r="Z2234" s="1">
        <v>7.3134603E7</v>
      </c>
      <c r="AA2234" s="1" t="s">
        <v>41</v>
      </c>
      <c r="AB2234" s="1">
        <v>2489625.0</v>
      </c>
      <c r="AC2234" s="2">
        <v>41913.0</v>
      </c>
      <c r="AD2234" s="1">
        <v>7500.0</v>
      </c>
      <c r="AE2234" s="1" t="s">
        <v>40</v>
      </c>
      <c r="AF2234" s="1">
        <v>2.0150439E7</v>
      </c>
      <c r="AG2234" s="1" t="s">
        <v>212</v>
      </c>
      <c r="AH2234" s="1">
        <v>10.0</v>
      </c>
      <c r="AI2234" s="1">
        <v>2014.0</v>
      </c>
      <c r="AJ2234" s="1">
        <v>2015.0</v>
      </c>
      <c r="AK2234" s="1" t="s">
        <v>213</v>
      </c>
    </row>
    <row r="2235">
      <c r="A2235" s="1" t="s">
        <v>3968</v>
      </c>
      <c r="B2235" s="1" t="s">
        <v>3968</v>
      </c>
      <c r="C2235" s="1" t="s">
        <v>207</v>
      </c>
      <c r="E2235" s="1">
        <v>2.98917299E9</v>
      </c>
      <c r="F2235" s="2">
        <v>41913.0</v>
      </c>
      <c r="G2235" s="1" t="s">
        <v>3969</v>
      </c>
      <c r="I2235" s="1" t="s">
        <v>3969</v>
      </c>
      <c r="L2235" s="1" t="s">
        <v>40</v>
      </c>
      <c r="M2235" s="1">
        <v>7500.0</v>
      </c>
      <c r="N2235" s="1" t="s">
        <v>40</v>
      </c>
      <c r="O2235" s="1">
        <v>3.8775243E7</v>
      </c>
      <c r="P2235" s="1" t="s">
        <v>209</v>
      </c>
      <c r="Q2235" s="1" t="s">
        <v>210</v>
      </c>
      <c r="R2235" s="1" t="s">
        <v>211</v>
      </c>
      <c r="S2235" s="1" t="s">
        <v>44</v>
      </c>
      <c r="T2235" s="1" t="s">
        <v>45</v>
      </c>
      <c r="U2235" s="1">
        <v>4.82023068E8</v>
      </c>
      <c r="W2235" s="1" t="s">
        <v>46</v>
      </c>
      <c r="X2235" s="1" t="s">
        <v>45</v>
      </c>
      <c r="Y2235" s="1">
        <v>4.82023068E8</v>
      </c>
      <c r="Z2235" s="1">
        <v>3.8775243E7</v>
      </c>
      <c r="AA2235" s="1" t="s">
        <v>209</v>
      </c>
      <c r="AB2235" s="1">
        <v>44.65</v>
      </c>
      <c r="AC2235" s="2">
        <v>41913.0</v>
      </c>
      <c r="AD2235" s="1">
        <v>7500.0</v>
      </c>
      <c r="AE2235" s="1" t="s">
        <v>40</v>
      </c>
      <c r="AF2235" s="1">
        <v>2.014069E7</v>
      </c>
      <c r="AG2235" s="1" t="s">
        <v>212</v>
      </c>
      <c r="AH2235" s="1">
        <v>10.0</v>
      </c>
      <c r="AI2235" s="1">
        <v>2014.0</v>
      </c>
      <c r="AJ2235" s="1">
        <v>2015.0</v>
      </c>
      <c r="AK2235" s="1" t="s">
        <v>213</v>
      </c>
    </row>
    <row r="2236">
      <c r="A2236" s="1" t="s">
        <v>3970</v>
      </c>
      <c r="B2236" s="1" t="s">
        <v>3970</v>
      </c>
      <c r="C2236" s="1" t="s">
        <v>38</v>
      </c>
      <c r="E2236" s="1">
        <v>578150.0</v>
      </c>
      <c r="F2236" s="2">
        <v>41894.0</v>
      </c>
      <c r="G2236" s="1" t="s">
        <v>3971</v>
      </c>
      <c r="I2236" s="1" t="s">
        <v>3971</v>
      </c>
      <c r="L2236" s="1" t="s">
        <v>40</v>
      </c>
      <c r="M2236" s="1">
        <v>7500.0</v>
      </c>
      <c r="N2236" s="1" t="s">
        <v>40</v>
      </c>
      <c r="O2236" s="1">
        <v>1962224.0</v>
      </c>
      <c r="P2236" s="1" t="s">
        <v>52</v>
      </c>
      <c r="R2236" s="1" t="s">
        <v>1885</v>
      </c>
      <c r="S2236" s="1" t="s">
        <v>44</v>
      </c>
      <c r="T2236" s="1" t="s">
        <v>45</v>
      </c>
      <c r="U2236" s="1">
        <v>4.82021347E8</v>
      </c>
      <c r="W2236" s="1" t="s">
        <v>46</v>
      </c>
      <c r="X2236" s="1" t="s">
        <v>45</v>
      </c>
      <c r="Y2236" s="1">
        <v>4.82021347E8</v>
      </c>
      <c r="Z2236" s="1">
        <v>1962224.0</v>
      </c>
      <c r="AA2236" s="1" t="s">
        <v>52</v>
      </c>
      <c r="AB2236" s="1">
        <v>26600.0</v>
      </c>
      <c r="AC2236" s="2">
        <v>41894.0</v>
      </c>
      <c r="AD2236" s="1">
        <v>7500.0</v>
      </c>
      <c r="AE2236" s="1" t="s">
        <v>40</v>
      </c>
      <c r="AF2236" s="1">
        <v>8137.0</v>
      </c>
      <c r="AG2236" s="1" t="s">
        <v>3972</v>
      </c>
      <c r="AH2236" s="1">
        <v>2.0</v>
      </c>
      <c r="AI2236" s="1">
        <v>2015.0</v>
      </c>
      <c r="AJ2236" s="1">
        <v>2014.0</v>
      </c>
      <c r="AK2236" s="1" t="s">
        <v>2053</v>
      </c>
    </row>
    <row r="2237">
      <c r="A2237" s="1" t="s">
        <v>3973</v>
      </c>
      <c r="B2237" s="1" t="s">
        <v>3973</v>
      </c>
      <c r="C2237" s="1" t="s">
        <v>2091</v>
      </c>
      <c r="E2237" s="1">
        <v>1.0877311E7</v>
      </c>
      <c r="F2237" s="2">
        <v>41617.0</v>
      </c>
      <c r="G2237" s="1" t="s">
        <v>2092</v>
      </c>
      <c r="I2237" s="1" t="s">
        <v>2092</v>
      </c>
      <c r="L2237" s="1" t="s">
        <v>151</v>
      </c>
      <c r="M2237" s="1">
        <v>6900.0</v>
      </c>
      <c r="N2237" s="1" t="s">
        <v>151</v>
      </c>
      <c r="O2237" s="1">
        <v>2.082621E7</v>
      </c>
      <c r="P2237" s="1" t="s">
        <v>983</v>
      </c>
      <c r="Q2237" s="1" t="s">
        <v>984</v>
      </c>
      <c r="R2237" s="1" t="s">
        <v>2093</v>
      </c>
      <c r="S2237" s="1" t="s">
        <v>44</v>
      </c>
      <c r="T2237" s="1" t="s">
        <v>45</v>
      </c>
      <c r="U2237" s="1">
        <v>4.82131204E8</v>
      </c>
      <c r="W2237" s="1" t="s">
        <v>46</v>
      </c>
      <c r="X2237" s="1" t="s">
        <v>45</v>
      </c>
      <c r="Y2237" s="1">
        <v>4.82131204E8</v>
      </c>
      <c r="Z2237" s="1">
        <v>6530661.0</v>
      </c>
      <c r="AA2237" s="1" t="s">
        <v>76</v>
      </c>
      <c r="AB2237" s="1">
        <v>39900.0</v>
      </c>
      <c r="AC2237" s="2">
        <v>41617.0</v>
      </c>
      <c r="AD2237" s="1">
        <v>6900.0</v>
      </c>
      <c r="AE2237" s="1" t="s">
        <v>151</v>
      </c>
      <c r="AF2237" s="1" t="s">
        <v>3974</v>
      </c>
      <c r="AG2237" s="1" t="s">
        <v>3975</v>
      </c>
      <c r="AH2237" s="1">
        <v>1.0</v>
      </c>
      <c r="AI2237" s="1">
        <v>2015.0</v>
      </c>
      <c r="AJ2237" s="1">
        <v>2014.0</v>
      </c>
      <c r="AK2237" s="1" t="s">
        <v>2096</v>
      </c>
    </row>
    <row r="2238">
      <c r="A2238" s="1" t="s">
        <v>3956</v>
      </c>
      <c r="B2238" s="1" t="s">
        <v>3956</v>
      </c>
      <c r="C2238" s="1" t="s">
        <v>207</v>
      </c>
      <c r="E2238" s="1">
        <v>2.48575334E9</v>
      </c>
      <c r="F2238" s="2">
        <v>41548.0</v>
      </c>
      <c r="G2238" s="1" t="s">
        <v>3957</v>
      </c>
      <c r="I2238" s="1" t="s">
        <v>3957</v>
      </c>
      <c r="L2238" s="1" t="s">
        <v>40</v>
      </c>
      <c r="M2238" s="1">
        <v>7500.0</v>
      </c>
      <c r="N2238" s="1" t="s">
        <v>40</v>
      </c>
      <c r="O2238" s="1">
        <v>4.6842605E7</v>
      </c>
      <c r="P2238" s="1" t="s">
        <v>165</v>
      </c>
      <c r="Q2238" s="1" t="s">
        <v>166</v>
      </c>
      <c r="R2238" s="1" t="s">
        <v>167</v>
      </c>
      <c r="S2238" s="1" t="s">
        <v>44</v>
      </c>
      <c r="T2238" s="1" t="s">
        <v>45</v>
      </c>
      <c r="U2238" s="1">
        <v>4.82074544E8</v>
      </c>
      <c r="W2238" s="1" t="s">
        <v>46</v>
      </c>
      <c r="X2238" s="1" t="s">
        <v>45</v>
      </c>
      <c r="Y2238" s="1">
        <v>4.82074544E8</v>
      </c>
      <c r="Z2238" s="1">
        <v>2.0280947E7</v>
      </c>
      <c r="AA2238" s="1" t="s">
        <v>3976</v>
      </c>
      <c r="AB2238" s="1">
        <v>4701738.64</v>
      </c>
      <c r="AC2238" s="2">
        <v>41548.0</v>
      </c>
      <c r="AD2238" s="1">
        <v>7500.0</v>
      </c>
      <c r="AE2238" s="1" t="s">
        <v>40</v>
      </c>
      <c r="AF2238" s="1">
        <v>2.0141101E7</v>
      </c>
      <c r="AG2238" s="1" t="s">
        <v>212</v>
      </c>
      <c r="AH2238" s="1">
        <v>10.0</v>
      </c>
      <c r="AI2238" s="1">
        <v>2013.0</v>
      </c>
      <c r="AJ2238" s="1">
        <v>2014.0</v>
      </c>
      <c r="AK2238" s="1" t="s">
        <v>213</v>
      </c>
    </row>
    <row r="2239">
      <c r="A2239" s="1" t="s">
        <v>3956</v>
      </c>
      <c r="B2239" s="1" t="s">
        <v>3956</v>
      </c>
      <c r="C2239" s="1" t="s">
        <v>207</v>
      </c>
      <c r="E2239" s="1">
        <v>2.48575334E9</v>
      </c>
      <c r="F2239" s="2">
        <v>41548.0</v>
      </c>
      <c r="G2239" s="1" t="s">
        <v>3957</v>
      </c>
      <c r="I2239" s="1" t="s">
        <v>3957</v>
      </c>
      <c r="L2239" s="1" t="s">
        <v>40</v>
      </c>
      <c r="M2239" s="1">
        <v>7500.0</v>
      </c>
      <c r="N2239" s="1" t="s">
        <v>40</v>
      </c>
      <c r="O2239" s="1">
        <v>3.8775243E7</v>
      </c>
      <c r="P2239" s="1" t="s">
        <v>209</v>
      </c>
      <c r="Q2239" s="1" t="s">
        <v>210</v>
      </c>
      <c r="R2239" s="1" t="s">
        <v>211</v>
      </c>
      <c r="S2239" s="1" t="s">
        <v>44</v>
      </c>
      <c r="T2239" s="1" t="s">
        <v>45</v>
      </c>
      <c r="U2239" s="1">
        <v>4.82023068E8</v>
      </c>
      <c r="W2239" s="1" t="s">
        <v>46</v>
      </c>
      <c r="X2239" s="1" t="s">
        <v>45</v>
      </c>
      <c r="Y2239" s="1">
        <v>4.82023068E8</v>
      </c>
      <c r="Z2239" s="1">
        <v>3.8775243E7</v>
      </c>
      <c r="AA2239" s="1" t="s">
        <v>209</v>
      </c>
      <c r="AB2239" s="1">
        <v>26013.75</v>
      </c>
      <c r="AC2239" s="2">
        <v>41548.0</v>
      </c>
      <c r="AD2239" s="1">
        <v>7500.0</v>
      </c>
      <c r="AE2239" s="1" t="s">
        <v>40</v>
      </c>
      <c r="AF2239" s="1">
        <v>2.014192E7</v>
      </c>
      <c r="AG2239" s="1" t="s">
        <v>212</v>
      </c>
      <c r="AH2239" s="1">
        <v>10.0</v>
      </c>
      <c r="AI2239" s="1">
        <v>2013.0</v>
      </c>
      <c r="AJ2239" s="1">
        <v>2014.0</v>
      </c>
      <c r="AK2239" s="1" t="s">
        <v>213</v>
      </c>
    </row>
    <row r="2240">
      <c r="A2240" s="1" t="s">
        <v>3956</v>
      </c>
      <c r="B2240" s="1" t="s">
        <v>3956</v>
      </c>
      <c r="C2240" s="1" t="s">
        <v>207</v>
      </c>
      <c r="E2240" s="1">
        <v>2.48575334E9</v>
      </c>
      <c r="F2240" s="2">
        <v>41548.0</v>
      </c>
      <c r="G2240" s="1" t="s">
        <v>3957</v>
      </c>
      <c r="I2240" s="1" t="s">
        <v>3957</v>
      </c>
      <c r="L2240" s="1" t="s">
        <v>40</v>
      </c>
      <c r="M2240" s="1">
        <v>7500.0</v>
      </c>
      <c r="N2240" s="1" t="s">
        <v>40</v>
      </c>
      <c r="O2240" s="1">
        <v>3.8775243E7</v>
      </c>
      <c r="P2240" s="1" t="s">
        <v>209</v>
      </c>
      <c r="Q2240" s="1" t="s">
        <v>210</v>
      </c>
      <c r="R2240" s="1" t="s">
        <v>211</v>
      </c>
      <c r="S2240" s="1" t="s">
        <v>44</v>
      </c>
      <c r="T2240" s="1" t="s">
        <v>45</v>
      </c>
      <c r="U2240" s="1">
        <v>4.82023068E8</v>
      </c>
      <c r="W2240" s="1" t="s">
        <v>46</v>
      </c>
      <c r="X2240" s="1" t="s">
        <v>45</v>
      </c>
      <c r="Y2240" s="1">
        <v>4.82023068E8</v>
      </c>
      <c r="Z2240" s="1">
        <v>3.8775243E7</v>
      </c>
      <c r="AA2240" s="1" t="s">
        <v>209</v>
      </c>
      <c r="AB2240" s="1">
        <v>13067.38</v>
      </c>
      <c r="AC2240" s="2">
        <v>41548.0</v>
      </c>
      <c r="AD2240" s="1">
        <v>7500.0</v>
      </c>
      <c r="AE2240" s="1" t="s">
        <v>40</v>
      </c>
      <c r="AF2240" s="1">
        <v>2.0140688E7</v>
      </c>
      <c r="AG2240" s="1" t="s">
        <v>212</v>
      </c>
      <c r="AH2240" s="1">
        <v>10.0</v>
      </c>
      <c r="AI2240" s="1">
        <v>2013.0</v>
      </c>
      <c r="AJ2240" s="1">
        <v>2014.0</v>
      </c>
      <c r="AK2240" s="1" t="s">
        <v>213</v>
      </c>
    </row>
    <row r="2241">
      <c r="A2241" s="1" t="s">
        <v>3958</v>
      </c>
      <c r="B2241" s="1" t="s">
        <v>3958</v>
      </c>
      <c r="C2241" s="1" t="s">
        <v>207</v>
      </c>
      <c r="E2241" s="1">
        <v>4.972778E9</v>
      </c>
      <c r="F2241" s="2">
        <v>41183.0</v>
      </c>
      <c r="G2241" s="1" t="s">
        <v>3959</v>
      </c>
      <c r="I2241" s="1" t="s">
        <v>3959</v>
      </c>
      <c r="L2241" s="1" t="s">
        <v>40</v>
      </c>
      <c r="M2241" s="1">
        <v>7500.0</v>
      </c>
      <c r="N2241" s="1" t="s">
        <v>40</v>
      </c>
      <c r="O2241" s="1">
        <v>3.8775243E7</v>
      </c>
      <c r="P2241" s="1" t="s">
        <v>209</v>
      </c>
      <c r="Q2241" s="1" t="s">
        <v>210</v>
      </c>
      <c r="R2241" s="1" t="s">
        <v>211</v>
      </c>
      <c r="S2241" s="1" t="s">
        <v>44</v>
      </c>
      <c r="T2241" s="1" t="s">
        <v>45</v>
      </c>
      <c r="U2241" s="1">
        <v>4.82023068E8</v>
      </c>
      <c r="W2241" s="1" t="s">
        <v>46</v>
      </c>
      <c r="X2241" s="1" t="s">
        <v>45</v>
      </c>
      <c r="Y2241" s="1">
        <v>4.82023068E8</v>
      </c>
      <c r="Z2241" s="1">
        <v>3.8775243E7</v>
      </c>
      <c r="AA2241" s="1" t="s">
        <v>209</v>
      </c>
      <c r="AB2241" s="1">
        <v>416.12</v>
      </c>
      <c r="AC2241" s="2">
        <v>41183.0</v>
      </c>
      <c r="AD2241" s="1">
        <v>7500.0</v>
      </c>
      <c r="AE2241" s="1" t="s">
        <v>40</v>
      </c>
      <c r="AF2241" s="1">
        <v>2.0131083E7</v>
      </c>
      <c r="AG2241" s="1" t="s">
        <v>212</v>
      </c>
      <c r="AH2241" s="1">
        <v>10.0</v>
      </c>
      <c r="AI2241" s="1">
        <v>2013.0</v>
      </c>
      <c r="AJ2241" s="1">
        <v>2013.0</v>
      </c>
      <c r="AK2241" s="1" t="s">
        <v>213</v>
      </c>
    </row>
    <row r="2242">
      <c r="A2242" s="1" t="s">
        <v>3958</v>
      </c>
      <c r="B2242" s="1" t="s">
        <v>3958</v>
      </c>
      <c r="C2242" s="1" t="s">
        <v>207</v>
      </c>
      <c r="E2242" s="1">
        <v>4.972778E9</v>
      </c>
      <c r="F2242" s="2">
        <v>41548.0</v>
      </c>
      <c r="G2242" s="1" t="s">
        <v>3959</v>
      </c>
      <c r="I2242" s="1" t="s">
        <v>3959</v>
      </c>
      <c r="L2242" s="1" t="s">
        <v>40</v>
      </c>
      <c r="M2242" s="1">
        <v>7500.0</v>
      </c>
      <c r="N2242" s="1" t="s">
        <v>40</v>
      </c>
      <c r="O2242" s="1">
        <v>7.92267549E8</v>
      </c>
      <c r="P2242" s="1" t="s">
        <v>41</v>
      </c>
      <c r="Q2242" s="1" t="s">
        <v>2769</v>
      </c>
      <c r="R2242" s="1" t="s">
        <v>2770</v>
      </c>
      <c r="S2242" s="1" t="s">
        <v>44</v>
      </c>
      <c r="T2242" s="1" t="s">
        <v>45</v>
      </c>
      <c r="U2242" s="1">
        <v>4.82353296E8</v>
      </c>
      <c r="W2242" s="1" t="s">
        <v>46</v>
      </c>
      <c r="X2242" s="1" t="s">
        <v>45</v>
      </c>
      <c r="Y2242" s="1">
        <v>4.82353456E8</v>
      </c>
      <c r="Z2242" s="1">
        <v>7.3134603E7</v>
      </c>
      <c r="AA2242" s="1" t="s">
        <v>41</v>
      </c>
      <c r="AB2242" s="1">
        <v>2074687.5</v>
      </c>
      <c r="AC2242" s="2">
        <v>41548.0</v>
      </c>
      <c r="AD2242" s="1">
        <v>7500.0</v>
      </c>
      <c r="AE2242" s="1" t="s">
        <v>40</v>
      </c>
      <c r="AF2242" s="1">
        <v>2.0140478E7</v>
      </c>
      <c r="AG2242" s="1" t="s">
        <v>212</v>
      </c>
      <c r="AH2242" s="1">
        <v>10.0</v>
      </c>
      <c r="AI2242" s="1">
        <v>2013.0</v>
      </c>
      <c r="AJ2242" s="1">
        <v>2014.0</v>
      </c>
      <c r="AK2242" s="1" t="s">
        <v>213</v>
      </c>
    </row>
    <row r="2243">
      <c r="A2243" s="1" t="s">
        <v>3958</v>
      </c>
      <c r="B2243" s="1" t="s">
        <v>3958</v>
      </c>
      <c r="C2243" s="1" t="s">
        <v>207</v>
      </c>
      <c r="E2243" s="1">
        <v>4.972778E9</v>
      </c>
      <c r="F2243" s="2">
        <v>41548.0</v>
      </c>
      <c r="G2243" s="1" t="s">
        <v>3959</v>
      </c>
      <c r="I2243" s="1" t="s">
        <v>3959</v>
      </c>
      <c r="L2243" s="1" t="s">
        <v>40</v>
      </c>
      <c r="M2243" s="1">
        <v>7500.0</v>
      </c>
      <c r="N2243" s="1" t="s">
        <v>40</v>
      </c>
      <c r="O2243" s="1">
        <v>3.8775243E7</v>
      </c>
      <c r="P2243" s="1" t="s">
        <v>209</v>
      </c>
      <c r="Q2243" s="1" t="s">
        <v>210</v>
      </c>
      <c r="R2243" s="1" t="s">
        <v>211</v>
      </c>
      <c r="S2243" s="1" t="s">
        <v>44</v>
      </c>
      <c r="T2243" s="1" t="s">
        <v>45</v>
      </c>
      <c r="U2243" s="1">
        <v>4.82023068E8</v>
      </c>
      <c r="W2243" s="1" t="s">
        <v>46</v>
      </c>
      <c r="X2243" s="1" t="s">
        <v>45</v>
      </c>
      <c r="Y2243" s="1">
        <v>4.82023068E8</v>
      </c>
      <c r="Z2243" s="1">
        <v>3.8775243E7</v>
      </c>
      <c r="AA2243" s="1" t="s">
        <v>209</v>
      </c>
      <c r="AB2243" s="1">
        <v>8418.2</v>
      </c>
      <c r="AC2243" s="2">
        <v>41548.0</v>
      </c>
      <c r="AD2243" s="1">
        <v>7500.0</v>
      </c>
      <c r="AE2243" s="1" t="s">
        <v>40</v>
      </c>
      <c r="AF2243" s="1">
        <v>2.0140722E7</v>
      </c>
      <c r="AG2243" s="1" t="s">
        <v>212</v>
      </c>
      <c r="AH2243" s="1">
        <v>10.0</v>
      </c>
      <c r="AI2243" s="1">
        <v>2013.0</v>
      </c>
      <c r="AJ2243" s="1">
        <v>2014.0</v>
      </c>
      <c r="AK2243" s="1" t="s">
        <v>213</v>
      </c>
    </row>
    <row r="2244">
      <c r="A2244" s="1" t="s">
        <v>3958</v>
      </c>
      <c r="B2244" s="1" t="s">
        <v>3958</v>
      </c>
      <c r="C2244" s="1" t="s">
        <v>207</v>
      </c>
      <c r="E2244" s="1">
        <v>4.972778E9</v>
      </c>
      <c r="F2244" s="2">
        <v>41548.0</v>
      </c>
      <c r="G2244" s="1" t="s">
        <v>3959</v>
      </c>
      <c r="I2244" s="1" t="s">
        <v>3959</v>
      </c>
      <c r="L2244" s="1" t="s">
        <v>40</v>
      </c>
      <c r="M2244" s="1">
        <v>7500.0</v>
      </c>
      <c r="N2244" s="1" t="s">
        <v>40</v>
      </c>
      <c r="O2244" s="1">
        <v>3.8775243E7</v>
      </c>
      <c r="P2244" s="1" t="s">
        <v>209</v>
      </c>
      <c r="Q2244" s="1" t="s">
        <v>210</v>
      </c>
      <c r="R2244" s="1" t="s">
        <v>211</v>
      </c>
      <c r="S2244" s="1" t="s">
        <v>44</v>
      </c>
      <c r="T2244" s="1" t="s">
        <v>45</v>
      </c>
      <c r="U2244" s="1">
        <v>4.82023068E8</v>
      </c>
      <c r="W2244" s="1" t="s">
        <v>46</v>
      </c>
      <c r="X2244" s="1" t="s">
        <v>45</v>
      </c>
      <c r="Y2244" s="1">
        <v>4.82023068E8</v>
      </c>
      <c r="Z2244" s="1">
        <v>3.8775243E7</v>
      </c>
      <c r="AA2244" s="1" t="s">
        <v>209</v>
      </c>
      <c r="AB2244" s="1">
        <v>0.0</v>
      </c>
      <c r="AC2244" s="2">
        <v>41548.0</v>
      </c>
      <c r="AD2244" s="1">
        <v>7500.0</v>
      </c>
      <c r="AE2244" s="1" t="s">
        <v>40</v>
      </c>
      <c r="AF2244" s="1">
        <v>2.0140734E7</v>
      </c>
      <c r="AG2244" s="1" t="s">
        <v>212</v>
      </c>
      <c r="AH2244" s="1">
        <v>10.0</v>
      </c>
      <c r="AI2244" s="1">
        <v>2013.0</v>
      </c>
      <c r="AJ2244" s="1">
        <v>2014.0</v>
      </c>
      <c r="AK2244" s="1" t="s">
        <v>213</v>
      </c>
    </row>
    <row r="2245">
      <c r="A2245" s="1" t="s">
        <v>3958</v>
      </c>
      <c r="B2245" s="1" t="s">
        <v>3958</v>
      </c>
      <c r="C2245" s="1" t="s">
        <v>207</v>
      </c>
      <c r="E2245" s="1">
        <v>4.972778E9</v>
      </c>
      <c r="F2245" s="2">
        <v>41548.0</v>
      </c>
      <c r="G2245" s="1" t="s">
        <v>3959</v>
      </c>
      <c r="I2245" s="1" t="s">
        <v>3959</v>
      </c>
      <c r="L2245" s="1" t="s">
        <v>40</v>
      </c>
      <c r="M2245" s="1">
        <v>7500.0</v>
      </c>
      <c r="N2245" s="1" t="s">
        <v>40</v>
      </c>
      <c r="O2245" s="1">
        <v>3.8775243E7</v>
      </c>
      <c r="P2245" s="1" t="s">
        <v>209</v>
      </c>
      <c r="Q2245" s="1" t="s">
        <v>210</v>
      </c>
      <c r="R2245" s="1" t="s">
        <v>211</v>
      </c>
      <c r="S2245" s="1" t="s">
        <v>44</v>
      </c>
      <c r="T2245" s="1" t="s">
        <v>45</v>
      </c>
      <c r="U2245" s="1">
        <v>4.82023068E8</v>
      </c>
      <c r="W2245" s="1" t="s">
        <v>46</v>
      </c>
      <c r="X2245" s="1" t="s">
        <v>45</v>
      </c>
      <c r="Y2245" s="1">
        <v>4.82023068E8</v>
      </c>
      <c r="Z2245" s="1">
        <v>3.8775243E7</v>
      </c>
      <c r="AA2245" s="1" t="s">
        <v>209</v>
      </c>
      <c r="AB2245" s="1">
        <v>8199.72</v>
      </c>
      <c r="AC2245" s="2">
        <v>41548.0</v>
      </c>
      <c r="AD2245" s="1">
        <v>7500.0</v>
      </c>
      <c r="AE2245" s="1" t="s">
        <v>40</v>
      </c>
      <c r="AF2245" s="1">
        <v>2.014069E7</v>
      </c>
      <c r="AG2245" s="1" t="s">
        <v>212</v>
      </c>
      <c r="AH2245" s="1">
        <v>10.0</v>
      </c>
      <c r="AI2245" s="1">
        <v>2013.0</v>
      </c>
      <c r="AJ2245" s="1">
        <v>2014.0</v>
      </c>
      <c r="AK2245" s="1" t="s">
        <v>213</v>
      </c>
    </row>
    <row r="2246">
      <c r="A2246" s="1" t="s">
        <v>3961</v>
      </c>
      <c r="B2246" s="1" t="s">
        <v>3961</v>
      </c>
      <c r="C2246" s="1" t="s">
        <v>207</v>
      </c>
      <c r="E2246" s="1">
        <v>1.5943497E9</v>
      </c>
      <c r="F2246" s="2">
        <v>41548.0</v>
      </c>
      <c r="G2246" s="1" t="s">
        <v>3962</v>
      </c>
      <c r="I2246" s="1" t="s">
        <v>3962</v>
      </c>
      <c r="L2246" s="1" t="s">
        <v>40</v>
      </c>
      <c r="M2246" s="1">
        <v>7500.0</v>
      </c>
      <c r="N2246" s="1" t="s">
        <v>40</v>
      </c>
      <c r="O2246" s="1">
        <v>3.8775243E7</v>
      </c>
      <c r="P2246" s="1" t="s">
        <v>209</v>
      </c>
      <c r="Q2246" s="1" t="s">
        <v>210</v>
      </c>
      <c r="R2246" s="1" t="s">
        <v>211</v>
      </c>
      <c r="S2246" s="1" t="s">
        <v>44</v>
      </c>
      <c r="T2246" s="1" t="s">
        <v>45</v>
      </c>
      <c r="U2246" s="1">
        <v>4.82023068E8</v>
      </c>
      <c r="W2246" s="1" t="s">
        <v>46</v>
      </c>
      <c r="X2246" s="1" t="s">
        <v>45</v>
      </c>
      <c r="Y2246" s="1">
        <v>4.82023068E8</v>
      </c>
      <c r="Z2246" s="1">
        <v>3.8775243E7</v>
      </c>
      <c r="AA2246" s="1" t="s">
        <v>209</v>
      </c>
      <c r="AB2246" s="1">
        <v>8418.18</v>
      </c>
      <c r="AC2246" s="2">
        <v>41548.0</v>
      </c>
      <c r="AD2246" s="1">
        <v>7500.0</v>
      </c>
      <c r="AE2246" s="1" t="s">
        <v>40</v>
      </c>
      <c r="AF2246" s="1">
        <v>2.0140722E7</v>
      </c>
      <c r="AG2246" s="1" t="s">
        <v>212</v>
      </c>
      <c r="AH2246" s="1">
        <v>10.0</v>
      </c>
      <c r="AI2246" s="1">
        <v>2013.0</v>
      </c>
      <c r="AJ2246" s="1">
        <v>2014.0</v>
      </c>
      <c r="AK2246" s="1" t="s">
        <v>213</v>
      </c>
    </row>
    <row r="2247">
      <c r="A2247" s="1" t="s">
        <v>3961</v>
      </c>
      <c r="B2247" s="1" t="s">
        <v>3961</v>
      </c>
      <c r="C2247" s="1" t="s">
        <v>207</v>
      </c>
      <c r="E2247" s="1">
        <v>1.5943497E9</v>
      </c>
      <c r="F2247" s="2">
        <v>41548.0</v>
      </c>
      <c r="G2247" s="1" t="s">
        <v>3962</v>
      </c>
      <c r="I2247" s="1" t="s">
        <v>3962</v>
      </c>
      <c r="L2247" s="1" t="s">
        <v>40</v>
      </c>
      <c r="M2247" s="1">
        <v>7500.0</v>
      </c>
      <c r="N2247" s="1" t="s">
        <v>40</v>
      </c>
      <c r="O2247" s="1">
        <v>3.8775243E7</v>
      </c>
      <c r="P2247" s="1" t="s">
        <v>209</v>
      </c>
      <c r="Q2247" s="1" t="s">
        <v>210</v>
      </c>
      <c r="R2247" s="1" t="s">
        <v>211</v>
      </c>
      <c r="S2247" s="1" t="s">
        <v>44</v>
      </c>
      <c r="T2247" s="1" t="s">
        <v>45</v>
      </c>
      <c r="U2247" s="1">
        <v>4.82023068E8</v>
      </c>
      <c r="W2247" s="1" t="s">
        <v>46</v>
      </c>
      <c r="X2247" s="1" t="s">
        <v>45</v>
      </c>
      <c r="Y2247" s="1">
        <v>4.82023068E8</v>
      </c>
      <c r="Z2247" s="1">
        <v>3.8775243E7</v>
      </c>
      <c r="AA2247" s="1" t="s">
        <v>209</v>
      </c>
      <c r="AB2247" s="1">
        <v>26013.75</v>
      </c>
      <c r="AC2247" s="2">
        <v>41548.0</v>
      </c>
      <c r="AD2247" s="1">
        <v>7500.0</v>
      </c>
      <c r="AE2247" s="1" t="s">
        <v>40</v>
      </c>
      <c r="AF2247" s="1">
        <v>2.014192E7</v>
      </c>
      <c r="AG2247" s="1" t="s">
        <v>212</v>
      </c>
      <c r="AH2247" s="1">
        <v>10.0</v>
      </c>
      <c r="AI2247" s="1">
        <v>2013.0</v>
      </c>
      <c r="AJ2247" s="1">
        <v>2014.0</v>
      </c>
      <c r="AK2247" s="1" t="s">
        <v>213</v>
      </c>
    </row>
    <row r="2248">
      <c r="A2248" s="1" t="s">
        <v>3961</v>
      </c>
      <c r="B2248" s="1" t="s">
        <v>3961</v>
      </c>
      <c r="C2248" s="1" t="s">
        <v>207</v>
      </c>
      <c r="E2248" s="1">
        <v>1.5943497E9</v>
      </c>
      <c r="F2248" s="2">
        <v>41548.0</v>
      </c>
      <c r="G2248" s="1" t="s">
        <v>3962</v>
      </c>
      <c r="I2248" s="1" t="s">
        <v>3962</v>
      </c>
      <c r="L2248" s="1" t="s">
        <v>40</v>
      </c>
      <c r="M2248" s="1">
        <v>7500.0</v>
      </c>
      <c r="N2248" s="1" t="s">
        <v>40</v>
      </c>
      <c r="O2248" s="1">
        <v>3.8775243E7</v>
      </c>
      <c r="P2248" s="1" t="s">
        <v>209</v>
      </c>
      <c r="Q2248" s="1" t="s">
        <v>210</v>
      </c>
      <c r="R2248" s="1" t="s">
        <v>211</v>
      </c>
      <c r="S2248" s="1" t="s">
        <v>44</v>
      </c>
      <c r="T2248" s="1" t="s">
        <v>45</v>
      </c>
      <c r="U2248" s="1">
        <v>4.82023068E8</v>
      </c>
      <c r="W2248" s="1" t="s">
        <v>46</v>
      </c>
      <c r="X2248" s="1" t="s">
        <v>45</v>
      </c>
      <c r="Y2248" s="1">
        <v>4.82023068E8</v>
      </c>
      <c r="Z2248" s="1">
        <v>3.8775243E7</v>
      </c>
      <c r="AA2248" s="1" t="s">
        <v>209</v>
      </c>
      <c r="AB2248" s="1">
        <v>731.13</v>
      </c>
      <c r="AC2248" s="2">
        <v>41548.0</v>
      </c>
      <c r="AD2248" s="1">
        <v>7500.0</v>
      </c>
      <c r="AE2248" s="1" t="s">
        <v>40</v>
      </c>
      <c r="AF2248" s="1">
        <v>2.0140695E7</v>
      </c>
      <c r="AG2248" s="1" t="s">
        <v>212</v>
      </c>
      <c r="AH2248" s="1">
        <v>10.0</v>
      </c>
      <c r="AI2248" s="1">
        <v>2013.0</v>
      </c>
      <c r="AJ2248" s="1">
        <v>2014.0</v>
      </c>
      <c r="AK2248" s="1" t="s">
        <v>213</v>
      </c>
    </row>
    <row r="2249">
      <c r="A2249" s="1" t="s">
        <v>3961</v>
      </c>
      <c r="B2249" s="1" t="s">
        <v>3961</v>
      </c>
      <c r="C2249" s="1" t="s">
        <v>207</v>
      </c>
      <c r="E2249" s="1">
        <v>1.5943497E9</v>
      </c>
      <c r="F2249" s="2">
        <v>41548.0</v>
      </c>
      <c r="G2249" s="1" t="s">
        <v>3962</v>
      </c>
      <c r="I2249" s="1" t="s">
        <v>3962</v>
      </c>
      <c r="L2249" s="1" t="s">
        <v>40</v>
      </c>
      <c r="M2249" s="1">
        <v>7500.0</v>
      </c>
      <c r="N2249" s="1" t="s">
        <v>40</v>
      </c>
      <c r="O2249" s="1">
        <v>3.8775243E7</v>
      </c>
      <c r="P2249" s="1" t="s">
        <v>209</v>
      </c>
      <c r="Q2249" s="1" t="s">
        <v>210</v>
      </c>
      <c r="R2249" s="1" t="s">
        <v>211</v>
      </c>
      <c r="S2249" s="1" t="s">
        <v>44</v>
      </c>
      <c r="T2249" s="1" t="s">
        <v>45</v>
      </c>
      <c r="U2249" s="1">
        <v>4.82023068E8</v>
      </c>
      <c r="W2249" s="1" t="s">
        <v>46</v>
      </c>
      <c r="X2249" s="1" t="s">
        <v>45</v>
      </c>
      <c r="Y2249" s="1">
        <v>4.82023068E8</v>
      </c>
      <c r="Z2249" s="1">
        <v>3.8775243E7</v>
      </c>
      <c r="AA2249" s="1" t="s">
        <v>209</v>
      </c>
      <c r="AB2249" s="1">
        <v>8199.72</v>
      </c>
      <c r="AC2249" s="2">
        <v>41548.0</v>
      </c>
      <c r="AD2249" s="1">
        <v>7500.0</v>
      </c>
      <c r="AE2249" s="1" t="s">
        <v>40</v>
      </c>
      <c r="AF2249" s="1">
        <v>2.014069E7</v>
      </c>
      <c r="AG2249" s="1" t="s">
        <v>212</v>
      </c>
      <c r="AH2249" s="1">
        <v>10.0</v>
      </c>
      <c r="AI2249" s="1">
        <v>2013.0</v>
      </c>
      <c r="AJ2249" s="1">
        <v>2014.0</v>
      </c>
      <c r="AK2249" s="1" t="s">
        <v>213</v>
      </c>
    </row>
    <row r="2250">
      <c r="A2250" s="1" t="s">
        <v>3961</v>
      </c>
      <c r="B2250" s="1" t="s">
        <v>3961</v>
      </c>
      <c r="C2250" s="1" t="s">
        <v>207</v>
      </c>
      <c r="E2250" s="1">
        <v>1.5943497E9</v>
      </c>
      <c r="F2250" s="2">
        <v>41548.0</v>
      </c>
      <c r="G2250" s="1" t="s">
        <v>3962</v>
      </c>
      <c r="I2250" s="1" t="s">
        <v>3962</v>
      </c>
      <c r="L2250" s="1" t="s">
        <v>40</v>
      </c>
      <c r="M2250" s="1">
        <v>7500.0</v>
      </c>
      <c r="N2250" s="1" t="s">
        <v>40</v>
      </c>
      <c r="O2250" s="1">
        <v>3.8775243E7</v>
      </c>
      <c r="P2250" s="1" t="s">
        <v>209</v>
      </c>
      <c r="Q2250" s="1" t="s">
        <v>210</v>
      </c>
      <c r="R2250" s="1" t="s">
        <v>211</v>
      </c>
      <c r="S2250" s="1" t="s">
        <v>44</v>
      </c>
      <c r="T2250" s="1" t="s">
        <v>45</v>
      </c>
      <c r="U2250" s="1">
        <v>4.82023068E8</v>
      </c>
      <c r="W2250" s="1" t="s">
        <v>46</v>
      </c>
      <c r="X2250" s="1" t="s">
        <v>45</v>
      </c>
      <c r="Y2250" s="1">
        <v>4.82023068E8</v>
      </c>
      <c r="Z2250" s="1">
        <v>3.8775243E7</v>
      </c>
      <c r="AA2250" s="1" t="s">
        <v>209</v>
      </c>
      <c r="AB2250" s="1">
        <v>3750.0</v>
      </c>
      <c r="AC2250" s="2">
        <v>41548.0</v>
      </c>
      <c r="AD2250" s="1">
        <v>7500.0</v>
      </c>
      <c r="AE2250" s="1" t="s">
        <v>40</v>
      </c>
      <c r="AF2250" s="1">
        <v>2.0142024E7</v>
      </c>
      <c r="AG2250" s="1" t="s">
        <v>212</v>
      </c>
      <c r="AH2250" s="1">
        <v>10.0</v>
      </c>
      <c r="AI2250" s="1">
        <v>2013.0</v>
      </c>
      <c r="AJ2250" s="1">
        <v>2014.0</v>
      </c>
      <c r="AK2250" s="1" t="s">
        <v>213</v>
      </c>
    </row>
    <row r="2251">
      <c r="A2251" s="1" t="s">
        <v>3956</v>
      </c>
      <c r="B2251" s="1" t="s">
        <v>3956</v>
      </c>
      <c r="C2251" s="1" t="s">
        <v>207</v>
      </c>
      <c r="E2251" s="1">
        <v>2.48575334E9</v>
      </c>
      <c r="F2251" s="2">
        <v>41548.0</v>
      </c>
      <c r="G2251" s="1" t="s">
        <v>3957</v>
      </c>
      <c r="I2251" s="1" t="s">
        <v>3957</v>
      </c>
      <c r="L2251" s="1" t="s">
        <v>40</v>
      </c>
      <c r="M2251" s="1">
        <v>7500.0</v>
      </c>
      <c r="N2251" s="1" t="s">
        <v>40</v>
      </c>
      <c r="O2251" s="1">
        <v>7.92267549E8</v>
      </c>
      <c r="P2251" s="1" t="s">
        <v>41</v>
      </c>
      <c r="Q2251" s="1" t="s">
        <v>2769</v>
      </c>
      <c r="R2251" s="1" t="s">
        <v>2770</v>
      </c>
      <c r="S2251" s="1" t="s">
        <v>44</v>
      </c>
      <c r="T2251" s="1" t="s">
        <v>45</v>
      </c>
      <c r="U2251" s="1">
        <v>4.82353296E8</v>
      </c>
      <c r="W2251" s="1" t="s">
        <v>46</v>
      </c>
      <c r="X2251" s="1" t="s">
        <v>45</v>
      </c>
      <c r="Y2251" s="1">
        <v>4.82353456E8</v>
      </c>
      <c r="Z2251" s="1">
        <v>7.3134603E7</v>
      </c>
      <c r="AA2251" s="1" t="s">
        <v>41</v>
      </c>
      <c r="AB2251" s="1">
        <v>2074687.5</v>
      </c>
      <c r="AC2251" s="2">
        <v>41548.0</v>
      </c>
      <c r="AD2251" s="1">
        <v>7500.0</v>
      </c>
      <c r="AE2251" s="1" t="s">
        <v>40</v>
      </c>
      <c r="AF2251" s="1">
        <v>2.0140478E7</v>
      </c>
      <c r="AG2251" s="1" t="s">
        <v>212</v>
      </c>
      <c r="AH2251" s="1">
        <v>10.0</v>
      </c>
      <c r="AI2251" s="1">
        <v>2013.0</v>
      </c>
      <c r="AJ2251" s="1">
        <v>2014.0</v>
      </c>
      <c r="AK2251" s="1" t="s">
        <v>213</v>
      </c>
    </row>
    <row r="2252">
      <c r="A2252" s="1" t="s">
        <v>3956</v>
      </c>
      <c r="B2252" s="1" t="s">
        <v>3956</v>
      </c>
      <c r="C2252" s="1" t="s">
        <v>207</v>
      </c>
      <c r="E2252" s="1">
        <v>2.48575334E9</v>
      </c>
      <c r="F2252" s="2">
        <v>41548.0</v>
      </c>
      <c r="G2252" s="1" t="s">
        <v>3957</v>
      </c>
      <c r="I2252" s="1" t="s">
        <v>3957</v>
      </c>
      <c r="L2252" s="1" t="s">
        <v>40</v>
      </c>
      <c r="M2252" s="1">
        <v>7500.0</v>
      </c>
      <c r="N2252" s="1" t="s">
        <v>40</v>
      </c>
      <c r="O2252" s="1">
        <v>3.8775243E7</v>
      </c>
      <c r="P2252" s="1" t="s">
        <v>209</v>
      </c>
      <c r="Q2252" s="1" t="s">
        <v>210</v>
      </c>
      <c r="R2252" s="1" t="s">
        <v>211</v>
      </c>
      <c r="S2252" s="1" t="s">
        <v>44</v>
      </c>
      <c r="T2252" s="1" t="s">
        <v>45</v>
      </c>
      <c r="U2252" s="1">
        <v>4.82023068E8</v>
      </c>
      <c r="W2252" s="1" t="s">
        <v>46</v>
      </c>
      <c r="X2252" s="1" t="s">
        <v>45</v>
      </c>
      <c r="Y2252" s="1">
        <v>4.82023068E8</v>
      </c>
      <c r="Z2252" s="1">
        <v>3.8775243E7</v>
      </c>
      <c r="AA2252" s="1" t="s">
        <v>209</v>
      </c>
      <c r="AB2252" s="1">
        <v>21481.18</v>
      </c>
      <c r="AC2252" s="2">
        <v>41548.0</v>
      </c>
      <c r="AD2252" s="1">
        <v>7500.0</v>
      </c>
      <c r="AE2252" s="1" t="s">
        <v>40</v>
      </c>
      <c r="AF2252" s="1">
        <v>2.0140693E7</v>
      </c>
      <c r="AG2252" s="1" t="s">
        <v>212</v>
      </c>
      <c r="AH2252" s="1">
        <v>10.0</v>
      </c>
      <c r="AI2252" s="1">
        <v>2013.0</v>
      </c>
      <c r="AJ2252" s="1">
        <v>2014.0</v>
      </c>
      <c r="AK2252" s="1" t="s">
        <v>213</v>
      </c>
    </row>
    <row r="2253">
      <c r="A2253" s="1" t="s">
        <v>3956</v>
      </c>
      <c r="B2253" s="1" t="s">
        <v>3956</v>
      </c>
      <c r="C2253" s="1" t="s">
        <v>207</v>
      </c>
      <c r="E2253" s="1">
        <v>2.48575334E9</v>
      </c>
      <c r="F2253" s="2">
        <v>41548.0</v>
      </c>
      <c r="G2253" s="1" t="s">
        <v>3957</v>
      </c>
      <c r="I2253" s="1" t="s">
        <v>3957</v>
      </c>
      <c r="L2253" s="1" t="s">
        <v>40</v>
      </c>
      <c r="M2253" s="1">
        <v>7500.0</v>
      </c>
      <c r="N2253" s="1" t="s">
        <v>40</v>
      </c>
      <c r="O2253" s="1">
        <v>7596352.0</v>
      </c>
      <c r="P2253" s="1" t="s">
        <v>73</v>
      </c>
      <c r="Q2253" s="1" t="s">
        <v>2700</v>
      </c>
      <c r="R2253" s="1" t="s">
        <v>1578</v>
      </c>
      <c r="S2253" s="1" t="s">
        <v>44</v>
      </c>
      <c r="T2253" s="1" t="s">
        <v>45</v>
      </c>
      <c r="U2253" s="1">
        <v>4.82263269E8</v>
      </c>
      <c r="W2253" s="1" t="s">
        <v>46</v>
      </c>
      <c r="X2253" s="1" t="s">
        <v>45</v>
      </c>
      <c r="Y2253" s="1">
        <v>4.82263269E8</v>
      </c>
      <c r="Z2253" s="1">
        <v>6530661.0</v>
      </c>
      <c r="AA2253" s="1" t="s">
        <v>76</v>
      </c>
      <c r="AB2253" s="1">
        <v>100785.0</v>
      </c>
      <c r="AC2253" s="2">
        <v>41548.0</v>
      </c>
      <c r="AD2253" s="1">
        <v>7500.0</v>
      </c>
      <c r="AE2253" s="1" t="s">
        <v>40</v>
      </c>
      <c r="AF2253" s="1">
        <v>2.0141454E7</v>
      </c>
      <c r="AG2253" s="1" t="s">
        <v>212</v>
      </c>
      <c r="AH2253" s="1">
        <v>10.0</v>
      </c>
      <c r="AI2253" s="1">
        <v>2013.0</v>
      </c>
      <c r="AJ2253" s="1">
        <v>2014.0</v>
      </c>
      <c r="AK2253" s="1" t="s">
        <v>213</v>
      </c>
    </row>
    <row r="2254">
      <c r="A2254" s="1" t="s">
        <v>3963</v>
      </c>
      <c r="B2254" s="1" t="s">
        <v>3963</v>
      </c>
      <c r="C2254" s="1" t="s">
        <v>207</v>
      </c>
      <c r="E2254" s="1">
        <v>2.32482304E9</v>
      </c>
      <c r="F2254" s="2">
        <v>41548.0</v>
      </c>
      <c r="G2254" s="1" t="s">
        <v>3964</v>
      </c>
      <c r="I2254" s="1" t="s">
        <v>3964</v>
      </c>
      <c r="L2254" s="1" t="s">
        <v>40</v>
      </c>
      <c r="M2254" s="1">
        <v>7500.0</v>
      </c>
      <c r="N2254" s="1" t="s">
        <v>40</v>
      </c>
      <c r="O2254" s="1">
        <v>3.8775243E7</v>
      </c>
      <c r="P2254" s="1" t="s">
        <v>209</v>
      </c>
      <c r="Q2254" s="1" t="s">
        <v>210</v>
      </c>
      <c r="R2254" s="1" t="s">
        <v>211</v>
      </c>
      <c r="S2254" s="1" t="s">
        <v>44</v>
      </c>
      <c r="T2254" s="1" t="s">
        <v>45</v>
      </c>
      <c r="U2254" s="1">
        <v>4.82023068E8</v>
      </c>
      <c r="W2254" s="1" t="s">
        <v>46</v>
      </c>
      <c r="X2254" s="1" t="s">
        <v>45</v>
      </c>
      <c r="Y2254" s="1">
        <v>4.82023068E8</v>
      </c>
      <c r="Z2254" s="1">
        <v>3.8775243E7</v>
      </c>
      <c r="AA2254" s="1" t="s">
        <v>209</v>
      </c>
      <c r="AB2254" s="1">
        <v>13067.38</v>
      </c>
      <c r="AC2254" s="2">
        <v>41548.0</v>
      </c>
      <c r="AD2254" s="1">
        <v>7500.0</v>
      </c>
      <c r="AE2254" s="1" t="s">
        <v>40</v>
      </c>
      <c r="AF2254" s="1">
        <v>2.0140688E7</v>
      </c>
      <c r="AG2254" s="1" t="s">
        <v>212</v>
      </c>
      <c r="AH2254" s="1">
        <v>10.0</v>
      </c>
      <c r="AI2254" s="1">
        <v>2013.0</v>
      </c>
      <c r="AJ2254" s="1">
        <v>2014.0</v>
      </c>
      <c r="AK2254" s="1" t="s">
        <v>213</v>
      </c>
    </row>
    <row r="2255">
      <c r="A2255" s="1" t="s">
        <v>3963</v>
      </c>
      <c r="B2255" s="1" t="s">
        <v>3963</v>
      </c>
      <c r="C2255" s="1" t="s">
        <v>207</v>
      </c>
      <c r="E2255" s="1">
        <v>2.32482304E9</v>
      </c>
      <c r="F2255" s="2">
        <v>41548.0</v>
      </c>
      <c r="G2255" s="1" t="s">
        <v>3964</v>
      </c>
      <c r="I2255" s="1" t="s">
        <v>3964</v>
      </c>
      <c r="L2255" s="1" t="s">
        <v>40</v>
      </c>
      <c r="M2255" s="1">
        <v>7500.0</v>
      </c>
      <c r="N2255" s="1" t="s">
        <v>40</v>
      </c>
      <c r="O2255" s="1">
        <v>3.8775243E7</v>
      </c>
      <c r="P2255" s="1" t="s">
        <v>209</v>
      </c>
      <c r="Q2255" s="1" t="s">
        <v>210</v>
      </c>
      <c r="R2255" s="1" t="s">
        <v>211</v>
      </c>
      <c r="S2255" s="1" t="s">
        <v>44</v>
      </c>
      <c r="T2255" s="1" t="s">
        <v>45</v>
      </c>
      <c r="U2255" s="1">
        <v>4.82023068E8</v>
      </c>
      <c r="W2255" s="1" t="s">
        <v>46</v>
      </c>
      <c r="X2255" s="1" t="s">
        <v>45</v>
      </c>
      <c r="Y2255" s="1">
        <v>4.82023068E8</v>
      </c>
      <c r="Z2255" s="1">
        <v>3.8775243E7</v>
      </c>
      <c r="AA2255" s="1" t="s">
        <v>209</v>
      </c>
      <c r="AB2255" s="1">
        <v>9966.75</v>
      </c>
      <c r="AC2255" s="2">
        <v>41548.0</v>
      </c>
      <c r="AD2255" s="1">
        <v>7500.0</v>
      </c>
      <c r="AE2255" s="1" t="s">
        <v>40</v>
      </c>
      <c r="AF2255" s="1">
        <v>2.0140687E7</v>
      </c>
      <c r="AG2255" s="1" t="s">
        <v>212</v>
      </c>
      <c r="AH2255" s="1">
        <v>10.0</v>
      </c>
      <c r="AI2255" s="1">
        <v>2013.0</v>
      </c>
      <c r="AJ2255" s="1">
        <v>2014.0</v>
      </c>
      <c r="AK2255" s="1" t="s">
        <v>213</v>
      </c>
    </row>
    <row r="2256">
      <c r="A2256" s="1" t="s">
        <v>3958</v>
      </c>
      <c r="B2256" s="1" t="s">
        <v>3958</v>
      </c>
      <c r="C2256" s="1" t="s">
        <v>207</v>
      </c>
      <c r="E2256" s="1">
        <v>4.972778E9</v>
      </c>
      <c r="F2256" s="2">
        <v>41183.0</v>
      </c>
      <c r="G2256" s="1" t="s">
        <v>3959</v>
      </c>
      <c r="I2256" s="1" t="s">
        <v>3959</v>
      </c>
      <c r="L2256" s="1" t="s">
        <v>40</v>
      </c>
      <c r="M2256" s="1">
        <v>7500.0</v>
      </c>
      <c r="N2256" s="1" t="s">
        <v>40</v>
      </c>
      <c r="O2256" s="1">
        <v>3.8775243E7</v>
      </c>
      <c r="P2256" s="1" t="s">
        <v>209</v>
      </c>
      <c r="Q2256" s="1" t="s">
        <v>210</v>
      </c>
      <c r="R2256" s="1" t="s">
        <v>211</v>
      </c>
      <c r="S2256" s="1" t="s">
        <v>44</v>
      </c>
      <c r="T2256" s="1" t="s">
        <v>45</v>
      </c>
      <c r="U2256" s="1">
        <v>4.82023068E8</v>
      </c>
      <c r="W2256" s="1" t="s">
        <v>46</v>
      </c>
      <c r="X2256" s="1" t="s">
        <v>45</v>
      </c>
      <c r="Y2256" s="1">
        <v>4.82023068E8</v>
      </c>
      <c r="Z2256" s="1">
        <v>3.8775243E7</v>
      </c>
      <c r="AA2256" s="1" t="s">
        <v>209</v>
      </c>
      <c r="AB2256" s="1">
        <v>416.12</v>
      </c>
      <c r="AC2256" s="2">
        <v>41183.0</v>
      </c>
      <c r="AD2256" s="1">
        <v>7500.0</v>
      </c>
      <c r="AE2256" s="1" t="s">
        <v>40</v>
      </c>
      <c r="AF2256" s="1">
        <v>2.0131083E7</v>
      </c>
      <c r="AG2256" s="1" t="s">
        <v>212</v>
      </c>
      <c r="AH2256" s="1">
        <v>10.0</v>
      </c>
      <c r="AI2256" s="1">
        <v>2013.0</v>
      </c>
      <c r="AJ2256" s="1">
        <v>2013.0</v>
      </c>
      <c r="AK2256" s="1" t="s">
        <v>213</v>
      </c>
    </row>
    <row r="2257">
      <c r="A2257" s="1" t="s">
        <v>3958</v>
      </c>
      <c r="B2257" s="1" t="s">
        <v>3958</v>
      </c>
      <c r="C2257" s="1" t="s">
        <v>207</v>
      </c>
      <c r="E2257" s="1">
        <v>4.972778E9</v>
      </c>
      <c r="F2257" s="2">
        <v>41548.0</v>
      </c>
      <c r="G2257" s="1" t="s">
        <v>3959</v>
      </c>
      <c r="I2257" s="1" t="s">
        <v>3959</v>
      </c>
      <c r="L2257" s="1" t="s">
        <v>40</v>
      </c>
      <c r="M2257" s="1">
        <v>7500.0</v>
      </c>
      <c r="N2257" s="1" t="s">
        <v>40</v>
      </c>
      <c r="O2257" s="1">
        <v>4.6842605E7</v>
      </c>
      <c r="P2257" s="1" t="s">
        <v>165</v>
      </c>
      <c r="Q2257" s="1" t="s">
        <v>166</v>
      </c>
      <c r="R2257" s="1" t="s">
        <v>167</v>
      </c>
      <c r="S2257" s="1" t="s">
        <v>44</v>
      </c>
      <c r="T2257" s="1" t="s">
        <v>45</v>
      </c>
      <c r="U2257" s="1">
        <v>4.82074544E8</v>
      </c>
      <c r="W2257" s="1" t="s">
        <v>46</v>
      </c>
      <c r="X2257" s="1" t="s">
        <v>45</v>
      </c>
      <c r="Y2257" s="1">
        <v>4.82074544E8</v>
      </c>
      <c r="Z2257" s="1">
        <v>7.3134603E7</v>
      </c>
      <c r="AA2257" s="1" t="s">
        <v>41</v>
      </c>
      <c r="AB2257" s="1">
        <v>4701738.64</v>
      </c>
      <c r="AC2257" s="2">
        <v>41548.0</v>
      </c>
      <c r="AD2257" s="1">
        <v>7500.0</v>
      </c>
      <c r="AE2257" s="1" t="s">
        <v>40</v>
      </c>
      <c r="AF2257" s="1">
        <v>2.0141101E7</v>
      </c>
      <c r="AG2257" s="1" t="s">
        <v>212</v>
      </c>
      <c r="AH2257" s="1">
        <v>10.0</v>
      </c>
      <c r="AI2257" s="1">
        <v>2013.0</v>
      </c>
      <c r="AJ2257" s="1">
        <v>2014.0</v>
      </c>
      <c r="AK2257" s="1" t="s">
        <v>213</v>
      </c>
    </row>
    <row r="2258">
      <c r="A2258" s="1" t="s">
        <v>3958</v>
      </c>
      <c r="B2258" s="1" t="s">
        <v>3958</v>
      </c>
      <c r="C2258" s="1" t="s">
        <v>207</v>
      </c>
      <c r="E2258" s="1">
        <v>4.972778E9</v>
      </c>
      <c r="F2258" s="2">
        <v>41548.0</v>
      </c>
      <c r="G2258" s="1" t="s">
        <v>3959</v>
      </c>
      <c r="I2258" s="1" t="s">
        <v>3959</v>
      </c>
      <c r="L2258" s="1" t="s">
        <v>40</v>
      </c>
      <c r="M2258" s="1">
        <v>7500.0</v>
      </c>
      <c r="N2258" s="1" t="s">
        <v>40</v>
      </c>
      <c r="O2258" s="1">
        <v>3.8775243E7</v>
      </c>
      <c r="P2258" s="1" t="s">
        <v>209</v>
      </c>
      <c r="Q2258" s="1" t="s">
        <v>210</v>
      </c>
      <c r="R2258" s="1" t="s">
        <v>211</v>
      </c>
      <c r="S2258" s="1" t="s">
        <v>44</v>
      </c>
      <c r="T2258" s="1" t="s">
        <v>45</v>
      </c>
      <c r="U2258" s="1">
        <v>4.82023068E8</v>
      </c>
      <c r="W2258" s="1" t="s">
        <v>46</v>
      </c>
      <c r="X2258" s="1" t="s">
        <v>45</v>
      </c>
      <c r="Y2258" s="1">
        <v>4.82023068E8</v>
      </c>
      <c r="Z2258" s="1">
        <v>3.8775243E7</v>
      </c>
      <c r="AA2258" s="1" t="s">
        <v>209</v>
      </c>
      <c r="AB2258" s="1">
        <v>26013.73</v>
      </c>
      <c r="AC2258" s="2">
        <v>41548.0</v>
      </c>
      <c r="AD2258" s="1">
        <v>7500.0</v>
      </c>
      <c r="AE2258" s="1" t="s">
        <v>40</v>
      </c>
      <c r="AF2258" s="1">
        <v>2.014192E7</v>
      </c>
      <c r="AG2258" s="1" t="s">
        <v>212</v>
      </c>
      <c r="AH2258" s="1">
        <v>10.0</v>
      </c>
      <c r="AI2258" s="1">
        <v>2013.0</v>
      </c>
      <c r="AJ2258" s="1">
        <v>2014.0</v>
      </c>
      <c r="AK2258" s="1" t="s">
        <v>213</v>
      </c>
    </row>
    <row r="2259">
      <c r="A2259" s="1" t="s">
        <v>3958</v>
      </c>
      <c r="B2259" s="1" t="s">
        <v>3958</v>
      </c>
      <c r="C2259" s="1" t="s">
        <v>207</v>
      </c>
      <c r="E2259" s="1">
        <v>4.972778E9</v>
      </c>
      <c r="F2259" s="2">
        <v>41548.0</v>
      </c>
      <c r="G2259" s="1" t="s">
        <v>3959</v>
      </c>
      <c r="I2259" s="1" t="s">
        <v>3959</v>
      </c>
      <c r="L2259" s="1" t="s">
        <v>40</v>
      </c>
      <c r="M2259" s="1">
        <v>7500.0</v>
      </c>
      <c r="N2259" s="1" t="s">
        <v>40</v>
      </c>
      <c r="O2259" s="1">
        <v>3.8775243E7</v>
      </c>
      <c r="P2259" s="1" t="s">
        <v>209</v>
      </c>
      <c r="Q2259" s="1" t="s">
        <v>210</v>
      </c>
      <c r="R2259" s="1" t="s">
        <v>211</v>
      </c>
      <c r="S2259" s="1" t="s">
        <v>44</v>
      </c>
      <c r="T2259" s="1" t="s">
        <v>45</v>
      </c>
      <c r="U2259" s="1">
        <v>4.82023068E8</v>
      </c>
      <c r="W2259" s="1" t="s">
        <v>46</v>
      </c>
      <c r="X2259" s="1" t="s">
        <v>45</v>
      </c>
      <c r="Y2259" s="1">
        <v>4.82023068E8</v>
      </c>
      <c r="Z2259" s="1">
        <v>3.8775243E7</v>
      </c>
      <c r="AA2259" s="1" t="s">
        <v>209</v>
      </c>
      <c r="AB2259" s="1">
        <v>21481.18</v>
      </c>
      <c r="AC2259" s="2">
        <v>41548.0</v>
      </c>
      <c r="AD2259" s="1">
        <v>7500.0</v>
      </c>
      <c r="AE2259" s="1" t="s">
        <v>40</v>
      </c>
      <c r="AF2259" s="1">
        <v>2.0140693E7</v>
      </c>
      <c r="AG2259" s="1" t="s">
        <v>212</v>
      </c>
      <c r="AH2259" s="1">
        <v>10.0</v>
      </c>
      <c r="AI2259" s="1">
        <v>2013.0</v>
      </c>
      <c r="AJ2259" s="1">
        <v>2014.0</v>
      </c>
      <c r="AK2259" s="1" t="s">
        <v>213</v>
      </c>
    </row>
    <row r="2260">
      <c r="A2260" s="1" t="s">
        <v>3958</v>
      </c>
      <c r="B2260" s="1" t="s">
        <v>3958</v>
      </c>
      <c r="C2260" s="1" t="s">
        <v>207</v>
      </c>
      <c r="E2260" s="1">
        <v>4.972778E9</v>
      </c>
      <c r="F2260" s="2">
        <v>41548.0</v>
      </c>
      <c r="G2260" s="1" t="s">
        <v>3959</v>
      </c>
      <c r="I2260" s="1" t="s">
        <v>3959</v>
      </c>
      <c r="L2260" s="1" t="s">
        <v>40</v>
      </c>
      <c r="M2260" s="1">
        <v>7500.0</v>
      </c>
      <c r="N2260" s="1" t="s">
        <v>40</v>
      </c>
      <c r="O2260" s="1">
        <v>3.8775243E7</v>
      </c>
      <c r="P2260" s="1" t="s">
        <v>209</v>
      </c>
      <c r="Q2260" s="1" t="s">
        <v>210</v>
      </c>
      <c r="R2260" s="1" t="s">
        <v>211</v>
      </c>
      <c r="S2260" s="1" t="s">
        <v>44</v>
      </c>
      <c r="T2260" s="1" t="s">
        <v>45</v>
      </c>
      <c r="U2260" s="1">
        <v>4.82023068E8</v>
      </c>
      <c r="W2260" s="1" t="s">
        <v>46</v>
      </c>
      <c r="X2260" s="1" t="s">
        <v>45</v>
      </c>
      <c r="Y2260" s="1">
        <v>4.82023068E8</v>
      </c>
      <c r="Z2260" s="1">
        <v>3.8775243E7</v>
      </c>
      <c r="AA2260" s="1" t="s">
        <v>209</v>
      </c>
      <c r="AB2260" s="1">
        <v>9966.75</v>
      </c>
      <c r="AC2260" s="2">
        <v>41548.0</v>
      </c>
      <c r="AD2260" s="1">
        <v>7500.0</v>
      </c>
      <c r="AE2260" s="1" t="s">
        <v>40</v>
      </c>
      <c r="AF2260" s="1">
        <v>2.0140687E7</v>
      </c>
      <c r="AG2260" s="1" t="s">
        <v>212</v>
      </c>
      <c r="AH2260" s="1">
        <v>10.0</v>
      </c>
      <c r="AI2260" s="1">
        <v>2013.0</v>
      </c>
      <c r="AJ2260" s="1">
        <v>2014.0</v>
      </c>
      <c r="AK2260" s="1" t="s">
        <v>213</v>
      </c>
    </row>
    <row r="2261">
      <c r="A2261" s="1" t="s">
        <v>3958</v>
      </c>
      <c r="B2261" s="1" t="s">
        <v>3958</v>
      </c>
      <c r="C2261" s="1" t="s">
        <v>207</v>
      </c>
      <c r="E2261" s="1">
        <v>4.972778E9</v>
      </c>
      <c r="F2261" s="2">
        <v>41548.0</v>
      </c>
      <c r="G2261" s="1" t="s">
        <v>3959</v>
      </c>
      <c r="I2261" s="1" t="s">
        <v>3959</v>
      </c>
      <c r="L2261" s="1" t="s">
        <v>40</v>
      </c>
      <c r="M2261" s="1">
        <v>7500.0</v>
      </c>
      <c r="N2261" s="1" t="s">
        <v>40</v>
      </c>
      <c r="O2261" s="1">
        <v>3.8775243E7</v>
      </c>
      <c r="P2261" s="1" t="s">
        <v>209</v>
      </c>
      <c r="Q2261" s="1" t="s">
        <v>210</v>
      </c>
      <c r="R2261" s="1" t="s">
        <v>211</v>
      </c>
      <c r="S2261" s="1" t="s">
        <v>44</v>
      </c>
      <c r="T2261" s="1" t="s">
        <v>45</v>
      </c>
      <c r="U2261" s="1">
        <v>4.82023068E8</v>
      </c>
      <c r="W2261" s="1" t="s">
        <v>46</v>
      </c>
      <c r="X2261" s="1" t="s">
        <v>45</v>
      </c>
      <c r="Y2261" s="1">
        <v>4.82023068E8</v>
      </c>
      <c r="Z2261" s="1">
        <v>3.8775243E7</v>
      </c>
      <c r="AA2261" s="1" t="s">
        <v>209</v>
      </c>
      <c r="AB2261" s="1">
        <v>0.0</v>
      </c>
      <c r="AC2261" s="2">
        <v>41548.0</v>
      </c>
      <c r="AD2261" s="1">
        <v>7500.0</v>
      </c>
      <c r="AE2261" s="1" t="s">
        <v>40</v>
      </c>
      <c r="AF2261" s="1">
        <v>2.0140704E7</v>
      </c>
      <c r="AG2261" s="1" t="s">
        <v>212</v>
      </c>
      <c r="AH2261" s="1">
        <v>10.0</v>
      </c>
      <c r="AI2261" s="1">
        <v>2013.0</v>
      </c>
      <c r="AJ2261" s="1">
        <v>2014.0</v>
      </c>
      <c r="AK2261" s="1" t="s">
        <v>213</v>
      </c>
    </row>
    <row r="2262">
      <c r="A2262" s="1" t="s">
        <v>3958</v>
      </c>
      <c r="B2262" s="1" t="s">
        <v>3958</v>
      </c>
      <c r="C2262" s="1" t="s">
        <v>207</v>
      </c>
      <c r="E2262" s="1">
        <v>4.972778E9</v>
      </c>
      <c r="F2262" s="2">
        <v>41548.0</v>
      </c>
      <c r="G2262" s="1" t="s">
        <v>3959</v>
      </c>
      <c r="I2262" s="1" t="s">
        <v>3959</v>
      </c>
      <c r="L2262" s="1" t="s">
        <v>40</v>
      </c>
      <c r="M2262" s="1">
        <v>7500.0</v>
      </c>
      <c r="N2262" s="1" t="s">
        <v>40</v>
      </c>
      <c r="O2262" s="1">
        <v>3.8775243E7</v>
      </c>
      <c r="P2262" s="1" t="s">
        <v>209</v>
      </c>
      <c r="Q2262" s="1" t="s">
        <v>210</v>
      </c>
      <c r="R2262" s="1" t="s">
        <v>211</v>
      </c>
      <c r="S2262" s="1" t="s">
        <v>44</v>
      </c>
      <c r="T2262" s="1" t="s">
        <v>45</v>
      </c>
      <c r="U2262" s="1">
        <v>4.82023068E8</v>
      </c>
      <c r="W2262" s="1" t="s">
        <v>46</v>
      </c>
      <c r="X2262" s="1" t="s">
        <v>45</v>
      </c>
      <c r="Y2262" s="1">
        <v>4.82023068E8</v>
      </c>
      <c r="Z2262" s="1">
        <v>3.8775243E7</v>
      </c>
      <c r="AA2262" s="1" t="s">
        <v>209</v>
      </c>
      <c r="AB2262" s="1">
        <v>13067.38</v>
      </c>
      <c r="AC2262" s="2">
        <v>41548.0</v>
      </c>
      <c r="AD2262" s="1">
        <v>7500.0</v>
      </c>
      <c r="AE2262" s="1" t="s">
        <v>40</v>
      </c>
      <c r="AF2262" s="1">
        <v>2.0140688E7</v>
      </c>
      <c r="AG2262" s="1" t="s">
        <v>212</v>
      </c>
      <c r="AH2262" s="1">
        <v>10.0</v>
      </c>
      <c r="AI2262" s="1">
        <v>2013.0</v>
      </c>
      <c r="AJ2262" s="1">
        <v>2014.0</v>
      </c>
      <c r="AK2262" s="1" t="s">
        <v>213</v>
      </c>
    </row>
    <row r="2263">
      <c r="A2263" s="1" t="s">
        <v>3961</v>
      </c>
      <c r="B2263" s="1" t="s">
        <v>3961</v>
      </c>
      <c r="C2263" s="1" t="s">
        <v>207</v>
      </c>
      <c r="E2263" s="1">
        <v>1.5943497E9</v>
      </c>
      <c r="F2263" s="2">
        <v>41548.0</v>
      </c>
      <c r="G2263" s="1" t="s">
        <v>3962</v>
      </c>
      <c r="I2263" s="1" t="s">
        <v>3962</v>
      </c>
      <c r="L2263" s="1" t="s">
        <v>40</v>
      </c>
      <c r="M2263" s="1">
        <v>7500.0</v>
      </c>
      <c r="N2263" s="1" t="s">
        <v>40</v>
      </c>
      <c r="O2263" s="1">
        <v>4.6842605E7</v>
      </c>
      <c r="P2263" s="1" t="s">
        <v>165</v>
      </c>
      <c r="Q2263" s="1" t="s">
        <v>166</v>
      </c>
      <c r="R2263" s="1" t="s">
        <v>167</v>
      </c>
      <c r="S2263" s="1" t="s">
        <v>44</v>
      </c>
      <c r="T2263" s="1" t="s">
        <v>45</v>
      </c>
      <c r="U2263" s="1">
        <v>4.82074544E8</v>
      </c>
      <c r="W2263" s="1" t="s">
        <v>46</v>
      </c>
      <c r="X2263" s="1" t="s">
        <v>45</v>
      </c>
      <c r="Y2263" s="1">
        <v>4.82074544E8</v>
      </c>
      <c r="Z2263" s="1">
        <v>7.3134603E7</v>
      </c>
      <c r="AA2263" s="1" t="s">
        <v>41</v>
      </c>
      <c r="AB2263" s="1">
        <v>4701738.64</v>
      </c>
      <c r="AC2263" s="2">
        <v>41548.0</v>
      </c>
      <c r="AD2263" s="1">
        <v>7500.0</v>
      </c>
      <c r="AE2263" s="1" t="s">
        <v>40</v>
      </c>
      <c r="AF2263" s="1">
        <v>2.0141101E7</v>
      </c>
      <c r="AG2263" s="1" t="s">
        <v>212</v>
      </c>
      <c r="AH2263" s="1">
        <v>10.0</v>
      </c>
      <c r="AI2263" s="1">
        <v>2013.0</v>
      </c>
      <c r="AJ2263" s="1">
        <v>2014.0</v>
      </c>
      <c r="AK2263" s="1" t="s">
        <v>213</v>
      </c>
    </row>
    <row r="2264">
      <c r="A2264" s="1" t="s">
        <v>3961</v>
      </c>
      <c r="B2264" s="1" t="s">
        <v>3961</v>
      </c>
      <c r="C2264" s="1" t="s">
        <v>207</v>
      </c>
      <c r="E2264" s="1">
        <v>1.5943497E9</v>
      </c>
      <c r="F2264" s="2">
        <v>41548.0</v>
      </c>
      <c r="G2264" s="1" t="s">
        <v>3962</v>
      </c>
      <c r="I2264" s="1" t="s">
        <v>3962</v>
      </c>
      <c r="L2264" s="1" t="s">
        <v>40</v>
      </c>
      <c r="M2264" s="1">
        <v>7500.0</v>
      </c>
      <c r="N2264" s="1" t="s">
        <v>40</v>
      </c>
      <c r="O2264" s="1">
        <v>3.8775243E7</v>
      </c>
      <c r="P2264" s="1" t="s">
        <v>209</v>
      </c>
      <c r="Q2264" s="1" t="s">
        <v>210</v>
      </c>
      <c r="R2264" s="1" t="s">
        <v>211</v>
      </c>
      <c r="S2264" s="1" t="s">
        <v>44</v>
      </c>
      <c r="T2264" s="1" t="s">
        <v>45</v>
      </c>
      <c r="U2264" s="1">
        <v>4.82023068E8</v>
      </c>
      <c r="W2264" s="1" t="s">
        <v>46</v>
      </c>
      <c r="X2264" s="1" t="s">
        <v>45</v>
      </c>
      <c r="Y2264" s="1">
        <v>4.82023068E8</v>
      </c>
      <c r="Z2264" s="1">
        <v>3.8775243E7</v>
      </c>
      <c r="AA2264" s="1" t="s">
        <v>209</v>
      </c>
      <c r="AB2264" s="1">
        <v>0.0</v>
      </c>
      <c r="AC2264" s="2">
        <v>41548.0</v>
      </c>
      <c r="AD2264" s="1">
        <v>7500.0</v>
      </c>
      <c r="AE2264" s="1" t="s">
        <v>40</v>
      </c>
      <c r="AF2264" s="1">
        <v>2.0140704E7</v>
      </c>
      <c r="AG2264" s="1" t="s">
        <v>212</v>
      </c>
      <c r="AH2264" s="1">
        <v>10.0</v>
      </c>
      <c r="AI2264" s="1">
        <v>2013.0</v>
      </c>
      <c r="AJ2264" s="1">
        <v>2014.0</v>
      </c>
      <c r="AK2264" s="1" t="s">
        <v>213</v>
      </c>
    </row>
    <row r="2265">
      <c r="A2265" s="1" t="s">
        <v>3961</v>
      </c>
      <c r="B2265" s="1" t="s">
        <v>3961</v>
      </c>
      <c r="C2265" s="1" t="s">
        <v>207</v>
      </c>
      <c r="E2265" s="1">
        <v>1.5943497E9</v>
      </c>
      <c r="F2265" s="2">
        <v>41548.0</v>
      </c>
      <c r="G2265" s="1" t="s">
        <v>3962</v>
      </c>
      <c r="I2265" s="1" t="s">
        <v>3962</v>
      </c>
      <c r="L2265" s="1" t="s">
        <v>40</v>
      </c>
      <c r="M2265" s="1">
        <v>7500.0</v>
      </c>
      <c r="N2265" s="1" t="s">
        <v>40</v>
      </c>
      <c r="O2265" s="1">
        <v>3.8775243E7</v>
      </c>
      <c r="P2265" s="1" t="s">
        <v>209</v>
      </c>
      <c r="Q2265" s="1" t="s">
        <v>210</v>
      </c>
      <c r="R2265" s="1" t="s">
        <v>211</v>
      </c>
      <c r="S2265" s="1" t="s">
        <v>44</v>
      </c>
      <c r="T2265" s="1" t="s">
        <v>45</v>
      </c>
      <c r="U2265" s="1">
        <v>4.82023068E8</v>
      </c>
      <c r="W2265" s="1" t="s">
        <v>46</v>
      </c>
      <c r="X2265" s="1" t="s">
        <v>45</v>
      </c>
      <c r="Y2265" s="1">
        <v>4.82023068E8</v>
      </c>
      <c r="Z2265" s="1">
        <v>3.8775243E7</v>
      </c>
      <c r="AA2265" s="1" t="s">
        <v>209</v>
      </c>
      <c r="AB2265" s="1">
        <v>13067.38</v>
      </c>
      <c r="AC2265" s="2">
        <v>41548.0</v>
      </c>
      <c r="AD2265" s="1">
        <v>7500.0</v>
      </c>
      <c r="AE2265" s="1" t="s">
        <v>40</v>
      </c>
      <c r="AF2265" s="1">
        <v>2.0140688E7</v>
      </c>
      <c r="AG2265" s="1" t="s">
        <v>212</v>
      </c>
      <c r="AH2265" s="1">
        <v>10.0</v>
      </c>
      <c r="AI2265" s="1">
        <v>2013.0</v>
      </c>
      <c r="AJ2265" s="1">
        <v>2014.0</v>
      </c>
      <c r="AK2265" s="1" t="s">
        <v>213</v>
      </c>
    </row>
    <row r="2266">
      <c r="A2266" s="1" t="s">
        <v>3968</v>
      </c>
      <c r="B2266" s="1" t="s">
        <v>3968</v>
      </c>
      <c r="C2266" s="1" t="s">
        <v>207</v>
      </c>
      <c r="E2266" s="1">
        <v>2.98917299E9</v>
      </c>
      <c r="F2266" s="2">
        <v>41913.0</v>
      </c>
      <c r="G2266" s="1" t="s">
        <v>3969</v>
      </c>
      <c r="I2266" s="1" t="s">
        <v>3969</v>
      </c>
      <c r="L2266" s="1" t="s">
        <v>40</v>
      </c>
      <c r="M2266" s="1">
        <v>7500.0</v>
      </c>
      <c r="N2266" s="1" t="s">
        <v>40</v>
      </c>
      <c r="O2266" s="1">
        <v>3.8775243E7</v>
      </c>
      <c r="P2266" s="1" t="s">
        <v>209</v>
      </c>
      <c r="Q2266" s="1" t="s">
        <v>210</v>
      </c>
      <c r="R2266" s="1" t="s">
        <v>211</v>
      </c>
      <c r="S2266" s="1" t="s">
        <v>44</v>
      </c>
      <c r="T2266" s="1" t="s">
        <v>45</v>
      </c>
      <c r="U2266" s="1">
        <v>4.82023068E8</v>
      </c>
      <c r="W2266" s="1" t="s">
        <v>46</v>
      </c>
      <c r="X2266" s="1" t="s">
        <v>45</v>
      </c>
      <c r="Y2266" s="1">
        <v>4.82023068E8</v>
      </c>
      <c r="Z2266" s="1">
        <v>3.8775243E7</v>
      </c>
      <c r="AA2266" s="1" t="s">
        <v>209</v>
      </c>
      <c r="AB2266" s="1">
        <v>743.19</v>
      </c>
      <c r="AC2266" s="2">
        <v>41913.0</v>
      </c>
      <c r="AD2266" s="1">
        <v>7500.0</v>
      </c>
      <c r="AE2266" s="1" t="s">
        <v>40</v>
      </c>
      <c r="AF2266" s="1">
        <v>2.0140693E7</v>
      </c>
      <c r="AG2266" s="1" t="s">
        <v>212</v>
      </c>
      <c r="AH2266" s="1">
        <v>10.0</v>
      </c>
      <c r="AI2266" s="1">
        <v>2014.0</v>
      </c>
      <c r="AJ2266" s="1">
        <v>2015.0</v>
      </c>
      <c r="AK2266" s="1" t="s">
        <v>213</v>
      </c>
    </row>
    <row r="2267">
      <c r="A2267" s="1" t="s">
        <v>3961</v>
      </c>
      <c r="B2267" s="1" t="s">
        <v>3961</v>
      </c>
      <c r="C2267" s="1" t="s">
        <v>207</v>
      </c>
      <c r="E2267" s="1">
        <v>1.5943497E9</v>
      </c>
      <c r="F2267" s="2">
        <v>41548.0</v>
      </c>
      <c r="G2267" s="1" t="s">
        <v>3962</v>
      </c>
      <c r="I2267" s="1" t="s">
        <v>3962</v>
      </c>
      <c r="L2267" s="1" t="s">
        <v>40</v>
      </c>
      <c r="M2267" s="1">
        <v>7500.0</v>
      </c>
      <c r="N2267" s="1" t="s">
        <v>40</v>
      </c>
      <c r="O2267" s="1">
        <v>8.09204196E8</v>
      </c>
      <c r="P2267" s="1" t="s">
        <v>175</v>
      </c>
      <c r="Q2267" s="1" t="s">
        <v>3977</v>
      </c>
      <c r="R2267" s="1" t="s">
        <v>2078</v>
      </c>
      <c r="S2267" s="1" t="s">
        <v>44</v>
      </c>
      <c r="T2267" s="1" t="s">
        <v>45</v>
      </c>
      <c r="U2267" s="1">
        <v>4.82023026E8</v>
      </c>
      <c r="W2267" s="1" t="s">
        <v>46</v>
      </c>
      <c r="X2267" s="1" t="s">
        <v>45</v>
      </c>
      <c r="Y2267" s="1">
        <v>4.82023026E8</v>
      </c>
      <c r="Z2267" s="1">
        <v>8.09204196E8</v>
      </c>
      <c r="AA2267" s="1" t="s">
        <v>175</v>
      </c>
      <c r="AB2267" s="1">
        <v>63359.0</v>
      </c>
      <c r="AC2267" s="2">
        <v>41548.0</v>
      </c>
      <c r="AD2267" s="1">
        <v>7500.0</v>
      </c>
      <c r="AE2267" s="1" t="s">
        <v>40</v>
      </c>
      <c r="AF2267" s="1">
        <v>2.0141916E7</v>
      </c>
      <c r="AG2267" s="1" t="s">
        <v>212</v>
      </c>
      <c r="AH2267" s="1">
        <v>10.0</v>
      </c>
      <c r="AI2267" s="1">
        <v>2013.0</v>
      </c>
      <c r="AJ2267" s="1">
        <v>2014.0</v>
      </c>
      <c r="AK2267" s="1" t="s">
        <v>213</v>
      </c>
    </row>
    <row r="2268">
      <c r="A2268" s="1" t="s">
        <v>3961</v>
      </c>
      <c r="B2268" s="1" t="s">
        <v>3961</v>
      </c>
      <c r="C2268" s="1" t="s">
        <v>207</v>
      </c>
      <c r="E2268" s="1">
        <v>1.5943497E9</v>
      </c>
      <c r="F2268" s="2">
        <v>41548.0</v>
      </c>
      <c r="G2268" s="1" t="s">
        <v>3962</v>
      </c>
      <c r="I2268" s="1" t="s">
        <v>3962</v>
      </c>
      <c r="L2268" s="1" t="s">
        <v>40</v>
      </c>
      <c r="M2268" s="1">
        <v>7500.0</v>
      </c>
      <c r="N2268" s="1" t="s">
        <v>40</v>
      </c>
      <c r="O2268" s="1">
        <v>7596352.0</v>
      </c>
      <c r="P2268" s="1" t="s">
        <v>73</v>
      </c>
      <c r="Q2268" s="1" t="s">
        <v>2014</v>
      </c>
      <c r="R2268" s="1" t="s">
        <v>1578</v>
      </c>
      <c r="S2268" s="1" t="s">
        <v>44</v>
      </c>
      <c r="T2268" s="1" t="s">
        <v>45</v>
      </c>
      <c r="U2268" s="1">
        <v>4.82263269E8</v>
      </c>
      <c r="W2268" s="1" t="s">
        <v>46</v>
      </c>
      <c r="X2268" s="1" t="s">
        <v>45</v>
      </c>
      <c r="Y2268" s="1">
        <v>4.82263269E8</v>
      </c>
      <c r="Z2268" s="1">
        <v>6530661.0</v>
      </c>
      <c r="AA2268" s="1" t="s">
        <v>76</v>
      </c>
      <c r="AB2268" s="1">
        <v>100785.0</v>
      </c>
      <c r="AC2268" s="2">
        <v>41548.0</v>
      </c>
      <c r="AD2268" s="1">
        <v>7500.0</v>
      </c>
      <c r="AE2268" s="1" t="s">
        <v>40</v>
      </c>
      <c r="AF2268" s="1">
        <v>2.0141454E7</v>
      </c>
      <c r="AG2268" s="1" t="s">
        <v>212</v>
      </c>
      <c r="AH2268" s="1">
        <v>10.0</v>
      </c>
      <c r="AI2268" s="1">
        <v>2013.0</v>
      </c>
      <c r="AJ2268" s="1">
        <v>2014.0</v>
      </c>
      <c r="AK2268" s="1" t="s">
        <v>213</v>
      </c>
    </row>
    <row r="2269">
      <c r="A2269" s="1" t="s">
        <v>3963</v>
      </c>
      <c r="B2269" s="1" t="s">
        <v>3963</v>
      </c>
      <c r="C2269" s="1" t="s">
        <v>207</v>
      </c>
      <c r="E2269" s="1">
        <v>2.32482304E9</v>
      </c>
      <c r="F2269" s="2">
        <v>41548.0</v>
      </c>
      <c r="G2269" s="1" t="s">
        <v>3964</v>
      </c>
      <c r="I2269" s="1" t="s">
        <v>3964</v>
      </c>
      <c r="L2269" s="1" t="s">
        <v>40</v>
      </c>
      <c r="M2269" s="1">
        <v>7500.0</v>
      </c>
      <c r="N2269" s="1" t="s">
        <v>40</v>
      </c>
      <c r="O2269" s="1">
        <v>7.6377316E7</v>
      </c>
      <c r="P2269" s="1" t="s">
        <v>2302</v>
      </c>
      <c r="Q2269" s="1" t="s">
        <v>3960</v>
      </c>
      <c r="R2269" s="1" t="s">
        <v>2303</v>
      </c>
      <c r="S2269" s="1" t="s">
        <v>44</v>
      </c>
      <c r="T2269" s="1" t="s">
        <v>45</v>
      </c>
      <c r="U2269" s="1">
        <v>4.82012119E8</v>
      </c>
      <c r="W2269" s="1" t="s">
        <v>46</v>
      </c>
      <c r="X2269" s="1" t="s">
        <v>45</v>
      </c>
      <c r="Y2269" s="1">
        <v>4.82012119E8</v>
      </c>
      <c r="Z2269" s="1">
        <v>5.3866661E7</v>
      </c>
      <c r="AB2269" s="1">
        <v>11697.73</v>
      </c>
      <c r="AC2269" s="2">
        <v>41548.0</v>
      </c>
      <c r="AD2269" s="1">
        <v>7500.0</v>
      </c>
      <c r="AE2269" s="1" t="s">
        <v>40</v>
      </c>
      <c r="AF2269" s="1">
        <v>2.0140061E7</v>
      </c>
      <c r="AG2269" s="1" t="s">
        <v>212</v>
      </c>
      <c r="AH2269" s="1">
        <v>10.0</v>
      </c>
      <c r="AI2269" s="1">
        <v>2013.0</v>
      </c>
      <c r="AJ2269" s="1">
        <v>2014.0</v>
      </c>
      <c r="AK2269" s="1" t="s">
        <v>213</v>
      </c>
    </row>
    <row r="2270">
      <c r="A2270" s="1" t="s">
        <v>3978</v>
      </c>
      <c r="B2270" s="1" t="s">
        <v>3978</v>
      </c>
      <c r="C2270" s="1" t="s">
        <v>38</v>
      </c>
      <c r="E2270" s="1">
        <v>2035483.0</v>
      </c>
      <c r="F2270" s="2">
        <v>41964.0</v>
      </c>
      <c r="G2270" s="1" t="s">
        <v>3979</v>
      </c>
      <c r="I2270" s="1" t="s">
        <v>3979</v>
      </c>
      <c r="L2270" s="1" t="s">
        <v>40</v>
      </c>
      <c r="M2270" s="1">
        <v>7500.0</v>
      </c>
      <c r="N2270" s="1" t="s">
        <v>40</v>
      </c>
      <c r="O2270" s="1">
        <v>7.3134603E7</v>
      </c>
      <c r="P2270" s="1" t="s">
        <v>41</v>
      </c>
      <c r="Q2270" s="1" t="s">
        <v>42</v>
      </c>
      <c r="R2270" s="1" t="s">
        <v>43</v>
      </c>
      <c r="S2270" s="1" t="s">
        <v>44</v>
      </c>
      <c r="T2270" s="1" t="s">
        <v>45</v>
      </c>
      <c r="U2270" s="1">
        <v>4.8202345E8</v>
      </c>
      <c r="W2270" s="1" t="s">
        <v>46</v>
      </c>
      <c r="X2270" s="1" t="s">
        <v>45</v>
      </c>
      <c r="Y2270" s="1">
        <v>4.82022689E8</v>
      </c>
      <c r="Z2270" s="1">
        <v>7.3134603E7</v>
      </c>
      <c r="AA2270" s="1" t="s">
        <v>41</v>
      </c>
      <c r="AB2270" s="1">
        <v>244526.0</v>
      </c>
      <c r="AC2270" s="2">
        <v>41964.0</v>
      </c>
      <c r="AD2270" s="1">
        <v>7500.0</v>
      </c>
      <c r="AE2270" s="1" t="s">
        <v>40</v>
      </c>
      <c r="AF2270" s="1" t="s">
        <v>3980</v>
      </c>
      <c r="AG2270" s="1" t="s">
        <v>3981</v>
      </c>
      <c r="AH2270" s="1">
        <v>10.0</v>
      </c>
      <c r="AI2270" s="1">
        <v>2011.0</v>
      </c>
      <c r="AJ2270" s="1">
        <v>2015.0</v>
      </c>
      <c r="AK2270" s="1" t="s">
        <v>202</v>
      </c>
    </row>
    <row r="2271">
      <c r="A2271" s="1" t="s">
        <v>3963</v>
      </c>
      <c r="B2271" s="1" t="s">
        <v>3963</v>
      </c>
      <c r="C2271" s="1" t="s">
        <v>207</v>
      </c>
      <c r="E2271" s="1">
        <v>2.32482304E9</v>
      </c>
      <c r="F2271" s="2">
        <v>41548.0</v>
      </c>
      <c r="G2271" s="1" t="s">
        <v>3964</v>
      </c>
      <c r="I2271" s="1" t="s">
        <v>3964</v>
      </c>
      <c r="L2271" s="1" t="s">
        <v>40</v>
      </c>
      <c r="M2271" s="1">
        <v>7500.0</v>
      </c>
      <c r="N2271" s="1" t="s">
        <v>40</v>
      </c>
      <c r="O2271" s="1">
        <v>7.92267549E8</v>
      </c>
      <c r="P2271" s="1" t="s">
        <v>41</v>
      </c>
      <c r="Q2271" s="1" t="s">
        <v>2769</v>
      </c>
      <c r="R2271" s="1" t="s">
        <v>2770</v>
      </c>
      <c r="S2271" s="1" t="s">
        <v>44</v>
      </c>
      <c r="T2271" s="1" t="s">
        <v>45</v>
      </c>
      <c r="U2271" s="1">
        <v>4.82353296E8</v>
      </c>
      <c r="W2271" s="1" t="s">
        <v>46</v>
      </c>
      <c r="X2271" s="1" t="s">
        <v>45</v>
      </c>
      <c r="Y2271" s="1">
        <v>4.82353456E8</v>
      </c>
      <c r="Z2271" s="1">
        <v>7.3134603E7</v>
      </c>
      <c r="AA2271" s="1" t="s">
        <v>41</v>
      </c>
      <c r="AB2271" s="1">
        <v>2074687.5</v>
      </c>
      <c r="AC2271" s="2">
        <v>41548.0</v>
      </c>
      <c r="AD2271" s="1">
        <v>7500.0</v>
      </c>
      <c r="AE2271" s="1" t="s">
        <v>40</v>
      </c>
      <c r="AF2271" s="1">
        <v>2.0140478E7</v>
      </c>
      <c r="AG2271" s="1" t="s">
        <v>212</v>
      </c>
      <c r="AH2271" s="1">
        <v>10.0</v>
      </c>
      <c r="AI2271" s="1">
        <v>2013.0</v>
      </c>
      <c r="AJ2271" s="1">
        <v>2014.0</v>
      </c>
      <c r="AK2271" s="1" t="s">
        <v>213</v>
      </c>
    </row>
    <row r="2272">
      <c r="A2272" s="1" t="s">
        <v>3963</v>
      </c>
      <c r="B2272" s="1" t="s">
        <v>3963</v>
      </c>
      <c r="C2272" s="1" t="s">
        <v>207</v>
      </c>
      <c r="E2272" s="1">
        <v>2.32482304E9</v>
      </c>
      <c r="F2272" s="2">
        <v>41548.0</v>
      </c>
      <c r="G2272" s="1" t="s">
        <v>3964</v>
      </c>
      <c r="I2272" s="1" t="s">
        <v>3964</v>
      </c>
      <c r="L2272" s="1" t="s">
        <v>40</v>
      </c>
      <c r="M2272" s="1">
        <v>7500.0</v>
      </c>
      <c r="N2272" s="1" t="s">
        <v>40</v>
      </c>
      <c r="O2272" s="1">
        <v>3.8775243E7</v>
      </c>
      <c r="P2272" s="1" t="s">
        <v>209</v>
      </c>
      <c r="Q2272" s="1" t="s">
        <v>210</v>
      </c>
      <c r="R2272" s="1" t="s">
        <v>211</v>
      </c>
      <c r="S2272" s="1" t="s">
        <v>44</v>
      </c>
      <c r="T2272" s="1" t="s">
        <v>45</v>
      </c>
      <c r="U2272" s="1">
        <v>4.82023068E8</v>
      </c>
      <c r="W2272" s="1" t="s">
        <v>46</v>
      </c>
      <c r="X2272" s="1" t="s">
        <v>45</v>
      </c>
      <c r="Y2272" s="1">
        <v>4.82023068E8</v>
      </c>
      <c r="Z2272" s="1">
        <v>3.8775243E7</v>
      </c>
      <c r="AA2272" s="1" t="s">
        <v>209</v>
      </c>
      <c r="AB2272" s="1">
        <v>0.0</v>
      </c>
      <c r="AC2272" s="2">
        <v>41548.0</v>
      </c>
      <c r="AD2272" s="1">
        <v>7500.0</v>
      </c>
      <c r="AE2272" s="1" t="s">
        <v>40</v>
      </c>
      <c r="AF2272" s="1">
        <v>2.0140704E7</v>
      </c>
      <c r="AG2272" s="1" t="s">
        <v>212</v>
      </c>
      <c r="AH2272" s="1">
        <v>10.0</v>
      </c>
      <c r="AI2272" s="1">
        <v>2013.0</v>
      </c>
      <c r="AJ2272" s="1">
        <v>2014.0</v>
      </c>
      <c r="AK2272" s="1" t="s">
        <v>213</v>
      </c>
    </row>
    <row r="2273">
      <c r="A2273" s="1" t="s">
        <v>3963</v>
      </c>
      <c r="B2273" s="1" t="s">
        <v>3963</v>
      </c>
      <c r="C2273" s="1" t="s">
        <v>207</v>
      </c>
      <c r="E2273" s="1">
        <v>2.32482304E9</v>
      </c>
      <c r="F2273" s="2">
        <v>41548.0</v>
      </c>
      <c r="G2273" s="1" t="s">
        <v>3964</v>
      </c>
      <c r="I2273" s="1" t="s">
        <v>3964</v>
      </c>
      <c r="L2273" s="1" t="s">
        <v>40</v>
      </c>
      <c r="M2273" s="1">
        <v>7500.0</v>
      </c>
      <c r="N2273" s="1" t="s">
        <v>40</v>
      </c>
      <c r="O2273" s="1">
        <v>3.8775243E7</v>
      </c>
      <c r="P2273" s="1" t="s">
        <v>209</v>
      </c>
      <c r="Q2273" s="1" t="s">
        <v>210</v>
      </c>
      <c r="R2273" s="1" t="s">
        <v>211</v>
      </c>
      <c r="S2273" s="1" t="s">
        <v>44</v>
      </c>
      <c r="T2273" s="1" t="s">
        <v>45</v>
      </c>
      <c r="U2273" s="1">
        <v>4.82023068E8</v>
      </c>
      <c r="W2273" s="1" t="s">
        <v>46</v>
      </c>
      <c r="X2273" s="1" t="s">
        <v>45</v>
      </c>
      <c r="Y2273" s="1">
        <v>4.82023068E8</v>
      </c>
      <c r="Z2273" s="1">
        <v>3.8775243E7</v>
      </c>
      <c r="AA2273" s="1" t="s">
        <v>209</v>
      </c>
      <c r="AB2273" s="1">
        <v>26013.77</v>
      </c>
      <c r="AC2273" s="2">
        <v>41548.0</v>
      </c>
      <c r="AD2273" s="1">
        <v>7500.0</v>
      </c>
      <c r="AE2273" s="1" t="s">
        <v>40</v>
      </c>
      <c r="AF2273" s="1">
        <v>2.014192E7</v>
      </c>
      <c r="AG2273" s="1" t="s">
        <v>212</v>
      </c>
      <c r="AH2273" s="1">
        <v>10.0</v>
      </c>
      <c r="AI2273" s="1">
        <v>2013.0</v>
      </c>
      <c r="AJ2273" s="1">
        <v>2014.0</v>
      </c>
      <c r="AK2273" s="1" t="s">
        <v>213</v>
      </c>
    </row>
    <row r="2274">
      <c r="A2274" s="1" t="s">
        <v>3963</v>
      </c>
      <c r="B2274" s="1" t="s">
        <v>3963</v>
      </c>
      <c r="C2274" s="1" t="s">
        <v>207</v>
      </c>
      <c r="E2274" s="1">
        <v>2.32482304E9</v>
      </c>
      <c r="F2274" s="2">
        <v>41548.0</v>
      </c>
      <c r="G2274" s="1" t="s">
        <v>3964</v>
      </c>
      <c r="I2274" s="1" t="s">
        <v>3964</v>
      </c>
      <c r="L2274" s="1" t="s">
        <v>40</v>
      </c>
      <c r="M2274" s="1">
        <v>7500.0</v>
      </c>
      <c r="N2274" s="1" t="s">
        <v>40</v>
      </c>
      <c r="O2274" s="1">
        <v>3.8775243E7</v>
      </c>
      <c r="P2274" s="1" t="s">
        <v>209</v>
      </c>
      <c r="Q2274" s="1" t="s">
        <v>210</v>
      </c>
      <c r="R2274" s="1" t="s">
        <v>211</v>
      </c>
      <c r="S2274" s="1" t="s">
        <v>44</v>
      </c>
      <c r="T2274" s="1" t="s">
        <v>45</v>
      </c>
      <c r="U2274" s="1">
        <v>4.82023068E8</v>
      </c>
      <c r="W2274" s="1" t="s">
        <v>46</v>
      </c>
      <c r="X2274" s="1" t="s">
        <v>45</v>
      </c>
      <c r="Y2274" s="1">
        <v>4.82023068E8</v>
      </c>
      <c r="Z2274" s="1">
        <v>3.8775243E7</v>
      </c>
      <c r="AA2274" s="1" t="s">
        <v>209</v>
      </c>
      <c r="AB2274" s="1">
        <v>731.13</v>
      </c>
      <c r="AC2274" s="2">
        <v>41548.0</v>
      </c>
      <c r="AD2274" s="1">
        <v>7500.0</v>
      </c>
      <c r="AE2274" s="1" t="s">
        <v>40</v>
      </c>
      <c r="AF2274" s="1">
        <v>2.0140695E7</v>
      </c>
      <c r="AG2274" s="1" t="s">
        <v>212</v>
      </c>
      <c r="AH2274" s="1">
        <v>10.0</v>
      </c>
      <c r="AI2274" s="1">
        <v>2013.0</v>
      </c>
      <c r="AJ2274" s="1">
        <v>2014.0</v>
      </c>
      <c r="AK2274" s="1" t="s">
        <v>213</v>
      </c>
    </row>
    <row r="2275">
      <c r="A2275" s="1" t="s">
        <v>3963</v>
      </c>
      <c r="B2275" s="1" t="s">
        <v>3963</v>
      </c>
      <c r="C2275" s="1" t="s">
        <v>207</v>
      </c>
      <c r="E2275" s="1">
        <v>2.32482304E9</v>
      </c>
      <c r="F2275" s="2">
        <v>41548.0</v>
      </c>
      <c r="G2275" s="1" t="s">
        <v>3964</v>
      </c>
      <c r="I2275" s="1" t="s">
        <v>3964</v>
      </c>
      <c r="L2275" s="1" t="s">
        <v>40</v>
      </c>
      <c r="M2275" s="1">
        <v>7500.0</v>
      </c>
      <c r="N2275" s="1" t="s">
        <v>40</v>
      </c>
      <c r="O2275" s="1">
        <v>3.8775243E7</v>
      </c>
      <c r="P2275" s="1" t="s">
        <v>209</v>
      </c>
      <c r="Q2275" s="1" t="s">
        <v>210</v>
      </c>
      <c r="R2275" s="1" t="s">
        <v>211</v>
      </c>
      <c r="S2275" s="1" t="s">
        <v>44</v>
      </c>
      <c r="T2275" s="1" t="s">
        <v>45</v>
      </c>
      <c r="U2275" s="1">
        <v>4.82023068E8</v>
      </c>
      <c r="W2275" s="1" t="s">
        <v>46</v>
      </c>
      <c r="X2275" s="1" t="s">
        <v>45</v>
      </c>
      <c r="Y2275" s="1">
        <v>4.82023068E8</v>
      </c>
      <c r="Z2275" s="1">
        <v>3.8775243E7</v>
      </c>
      <c r="AA2275" s="1" t="s">
        <v>209</v>
      </c>
      <c r="AB2275" s="1">
        <v>8199.72</v>
      </c>
      <c r="AC2275" s="2">
        <v>41548.0</v>
      </c>
      <c r="AD2275" s="1">
        <v>7500.0</v>
      </c>
      <c r="AE2275" s="1" t="s">
        <v>40</v>
      </c>
      <c r="AF2275" s="1">
        <v>2.014069E7</v>
      </c>
      <c r="AG2275" s="1" t="s">
        <v>212</v>
      </c>
      <c r="AH2275" s="1">
        <v>10.0</v>
      </c>
      <c r="AI2275" s="1">
        <v>2013.0</v>
      </c>
      <c r="AJ2275" s="1">
        <v>2014.0</v>
      </c>
      <c r="AK2275" s="1" t="s">
        <v>213</v>
      </c>
    </row>
    <row r="2276">
      <c r="A2276" s="1" t="s">
        <v>3963</v>
      </c>
      <c r="B2276" s="1" t="s">
        <v>3963</v>
      </c>
      <c r="C2276" s="1" t="s">
        <v>207</v>
      </c>
      <c r="E2276" s="1">
        <v>2.32482304E9</v>
      </c>
      <c r="F2276" s="2">
        <v>41548.0</v>
      </c>
      <c r="G2276" s="1" t="s">
        <v>3964</v>
      </c>
      <c r="I2276" s="1" t="s">
        <v>3964</v>
      </c>
      <c r="L2276" s="1" t="s">
        <v>40</v>
      </c>
      <c r="M2276" s="1">
        <v>7500.0</v>
      </c>
      <c r="N2276" s="1" t="s">
        <v>40</v>
      </c>
      <c r="O2276" s="1">
        <v>3.8775243E7</v>
      </c>
      <c r="P2276" s="1" t="s">
        <v>209</v>
      </c>
      <c r="Q2276" s="1" t="s">
        <v>210</v>
      </c>
      <c r="R2276" s="1" t="s">
        <v>211</v>
      </c>
      <c r="S2276" s="1" t="s">
        <v>44</v>
      </c>
      <c r="T2276" s="1" t="s">
        <v>45</v>
      </c>
      <c r="U2276" s="1">
        <v>4.82023068E8</v>
      </c>
      <c r="W2276" s="1" t="s">
        <v>46</v>
      </c>
      <c r="X2276" s="1" t="s">
        <v>45</v>
      </c>
      <c r="Y2276" s="1">
        <v>4.82023068E8</v>
      </c>
      <c r="Z2276" s="1">
        <v>3.8775243E7</v>
      </c>
      <c r="AA2276" s="1" t="s">
        <v>209</v>
      </c>
      <c r="AB2276" s="1">
        <v>3750.0</v>
      </c>
      <c r="AC2276" s="2">
        <v>41548.0</v>
      </c>
      <c r="AD2276" s="1">
        <v>7500.0</v>
      </c>
      <c r="AE2276" s="1" t="s">
        <v>40</v>
      </c>
      <c r="AF2276" s="1">
        <v>2.0142024E7</v>
      </c>
      <c r="AG2276" s="1" t="s">
        <v>212</v>
      </c>
      <c r="AH2276" s="1">
        <v>10.0</v>
      </c>
      <c r="AI2276" s="1">
        <v>2013.0</v>
      </c>
      <c r="AJ2276" s="1">
        <v>2014.0</v>
      </c>
      <c r="AK2276" s="1" t="s">
        <v>213</v>
      </c>
    </row>
    <row r="2277">
      <c r="A2277" s="1" t="s">
        <v>3968</v>
      </c>
      <c r="B2277" s="1" t="s">
        <v>3968</v>
      </c>
      <c r="C2277" s="1" t="s">
        <v>207</v>
      </c>
      <c r="E2277" s="1">
        <v>2.98917299E9</v>
      </c>
      <c r="F2277" s="2">
        <v>41913.0</v>
      </c>
      <c r="G2277" s="1" t="s">
        <v>3969</v>
      </c>
      <c r="I2277" s="1" t="s">
        <v>3969</v>
      </c>
      <c r="L2277" s="1" t="s">
        <v>40</v>
      </c>
      <c r="M2277" s="1">
        <v>7500.0</v>
      </c>
      <c r="N2277" s="1" t="s">
        <v>40</v>
      </c>
      <c r="O2277" s="1">
        <v>3.8775243E7</v>
      </c>
      <c r="P2277" s="1" t="s">
        <v>209</v>
      </c>
      <c r="Q2277" s="1" t="s">
        <v>210</v>
      </c>
      <c r="R2277" s="1" t="s">
        <v>211</v>
      </c>
      <c r="S2277" s="1" t="s">
        <v>44</v>
      </c>
      <c r="T2277" s="1" t="s">
        <v>45</v>
      </c>
      <c r="U2277" s="1">
        <v>4.82023068E8</v>
      </c>
      <c r="W2277" s="1" t="s">
        <v>46</v>
      </c>
      <c r="X2277" s="1" t="s">
        <v>45</v>
      </c>
      <c r="Y2277" s="1">
        <v>4.82023068E8</v>
      </c>
      <c r="Z2277" s="1">
        <v>3.8775243E7</v>
      </c>
      <c r="AA2277" s="1" t="s">
        <v>209</v>
      </c>
      <c r="AB2277" s="1">
        <v>1625.0</v>
      </c>
      <c r="AC2277" s="2">
        <v>41913.0</v>
      </c>
      <c r="AD2277" s="1">
        <v>7500.0</v>
      </c>
      <c r="AE2277" s="1" t="s">
        <v>40</v>
      </c>
      <c r="AF2277" s="1">
        <v>2.0151813E7</v>
      </c>
      <c r="AG2277" s="1" t="s">
        <v>212</v>
      </c>
      <c r="AH2277" s="1">
        <v>10.0</v>
      </c>
      <c r="AI2277" s="1">
        <v>2014.0</v>
      </c>
      <c r="AJ2277" s="1">
        <v>2015.0</v>
      </c>
      <c r="AK2277" s="1" t="s">
        <v>213</v>
      </c>
    </row>
    <row r="2278">
      <c r="A2278" s="1" t="s">
        <v>3968</v>
      </c>
      <c r="B2278" s="1" t="s">
        <v>3968</v>
      </c>
      <c r="C2278" s="1" t="s">
        <v>207</v>
      </c>
      <c r="E2278" s="1">
        <v>2.98917299E9</v>
      </c>
      <c r="F2278" s="2">
        <v>41913.0</v>
      </c>
      <c r="G2278" s="1" t="s">
        <v>3969</v>
      </c>
      <c r="I2278" s="1" t="s">
        <v>3969</v>
      </c>
      <c r="L2278" s="1" t="s">
        <v>40</v>
      </c>
      <c r="M2278" s="1">
        <v>7500.0</v>
      </c>
      <c r="N2278" s="1" t="s">
        <v>40</v>
      </c>
      <c r="O2278" s="1">
        <v>3.8775243E7</v>
      </c>
      <c r="P2278" s="1" t="s">
        <v>209</v>
      </c>
      <c r="Q2278" s="1" t="s">
        <v>210</v>
      </c>
      <c r="R2278" s="1" t="s">
        <v>211</v>
      </c>
      <c r="S2278" s="1" t="s">
        <v>44</v>
      </c>
      <c r="T2278" s="1" t="s">
        <v>45</v>
      </c>
      <c r="U2278" s="1">
        <v>4.82023068E8</v>
      </c>
      <c r="W2278" s="1" t="s">
        <v>46</v>
      </c>
      <c r="X2278" s="1" t="s">
        <v>45</v>
      </c>
      <c r="Y2278" s="1">
        <v>4.82023068E8</v>
      </c>
      <c r="Z2278" s="1">
        <v>3.8775243E7</v>
      </c>
      <c r="AA2278" s="1" t="s">
        <v>209</v>
      </c>
      <c r="AB2278" s="1">
        <v>9966.75</v>
      </c>
      <c r="AC2278" s="2">
        <v>41913.0</v>
      </c>
      <c r="AD2278" s="1">
        <v>7500.0</v>
      </c>
      <c r="AE2278" s="1" t="s">
        <v>40</v>
      </c>
      <c r="AF2278" s="1">
        <v>2.0151612E7</v>
      </c>
      <c r="AG2278" s="1" t="s">
        <v>212</v>
      </c>
      <c r="AH2278" s="1">
        <v>10.0</v>
      </c>
      <c r="AI2278" s="1">
        <v>2014.0</v>
      </c>
      <c r="AJ2278" s="1">
        <v>2015.0</v>
      </c>
      <c r="AK2278" s="1" t="s">
        <v>213</v>
      </c>
    </row>
    <row r="2279">
      <c r="A2279" s="1" t="s">
        <v>3968</v>
      </c>
      <c r="B2279" s="1" t="s">
        <v>3968</v>
      </c>
      <c r="C2279" s="1" t="s">
        <v>207</v>
      </c>
      <c r="E2279" s="1">
        <v>2.98917299E9</v>
      </c>
      <c r="F2279" s="2">
        <v>41913.0</v>
      </c>
      <c r="G2279" s="1" t="s">
        <v>3969</v>
      </c>
      <c r="I2279" s="1" t="s">
        <v>3969</v>
      </c>
      <c r="L2279" s="1" t="s">
        <v>40</v>
      </c>
      <c r="M2279" s="1">
        <v>7500.0</v>
      </c>
      <c r="N2279" s="1" t="s">
        <v>40</v>
      </c>
      <c r="O2279" s="1">
        <v>3.8775243E7</v>
      </c>
      <c r="P2279" s="1" t="s">
        <v>209</v>
      </c>
      <c r="Q2279" s="1" t="s">
        <v>210</v>
      </c>
      <c r="R2279" s="1" t="s">
        <v>211</v>
      </c>
      <c r="S2279" s="1" t="s">
        <v>44</v>
      </c>
      <c r="T2279" s="1" t="s">
        <v>45</v>
      </c>
      <c r="U2279" s="1">
        <v>4.82023068E8</v>
      </c>
      <c r="W2279" s="1" t="s">
        <v>46</v>
      </c>
      <c r="X2279" s="1" t="s">
        <v>45</v>
      </c>
      <c r="Y2279" s="1">
        <v>4.82023068E8</v>
      </c>
      <c r="Z2279" s="1">
        <v>3.8775243E7</v>
      </c>
      <c r="AA2279" s="1" t="s">
        <v>209</v>
      </c>
      <c r="AB2279" s="1">
        <v>26013.75</v>
      </c>
      <c r="AC2279" s="2">
        <v>41913.0</v>
      </c>
      <c r="AD2279" s="1">
        <v>7500.0</v>
      </c>
      <c r="AE2279" s="1" t="s">
        <v>40</v>
      </c>
      <c r="AF2279" s="1">
        <v>2.0151622E7</v>
      </c>
      <c r="AG2279" s="1" t="s">
        <v>212</v>
      </c>
      <c r="AH2279" s="1">
        <v>10.0</v>
      </c>
      <c r="AI2279" s="1">
        <v>2014.0</v>
      </c>
      <c r="AJ2279" s="1">
        <v>2015.0</v>
      </c>
      <c r="AK2279" s="1" t="s">
        <v>213</v>
      </c>
    </row>
    <row r="2280">
      <c r="A2280" s="1" t="s">
        <v>3968</v>
      </c>
      <c r="B2280" s="1" t="s">
        <v>3968</v>
      </c>
      <c r="C2280" s="1" t="s">
        <v>207</v>
      </c>
      <c r="E2280" s="1">
        <v>2.98917299E9</v>
      </c>
      <c r="F2280" s="2">
        <v>41913.0</v>
      </c>
      <c r="G2280" s="1" t="s">
        <v>3969</v>
      </c>
      <c r="I2280" s="1" t="s">
        <v>3969</v>
      </c>
      <c r="L2280" s="1" t="s">
        <v>40</v>
      </c>
      <c r="M2280" s="1">
        <v>7500.0</v>
      </c>
      <c r="N2280" s="1" t="s">
        <v>40</v>
      </c>
      <c r="O2280" s="1">
        <v>7596352.0</v>
      </c>
      <c r="P2280" s="1" t="s">
        <v>73</v>
      </c>
      <c r="R2280" s="1" t="s">
        <v>1578</v>
      </c>
      <c r="S2280" s="1" t="s">
        <v>44</v>
      </c>
      <c r="T2280" s="1" t="s">
        <v>45</v>
      </c>
      <c r="U2280" s="1">
        <v>4.82263269E8</v>
      </c>
      <c r="W2280" s="1" t="s">
        <v>46</v>
      </c>
      <c r="X2280" s="1" t="s">
        <v>45</v>
      </c>
      <c r="Y2280" s="1">
        <v>4.82263269E8</v>
      </c>
      <c r="Z2280" s="1">
        <v>6530661.0</v>
      </c>
      <c r="AA2280" s="1" t="s">
        <v>76</v>
      </c>
      <c r="AB2280" s="1">
        <v>70625.0</v>
      </c>
      <c r="AC2280" s="2">
        <v>41913.0</v>
      </c>
      <c r="AD2280" s="1">
        <v>7500.0</v>
      </c>
      <c r="AE2280" s="1" t="s">
        <v>40</v>
      </c>
      <c r="AF2280" s="1">
        <v>2.0151729E7</v>
      </c>
      <c r="AG2280" s="1" t="s">
        <v>212</v>
      </c>
      <c r="AH2280" s="1">
        <v>10.0</v>
      </c>
      <c r="AI2280" s="1">
        <v>2014.0</v>
      </c>
      <c r="AJ2280" s="1">
        <v>2015.0</v>
      </c>
      <c r="AK2280" s="1" t="s">
        <v>213</v>
      </c>
    </row>
    <row r="2281">
      <c r="A2281" s="1" t="s">
        <v>702</v>
      </c>
      <c r="B2281" s="1" t="s">
        <v>702</v>
      </c>
      <c r="C2281" s="1" t="s">
        <v>129</v>
      </c>
      <c r="E2281" s="1">
        <v>6863687.0</v>
      </c>
      <c r="F2281" s="2">
        <v>41760.0</v>
      </c>
      <c r="G2281" s="1" t="s">
        <v>703</v>
      </c>
      <c r="I2281" s="1" t="s">
        <v>703</v>
      </c>
      <c r="L2281" s="1" t="s">
        <v>40</v>
      </c>
      <c r="M2281" s="1">
        <v>7500.0</v>
      </c>
      <c r="N2281" s="1" t="s">
        <v>40</v>
      </c>
      <c r="O2281" s="1">
        <v>8.5464519E7</v>
      </c>
      <c r="P2281" s="1" t="s">
        <v>704</v>
      </c>
      <c r="Q2281" s="1" t="s">
        <v>705</v>
      </c>
      <c r="R2281" s="1" t="s">
        <v>706</v>
      </c>
      <c r="S2281" s="1" t="s">
        <v>44</v>
      </c>
      <c r="T2281" s="1" t="s">
        <v>45</v>
      </c>
      <c r="U2281" s="1">
        <v>4.82012015E8</v>
      </c>
      <c r="W2281" s="1" t="s">
        <v>44</v>
      </c>
      <c r="X2281" s="1" t="s">
        <v>45</v>
      </c>
      <c r="Y2281" s="1">
        <v>4.82192044E8</v>
      </c>
      <c r="AB2281" s="1">
        <v>2260762.0</v>
      </c>
      <c r="AC2281" s="2">
        <v>41760.0</v>
      </c>
      <c r="AD2281" s="1">
        <v>7500.0</v>
      </c>
      <c r="AE2281" s="1" t="s">
        <v>40</v>
      </c>
      <c r="AF2281" s="1" t="s">
        <v>707</v>
      </c>
      <c r="AG2281" s="1" t="s">
        <v>3982</v>
      </c>
      <c r="AH2281" s="1">
        <v>5.0</v>
      </c>
      <c r="AI2281" s="1">
        <v>2014.0</v>
      </c>
      <c r="AJ2281" s="1">
        <v>2014.0</v>
      </c>
      <c r="AK2281" s="1" t="s">
        <v>708</v>
      </c>
    </row>
    <row r="2282">
      <c r="A2282" s="1" t="s">
        <v>3983</v>
      </c>
      <c r="B2282" s="1" t="s">
        <v>3983</v>
      </c>
      <c r="C2282" s="1" t="s">
        <v>645</v>
      </c>
      <c r="E2282" s="1">
        <v>1590633.0</v>
      </c>
      <c r="F2282" s="2">
        <v>41913.0</v>
      </c>
      <c r="G2282" s="1" t="s">
        <v>1577</v>
      </c>
      <c r="I2282" s="1" t="s">
        <v>1577</v>
      </c>
      <c r="L2282" s="1" t="s">
        <v>647</v>
      </c>
      <c r="M2282" s="1">
        <v>1200.0</v>
      </c>
      <c r="N2282" s="1" t="s">
        <v>647</v>
      </c>
      <c r="O2282" s="1">
        <v>7596352.0</v>
      </c>
      <c r="P2282" s="1" t="s">
        <v>73</v>
      </c>
      <c r="R2282" s="1" t="s">
        <v>1578</v>
      </c>
      <c r="S2282" s="1" t="s">
        <v>44</v>
      </c>
      <c r="T2282" s="1" t="s">
        <v>45</v>
      </c>
      <c r="U2282" s="1">
        <v>4.82263269E8</v>
      </c>
      <c r="W2282" s="1" t="s">
        <v>46</v>
      </c>
      <c r="X2282" s="1" t="s">
        <v>45</v>
      </c>
      <c r="Y2282" s="1">
        <v>4.82263269E8</v>
      </c>
      <c r="Z2282" s="1">
        <v>6530661.0</v>
      </c>
      <c r="AA2282" s="1" t="s">
        <v>76</v>
      </c>
      <c r="AB2282" s="1">
        <v>88378.0</v>
      </c>
      <c r="AC2282" s="2">
        <v>41913.0</v>
      </c>
      <c r="AD2282" s="1">
        <v>1200.0</v>
      </c>
      <c r="AE2282" s="1" t="s">
        <v>647</v>
      </c>
      <c r="AF2282" s="1">
        <v>2.0151729E7</v>
      </c>
      <c r="AG2282" s="1" t="s">
        <v>1579</v>
      </c>
      <c r="AH2282" s="1">
        <v>10.0</v>
      </c>
      <c r="AI2282" s="1">
        <v>2013.0</v>
      </c>
      <c r="AJ2282" s="1">
        <v>2015.0</v>
      </c>
      <c r="AK2282" s="1" t="s">
        <v>1580</v>
      </c>
    </row>
    <row r="2283">
      <c r="A2283" s="1" t="s">
        <v>3973</v>
      </c>
      <c r="B2283" s="1" t="s">
        <v>3973</v>
      </c>
      <c r="C2283" s="1" t="s">
        <v>2091</v>
      </c>
      <c r="E2283" s="1">
        <v>1.0877311E7</v>
      </c>
      <c r="F2283" s="2">
        <v>41617.0</v>
      </c>
      <c r="G2283" s="1" t="s">
        <v>2092</v>
      </c>
      <c r="I2283" s="1" t="s">
        <v>2092</v>
      </c>
      <c r="L2283" s="1" t="s">
        <v>151</v>
      </c>
      <c r="M2283" s="1">
        <v>6900.0</v>
      </c>
      <c r="N2283" s="1" t="s">
        <v>151</v>
      </c>
      <c r="O2283" s="1">
        <v>2.082621E7</v>
      </c>
      <c r="P2283" s="1" t="s">
        <v>983</v>
      </c>
      <c r="Q2283" s="1" t="s">
        <v>984</v>
      </c>
      <c r="R2283" s="1" t="s">
        <v>2093</v>
      </c>
      <c r="S2283" s="1" t="s">
        <v>44</v>
      </c>
      <c r="T2283" s="1" t="s">
        <v>45</v>
      </c>
      <c r="U2283" s="1">
        <v>4.82131204E8</v>
      </c>
      <c r="W2283" s="1" t="s">
        <v>46</v>
      </c>
      <c r="X2283" s="1" t="s">
        <v>45</v>
      </c>
      <c r="Y2283" s="1">
        <v>4.82131204E8</v>
      </c>
      <c r="Z2283" s="1">
        <v>6530661.0</v>
      </c>
      <c r="AA2283" s="1" t="s">
        <v>76</v>
      </c>
      <c r="AB2283" s="1">
        <v>508287.0</v>
      </c>
      <c r="AC2283" s="2">
        <v>41617.0</v>
      </c>
      <c r="AD2283" s="1">
        <v>6900.0</v>
      </c>
      <c r="AE2283" s="1" t="s">
        <v>151</v>
      </c>
      <c r="AF2283" s="1" t="s">
        <v>3966</v>
      </c>
      <c r="AG2283" s="1" t="s">
        <v>3967</v>
      </c>
      <c r="AH2283" s="1">
        <v>1.0</v>
      </c>
      <c r="AI2283" s="1">
        <v>2015.0</v>
      </c>
      <c r="AJ2283" s="1">
        <v>2014.0</v>
      </c>
      <c r="AK2283" s="1" t="s">
        <v>2096</v>
      </c>
    </row>
    <row r="2284">
      <c r="A2284" s="1" t="s">
        <v>3984</v>
      </c>
      <c r="B2284" s="1" t="s">
        <v>3984</v>
      </c>
      <c r="C2284" s="1" t="s">
        <v>224</v>
      </c>
      <c r="E2284" s="1">
        <v>50000.0</v>
      </c>
      <c r="F2284" s="2">
        <v>41991.0</v>
      </c>
      <c r="G2284" s="1" t="s">
        <v>3985</v>
      </c>
      <c r="I2284" s="1" t="s">
        <v>3985</v>
      </c>
      <c r="L2284" s="1" t="s">
        <v>151</v>
      </c>
      <c r="M2284" s="1">
        <v>6900.0</v>
      </c>
      <c r="N2284" s="1" t="s">
        <v>151</v>
      </c>
      <c r="O2284" s="1">
        <v>4.057865E7</v>
      </c>
      <c r="P2284" s="1" t="s">
        <v>661</v>
      </c>
      <c r="R2284" s="1" t="s">
        <v>3986</v>
      </c>
      <c r="S2284" s="1" t="s">
        <v>44</v>
      </c>
      <c r="T2284" s="1" t="s">
        <v>45</v>
      </c>
      <c r="U2284" s="1">
        <v>4.82261927E8</v>
      </c>
      <c r="W2284" s="1" t="s">
        <v>44</v>
      </c>
      <c r="X2284" s="1" t="s">
        <v>45</v>
      </c>
      <c r="Y2284" s="1">
        <v>4.82261927E8</v>
      </c>
      <c r="AB2284" s="1">
        <v>50000.0</v>
      </c>
      <c r="AC2284" s="2">
        <v>41991.0</v>
      </c>
      <c r="AD2284" s="1">
        <v>6900.0</v>
      </c>
      <c r="AE2284" s="1" t="s">
        <v>151</v>
      </c>
      <c r="AF2284" s="1">
        <v>1.0</v>
      </c>
      <c r="AG2284" s="1" t="s">
        <v>3987</v>
      </c>
      <c r="AH2284" s="1">
        <v>1.0</v>
      </c>
      <c r="AI2284" s="1">
        <v>2015.0</v>
      </c>
      <c r="AJ2284" s="1">
        <v>2015.0</v>
      </c>
      <c r="AK2284" s="1" t="s">
        <v>229</v>
      </c>
    </row>
    <row r="2285">
      <c r="A2285" s="1" t="s">
        <v>3988</v>
      </c>
      <c r="B2285" s="1" t="s">
        <v>3988</v>
      </c>
      <c r="C2285" s="1" t="s">
        <v>645</v>
      </c>
      <c r="E2285" s="1">
        <v>5.6528832E7</v>
      </c>
      <c r="F2285" s="2">
        <v>41548.0</v>
      </c>
      <c r="G2285" s="1" t="s">
        <v>1577</v>
      </c>
      <c r="I2285" s="1" t="s">
        <v>1577</v>
      </c>
      <c r="L2285" s="1" t="s">
        <v>647</v>
      </c>
      <c r="M2285" s="1">
        <v>1200.0</v>
      </c>
      <c r="N2285" s="1" t="s">
        <v>647</v>
      </c>
      <c r="O2285" s="1">
        <v>1.51978897E8</v>
      </c>
      <c r="P2285" s="1" t="s">
        <v>2831</v>
      </c>
      <c r="R2285" s="1" t="s">
        <v>2832</v>
      </c>
      <c r="S2285" s="1" t="s">
        <v>44</v>
      </c>
      <c r="T2285" s="1" t="s">
        <v>45</v>
      </c>
      <c r="U2285" s="1">
        <v>4.82012418E8</v>
      </c>
      <c r="W2285" s="1" t="s">
        <v>46</v>
      </c>
      <c r="X2285" s="1" t="s">
        <v>45</v>
      </c>
      <c r="Y2285" s="1">
        <v>4.82012418E8</v>
      </c>
      <c r="Z2285" s="1">
        <v>1.51978897E8</v>
      </c>
      <c r="AA2285" s="1" t="s">
        <v>2831</v>
      </c>
      <c r="AB2285" s="1">
        <v>2018268.0</v>
      </c>
      <c r="AC2285" s="2">
        <v>41548.0</v>
      </c>
      <c r="AD2285" s="1">
        <v>1200.0</v>
      </c>
      <c r="AE2285" s="1" t="s">
        <v>647</v>
      </c>
      <c r="AF2285" s="1">
        <v>2.0140349E7</v>
      </c>
      <c r="AG2285" s="1" t="s">
        <v>2826</v>
      </c>
      <c r="AH2285" s="1">
        <v>10.0</v>
      </c>
      <c r="AI2285" s="1">
        <v>2013.0</v>
      </c>
      <c r="AJ2285" s="1">
        <v>2014.0</v>
      </c>
      <c r="AK2285" s="1" t="s">
        <v>1580</v>
      </c>
    </row>
    <row r="2286">
      <c r="A2286" s="1" t="s">
        <v>3989</v>
      </c>
      <c r="B2286" s="1" t="s">
        <v>3989</v>
      </c>
      <c r="C2286" s="1" t="s">
        <v>645</v>
      </c>
      <c r="E2286" s="1">
        <v>3.2942648E7</v>
      </c>
      <c r="F2286" s="2">
        <v>41913.0</v>
      </c>
      <c r="G2286" s="1" t="s">
        <v>1577</v>
      </c>
      <c r="I2286" s="1" t="s">
        <v>1577</v>
      </c>
      <c r="L2286" s="1" t="s">
        <v>647</v>
      </c>
      <c r="M2286" s="1">
        <v>1200.0</v>
      </c>
      <c r="N2286" s="1" t="s">
        <v>647</v>
      </c>
      <c r="O2286" s="1">
        <v>1.51978897E8</v>
      </c>
      <c r="P2286" s="1" t="s">
        <v>2831</v>
      </c>
      <c r="R2286" s="1" t="s">
        <v>2832</v>
      </c>
      <c r="S2286" s="1" t="s">
        <v>44</v>
      </c>
      <c r="T2286" s="1" t="s">
        <v>45</v>
      </c>
      <c r="U2286" s="1">
        <v>4.82012418E8</v>
      </c>
      <c r="W2286" s="1" t="s">
        <v>46</v>
      </c>
      <c r="X2286" s="1" t="s">
        <v>45</v>
      </c>
      <c r="Y2286" s="1">
        <v>4.82012418E8</v>
      </c>
      <c r="Z2286" s="1">
        <v>1.51978897E8</v>
      </c>
      <c r="AA2286" s="1" t="s">
        <v>2831</v>
      </c>
      <c r="AB2286" s="1">
        <v>1769451.12</v>
      </c>
      <c r="AC2286" s="2">
        <v>41913.0</v>
      </c>
      <c r="AD2286" s="1">
        <v>1200.0</v>
      </c>
      <c r="AE2286" s="1" t="s">
        <v>647</v>
      </c>
      <c r="AF2286" s="1">
        <v>2.015039E7</v>
      </c>
      <c r="AG2286" s="1" t="s">
        <v>2826</v>
      </c>
      <c r="AH2286" s="1">
        <v>10.0</v>
      </c>
      <c r="AI2286" s="1">
        <v>2014.0</v>
      </c>
      <c r="AJ2286" s="1">
        <v>2015.0</v>
      </c>
      <c r="AK2286" s="1" t="s">
        <v>1580</v>
      </c>
    </row>
    <row r="2287">
      <c r="A2287" s="1" t="s">
        <v>3989</v>
      </c>
      <c r="B2287" s="1" t="s">
        <v>3989</v>
      </c>
      <c r="C2287" s="1" t="s">
        <v>645</v>
      </c>
      <c r="E2287" s="1">
        <v>3.2942648E7</v>
      </c>
      <c r="F2287" s="2">
        <v>41913.0</v>
      </c>
      <c r="G2287" s="1" t="s">
        <v>1577</v>
      </c>
      <c r="I2287" s="1" t="s">
        <v>1577</v>
      </c>
      <c r="L2287" s="1" t="s">
        <v>647</v>
      </c>
      <c r="M2287" s="1">
        <v>1200.0</v>
      </c>
      <c r="N2287" s="1" t="s">
        <v>647</v>
      </c>
      <c r="O2287" s="1">
        <v>4.3419399E7</v>
      </c>
      <c r="P2287" s="1" t="s">
        <v>979</v>
      </c>
      <c r="R2287" s="1" t="s">
        <v>1934</v>
      </c>
      <c r="S2287" s="1" t="s">
        <v>44</v>
      </c>
      <c r="T2287" s="1" t="s">
        <v>45</v>
      </c>
      <c r="U2287" s="1">
        <v>4.82384019E8</v>
      </c>
      <c r="W2287" s="1" t="s">
        <v>46</v>
      </c>
      <c r="X2287" s="1" t="s">
        <v>45</v>
      </c>
      <c r="Y2287" s="1">
        <v>4.82384019E8</v>
      </c>
      <c r="Z2287" s="1">
        <v>4.3419399E7</v>
      </c>
      <c r="AA2287" s="1" t="s">
        <v>979</v>
      </c>
      <c r="AB2287" s="1">
        <v>44712.6</v>
      </c>
      <c r="AC2287" s="2">
        <v>41913.0</v>
      </c>
      <c r="AD2287" s="1">
        <v>1200.0</v>
      </c>
      <c r="AE2287" s="1" t="s">
        <v>647</v>
      </c>
      <c r="AF2287" s="1">
        <v>2.0151564E7</v>
      </c>
      <c r="AG2287" s="1" t="s">
        <v>2826</v>
      </c>
      <c r="AH2287" s="1">
        <v>10.0</v>
      </c>
      <c r="AI2287" s="1">
        <v>2014.0</v>
      </c>
      <c r="AJ2287" s="1">
        <v>2015.0</v>
      </c>
      <c r="AK2287" s="1" t="s">
        <v>1580</v>
      </c>
    </row>
    <row r="2288">
      <c r="A2288" s="1" t="s">
        <v>3990</v>
      </c>
      <c r="B2288" s="1" t="s">
        <v>3990</v>
      </c>
      <c r="C2288" s="1" t="s">
        <v>38</v>
      </c>
      <c r="E2288" s="1">
        <v>233672.0</v>
      </c>
      <c r="F2288" s="2">
        <v>41974.0</v>
      </c>
      <c r="G2288" s="1" t="s">
        <v>3991</v>
      </c>
      <c r="I2288" s="1" t="s">
        <v>3991</v>
      </c>
      <c r="L2288" s="1" t="s">
        <v>40</v>
      </c>
      <c r="M2288" s="1">
        <v>7500.0</v>
      </c>
      <c r="N2288" s="1" t="s">
        <v>40</v>
      </c>
      <c r="O2288" s="1">
        <v>1962224.0</v>
      </c>
      <c r="P2288" s="1" t="s">
        <v>52</v>
      </c>
      <c r="R2288" s="1" t="s">
        <v>1885</v>
      </c>
      <c r="S2288" s="1" t="s">
        <v>44</v>
      </c>
      <c r="T2288" s="1" t="s">
        <v>45</v>
      </c>
      <c r="U2288" s="1">
        <v>4.82021347E8</v>
      </c>
      <c r="W2288" s="1" t="s">
        <v>1366</v>
      </c>
      <c r="X2288" s="1" t="s">
        <v>45</v>
      </c>
      <c r="Y2288" s="1">
        <v>4.8202406E8</v>
      </c>
      <c r="Z2288" s="1">
        <v>1962224.0</v>
      </c>
      <c r="AA2288" s="1" t="s">
        <v>52</v>
      </c>
      <c r="AB2288" s="1">
        <v>141806.0</v>
      </c>
      <c r="AC2288" s="2">
        <v>41974.0</v>
      </c>
      <c r="AD2288" s="1">
        <v>7500.0</v>
      </c>
      <c r="AE2288" s="1" t="s">
        <v>40</v>
      </c>
      <c r="AF2288" s="1" t="s">
        <v>3992</v>
      </c>
      <c r="AG2288" s="1" t="s">
        <v>3993</v>
      </c>
      <c r="AH2288" s="1">
        <v>2.0</v>
      </c>
      <c r="AI2288" s="1">
        <v>2015.0</v>
      </c>
      <c r="AJ2288" s="1">
        <v>2015.0</v>
      </c>
      <c r="AK2288" s="1" t="s">
        <v>3994</v>
      </c>
    </row>
    <row r="2289">
      <c r="A2289" s="1" t="s">
        <v>3995</v>
      </c>
      <c r="B2289" s="1" t="s">
        <v>3995</v>
      </c>
      <c r="C2289" s="1" t="s">
        <v>63</v>
      </c>
      <c r="E2289" s="1">
        <v>6092441.0</v>
      </c>
      <c r="F2289" s="2">
        <v>41913.0</v>
      </c>
      <c r="G2289" s="1" t="s">
        <v>3996</v>
      </c>
      <c r="I2289" s="1" t="s">
        <v>3996</v>
      </c>
      <c r="L2289" s="1" t="s">
        <v>40</v>
      </c>
      <c r="M2289" s="1">
        <v>7500.0</v>
      </c>
      <c r="N2289" s="1" t="s">
        <v>40</v>
      </c>
      <c r="O2289" s="1">
        <v>3.8775243E7</v>
      </c>
      <c r="P2289" s="1" t="s">
        <v>209</v>
      </c>
      <c r="Q2289" s="1" t="s">
        <v>210</v>
      </c>
      <c r="R2289" s="1" t="s">
        <v>211</v>
      </c>
      <c r="S2289" s="1" t="s">
        <v>44</v>
      </c>
      <c r="T2289" s="1" t="s">
        <v>45</v>
      </c>
      <c r="U2289" s="1">
        <v>4.82023068E8</v>
      </c>
      <c r="W2289" s="1" t="s">
        <v>46</v>
      </c>
      <c r="X2289" s="1" t="s">
        <v>45</v>
      </c>
      <c r="Y2289" s="1">
        <v>4.82023068E8</v>
      </c>
      <c r="Z2289" s="1">
        <v>3.8775243E7</v>
      </c>
      <c r="AA2289" s="1" t="s">
        <v>209</v>
      </c>
      <c r="AB2289" s="1">
        <v>228417.0</v>
      </c>
      <c r="AC2289" s="2">
        <v>41913.0</v>
      </c>
      <c r="AD2289" s="1">
        <v>7500.0</v>
      </c>
      <c r="AE2289" s="1" t="s">
        <v>40</v>
      </c>
      <c r="AF2289" s="1">
        <v>2.0151639E7</v>
      </c>
      <c r="AG2289" s="1" t="s">
        <v>2931</v>
      </c>
      <c r="AH2289" s="1">
        <v>10.0</v>
      </c>
      <c r="AI2289" s="1">
        <v>2013.0</v>
      </c>
      <c r="AJ2289" s="1">
        <v>2015.0</v>
      </c>
      <c r="AK2289" s="1" t="s">
        <v>3997</v>
      </c>
    </row>
    <row r="2290">
      <c r="A2290" s="1" t="s">
        <v>3956</v>
      </c>
      <c r="B2290" s="1" t="s">
        <v>3956</v>
      </c>
      <c r="C2290" s="1" t="s">
        <v>207</v>
      </c>
      <c r="E2290" s="1">
        <v>2.48575334E9</v>
      </c>
      <c r="F2290" s="2">
        <v>41548.0</v>
      </c>
      <c r="G2290" s="1" t="s">
        <v>3957</v>
      </c>
      <c r="I2290" s="1" t="s">
        <v>3957</v>
      </c>
      <c r="L2290" s="1" t="s">
        <v>40</v>
      </c>
      <c r="M2290" s="1">
        <v>7500.0</v>
      </c>
      <c r="N2290" s="1" t="s">
        <v>40</v>
      </c>
      <c r="O2290" s="1">
        <v>3.8775243E7</v>
      </c>
      <c r="P2290" s="1" t="s">
        <v>209</v>
      </c>
      <c r="Q2290" s="1" t="s">
        <v>210</v>
      </c>
      <c r="R2290" s="1" t="s">
        <v>211</v>
      </c>
      <c r="S2290" s="1" t="s">
        <v>44</v>
      </c>
      <c r="T2290" s="1" t="s">
        <v>45</v>
      </c>
      <c r="U2290" s="1">
        <v>4.82023068E8</v>
      </c>
      <c r="W2290" s="1" t="s">
        <v>46</v>
      </c>
      <c r="X2290" s="1" t="s">
        <v>45</v>
      </c>
      <c r="Y2290" s="1">
        <v>4.82023068E8</v>
      </c>
      <c r="Z2290" s="1">
        <v>3.8775243E7</v>
      </c>
      <c r="AA2290" s="1" t="s">
        <v>209</v>
      </c>
      <c r="AB2290" s="1">
        <v>8418.18</v>
      </c>
      <c r="AC2290" s="2">
        <v>41548.0</v>
      </c>
      <c r="AD2290" s="1">
        <v>7500.0</v>
      </c>
      <c r="AE2290" s="1" t="s">
        <v>40</v>
      </c>
      <c r="AF2290" s="1">
        <v>2.0140722E7</v>
      </c>
      <c r="AG2290" s="1" t="s">
        <v>212</v>
      </c>
      <c r="AH2290" s="1">
        <v>10.0</v>
      </c>
      <c r="AI2290" s="1">
        <v>2013.0</v>
      </c>
      <c r="AJ2290" s="1">
        <v>2014.0</v>
      </c>
      <c r="AK2290" s="1" t="s">
        <v>213</v>
      </c>
    </row>
    <row r="2291">
      <c r="A2291" s="1" t="s">
        <v>3956</v>
      </c>
      <c r="B2291" s="1" t="s">
        <v>3956</v>
      </c>
      <c r="C2291" s="1" t="s">
        <v>207</v>
      </c>
      <c r="E2291" s="1">
        <v>2.48575334E9</v>
      </c>
      <c r="F2291" s="2">
        <v>41548.0</v>
      </c>
      <c r="G2291" s="1" t="s">
        <v>3957</v>
      </c>
      <c r="I2291" s="1" t="s">
        <v>3957</v>
      </c>
      <c r="L2291" s="1" t="s">
        <v>40</v>
      </c>
      <c r="M2291" s="1">
        <v>7500.0</v>
      </c>
      <c r="N2291" s="1" t="s">
        <v>40</v>
      </c>
      <c r="O2291" s="1">
        <v>3.8775243E7</v>
      </c>
      <c r="P2291" s="1" t="s">
        <v>209</v>
      </c>
      <c r="Q2291" s="1" t="s">
        <v>210</v>
      </c>
      <c r="R2291" s="1" t="s">
        <v>211</v>
      </c>
      <c r="S2291" s="1" t="s">
        <v>44</v>
      </c>
      <c r="T2291" s="1" t="s">
        <v>45</v>
      </c>
      <c r="U2291" s="1">
        <v>4.82023068E8</v>
      </c>
      <c r="W2291" s="1" t="s">
        <v>46</v>
      </c>
      <c r="X2291" s="1" t="s">
        <v>45</v>
      </c>
      <c r="Y2291" s="1">
        <v>4.82023068E8</v>
      </c>
      <c r="Z2291" s="1">
        <v>3.8775243E7</v>
      </c>
      <c r="AA2291" s="1" t="s">
        <v>209</v>
      </c>
      <c r="AB2291" s="1">
        <v>0.0</v>
      </c>
      <c r="AC2291" s="2">
        <v>41548.0</v>
      </c>
      <c r="AD2291" s="1">
        <v>7500.0</v>
      </c>
      <c r="AE2291" s="1" t="s">
        <v>40</v>
      </c>
      <c r="AF2291" s="1">
        <v>2.0140734E7</v>
      </c>
      <c r="AG2291" s="1" t="s">
        <v>212</v>
      </c>
      <c r="AH2291" s="1">
        <v>10.0</v>
      </c>
      <c r="AI2291" s="1">
        <v>2013.0</v>
      </c>
      <c r="AJ2291" s="1">
        <v>2014.0</v>
      </c>
      <c r="AK2291" s="1" t="s">
        <v>213</v>
      </c>
    </row>
    <row r="2292">
      <c r="A2292" s="1" t="s">
        <v>3956</v>
      </c>
      <c r="B2292" s="1" t="s">
        <v>3956</v>
      </c>
      <c r="C2292" s="1" t="s">
        <v>207</v>
      </c>
      <c r="E2292" s="1">
        <v>2.48575334E9</v>
      </c>
      <c r="F2292" s="2">
        <v>41548.0</v>
      </c>
      <c r="G2292" s="1" t="s">
        <v>3957</v>
      </c>
      <c r="I2292" s="1" t="s">
        <v>3957</v>
      </c>
      <c r="L2292" s="1" t="s">
        <v>40</v>
      </c>
      <c r="M2292" s="1">
        <v>7500.0</v>
      </c>
      <c r="N2292" s="1" t="s">
        <v>40</v>
      </c>
      <c r="O2292" s="1">
        <v>3.8775243E7</v>
      </c>
      <c r="P2292" s="1" t="s">
        <v>209</v>
      </c>
      <c r="Q2292" s="1" t="s">
        <v>210</v>
      </c>
      <c r="R2292" s="1" t="s">
        <v>211</v>
      </c>
      <c r="S2292" s="1" t="s">
        <v>44</v>
      </c>
      <c r="T2292" s="1" t="s">
        <v>45</v>
      </c>
      <c r="U2292" s="1">
        <v>4.82023068E8</v>
      </c>
      <c r="W2292" s="1" t="s">
        <v>46</v>
      </c>
      <c r="X2292" s="1" t="s">
        <v>45</v>
      </c>
      <c r="Y2292" s="1">
        <v>4.82023068E8</v>
      </c>
      <c r="Z2292" s="1">
        <v>3.8775243E7</v>
      </c>
      <c r="AA2292" s="1" t="s">
        <v>209</v>
      </c>
      <c r="AB2292" s="1">
        <v>0.0</v>
      </c>
      <c r="AC2292" s="2">
        <v>41548.0</v>
      </c>
      <c r="AD2292" s="1">
        <v>7500.0</v>
      </c>
      <c r="AE2292" s="1" t="s">
        <v>40</v>
      </c>
      <c r="AF2292" s="1">
        <v>2.0140704E7</v>
      </c>
      <c r="AG2292" s="1" t="s">
        <v>212</v>
      </c>
      <c r="AH2292" s="1">
        <v>10.0</v>
      </c>
      <c r="AI2292" s="1">
        <v>2013.0</v>
      </c>
      <c r="AJ2292" s="1">
        <v>2014.0</v>
      </c>
      <c r="AK2292" s="1" t="s">
        <v>213</v>
      </c>
    </row>
    <row r="2293">
      <c r="A2293" s="1" t="s">
        <v>3956</v>
      </c>
      <c r="B2293" s="1" t="s">
        <v>3956</v>
      </c>
      <c r="C2293" s="1" t="s">
        <v>207</v>
      </c>
      <c r="E2293" s="1">
        <v>2.48575334E9</v>
      </c>
      <c r="F2293" s="2">
        <v>41548.0</v>
      </c>
      <c r="G2293" s="1" t="s">
        <v>3957</v>
      </c>
      <c r="I2293" s="1" t="s">
        <v>3957</v>
      </c>
      <c r="L2293" s="1" t="s">
        <v>40</v>
      </c>
      <c r="M2293" s="1">
        <v>7500.0</v>
      </c>
      <c r="N2293" s="1" t="s">
        <v>40</v>
      </c>
      <c r="O2293" s="1">
        <v>3.8775243E7</v>
      </c>
      <c r="P2293" s="1" t="s">
        <v>209</v>
      </c>
      <c r="Q2293" s="1" t="s">
        <v>210</v>
      </c>
      <c r="R2293" s="1" t="s">
        <v>211</v>
      </c>
      <c r="S2293" s="1" t="s">
        <v>44</v>
      </c>
      <c r="T2293" s="1" t="s">
        <v>45</v>
      </c>
      <c r="U2293" s="1">
        <v>4.82023068E8</v>
      </c>
      <c r="W2293" s="1" t="s">
        <v>46</v>
      </c>
      <c r="X2293" s="1" t="s">
        <v>45</v>
      </c>
      <c r="Y2293" s="1">
        <v>4.82023068E8</v>
      </c>
      <c r="Z2293" s="1">
        <v>3.8775243E7</v>
      </c>
      <c r="AA2293" s="1" t="s">
        <v>209</v>
      </c>
      <c r="AB2293" s="1">
        <v>3750.0</v>
      </c>
      <c r="AC2293" s="2">
        <v>41548.0</v>
      </c>
      <c r="AD2293" s="1">
        <v>7500.0</v>
      </c>
      <c r="AE2293" s="1" t="s">
        <v>40</v>
      </c>
      <c r="AF2293" s="1">
        <v>2.0142024E7</v>
      </c>
      <c r="AG2293" s="1" t="s">
        <v>212</v>
      </c>
      <c r="AH2293" s="1">
        <v>10.0</v>
      </c>
      <c r="AI2293" s="1">
        <v>2013.0</v>
      </c>
      <c r="AJ2293" s="1">
        <v>2014.0</v>
      </c>
      <c r="AK2293" s="1" t="s">
        <v>213</v>
      </c>
    </row>
    <row r="2294">
      <c r="A2294" s="1" t="s">
        <v>3956</v>
      </c>
      <c r="B2294" s="1" t="s">
        <v>3956</v>
      </c>
      <c r="C2294" s="1" t="s">
        <v>207</v>
      </c>
      <c r="E2294" s="1">
        <v>2.48575334E9</v>
      </c>
      <c r="F2294" s="2">
        <v>41548.0</v>
      </c>
      <c r="G2294" s="1" t="s">
        <v>3957</v>
      </c>
      <c r="I2294" s="1" t="s">
        <v>3957</v>
      </c>
      <c r="L2294" s="1" t="s">
        <v>40</v>
      </c>
      <c r="M2294" s="1">
        <v>7500.0</v>
      </c>
      <c r="N2294" s="1" t="s">
        <v>40</v>
      </c>
      <c r="O2294" s="1">
        <v>7.914812E7</v>
      </c>
      <c r="P2294" s="1" t="s">
        <v>1944</v>
      </c>
      <c r="R2294" s="1" t="s">
        <v>1945</v>
      </c>
      <c r="S2294" s="1" t="s">
        <v>44</v>
      </c>
      <c r="T2294" s="1" t="s">
        <v>45</v>
      </c>
      <c r="U2294" s="1">
        <v>4.820125E8</v>
      </c>
      <c r="W2294" s="1" t="s">
        <v>46</v>
      </c>
      <c r="X2294" s="1" t="s">
        <v>45</v>
      </c>
      <c r="Y2294" s="1">
        <v>4.820125E8</v>
      </c>
      <c r="AB2294" s="1">
        <v>447049.73</v>
      </c>
      <c r="AC2294" s="2">
        <v>41548.0</v>
      </c>
      <c r="AD2294" s="1">
        <v>7500.0</v>
      </c>
      <c r="AE2294" s="1" t="s">
        <v>40</v>
      </c>
      <c r="AF2294" s="1">
        <v>2.0141293E7</v>
      </c>
      <c r="AG2294" s="1" t="s">
        <v>212</v>
      </c>
      <c r="AH2294" s="1">
        <v>10.0</v>
      </c>
      <c r="AI2294" s="1">
        <v>2013.0</v>
      </c>
      <c r="AJ2294" s="1">
        <v>2014.0</v>
      </c>
      <c r="AK2294" s="1" t="s">
        <v>213</v>
      </c>
    </row>
    <row r="2295">
      <c r="A2295" s="1" t="s">
        <v>3956</v>
      </c>
      <c r="B2295" s="1" t="s">
        <v>3956</v>
      </c>
      <c r="C2295" s="1" t="s">
        <v>207</v>
      </c>
      <c r="E2295" s="1">
        <v>2.48575334E9</v>
      </c>
      <c r="F2295" s="2">
        <v>41548.0</v>
      </c>
      <c r="G2295" s="1" t="s">
        <v>3957</v>
      </c>
      <c r="I2295" s="1" t="s">
        <v>3957</v>
      </c>
      <c r="L2295" s="1" t="s">
        <v>40</v>
      </c>
      <c r="M2295" s="1">
        <v>7500.0</v>
      </c>
      <c r="N2295" s="1" t="s">
        <v>40</v>
      </c>
      <c r="O2295" s="1">
        <v>8.09204196E8</v>
      </c>
      <c r="P2295" s="1" t="s">
        <v>175</v>
      </c>
      <c r="Q2295" s="1" t="s">
        <v>3998</v>
      </c>
      <c r="R2295" s="1" t="s">
        <v>2078</v>
      </c>
      <c r="S2295" s="1" t="s">
        <v>44</v>
      </c>
      <c r="T2295" s="1" t="s">
        <v>45</v>
      </c>
      <c r="U2295" s="1">
        <v>4.82023026E8</v>
      </c>
      <c r="W2295" s="1" t="s">
        <v>46</v>
      </c>
      <c r="X2295" s="1" t="s">
        <v>45</v>
      </c>
      <c r="Y2295" s="1">
        <v>4.82023026E8</v>
      </c>
      <c r="Z2295" s="1">
        <v>8.09204196E8</v>
      </c>
      <c r="AA2295" s="1" t="s">
        <v>175</v>
      </c>
      <c r="AB2295" s="1">
        <v>63359.0</v>
      </c>
      <c r="AC2295" s="2">
        <v>41548.0</v>
      </c>
      <c r="AD2295" s="1">
        <v>7500.0</v>
      </c>
      <c r="AE2295" s="1" t="s">
        <v>40</v>
      </c>
      <c r="AF2295" s="1">
        <v>2.0141916E7</v>
      </c>
      <c r="AG2295" s="1" t="s">
        <v>212</v>
      </c>
      <c r="AH2295" s="1">
        <v>10.0</v>
      </c>
      <c r="AI2295" s="1">
        <v>2013.0</v>
      </c>
      <c r="AJ2295" s="1">
        <v>2014.0</v>
      </c>
      <c r="AK2295" s="1" t="s">
        <v>213</v>
      </c>
    </row>
    <row r="2296">
      <c r="A2296" s="1" t="s">
        <v>3958</v>
      </c>
      <c r="B2296" s="1" t="s">
        <v>3958</v>
      </c>
      <c r="C2296" s="1" t="s">
        <v>207</v>
      </c>
      <c r="E2296" s="1">
        <v>4.972778E9</v>
      </c>
      <c r="F2296" s="2">
        <v>41548.0</v>
      </c>
      <c r="G2296" s="1" t="s">
        <v>3959</v>
      </c>
      <c r="I2296" s="1" t="s">
        <v>3959</v>
      </c>
      <c r="L2296" s="1" t="s">
        <v>40</v>
      </c>
      <c r="M2296" s="1">
        <v>7500.0</v>
      </c>
      <c r="N2296" s="1" t="s">
        <v>40</v>
      </c>
      <c r="O2296" s="1">
        <v>3.8775243E7</v>
      </c>
      <c r="P2296" s="1" t="s">
        <v>209</v>
      </c>
      <c r="Q2296" s="1" t="s">
        <v>210</v>
      </c>
      <c r="R2296" s="1" t="s">
        <v>211</v>
      </c>
      <c r="S2296" s="1" t="s">
        <v>44</v>
      </c>
      <c r="T2296" s="1" t="s">
        <v>45</v>
      </c>
      <c r="U2296" s="1">
        <v>4.82023068E8</v>
      </c>
      <c r="W2296" s="1" t="s">
        <v>46</v>
      </c>
      <c r="X2296" s="1" t="s">
        <v>45</v>
      </c>
      <c r="Y2296" s="1">
        <v>4.82023068E8</v>
      </c>
      <c r="Z2296" s="1">
        <v>3.8775243E7</v>
      </c>
      <c r="AA2296" s="1" t="s">
        <v>209</v>
      </c>
      <c r="AB2296" s="1">
        <v>731.13</v>
      </c>
      <c r="AC2296" s="2">
        <v>41548.0</v>
      </c>
      <c r="AD2296" s="1">
        <v>7500.0</v>
      </c>
      <c r="AE2296" s="1" t="s">
        <v>40</v>
      </c>
      <c r="AF2296" s="1">
        <v>2.0140695E7</v>
      </c>
      <c r="AG2296" s="1" t="s">
        <v>212</v>
      </c>
      <c r="AH2296" s="1">
        <v>10.0</v>
      </c>
      <c r="AI2296" s="1">
        <v>2013.0</v>
      </c>
      <c r="AJ2296" s="1">
        <v>2014.0</v>
      </c>
      <c r="AK2296" s="1" t="s">
        <v>213</v>
      </c>
    </row>
    <row r="2297">
      <c r="A2297" s="1" t="s">
        <v>3958</v>
      </c>
      <c r="B2297" s="1" t="s">
        <v>3958</v>
      </c>
      <c r="C2297" s="1" t="s">
        <v>207</v>
      </c>
      <c r="E2297" s="1">
        <v>4.972778E9</v>
      </c>
      <c r="F2297" s="2">
        <v>41548.0</v>
      </c>
      <c r="G2297" s="1" t="s">
        <v>3959</v>
      </c>
      <c r="I2297" s="1" t="s">
        <v>3959</v>
      </c>
      <c r="L2297" s="1" t="s">
        <v>40</v>
      </c>
      <c r="M2297" s="1">
        <v>7500.0</v>
      </c>
      <c r="N2297" s="1" t="s">
        <v>40</v>
      </c>
      <c r="O2297" s="1">
        <v>7.914812E7</v>
      </c>
      <c r="P2297" s="1" t="s">
        <v>1944</v>
      </c>
      <c r="Q2297" s="1" t="s">
        <v>2775</v>
      </c>
      <c r="R2297" s="1" t="s">
        <v>1945</v>
      </c>
      <c r="S2297" s="1" t="s">
        <v>44</v>
      </c>
      <c r="T2297" s="1" t="s">
        <v>45</v>
      </c>
      <c r="U2297" s="1">
        <v>4.820125E8</v>
      </c>
      <c r="W2297" s="1" t="s">
        <v>46</v>
      </c>
      <c r="X2297" s="1" t="s">
        <v>45</v>
      </c>
      <c r="Y2297" s="1">
        <v>4.820125E8</v>
      </c>
      <c r="Z2297" s="1">
        <v>1.51679586E8</v>
      </c>
      <c r="AA2297" s="1" t="s">
        <v>3999</v>
      </c>
      <c r="AB2297" s="1">
        <v>447049.73</v>
      </c>
      <c r="AC2297" s="2">
        <v>41548.0</v>
      </c>
      <c r="AD2297" s="1">
        <v>7500.0</v>
      </c>
      <c r="AE2297" s="1" t="s">
        <v>40</v>
      </c>
      <c r="AF2297" s="1">
        <v>2.0141293E7</v>
      </c>
      <c r="AG2297" s="1" t="s">
        <v>212</v>
      </c>
      <c r="AH2297" s="1">
        <v>10.0</v>
      </c>
      <c r="AI2297" s="1">
        <v>2013.0</v>
      </c>
      <c r="AJ2297" s="1">
        <v>2014.0</v>
      </c>
      <c r="AK2297" s="1" t="s">
        <v>213</v>
      </c>
    </row>
    <row r="2298">
      <c r="A2298" s="1" t="s">
        <v>3958</v>
      </c>
      <c r="B2298" s="1" t="s">
        <v>3958</v>
      </c>
      <c r="C2298" s="1" t="s">
        <v>207</v>
      </c>
      <c r="E2298" s="1">
        <v>4.972778E9</v>
      </c>
      <c r="F2298" s="2">
        <v>41548.0</v>
      </c>
      <c r="G2298" s="1" t="s">
        <v>3959</v>
      </c>
      <c r="I2298" s="1" t="s">
        <v>3959</v>
      </c>
      <c r="L2298" s="1" t="s">
        <v>40</v>
      </c>
      <c r="M2298" s="1">
        <v>7500.0</v>
      </c>
      <c r="N2298" s="1" t="s">
        <v>40</v>
      </c>
      <c r="O2298" s="1">
        <v>7596352.0</v>
      </c>
      <c r="P2298" s="1" t="s">
        <v>73</v>
      </c>
      <c r="Q2298" s="1" t="s">
        <v>2014</v>
      </c>
      <c r="R2298" s="1" t="s">
        <v>1578</v>
      </c>
      <c r="S2298" s="1" t="s">
        <v>44</v>
      </c>
      <c r="T2298" s="1" t="s">
        <v>45</v>
      </c>
      <c r="U2298" s="1">
        <v>4.82263269E8</v>
      </c>
      <c r="W2298" s="1" t="s">
        <v>46</v>
      </c>
      <c r="X2298" s="1" t="s">
        <v>45</v>
      </c>
      <c r="Y2298" s="1">
        <v>4.82263269E8</v>
      </c>
      <c r="Z2298" s="1">
        <v>6530661.0</v>
      </c>
      <c r="AA2298" s="1" t="s">
        <v>76</v>
      </c>
      <c r="AB2298" s="1">
        <v>100785.0</v>
      </c>
      <c r="AC2298" s="2">
        <v>41548.0</v>
      </c>
      <c r="AD2298" s="1">
        <v>7500.0</v>
      </c>
      <c r="AE2298" s="1" t="s">
        <v>40</v>
      </c>
      <c r="AF2298" s="1">
        <v>2.0141454E7</v>
      </c>
      <c r="AG2298" s="1" t="s">
        <v>212</v>
      </c>
      <c r="AH2298" s="1">
        <v>10.0</v>
      </c>
      <c r="AI2298" s="1">
        <v>2013.0</v>
      </c>
      <c r="AJ2298" s="1">
        <v>2014.0</v>
      </c>
      <c r="AK2298" s="1" t="s">
        <v>213</v>
      </c>
    </row>
    <row r="2299">
      <c r="A2299" s="1" t="s">
        <v>3961</v>
      </c>
      <c r="B2299" s="1" t="s">
        <v>3961</v>
      </c>
      <c r="C2299" s="1" t="s">
        <v>207</v>
      </c>
      <c r="E2299" s="1">
        <v>1.5943497E9</v>
      </c>
      <c r="F2299" s="2">
        <v>41548.0</v>
      </c>
      <c r="G2299" s="1" t="s">
        <v>3962</v>
      </c>
      <c r="I2299" s="1" t="s">
        <v>3962</v>
      </c>
      <c r="L2299" s="1" t="s">
        <v>40</v>
      </c>
      <c r="M2299" s="1">
        <v>7500.0</v>
      </c>
      <c r="N2299" s="1" t="s">
        <v>40</v>
      </c>
      <c r="O2299" s="1">
        <v>3.8775243E7</v>
      </c>
      <c r="P2299" s="1" t="s">
        <v>209</v>
      </c>
      <c r="Q2299" s="1" t="s">
        <v>210</v>
      </c>
      <c r="R2299" s="1" t="s">
        <v>211</v>
      </c>
      <c r="S2299" s="1" t="s">
        <v>44</v>
      </c>
      <c r="T2299" s="1" t="s">
        <v>45</v>
      </c>
      <c r="U2299" s="1">
        <v>4.82023068E8</v>
      </c>
      <c r="W2299" s="1" t="s">
        <v>46</v>
      </c>
      <c r="X2299" s="1" t="s">
        <v>45</v>
      </c>
      <c r="Y2299" s="1">
        <v>4.82023068E8</v>
      </c>
      <c r="Z2299" s="1">
        <v>3.8775243E7</v>
      </c>
      <c r="AA2299" s="1" t="s">
        <v>209</v>
      </c>
      <c r="AB2299" s="1">
        <v>21481.18</v>
      </c>
      <c r="AC2299" s="2">
        <v>41548.0</v>
      </c>
      <c r="AD2299" s="1">
        <v>7500.0</v>
      </c>
      <c r="AE2299" s="1" t="s">
        <v>40</v>
      </c>
      <c r="AF2299" s="1">
        <v>2.0140693E7</v>
      </c>
      <c r="AG2299" s="1" t="s">
        <v>212</v>
      </c>
      <c r="AH2299" s="1">
        <v>10.0</v>
      </c>
      <c r="AI2299" s="1">
        <v>2013.0</v>
      </c>
      <c r="AJ2299" s="1">
        <v>2014.0</v>
      </c>
      <c r="AK2299" s="1" t="s">
        <v>213</v>
      </c>
    </row>
    <row r="2300">
      <c r="A2300" s="1" t="s">
        <v>3961</v>
      </c>
      <c r="B2300" s="1" t="s">
        <v>3961</v>
      </c>
      <c r="C2300" s="1" t="s">
        <v>207</v>
      </c>
      <c r="E2300" s="1">
        <v>1.5943497E9</v>
      </c>
      <c r="F2300" s="2">
        <v>41548.0</v>
      </c>
      <c r="G2300" s="1" t="s">
        <v>3962</v>
      </c>
      <c r="I2300" s="1" t="s">
        <v>3962</v>
      </c>
      <c r="L2300" s="1" t="s">
        <v>40</v>
      </c>
      <c r="M2300" s="1">
        <v>7500.0</v>
      </c>
      <c r="N2300" s="1" t="s">
        <v>40</v>
      </c>
      <c r="O2300" s="1">
        <v>7.914812E7</v>
      </c>
      <c r="P2300" s="1" t="s">
        <v>1944</v>
      </c>
      <c r="Q2300" s="1" t="s">
        <v>2775</v>
      </c>
      <c r="R2300" s="1" t="s">
        <v>1945</v>
      </c>
      <c r="S2300" s="1" t="s">
        <v>44</v>
      </c>
      <c r="T2300" s="1" t="s">
        <v>45</v>
      </c>
      <c r="U2300" s="1">
        <v>4.820125E8</v>
      </c>
      <c r="W2300" s="1" t="s">
        <v>46</v>
      </c>
      <c r="X2300" s="1" t="s">
        <v>45</v>
      </c>
      <c r="Y2300" s="1">
        <v>4.820125E8</v>
      </c>
      <c r="Z2300" s="1">
        <v>1.51679586E8</v>
      </c>
      <c r="AA2300" s="1" t="s">
        <v>3999</v>
      </c>
      <c r="AB2300" s="1">
        <v>447049.73</v>
      </c>
      <c r="AC2300" s="2">
        <v>41548.0</v>
      </c>
      <c r="AD2300" s="1">
        <v>7500.0</v>
      </c>
      <c r="AE2300" s="1" t="s">
        <v>40</v>
      </c>
      <c r="AF2300" s="1">
        <v>2.0141293E7</v>
      </c>
      <c r="AG2300" s="1" t="s">
        <v>212</v>
      </c>
      <c r="AH2300" s="1">
        <v>10.0</v>
      </c>
      <c r="AI2300" s="1">
        <v>2013.0</v>
      </c>
      <c r="AJ2300" s="1">
        <v>2014.0</v>
      </c>
      <c r="AK2300" s="1" t="s">
        <v>213</v>
      </c>
    </row>
    <row r="2301">
      <c r="A2301" s="1" t="s">
        <v>3963</v>
      </c>
      <c r="B2301" s="1" t="s">
        <v>3963</v>
      </c>
      <c r="C2301" s="1" t="s">
        <v>207</v>
      </c>
      <c r="E2301" s="1">
        <v>2.32482304E9</v>
      </c>
      <c r="F2301" s="2">
        <v>41548.0</v>
      </c>
      <c r="G2301" s="1" t="s">
        <v>3964</v>
      </c>
      <c r="I2301" s="1" t="s">
        <v>3964</v>
      </c>
      <c r="L2301" s="1" t="s">
        <v>40</v>
      </c>
      <c r="M2301" s="1">
        <v>7500.0</v>
      </c>
      <c r="N2301" s="1" t="s">
        <v>40</v>
      </c>
      <c r="O2301" s="1">
        <v>3.8775243E7</v>
      </c>
      <c r="P2301" s="1" t="s">
        <v>209</v>
      </c>
      <c r="Q2301" s="1" t="s">
        <v>210</v>
      </c>
      <c r="R2301" s="1" t="s">
        <v>211</v>
      </c>
      <c r="S2301" s="1" t="s">
        <v>44</v>
      </c>
      <c r="T2301" s="1" t="s">
        <v>45</v>
      </c>
      <c r="U2301" s="1">
        <v>4.82023068E8</v>
      </c>
      <c r="W2301" s="1" t="s">
        <v>46</v>
      </c>
      <c r="X2301" s="1" t="s">
        <v>45</v>
      </c>
      <c r="Y2301" s="1">
        <v>4.82023068E8</v>
      </c>
      <c r="Z2301" s="1">
        <v>3.8775243E7</v>
      </c>
      <c r="AA2301" s="1" t="s">
        <v>209</v>
      </c>
      <c r="AB2301" s="1">
        <v>8418.18</v>
      </c>
      <c r="AC2301" s="2">
        <v>41548.0</v>
      </c>
      <c r="AD2301" s="1">
        <v>7500.0</v>
      </c>
      <c r="AE2301" s="1" t="s">
        <v>40</v>
      </c>
      <c r="AF2301" s="1">
        <v>2.0140722E7</v>
      </c>
      <c r="AG2301" s="1" t="s">
        <v>212</v>
      </c>
      <c r="AH2301" s="1">
        <v>10.0</v>
      </c>
      <c r="AI2301" s="1">
        <v>2013.0</v>
      </c>
      <c r="AJ2301" s="1">
        <v>2014.0</v>
      </c>
      <c r="AK2301" s="1" t="s">
        <v>213</v>
      </c>
    </row>
    <row r="2302">
      <c r="A2302" s="1" t="s">
        <v>3963</v>
      </c>
      <c r="B2302" s="1" t="s">
        <v>3963</v>
      </c>
      <c r="C2302" s="1" t="s">
        <v>207</v>
      </c>
      <c r="E2302" s="1">
        <v>2.32482304E9</v>
      </c>
      <c r="F2302" s="2">
        <v>41548.0</v>
      </c>
      <c r="G2302" s="1" t="s">
        <v>3964</v>
      </c>
      <c r="I2302" s="1" t="s">
        <v>3964</v>
      </c>
      <c r="L2302" s="1" t="s">
        <v>40</v>
      </c>
      <c r="M2302" s="1">
        <v>7500.0</v>
      </c>
      <c r="N2302" s="1" t="s">
        <v>40</v>
      </c>
      <c r="O2302" s="1">
        <v>3.8775243E7</v>
      </c>
      <c r="P2302" s="1" t="s">
        <v>209</v>
      </c>
      <c r="Q2302" s="1" t="s">
        <v>210</v>
      </c>
      <c r="R2302" s="1" t="s">
        <v>211</v>
      </c>
      <c r="S2302" s="1" t="s">
        <v>44</v>
      </c>
      <c r="T2302" s="1" t="s">
        <v>45</v>
      </c>
      <c r="U2302" s="1">
        <v>4.82023068E8</v>
      </c>
      <c r="W2302" s="1" t="s">
        <v>46</v>
      </c>
      <c r="X2302" s="1" t="s">
        <v>45</v>
      </c>
      <c r="Y2302" s="1">
        <v>4.82023068E8</v>
      </c>
      <c r="Z2302" s="1">
        <v>3.8775243E7</v>
      </c>
      <c r="AA2302" s="1" t="s">
        <v>209</v>
      </c>
      <c r="AB2302" s="1">
        <v>21481.18</v>
      </c>
      <c r="AC2302" s="2">
        <v>41548.0</v>
      </c>
      <c r="AD2302" s="1">
        <v>7500.0</v>
      </c>
      <c r="AE2302" s="1" t="s">
        <v>40</v>
      </c>
      <c r="AF2302" s="1">
        <v>2.0140693E7</v>
      </c>
      <c r="AG2302" s="1" t="s">
        <v>212</v>
      </c>
      <c r="AH2302" s="1">
        <v>10.0</v>
      </c>
      <c r="AI2302" s="1">
        <v>2013.0</v>
      </c>
      <c r="AJ2302" s="1">
        <v>2014.0</v>
      </c>
      <c r="AK2302" s="1" t="s">
        <v>213</v>
      </c>
    </row>
    <row r="2303">
      <c r="A2303" s="1" t="s">
        <v>3963</v>
      </c>
      <c r="B2303" s="1" t="s">
        <v>3963</v>
      </c>
      <c r="C2303" s="1" t="s">
        <v>207</v>
      </c>
      <c r="E2303" s="1">
        <v>2.32482304E9</v>
      </c>
      <c r="F2303" s="2">
        <v>41548.0</v>
      </c>
      <c r="G2303" s="1" t="s">
        <v>3964</v>
      </c>
      <c r="I2303" s="1" t="s">
        <v>3964</v>
      </c>
      <c r="L2303" s="1" t="s">
        <v>40</v>
      </c>
      <c r="M2303" s="1">
        <v>7500.0</v>
      </c>
      <c r="N2303" s="1" t="s">
        <v>40</v>
      </c>
      <c r="O2303" s="1">
        <v>8.09204196E8</v>
      </c>
      <c r="P2303" s="1" t="s">
        <v>175</v>
      </c>
      <c r="Q2303" s="1" t="s">
        <v>1420</v>
      </c>
      <c r="R2303" s="1" t="s">
        <v>2078</v>
      </c>
      <c r="S2303" s="1" t="s">
        <v>44</v>
      </c>
      <c r="T2303" s="1" t="s">
        <v>45</v>
      </c>
      <c r="U2303" s="1">
        <v>4.82023026E8</v>
      </c>
      <c r="W2303" s="1" t="s">
        <v>46</v>
      </c>
      <c r="X2303" s="1" t="s">
        <v>45</v>
      </c>
      <c r="Y2303" s="1">
        <v>4.82023026E8</v>
      </c>
      <c r="Z2303" s="1">
        <v>8.09204196E8</v>
      </c>
      <c r="AA2303" s="1" t="s">
        <v>175</v>
      </c>
      <c r="AB2303" s="1">
        <v>63359.0</v>
      </c>
      <c r="AC2303" s="2">
        <v>41548.0</v>
      </c>
      <c r="AD2303" s="1">
        <v>7500.0</v>
      </c>
      <c r="AE2303" s="1" t="s">
        <v>40</v>
      </c>
      <c r="AF2303" s="1">
        <v>2.0141916E7</v>
      </c>
      <c r="AG2303" s="1" t="s">
        <v>212</v>
      </c>
      <c r="AH2303" s="1">
        <v>10.0</v>
      </c>
      <c r="AI2303" s="1">
        <v>2013.0</v>
      </c>
      <c r="AJ2303" s="1">
        <v>2014.0</v>
      </c>
      <c r="AK2303" s="1" t="s">
        <v>213</v>
      </c>
    </row>
    <row r="2304">
      <c r="A2304" s="1" t="s">
        <v>3963</v>
      </c>
      <c r="B2304" s="1" t="s">
        <v>3963</v>
      </c>
      <c r="C2304" s="1" t="s">
        <v>207</v>
      </c>
      <c r="E2304" s="1">
        <v>2.32482304E9</v>
      </c>
      <c r="F2304" s="2">
        <v>41548.0</v>
      </c>
      <c r="G2304" s="1" t="s">
        <v>3964</v>
      </c>
      <c r="I2304" s="1" t="s">
        <v>3964</v>
      </c>
      <c r="L2304" s="1" t="s">
        <v>40</v>
      </c>
      <c r="M2304" s="1">
        <v>7500.0</v>
      </c>
      <c r="N2304" s="1" t="s">
        <v>40</v>
      </c>
      <c r="O2304" s="1">
        <v>7.914812E7</v>
      </c>
      <c r="P2304" s="1" t="s">
        <v>1944</v>
      </c>
      <c r="R2304" s="1" t="s">
        <v>1945</v>
      </c>
      <c r="S2304" s="1" t="s">
        <v>44</v>
      </c>
      <c r="T2304" s="1" t="s">
        <v>45</v>
      </c>
      <c r="U2304" s="1">
        <v>4.820125E8</v>
      </c>
      <c r="W2304" s="1" t="s">
        <v>46</v>
      </c>
      <c r="X2304" s="1" t="s">
        <v>45</v>
      </c>
      <c r="Y2304" s="1">
        <v>4.820125E8</v>
      </c>
      <c r="AB2304" s="1">
        <v>447049.73</v>
      </c>
      <c r="AC2304" s="2">
        <v>41548.0</v>
      </c>
      <c r="AD2304" s="1">
        <v>7500.0</v>
      </c>
      <c r="AE2304" s="1" t="s">
        <v>40</v>
      </c>
      <c r="AF2304" s="1">
        <v>2.0141293E7</v>
      </c>
      <c r="AG2304" s="1" t="s">
        <v>212</v>
      </c>
      <c r="AH2304" s="1">
        <v>10.0</v>
      </c>
      <c r="AI2304" s="1">
        <v>2013.0</v>
      </c>
      <c r="AJ2304" s="1">
        <v>2014.0</v>
      </c>
      <c r="AK2304" s="1" t="s">
        <v>213</v>
      </c>
    </row>
    <row r="2305">
      <c r="A2305" s="1" t="s">
        <v>3963</v>
      </c>
      <c r="B2305" s="1" t="s">
        <v>3963</v>
      </c>
      <c r="C2305" s="1" t="s">
        <v>207</v>
      </c>
      <c r="E2305" s="1">
        <v>2.32482304E9</v>
      </c>
      <c r="F2305" s="2">
        <v>41548.0</v>
      </c>
      <c r="G2305" s="1" t="s">
        <v>3964</v>
      </c>
      <c r="I2305" s="1" t="s">
        <v>3964</v>
      </c>
      <c r="L2305" s="1" t="s">
        <v>40</v>
      </c>
      <c r="M2305" s="1">
        <v>7500.0</v>
      </c>
      <c r="N2305" s="1" t="s">
        <v>40</v>
      </c>
      <c r="O2305" s="1">
        <v>7596352.0</v>
      </c>
      <c r="P2305" s="1" t="s">
        <v>73</v>
      </c>
      <c r="Q2305" s="1" t="s">
        <v>2309</v>
      </c>
      <c r="R2305" s="1" t="s">
        <v>1578</v>
      </c>
      <c r="S2305" s="1" t="s">
        <v>44</v>
      </c>
      <c r="T2305" s="1" t="s">
        <v>45</v>
      </c>
      <c r="U2305" s="1">
        <v>4.82263269E8</v>
      </c>
      <c r="W2305" s="1" t="s">
        <v>46</v>
      </c>
      <c r="X2305" s="1" t="s">
        <v>45</v>
      </c>
      <c r="Y2305" s="1">
        <v>4.82263269E8</v>
      </c>
      <c r="Z2305" s="1">
        <v>6530661.0</v>
      </c>
      <c r="AA2305" s="1" t="s">
        <v>76</v>
      </c>
      <c r="AB2305" s="1">
        <v>100785.0</v>
      </c>
      <c r="AC2305" s="2">
        <v>41548.0</v>
      </c>
      <c r="AD2305" s="1">
        <v>7500.0</v>
      </c>
      <c r="AE2305" s="1" t="s">
        <v>40</v>
      </c>
      <c r="AF2305" s="1">
        <v>2.0141454E7</v>
      </c>
      <c r="AG2305" s="1" t="s">
        <v>212</v>
      </c>
      <c r="AH2305" s="1">
        <v>10.0</v>
      </c>
      <c r="AI2305" s="1">
        <v>2013.0</v>
      </c>
      <c r="AJ2305" s="1">
        <v>2014.0</v>
      </c>
      <c r="AK2305" s="1" t="s">
        <v>213</v>
      </c>
    </row>
    <row r="2306">
      <c r="A2306" s="1" t="s">
        <v>4000</v>
      </c>
      <c r="B2306" s="1" t="s">
        <v>4000</v>
      </c>
      <c r="C2306" s="1" t="s">
        <v>63</v>
      </c>
      <c r="E2306" s="1">
        <v>1832896.0</v>
      </c>
      <c r="F2306" s="2">
        <v>41183.0</v>
      </c>
      <c r="G2306" s="1" t="s">
        <v>4001</v>
      </c>
      <c r="I2306" s="1" t="s">
        <v>4001</v>
      </c>
      <c r="L2306" s="1" t="s">
        <v>40</v>
      </c>
      <c r="M2306" s="1">
        <v>7500.0</v>
      </c>
      <c r="N2306" s="1" t="s">
        <v>40</v>
      </c>
      <c r="O2306" s="1">
        <v>7.8583404E7</v>
      </c>
      <c r="P2306" s="1" t="s">
        <v>65</v>
      </c>
      <c r="R2306" s="1" t="s">
        <v>1573</v>
      </c>
      <c r="S2306" s="1" t="s">
        <v>44</v>
      </c>
      <c r="T2306" s="1" t="s">
        <v>45</v>
      </c>
      <c r="U2306" s="1">
        <v>4.8207311E8</v>
      </c>
      <c r="W2306" s="1" t="s">
        <v>46</v>
      </c>
      <c r="X2306" s="1" t="s">
        <v>45</v>
      </c>
      <c r="Y2306" s="1">
        <v>4.82021732E8</v>
      </c>
      <c r="AB2306" s="1">
        <v>4500.0</v>
      </c>
      <c r="AC2306" s="2">
        <v>41183.0</v>
      </c>
      <c r="AD2306" s="1">
        <v>7500.0</v>
      </c>
      <c r="AE2306" s="1" t="s">
        <v>40</v>
      </c>
      <c r="AF2306" s="1">
        <v>2.01304E7</v>
      </c>
      <c r="AG2306" s="1" t="s">
        <v>4002</v>
      </c>
      <c r="AH2306" s="1">
        <v>10.0</v>
      </c>
      <c r="AI2306" s="1">
        <v>2010.0</v>
      </c>
      <c r="AJ2306" s="1">
        <v>2013.0</v>
      </c>
      <c r="AK2306" s="1" t="s">
        <v>4003</v>
      </c>
    </row>
    <row r="2307">
      <c r="A2307" s="1" t="s">
        <v>4004</v>
      </c>
      <c r="B2307" s="1" t="s">
        <v>4004</v>
      </c>
      <c r="C2307" s="1" t="s">
        <v>63</v>
      </c>
      <c r="E2307" s="1">
        <v>1039500.0</v>
      </c>
      <c r="F2307" s="2">
        <v>41183.0</v>
      </c>
      <c r="G2307" s="1" t="s">
        <v>4005</v>
      </c>
      <c r="I2307" s="1" t="s">
        <v>4005</v>
      </c>
      <c r="L2307" s="1" t="s">
        <v>40</v>
      </c>
      <c r="M2307" s="1">
        <v>7500.0</v>
      </c>
      <c r="N2307" s="1" t="s">
        <v>40</v>
      </c>
      <c r="O2307" s="1">
        <v>3.8775243E7</v>
      </c>
      <c r="P2307" s="1" t="s">
        <v>209</v>
      </c>
      <c r="Q2307" s="1" t="s">
        <v>210</v>
      </c>
      <c r="R2307" s="1" t="s">
        <v>211</v>
      </c>
      <c r="S2307" s="1" t="s">
        <v>44</v>
      </c>
      <c r="T2307" s="1" t="s">
        <v>45</v>
      </c>
      <c r="U2307" s="1">
        <v>4.82023068E8</v>
      </c>
      <c r="W2307" s="1" t="s">
        <v>46</v>
      </c>
      <c r="X2307" s="1" t="s">
        <v>45</v>
      </c>
      <c r="Y2307" s="1">
        <v>4.82023068E8</v>
      </c>
      <c r="Z2307" s="1">
        <v>3.8775243E7</v>
      </c>
      <c r="AA2307" s="1" t="s">
        <v>209</v>
      </c>
      <c r="AB2307" s="1">
        <v>0.0</v>
      </c>
      <c r="AC2307" s="2">
        <v>41183.0</v>
      </c>
      <c r="AD2307" s="1">
        <v>7500.0</v>
      </c>
      <c r="AE2307" s="1" t="s">
        <v>40</v>
      </c>
      <c r="AF2307" s="1">
        <v>2.0131224E7</v>
      </c>
      <c r="AG2307" s="1" t="s">
        <v>4006</v>
      </c>
      <c r="AH2307" s="1">
        <v>10.0</v>
      </c>
      <c r="AI2307" s="1">
        <v>2012.0</v>
      </c>
      <c r="AJ2307" s="1">
        <v>2013.0</v>
      </c>
      <c r="AK2307" s="1" t="s">
        <v>342</v>
      </c>
    </row>
    <row r="2308">
      <c r="A2308" s="1" t="s">
        <v>4004</v>
      </c>
      <c r="B2308" s="1" t="s">
        <v>4004</v>
      </c>
      <c r="C2308" s="1" t="s">
        <v>63</v>
      </c>
      <c r="E2308" s="1">
        <v>1039500.0</v>
      </c>
      <c r="F2308" s="2">
        <v>41913.0</v>
      </c>
      <c r="G2308" s="1" t="s">
        <v>4005</v>
      </c>
      <c r="I2308" s="1" t="s">
        <v>4005</v>
      </c>
      <c r="L2308" s="1" t="s">
        <v>40</v>
      </c>
      <c r="M2308" s="1">
        <v>7500.0</v>
      </c>
      <c r="N2308" s="1" t="s">
        <v>40</v>
      </c>
      <c r="O2308" s="1">
        <v>7.3134603E7</v>
      </c>
      <c r="P2308" s="1" t="s">
        <v>41</v>
      </c>
      <c r="Q2308" s="1" t="s">
        <v>252</v>
      </c>
      <c r="R2308" s="1" t="s">
        <v>253</v>
      </c>
      <c r="S2308" s="1" t="s">
        <v>44</v>
      </c>
      <c r="T2308" s="1" t="s">
        <v>45</v>
      </c>
      <c r="U2308" s="1">
        <v>4.8202345E8</v>
      </c>
      <c r="W2308" s="1" t="s">
        <v>46</v>
      </c>
      <c r="X2308" s="1" t="s">
        <v>45</v>
      </c>
      <c r="Y2308" s="1">
        <v>4.8202345E8</v>
      </c>
      <c r="Z2308" s="1">
        <v>7.3134603E7</v>
      </c>
      <c r="AA2308" s="1" t="s">
        <v>41</v>
      </c>
      <c r="AB2308" s="1">
        <v>2500.0</v>
      </c>
      <c r="AC2308" s="2">
        <v>41913.0</v>
      </c>
      <c r="AD2308" s="1">
        <v>7500.0</v>
      </c>
      <c r="AE2308" s="1" t="s">
        <v>40</v>
      </c>
      <c r="AF2308" s="1">
        <v>2.015124E7</v>
      </c>
      <c r="AG2308" s="1" t="s">
        <v>4006</v>
      </c>
      <c r="AH2308" s="1">
        <v>10.0</v>
      </c>
      <c r="AI2308" s="1">
        <v>2012.0</v>
      </c>
      <c r="AJ2308" s="1">
        <v>2015.0</v>
      </c>
      <c r="AK2308" s="1" t="s">
        <v>342</v>
      </c>
    </row>
    <row r="2309">
      <c r="A2309" s="1" t="s">
        <v>4007</v>
      </c>
      <c r="B2309" s="1" t="s">
        <v>4007</v>
      </c>
      <c r="C2309" s="1" t="s">
        <v>63</v>
      </c>
      <c r="E2309" s="1">
        <v>3.0692876E7</v>
      </c>
      <c r="F2309" s="2">
        <v>41183.0</v>
      </c>
      <c r="G2309" s="1" t="s">
        <v>4008</v>
      </c>
      <c r="I2309" s="1" t="s">
        <v>4008</v>
      </c>
      <c r="L2309" s="1" t="s">
        <v>40</v>
      </c>
      <c r="M2309" s="1">
        <v>7500.0</v>
      </c>
      <c r="N2309" s="1" t="s">
        <v>40</v>
      </c>
      <c r="O2309" s="1">
        <v>1962224.0</v>
      </c>
      <c r="P2309" s="1" t="s">
        <v>52</v>
      </c>
      <c r="Q2309" s="1" t="s">
        <v>4009</v>
      </c>
      <c r="R2309" s="1" t="s">
        <v>1885</v>
      </c>
      <c r="S2309" s="1" t="s">
        <v>44</v>
      </c>
      <c r="T2309" s="1" t="s">
        <v>45</v>
      </c>
      <c r="U2309" s="1">
        <v>4.82021347E8</v>
      </c>
      <c r="W2309" s="1" t="s">
        <v>46</v>
      </c>
      <c r="X2309" s="1" t="s">
        <v>45</v>
      </c>
      <c r="Y2309" s="1">
        <v>4.82023692E8</v>
      </c>
      <c r="Z2309" s="1">
        <v>1962224.0</v>
      </c>
      <c r="AA2309" s="1" t="s">
        <v>52</v>
      </c>
      <c r="AB2309" s="1">
        <v>178554.0</v>
      </c>
      <c r="AC2309" s="2">
        <v>41183.0</v>
      </c>
      <c r="AD2309" s="1">
        <v>7500.0</v>
      </c>
      <c r="AE2309" s="1" t="s">
        <v>40</v>
      </c>
      <c r="AF2309" s="1">
        <v>2.0131061E7</v>
      </c>
      <c r="AG2309" s="1" t="s">
        <v>4010</v>
      </c>
      <c r="AH2309" s="1">
        <v>10.0</v>
      </c>
      <c r="AI2309" s="1">
        <v>2011.0</v>
      </c>
      <c r="AJ2309" s="1">
        <v>2013.0</v>
      </c>
      <c r="AK2309" s="1" t="s">
        <v>4011</v>
      </c>
    </row>
    <row r="2310">
      <c r="A2310" s="1" t="s">
        <v>3968</v>
      </c>
      <c r="B2310" s="1" t="s">
        <v>3968</v>
      </c>
      <c r="C2310" s="1" t="s">
        <v>207</v>
      </c>
      <c r="E2310" s="1">
        <v>2.98917299E9</v>
      </c>
      <c r="F2310" s="2">
        <v>41913.0</v>
      </c>
      <c r="G2310" s="1" t="s">
        <v>3969</v>
      </c>
      <c r="I2310" s="1" t="s">
        <v>3969</v>
      </c>
      <c r="L2310" s="1" t="s">
        <v>40</v>
      </c>
      <c r="M2310" s="1">
        <v>7500.0</v>
      </c>
      <c r="N2310" s="1" t="s">
        <v>40</v>
      </c>
      <c r="O2310" s="1">
        <v>7.914812E7</v>
      </c>
      <c r="P2310" s="1" t="s">
        <v>1944</v>
      </c>
      <c r="R2310" s="1" t="s">
        <v>1945</v>
      </c>
      <c r="S2310" s="1" t="s">
        <v>44</v>
      </c>
      <c r="T2310" s="1" t="s">
        <v>45</v>
      </c>
      <c r="U2310" s="1">
        <v>4.820125E8</v>
      </c>
      <c r="W2310" s="1" t="s">
        <v>46</v>
      </c>
      <c r="X2310" s="1" t="s">
        <v>45</v>
      </c>
      <c r="Y2310" s="1">
        <v>4.820125E8</v>
      </c>
      <c r="AB2310" s="1">
        <v>447049.73</v>
      </c>
      <c r="AC2310" s="2">
        <v>41913.0</v>
      </c>
      <c r="AD2310" s="1">
        <v>7500.0</v>
      </c>
      <c r="AE2310" s="1" t="s">
        <v>40</v>
      </c>
      <c r="AF2310" s="1">
        <v>2.0151267E7</v>
      </c>
      <c r="AG2310" s="1" t="s">
        <v>212</v>
      </c>
      <c r="AH2310" s="1">
        <v>10.0</v>
      </c>
      <c r="AI2310" s="1">
        <v>2014.0</v>
      </c>
      <c r="AJ2310" s="1">
        <v>2015.0</v>
      </c>
      <c r="AK2310" s="1" t="s">
        <v>213</v>
      </c>
    </row>
    <row r="2311">
      <c r="A2311" s="1" t="s">
        <v>3968</v>
      </c>
      <c r="B2311" s="1" t="s">
        <v>3968</v>
      </c>
      <c r="C2311" s="1" t="s">
        <v>207</v>
      </c>
      <c r="E2311" s="1">
        <v>2.98917299E9</v>
      </c>
      <c r="F2311" s="2">
        <v>41913.0</v>
      </c>
      <c r="G2311" s="1" t="s">
        <v>3969</v>
      </c>
      <c r="I2311" s="1" t="s">
        <v>3969</v>
      </c>
      <c r="L2311" s="1" t="s">
        <v>40</v>
      </c>
      <c r="M2311" s="1">
        <v>7500.0</v>
      </c>
      <c r="N2311" s="1" t="s">
        <v>40</v>
      </c>
      <c r="O2311" s="1">
        <v>3.8775243E7</v>
      </c>
      <c r="P2311" s="1" t="s">
        <v>209</v>
      </c>
      <c r="Q2311" s="1" t="s">
        <v>210</v>
      </c>
      <c r="R2311" s="1" t="s">
        <v>211</v>
      </c>
      <c r="S2311" s="1" t="s">
        <v>44</v>
      </c>
      <c r="T2311" s="1" t="s">
        <v>45</v>
      </c>
      <c r="U2311" s="1">
        <v>4.82023068E8</v>
      </c>
      <c r="W2311" s="1" t="s">
        <v>46</v>
      </c>
      <c r="X2311" s="1" t="s">
        <v>45</v>
      </c>
      <c r="Y2311" s="1">
        <v>4.82023068E8</v>
      </c>
      <c r="Z2311" s="1">
        <v>3.8775243E7</v>
      </c>
      <c r="AA2311" s="1" t="s">
        <v>209</v>
      </c>
      <c r="AB2311" s="1">
        <v>8244.38</v>
      </c>
      <c r="AC2311" s="2">
        <v>41913.0</v>
      </c>
      <c r="AD2311" s="1">
        <v>7500.0</v>
      </c>
      <c r="AE2311" s="1" t="s">
        <v>40</v>
      </c>
      <c r="AF2311" s="1">
        <v>2.0151609E7</v>
      </c>
      <c r="AG2311" s="1" t="s">
        <v>212</v>
      </c>
      <c r="AH2311" s="1">
        <v>10.0</v>
      </c>
      <c r="AI2311" s="1">
        <v>2014.0</v>
      </c>
      <c r="AJ2311" s="1">
        <v>2015.0</v>
      </c>
      <c r="AK2311" s="1" t="s">
        <v>213</v>
      </c>
    </row>
    <row r="2312">
      <c r="A2312" s="1" t="s">
        <v>3968</v>
      </c>
      <c r="B2312" s="1" t="s">
        <v>3968</v>
      </c>
      <c r="C2312" s="1" t="s">
        <v>207</v>
      </c>
      <c r="E2312" s="1">
        <v>2.98917299E9</v>
      </c>
      <c r="F2312" s="2">
        <v>41913.0</v>
      </c>
      <c r="G2312" s="1" t="s">
        <v>3969</v>
      </c>
      <c r="I2312" s="1" t="s">
        <v>3969</v>
      </c>
      <c r="L2312" s="1" t="s">
        <v>40</v>
      </c>
      <c r="M2312" s="1">
        <v>7500.0</v>
      </c>
      <c r="N2312" s="1" t="s">
        <v>40</v>
      </c>
      <c r="O2312" s="1">
        <v>3.8775243E7</v>
      </c>
      <c r="P2312" s="1" t="s">
        <v>209</v>
      </c>
      <c r="Q2312" s="1" t="s">
        <v>210</v>
      </c>
      <c r="R2312" s="1" t="s">
        <v>211</v>
      </c>
      <c r="S2312" s="1" t="s">
        <v>44</v>
      </c>
      <c r="T2312" s="1" t="s">
        <v>45</v>
      </c>
      <c r="U2312" s="1">
        <v>4.82023068E8</v>
      </c>
      <c r="W2312" s="1" t="s">
        <v>46</v>
      </c>
      <c r="X2312" s="1" t="s">
        <v>45</v>
      </c>
      <c r="Y2312" s="1">
        <v>4.82023068E8</v>
      </c>
      <c r="Z2312" s="1">
        <v>3.8775243E7</v>
      </c>
      <c r="AA2312" s="1" t="s">
        <v>209</v>
      </c>
      <c r="AB2312" s="1">
        <v>731.13</v>
      </c>
      <c r="AC2312" s="2">
        <v>41913.0</v>
      </c>
      <c r="AD2312" s="1">
        <v>7500.0</v>
      </c>
      <c r="AE2312" s="1" t="s">
        <v>40</v>
      </c>
      <c r="AF2312" s="1">
        <v>2.0151614E7</v>
      </c>
      <c r="AG2312" s="1" t="s">
        <v>212</v>
      </c>
      <c r="AH2312" s="1">
        <v>10.0</v>
      </c>
      <c r="AI2312" s="1">
        <v>2014.0</v>
      </c>
      <c r="AJ2312" s="1">
        <v>2015.0</v>
      </c>
      <c r="AK2312" s="1" t="s">
        <v>213</v>
      </c>
    </row>
    <row r="2313">
      <c r="A2313" s="1" t="s">
        <v>3988</v>
      </c>
      <c r="B2313" s="1" t="s">
        <v>3988</v>
      </c>
      <c r="C2313" s="1" t="s">
        <v>645</v>
      </c>
      <c r="E2313" s="1">
        <v>5.6528832E7</v>
      </c>
      <c r="F2313" s="2">
        <v>41548.0</v>
      </c>
      <c r="G2313" s="1" t="s">
        <v>1577</v>
      </c>
      <c r="I2313" s="1" t="s">
        <v>1577</v>
      </c>
      <c r="L2313" s="1" t="s">
        <v>647</v>
      </c>
      <c r="M2313" s="1">
        <v>1200.0</v>
      </c>
      <c r="N2313" s="1" t="s">
        <v>647</v>
      </c>
      <c r="O2313" s="1">
        <v>7.6377316E7</v>
      </c>
      <c r="P2313" s="1" t="s">
        <v>2302</v>
      </c>
      <c r="Q2313" s="1" t="s">
        <v>4012</v>
      </c>
      <c r="R2313" s="1" t="s">
        <v>2303</v>
      </c>
      <c r="S2313" s="1" t="s">
        <v>44</v>
      </c>
      <c r="T2313" s="1" t="s">
        <v>45</v>
      </c>
      <c r="U2313" s="1">
        <v>4.82012119E8</v>
      </c>
      <c r="W2313" s="1" t="s">
        <v>46</v>
      </c>
      <c r="X2313" s="1" t="s">
        <v>45</v>
      </c>
      <c r="Y2313" s="1">
        <v>4.82012119E8</v>
      </c>
      <c r="Z2313" s="1">
        <v>5.3866661E7</v>
      </c>
      <c r="AB2313" s="1">
        <v>11745.0</v>
      </c>
      <c r="AC2313" s="2">
        <v>41548.0</v>
      </c>
      <c r="AD2313" s="1">
        <v>1200.0</v>
      </c>
      <c r="AE2313" s="1" t="s">
        <v>647</v>
      </c>
      <c r="AF2313" s="1">
        <v>2.0140066E7</v>
      </c>
      <c r="AG2313" s="1" t="s">
        <v>2826</v>
      </c>
      <c r="AH2313" s="1">
        <v>10.0</v>
      </c>
      <c r="AI2313" s="1">
        <v>2013.0</v>
      </c>
      <c r="AJ2313" s="1">
        <v>2014.0</v>
      </c>
      <c r="AK2313" s="1" t="s">
        <v>1580</v>
      </c>
    </row>
    <row r="2314">
      <c r="A2314" s="1" t="s">
        <v>3988</v>
      </c>
      <c r="B2314" s="1" t="s">
        <v>3988</v>
      </c>
      <c r="C2314" s="1" t="s">
        <v>645</v>
      </c>
      <c r="E2314" s="1">
        <v>5.6528832E7</v>
      </c>
      <c r="F2314" s="2">
        <v>41548.0</v>
      </c>
      <c r="G2314" s="1" t="s">
        <v>1577</v>
      </c>
      <c r="I2314" s="1" t="s">
        <v>1577</v>
      </c>
      <c r="L2314" s="1" t="s">
        <v>647</v>
      </c>
      <c r="M2314" s="1">
        <v>1200.0</v>
      </c>
      <c r="N2314" s="1" t="s">
        <v>647</v>
      </c>
      <c r="O2314" s="1">
        <v>4.3419399E7</v>
      </c>
      <c r="P2314" s="1" t="s">
        <v>979</v>
      </c>
      <c r="R2314" s="1" t="s">
        <v>1934</v>
      </c>
      <c r="S2314" s="1" t="s">
        <v>44</v>
      </c>
      <c r="T2314" s="1" t="s">
        <v>45</v>
      </c>
      <c r="U2314" s="1">
        <v>4.82384019E8</v>
      </c>
      <c r="W2314" s="1" t="s">
        <v>46</v>
      </c>
      <c r="X2314" s="1" t="s">
        <v>45</v>
      </c>
      <c r="Y2314" s="1">
        <v>4.82384019E8</v>
      </c>
      <c r="Z2314" s="1">
        <v>4.3419399E7</v>
      </c>
      <c r="AA2314" s="1" t="s">
        <v>979</v>
      </c>
      <c r="AB2314" s="1">
        <v>51000.0</v>
      </c>
      <c r="AC2314" s="2">
        <v>41548.0</v>
      </c>
      <c r="AD2314" s="1">
        <v>1200.0</v>
      </c>
      <c r="AE2314" s="1" t="s">
        <v>647</v>
      </c>
      <c r="AF2314" s="1">
        <v>2.0141499E7</v>
      </c>
      <c r="AG2314" s="1" t="s">
        <v>2826</v>
      </c>
      <c r="AH2314" s="1">
        <v>10.0</v>
      </c>
      <c r="AI2314" s="1">
        <v>2013.0</v>
      </c>
      <c r="AJ2314" s="1">
        <v>2014.0</v>
      </c>
      <c r="AK2314" s="1" t="s">
        <v>1580</v>
      </c>
    </row>
    <row r="2315">
      <c r="A2315" s="1" t="s">
        <v>3988</v>
      </c>
      <c r="B2315" s="1" t="s">
        <v>3988</v>
      </c>
      <c r="C2315" s="1" t="s">
        <v>645</v>
      </c>
      <c r="E2315" s="1">
        <v>5.6528832E7</v>
      </c>
      <c r="F2315" s="2">
        <v>41548.0</v>
      </c>
      <c r="G2315" s="1" t="s">
        <v>1577</v>
      </c>
      <c r="I2315" s="1" t="s">
        <v>1577</v>
      </c>
      <c r="L2315" s="1" t="s">
        <v>647</v>
      </c>
      <c r="M2315" s="1">
        <v>1200.0</v>
      </c>
      <c r="N2315" s="1" t="s">
        <v>647</v>
      </c>
      <c r="O2315" s="1">
        <v>7596352.0</v>
      </c>
      <c r="P2315" s="1" t="s">
        <v>73</v>
      </c>
      <c r="R2315" s="1" t="s">
        <v>1578</v>
      </c>
      <c r="S2315" s="1" t="s">
        <v>44</v>
      </c>
      <c r="T2315" s="1" t="s">
        <v>45</v>
      </c>
      <c r="U2315" s="1">
        <v>4.82263269E8</v>
      </c>
      <c r="W2315" s="1" t="s">
        <v>46</v>
      </c>
      <c r="X2315" s="1" t="s">
        <v>45</v>
      </c>
      <c r="Y2315" s="1">
        <v>4.82263269E8</v>
      </c>
      <c r="Z2315" s="1">
        <v>6530661.0</v>
      </c>
      <c r="AA2315" s="1" t="s">
        <v>76</v>
      </c>
      <c r="AB2315" s="1">
        <v>22750.0</v>
      </c>
      <c r="AC2315" s="2">
        <v>41548.0</v>
      </c>
      <c r="AD2315" s="1">
        <v>1200.0</v>
      </c>
      <c r="AE2315" s="1" t="s">
        <v>647</v>
      </c>
      <c r="AF2315" s="1">
        <v>2.0141454E7</v>
      </c>
      <c r="AG2315" s="1" t="s">
        <v>2826</v>
      </c>
      <c r="AH2315" s="1">
        <v>10.0</v>
      </c>
      <c r="AI2315" s="1">
        <v>2013.0</v>
      </c>
      <c r="AJ2315" s="1">
        <v>2014.0</v>
      </c>
      <c r="AK2315" s="1" t="s">
        <v>1580</v>
      </c>
    </row>
    <row r="2316">
      <c r="A2316" s="1" t="s">
        <v>3989</v>
      </c>
      <c r="B2316" s="1" t="s">
        <v>3989</v>
      </c>
      <c r="C2316" s="1" t="s">
        <v>645</v>
      </c>
      <c r="E2316" s="1">
        <v>3.2942648E7</v>
      </c>
      <c r="F2316" s="2">
        <v>41913.0</v>
      </c>
      <c r="G2316" s="1" t="s">
        <v>1577</v>
      </c>
      <c r="I2316" s="1" t="s">
        <v>1577</v>
      </c>
      <c r="L2316" s="1" t="s">
        <v>647</v>
      </c>
      <c r="M2316" s="1">
        <v>1200.0</v>
      </c>
      <c r="N2316" s="1" t="s">
        <v>647</v>
      </c>
      <c r="O2316" s="1">
        <v>7596352.0</v>
      </c>
      <c r="P2316" s="1" t="s">
        <v>73</v>
      </c>
      <c r="Q2316" s="1" t="s">
        <v>2014</v>
      </c>
      <c r="R2316" s="1" t="s">
        <v>1578</v>
      </c>
      <c r="S2316" s="1" t="s">
        <v>44</v>
      </c>
      <c r="T2316" s="1" t="s">
        <v>45</v>
      </c>
      <c r="U2316" s="1">
        <v>4.82263269E8</v>
      </c>
      <c r="W2316" s="1" t="s">
        <v>46</v>
      </c>
      <c r="X2316" s="1" t="s">
        <v>45</v>
      </c>
      <c r="Y2316" s="1">
        <v>4.82263269E8</v>
      </c>
      <c r="Z2316" s="1">
        <v>6530661.0</v>
      </c>
      <c r="AA2316" s="1" t="s">
        <v>76</v>
      </c>
      <c r="AB2316" s="1">
        <v>4427475.7</v>
      </c>
      <c r="AC2316" s="2">
        <v>41913.0</v>
      </c>
      <c r="AD2316" s="1">
        <v>1200.0</v>
      </c>
      <c r="AE2316" s="1" t="s">
        <v>647</v>
      </c>
      <c r="AF2316" s="1">
        <v>2.0151729E7</v>
      </c>
      <c r="AG2316" s="1" t="s">
        <v>2826</v>
      </c>
      <c r="AH2316" s="1">
        <v>10.0</v>
      </c>
      <c r="AI2316" s="1">
        <v>2014.0</v>
      </c>
      <c r="AJ2316" s="1">
        <v>2015.0</v>
      </c>
      <c r="AK2316" s="1" t="s">
        <v>1580</v>
      </c>
    </row>
    <row r="2317">
      <c r="A2317" s="1" t="s">
        <v>3989</v>
      </c>
      <c r="B2317" s="1" t="s">
        <v>3989</v>
      </c>
      <c r="C2317" s="1" t="s">
        <v>645</v>
      </c>
      <c r="E2317" s="1">
        <v>3.2942648E7</v>
      </c>
      <c r="F2317" s="2">
        <v>41913.0</v>
      </c>
      <c r="G2317" s="1" t="s">
        <v>1577</v>
      </c>
      <c r="I2317" s="1" t="s">
        <v>1577</v>
      </c>
      <c r="L2317" s="1" t="s">
        <v>647</v>
      </c>
      <c r="M2317" s="1">
        <v>1200.0</v>
      </c>
      <c r="N2317" s="1" t="s">
        <v>647</v>
      </c>
      <c r="O2317" s="1">
        <v>7596352.0</v>
      </c>
      <c r="P2317" s="1" t="s">
        <v>73</v>
      </c>
      <c r="Q2317" s="1" t="s">
        <v>2014</v>
      </c>
      <c r="R2317" s="1" t="s">
        <v>1578</v>
      </c>
      <c r="S2317" s="1" t="s">
        <v>44</v>
      </c>
      <c r="T2317" s="1" t="s">
        <v>45</v>
      </c>
      <c r="U2317" s="1">
        <v>4.82263269E8</v>
      </c>
      <c r="W2317" s="1" t="s">
        <v>46</v>
      </c>
      <c r="X2317" s="1" t="s">
        <v>45</v>
      </c>
      <c r="Y2317" s="1">
        <v>4.82263269E8</v>
      </c>
      <c r="Z2317" s="1">
        <v>6530661.0</v>
      </c>
      <c r="AA2317" s="1" t="s">
        <v>76</v>
      </c>
      <c r="AB2317" s="1">
        <v>36490.74</v>
      </c>
      <c r="AC2317" s="2">
        <v>41913.0</v>
      </c>
      <c r="AD2317" s="1">
        <v>1200.0</v>
      </c>
      <c r="AE2317" s="1" t="s">
        <v>647</v>
      </c>
      <c r="AF2317" s="1">
        <v>2.0151729E7</v>
      </c>
      <c r="AG2317" s="1" t="s">
        <v>2826</v>
      </c>
      <c r="AH2317" s="1">
        <v>10.0</v>
      </c>
      <c r="AI2317" s="1">
        <v>2014.0</v>
      </c>
      <c r="AJ2317" s="1">
        <v>2015.0</v>
      </c>
      <c r="AK2317" s="1" t="s">
        <v>1580</v>
      </c>
    </row>
    <row r="2318">
      <c r="A2318" s="1" t="s">
        <v>3995</v>
      </c>
      <c r="B2318" s="1" t="s">
        <v>3995</v>
      </c>
      <c r="C2318" s="1" t="s">
        <v>63</v>
      </c>
      <c r="E2318" s="1">
        <v>6092441.0</v>
      </c>
      <c r="F2318" s="2">
        <v>41913.0</v>
      </c>
      <c r="G2318" s="1" t="s">
        <v>3996</v>
      </c>
      <c r="I2318" s="1" t="s">
        <v>3996</v>
      </c>
      <c r="L2318" s="1" t="s">
        <v>40</v>
      </c>
      <c r="M2318" s="1">
        <v>7500.0</v>
      </c>
      <c r="N2318" s="1" t="s">
        <v>40</v>
      </c>
      <c r="O2318" s="1">
        <v>1962224.0</v>
      </c>
      <c r="P2318" s="1" t="s">
        <v>52</v>
      </c>
      <c r="R2318" s="1" t="s">
        <v>1885</v>
      </c>
      <c r="S2318" s="1" t="s">
        <v>44</v>
      </c>
      <c r="T2318" s="1" t="s">
        <v>45</v>
      </c>
      <c r="U2318" s="1">
        <v>4.82021347E8</v>
      </c>
      <c r="W2318" s="1" t="s">
        <v>46</v>
      </c>
      <c r="X2318" s="1" t="s">
        <v>45</v>
      </c>
      <c r="Y2318" s="1">
        <v>4.82023692E8</v>
      </c>
      <c r="Z2318" s="1">
        <v>1962224.0</v>
      </c>
      <c r="AA2318" s="1" t="s">
        <v>52</v>
      </c>
      <c r="AB2318" s="1">
        <v>100000.0</v>
      </c>
      <c r="AC2318" s="2">
        <v>41913.0</v>
      </c>
      <c r="AD2318" s="1">
        <v>7500.0</v>
      </c>
      <c r="AE2318" s="1" t="s">
        <v>40</v>
      </c>
      <c r="AF2318" s="1">
        <v>2.0151656E7</v>
      </c>
      <c r="AG2318" s="1" t="s">
        <v>2931</v>
      </c>
      <c r="AH2318" s="1">
        <v>10.0</v>
      </c>
      <c r="AI2318" s="1">
        <v>2013.0</v>
      </c>
      <c r="AJ2318" s="1">
        <v>2015.0</v>
      </c>
      <c r="AK2318" s="1" t="s">
        <v>3997</v>
      </c>
    </row>
    <row r="2319">
      <c r="A2319" s="1" t="s">
        <v>3995</v>
      </c>
      <c r="B2319" s="1" t="s">
        <v>3995</v>
      </c>
      <c r="C2319" s="1" t="s">
        <v>63</v>
      </c>
      <c r="E2319" s="1">
        <v>6092441.0</v>
      </c>
      <c r="F2319" s="2">
        <v>41548.0</v>
      </c>
      <c r="G2319" s="1" t="s">
        <v>3996</v>
      </c>
      <c r="I2319" s="1" t="s">
        <v>3996</v>
      </c>
      <c r="L2319" s="1" t="s">
        <v>40</v>
      </c>
      <c r="M2319" s="1">
        <v>7500.0</v>
      </c>
      <c r="N2319" s="1" t="s">
        <v>40</v>
      </c>
      <c r="O2319" s="1">
        <v>3.8775243E7</v>
      </c>
      <c r="P2319" s="1" t="s">
        <v>209</v>
      </c>
      <c r="Q2319" s="1" t="s">
        <v>210</v>
      </c>
      <c r="R2319" s="1" t="s">
        <v>211</v>
      </c>
      <c r="S2319" s="1" t="s">
        <v>44</v>
      </c>
      <c r="T2319" s="1" t="s">
        <v>45</v>
      </c>
      <c r="U2319" s="1">
        <v>4.82023068E8</v>
      </c>
      <c r="W2319" s="1" t="s">
        <v>46</v>
      </c>
      <c r="X2319" s="1" t="s">
        <v>45</v>
      </c>
      <c r="Y2319" s="1">
        <v>4.82023068E8</v>
      </c>
      <c r="Z2319" s="1">
        <v>3.8775243E7</v>
      </c>
      <c r="AA2319" s="1" t="s">
        <v>209</v>
      </c>
      <c r="AB2319" s="1">
        <v>0.0</v>
      </c>
      <c r="AC2319" s="2">
        <v>41548.0</v>
      </c>
      <c r="AD2319" s="1">
        <v>7500.0</v>
      </c>
      <c r="AE2319" s="1" t="s">
        <v>40</v>
      </c>
      <c r="AF2319" s="1">
        <v>2.0140707E7</v>
      </c>
      <c r="AG2319" s="1" t="s">
        <v>2931</v>
      </c>
      <c r="AH2319" s="1">
        <v>10.0</v>
      </c>
      <c r="AI2319" s="1">
        <v>2013.0</v>
      </c>
      <c r="AJ2319" s="1">
        <v>2014.0</v>
      </c>
      <c r="AK2319" s="1" t="s">
        <v>3997</v>
      </c>
    </row>
    <row r="2320">
      <c r="A2320" s="1" t="s">
        <v>4013</v>
      </c>
      <c r="B2320" s="1" t="s">
        <v>4013</v>
      </c>
      <c r="C2320" s="1" t="s">
        <v>63</v>
      </c>
      <c r="E2320" s="1">
        <v>1.9608108E7</v>
      </c>
      <c r="F2320" s="2">
        <v>41913.0</v>
      </c>
      <c r="G2320" s="1" t="s">
        <v>4014</v>
      </c>
      <c r="I2320" s="1" t="s">
        <v>4014</v>
      </c>
      <c r="L2320" s="1" t="s">
        <v>40</v>
      </c>
      <c r="M2320" s="1">
        <v>7500.0</v>
      </c>
      <c r="N2320" s="1" t="s">
        <v>40</v>
      </c>
      <c r="O2320" s="1">
        <v>1962224.0</v>
      </c>
      <c r="P2320" s="1" t="s">
        <v>52</v>
      </c>
      <c r="Q2320" s="1" t="s">
        <v>2014</v>
      </c>
      <c r="R2320" s="1" t="s">
        <v>1885</v>
      </c>
      <c r="S2320" s="1" t="s">
        <v>44</v>
      </c>
      <c r="T2320" s="1" t="s">
        <v>45</v>
      </c>
      <c r="U2320" s="1">
        <v>4.82021347E8</v>
      </c>
      <c r="W2320" s="1" t="s">
        <v>46</v>
      </c>
      <c r="X2320" s="1" t="s">
        <v>45</v>
      </c>
      <c r="Y2320" s="1">
        <v>4.82023692E8</v>
      </c>
      <c r="Z2320" s="1">
        <v>1962224.0</v>
      </c>
      <c r="AA2320" s="1" t="s">
        <v>52</v>
      </c>
      <c r="AB2320" s="1">
        <v>95839.16</v>
      </c>
      <c r="AC2320" s="2">
        <v>41913.0</v>
      </c>
      <c r="AD2320" s="1">
        <v>7500.0</v>
      </c>
      <c r="AE2320" s="1" t="s">
        <v>40</v>
      </c>
      <c r="AF2320" s="1">
        <v>2.0152067E7</v>
      </c>
      <c r="AG2320" s="1" t="s">
        <v>4015</v>
      </c>
      <c r="AH2320" s="1">
        <v>10.0</v>
      </c>
      <c r="AI2320" s="1">
        <v>2011.0</v>
      </c>
      <c r="AJ2320" s="1">
        <v>2015.0</v>
      </c>
      <c r="AK2320" s="1" t="s">
        <v>4003</v>
      </c>
    </row>
    <row r="2321">
      <c r="A2321" s="1" t="s">
        <v>4013</v>
      </c>
      <c r="B2321" s="1" t="s">
        <v>4013</v>
      </c>
      <c r="C2321" s="1" t="s">
        <v>63</v>
      </c>
      <c r="E2321" s="1">
        <v>1.9608108E7</v>
      </c>
      <c r="F2321" s="2">
        <v>41913.0</v>
      </c>
      <c r="G2321" s="1" t="s">
        <v>4014</v>
      </c>
      <c r="I2321" s="1" t="s">
        <v>4014</v>
      </c>
      <c r="L2321" s="1" t="s">
        <v>40</v>
      </c>
      <c r="M2321" s="1">
        <v>7500.0</v>
      </c>
      <c r="N2321" s="1" t="s">
        <v>40</v>
      </c>
      <c r="O2321" s="1">
        <v>1.43407687E8</v>
      </c>
      <c r="P2321" s="1" t="s">
        <v>4016</v>
      </c>
      <c r="Q2321" s="1" t="s">
        <v>4017</v>
      </c>
      <c r="R2321" s="1" t="s">
        <v>4018</v>
      </c>
      <c r="S2321" s="1" t="s">
        <v>44</v>
      </c>
      <c r="T2321" s="1" t="s">
        <v>45</v>
      </c>
      <c r="U2321" s="1">
        <v>4.82023042E8</v>
      </c>
      <c r="W2321" s="1" t="s">
        <v>46</v>
      </c>
      <c r="X2321" s="1" t="s">
        <v>45</v>
      </c>
      <c r="Y2321" s="1">
        <v>4.820741E8</v>
      </c>
      <c r="Z2321" s="1">
        <v>5.5857643E7</v>
      </c>
      <c r="AA2321" s="1" t="s">
        <v>4019</v>
      </c>
      <c r="AB2321" s="1">
        <v>8473.0</v>
      </c>
      <c r="AC2321" s="2">
        <v>41913.0</v>
      </c>
      <c r="AD2321" s="1">
        <v>7500.0</v>
      </c>
      <c r="AE2321" s="1" t="s">
        <v>40</v>
      </c>
      <c r="AF2321" s="1">
        <v>2.0150668E7</v>
      </c>
      <c r="AG2321" s="1" t="s">
        <v>4015</v>
      </c>
      <c r="AH2321" s="1">
        <v>10.0</v>
      </c>
      <c r="AI2321" s="1">
        <v>2011.0</v>
      </c>
      <c r="AJ2321" s="1">
        <v>2015.0</v>
      </c>
      <c r="AK2321" s="1" t="s">
        <v>4003</v>
      </c>
    </row>
    <row r="2322">
      <c r="A2322" s="1" t="s">
        <v>4013</v>
      </c>
      <c r="B2322" s="1" t="s">
        <v>4013</v>
      </c>
      <c r="C2322" s="1" t="s">
        <v>63</v>
      </c>
      <c r="E2322" s="1">
        <v>1.9608108E7</v>
      </c>
      <c r="F2322" s="2">
        <v>41913.0</v>
      </c>
      <c r="G2322" s="1" t="s">
        <v>4014</v>
      </c>
      <c r="I2322" s="1" t="s">
        <v>4014</v>
      </c>
      <c r="L2322" s="1" t="s">
        <v>40</v>
      </c>
      <c r="M2322" s="1">
        <v>7500.0</v>
      </c>
      <c r="N2322" s="1" t="s">
        <v>40</v>
      </c>
      <c r="O2322" s="1">
        <v>8.48764171E8</v>
      </c>
      <c r="P2322" s="1" t="s">
        <v>1050</v>
      </c>
      <c r="Q2322" s="1" t="s">
        <v>1051</v>
      </c>
      <c r="R2322" s="1" t="s">
        <v>4020</v>
      </c>
      <c r="S2322" s="1" t="s">
        <v>44</v>
      </c>
      <c r="T2322" s="1" t="s">
        <v>45</v>
      </c>
      <c r="U2322" s="1">
        <v>4.82023042E8</v>
      </c>
      <c r="W2322" s="1" t="s">
        <v>46</v>
      </c>
      <c r="X2322" s="1" t="s">
        <v>45</v>
      </c>
      <c r="Y2322" s="1">
        <v>4.820741E8</v>
      </c>
      <c r="Z2322" s="1">
        <v>5.1214708E7</v>
      </c>
      <c r="AA2322" s="1" t="s">
        <v>2060</v>
      </c>
      <c r="AB2322" s="1">
        <v>24803.09</v>
      </c>
      <c r="AC2322" s="2">
        <v>41913.0</v>
      </c>
      <c r="AD2322" s="1">
        <v>7500.0</v>
      </c>
      <c r="AE2322" s="1" t="s">
        <v>40</v>
      </c>
      <c r="AF2322" s="1">
        <v>2.0150655E7</v>
      </c>
      <c r="AG2322" s="1" t="s">
        <v>4015</v>
      </c>
      <c r="AH2322" s="1">
        <v>10.0</v>
      </c>
      <c r="AI2322" s="1">
        <v>2011.0</v>
      </c>
      <c r="AJ2322" s="1">
        <v>2015.0</v>
      </c>
      <c r="AK2322" s="1" t="s">
        <v>4003</v>
      </c>
    </row>
    <row r="2323">
      <c r="A2323" s="1" t="s">
        <v>4013</v>
      </c>
      <c r="B2323" s="1" t="s">
        <v>4013</v>
      </c>
      <c r="C2323" s="1" t="s">
        <v>63</v>
      </c>
      <c r="E2323" s="1">
        <v>1.9608108E7</v>
      </c>
      <c r="F2323" s="2">
        <v>41913.0</v>
      </c>
      <c r="G2323" s="1" t="s">
        <v>4014</v>
      </c>
      <c r="I2323" s="1" t="s">
        <v>4014</v>
      </c>
      <c r="L2323" s="1" t="s">
        <v>40</v>
      </c>
      <c r="M2323" s="1">
        <v>7500.0</v>
      </c>
      <c r="N2323" s="1" t="s">
        <v>40</v>
      </c>
      <c r="O2323" s="1">
        <v>1962224.0</v>
      </c>
      <c r="P2323" s="1" t="s">
        <v>52</v>
      </c>
      <c r="R2323" s="1" t="s">
        <v>1885</v>
      </c>
      <c r="S2323" s="1" t="s">
        <v>44</v>
      </c>
      <c r="T2323" s="1" t="s">
        <v>45</v>
      </c>
      <c r="U2323" s="1">
        <v>4.82021347E8</v>
      </c>
      <c r="W2323" s="1" t="s">
        <v>46</v>
      </c>
      <c r="X2323" s="1" t="s">
        <v>45</v>
      </c>
      <c r="Y2323" s="1">
        <v>4.82023692E8</v>
      </c>
      <c r="Z2323" s="1">
        <v>1962224.0</v>
      </c>
      <c r="AA2323" s="1" t="s">
        <v>52</v>
      </c>
      <c r="AB2323" s="1">
        <v>39684.95</v>
      </c>
      <c r="AC2323" s="2">
        <v>41913.0</v>
      </c>
      <c r="AD2323" s="1">
        <v>7500.0</v>
      </c>
      <c r="AE2323" s="1" t="s">
        <v>40</v>
      </c>
      <c r="AF2323" s="1">
        <v>2.0151665E7</v>
      </c>
      <c r="AG2323" s="1" t="s">
        <v>4015</v>
      </c>
      <c r="AH2323" s="1">
        <v>10.0</v>
      </c>
      <c r="AI2323" s="1">
        <v>2011.0</v>
      </c>
      <c r="AJ2323" s="1">
        <v>2015.0</v>
      </c>
      <c r="AK2323" s="1" t="s">
        <v>4003</v>
      </c>
    </row>
    <row r="2324">
      <c r="A2324" s="1" t="s">
        <v>4013</v>
      </c>
      <c r="B2324" s="1" t="s">
        <v>4013</v>
      </c>
      <c r="C2324" s="1" t="s">
        <v>63</v>
      </c>
      <c r="E2324" s="1">
        <v>1.9608108E7</v>
      </c>
      <c r="F2324" s="2">
        <v>41913.0</v>
      </c>
      <c r="G2324" s="1" t="s">
        <v>4014</v>
      </c>
      <c r="I2324" s="1" t="s">
        <v>4014</v>
      </c>
      <c r="L2324" s="1" t="s">
        <v>40</v>
      </c>
      <c r="M2324" s="1">
        <v>7500.0</v>
      </c>
      <c r="N2324" s="1" t="s">
        <v>40</v>
      </c>
      <c r="O2324" s="1">
        <v>1962224.0</v>
      </c>
      <c r="P2324" s="1" t="s">
        <v>52</v>
      </c>
      <c r="Q2324" s="1" t="s">
        <v>425</v>
      </c>
      <c r="R2324" s="1" t="s">
        <v>1885</v>
      </c>
      <c r="S2324" s="1" t="s">
        <v>44</v>
      </c>
      <c r="T2324" s="1" t="s">
        <v>45</v>
      </c>
      <c r="U2324" s="1">
        <v>4.82021347E8</v>
      </c>
      <c r="W2324" s="1" t="s">
        <v>46</v>
      </c>
      <c r="X2324" s="1" t="s">
        <v>45</v>
      </c>
      <c r="Y2324" s="1">
        <v>4.82023692E8</v>
      </c>
      <c r="Z2324" s="1">
        <v>1962224.0</v>
      </c>
      <c r="AA2324" s="1" t="s">
        <v>52</v>
      </c>
      <c r="AB2324" s="1">
        <v>50000.0</v>
      </c>
      <c r="AC2324" s="2">
        <v>41913.0</v>
      </c>
      <c r="AD2324" s="1">
        <v>7500.0</v>
      </c>
      <c r="AE2324" s="1" t="s">
        <v>40</v>
      </c>
      <c r="AF2324" s="1">
        <v>2.0151665E7</v>
      </c>
      <c r="AG2324" s="1" t="s">
        <v>4015</v>
      </c>
      <c r="AH2324" s="1">
        <v>10.0</v>
      </c>
      <c r="AI2324" s="1">
        <v>2011.0</v>
      </c>
      <c r="AJ2324" s="1">
        <v>2015.0</v>
      </c>
      <c r="AK2324" s="1" t="s">
        <v>4003</v>
      </c>
    </row>
    <row r="2325">
      <c r="A2325" s="1" t="s">
        <v>4013</v>
      </c>
      <c r="B2325" s="1" t="s">
        <v>4013</v>
      </c>
      <c r="C2325" s="1" t="s">
        <v>63</v>
      </c>
      <c r="E2325" s="1">
        <v>1.9608108E7</v>
      </c>
      <c r="F2325" s="2">
        <v>41913.0</v>
      </c>
      <c r="G2325" s="1" t="s">
        <v>4014</v>
      </c>
      <c r="I2325" s="1" t="s">
        <v>4014</v>
      </c>
      <c r="L2325" s="1" t="s">
        <v>40</v>
      </c>
      <c r="M2325" s="1">
        <v>7500.0</v>
      </c>
      <c r="N2325" s="1" t="s">
        <v>40</v>
      </c>
      <c r="O2325" s="1">
        <v>1.0107139E7</v>
      </c>
      <c r="P2325" s="1" t="s">
        <v>4021</v>
      </c>
      <c r="Q2325" s="1" t="s">
        <v>4022</v>
      </c>
      <c r="R2325" s="1" t="s">
        <v>4023</v>
      </c>
      <c r="S2325" s="1" t="s">
        <v>44</v>
      </c>
      <c r="T2325" s="1" t="s">
        <v>45</v>
      </c>
      <c r="U2325" s="1">
        <v>4.821364E8</v>
      </c>
      <c r="W2325" s="1" t="s">
        <v>46</v>
      </c>
      <c r="X2325" s="1" t="s">
        <v>45</v>
      </c>
      <c r="Y2325" s="1">
        <v>4.821364E8</v>
      </c>
      <c r="Z2325" s="1">
        <v>1367960.0</v>
      </c>
      <c r="AA2325" s="1" t="s">
        <v>4024</v>
      </c>
      <c r="AB2325" s="1">
        <v>6250.0</v>
      </c>
      <c r="AC2325" s="2">
        <v>41913.0</v>
      </c>
      <c r="AD2325" s="1">
        <v>7500.0</v>
      </c>
      <c r="AE2325" s="1" t="s">
        <v>40</v>
      </c>
      <c r="AF2325" s="1">
        <v>2.0151798E7</v>
      </c>
      <c r="AG2325" s="1" t="s">
        <v>4015</v>
      </c>
      <c r="AH2325" s="1">
        <v>10.0</v>
      </c>
      <c r="AI2325" s="1">
        <v>2011.0</v>
      </c>
      <c r="AJ2325" s="1">
        <v>2015.0</v>
      </c>
      <c r="AK2325" s="1" t="s">
        <v>4003</v>
      </c>
    </row>
    <row r="2326">
      <c r="A2326" s="1" t="s">
        <v>4013</v>
      </c>
      <c r="B2326" s="1" t="s">
        <v>4013</v>
      </c>
      <c r="C2326" s="1" t="s">
        <v>63</v>
      </c>
      <c r="E2326" s="1">
        <v>1.9608108E7</v>
      </c>
      <c r="F2326" s="2">
        <v>41913.0</v>
      </c>
      <c r="G2326" s="1" t="s">
        <v>4014</v>
      </c>
      <c r="I2326" s="1" t="s">
        <v>4014</v>
      </c>
      <c r="L2326" s="1" t="s">
        <v>40</v>
      </c>
      <c r="M2326" s="1">
        <v>7500.0</v>
      </c>
      <c r="N2326" s="1" t="s">
        <v>40</v>
      </c>
      <c r="O2326" s="1">
        <v>3.7748076E7</v>
      </c>
      <c r="P2326" s="1" t="s">
        <v>4025</v>
      </c>
      <c r="Q2326" s="1" t="s">
        <v>4026</v>
      </c>
      <c r="R2326" s="1" t="s">
        <v>4027</v>
      </c>
      <c r="S2326" s="1" t="s">
        <v>44</v>
      </c>
      <c r="T2326" s="1" t="s">
        <v>45</v>
      </c>
      <c r="U2326" s="1">
        <v>4.82012153E8</v>
      </c>
      <c r="W2326" s="1" t="s">
        <v>46</v>
      </c>
      <c r="X2326" s="1" t="s">
        <v>45</v>
      </c>
      <c r="Y2326" s="1">
        <v>4.82012153E8</v>
      </c>
      <c r="Z2326" s="1">
        <v>5.3866661E7</v>
      </c>
      <c r="AB2326" s="1">
        <v>42688.0</v>
      </c>
      <c r="AC2326" s="2">
        <v>41913.0</v>
      </c>
      <c r="AD2326" s="1">
        <v>7500.0</v>
      </c>
      <c r="AE2326" s="1" t="s">
        <v>40</v>
      </c>
      <c r="AF2326" s="1">
        <v>2.0150702E7</v>
      </c>
      <c r="AG2326" s="1" t="s">
        <v>4015</v>
      </c>
      <c r="AH2326" s="1">
        <v>10.0</v>
      </c>
      <c r="AI2326" s="1">
        <v>2011.0</v>
      </c>
      <c r="AJ2326" s="1">
        <v>2015.0</v>
      </c>
      <c r="AK2326" s="1" t="s">
        <v>4003</v>
      </c>
    </row>
    <row r="2327">
      <c r="A2327" s="1" t="s">
        <v>4013</v>
      </c>
      <c r="B2327" s="1" t="s">
        <v>4013</v>
      </c>
      <c r="C2327" s="1" t="s">
        <v>63</v>
      </c>
      <c r="E2327" s="1">
        <v>1.9608108E7</v>
      </c>
      <c r="F2327" s="2">
        <v>41913.0</v>
      </c>
      <c r="G2327" s="1" t="s">
        <v>4014</v>
      </c>
      <c r="I2327" s="1" t="s">
        <v>4014</v>
      </c>
      <c r="L2327" s="1" t="s">
        <v>40</v>
      </c>
      <c r="M2327" s="1">
        <v>7500.0</v>
      </c>
      <c r="N2327" s="1" t="s">
        <v>40</v>
      </c>
      <c r="O2327" s="1">
        <v>7.3134603E7</v>
      </c>
      <c r="P2327" s="1" t="s">
        <v>41</v>
      </c>
      <c r="Q2327" s="1" t="s">
        <v>252</v>
      </c>
      <c r="R2327" s="1" t="s">
        <v>253</v>
      </c>
      <c r="S2327" s="1" t="s">
        <v>44</v>
      </c>
      <c r="T2327" s="1" t="s">
        <v>45</v>
      </c>
      <c r="U2327" s="1">
        <v>4.8202345E8</v>
      </c>
      <c r="W2327" s="1" t="s">
        <v>46</v>
      </c>
      <c r="X2327" s="1" t="s">
        <v>45</v>
      </c>
      <c r="Y2327" s="1">
        <v>4.8202345E8</v>
      </c>
      <c r="Z2327" s="1">
        <v>7.3134603E7</v>
      </c>
      <c r="AA2327" s="1" t="s">
        <v>41</v>
      </c>
      <c r="AB2327" s="1">
        <v>63956.0</v>
      </c>
      <c r="AC2327" s="2">
        <v>41913.0</v>
      </c>
      <c r="AD2327" s="1">
        <v>7500.0</v>
      </c>
      <c r="AE2327" s="1" t="s">
        <v>40</v>
      </c>
      <c r="AF2327" s="1">
        <v>2.0151237E7</v>
      </c>
      <c r="AG2327" s="1" t="s">
        <v>4015</v>
      </c>
      <c r="AH2327" s="1">
        <v>10.0</v>
      </c>
      <c r="AI2327" s="1">
        <v>2011.0</v>
      </c>
      <c r="AJ2327" s="1">
        <v>2015.0</v>
      </c>
      <c r="AK2327" s="1" t="s">
        <v>4003</v>
      </c>
    </row>
    <row r="2328">
      <c r="A2328" s="1" t="s">
        <v>4013</v>
      </c>
      <c r="B2328" s="1" t="s">
        <v>4013</v>
      </c>
      <c r="C2328" s="1" t="s">
        <v>63</v>
      </c>
      <c r="E2328" s="1">
        <v>1.9608108E7</v>
      </c>
      <c r="F2328" s="2">
        <v>41913.0</v>
      </c>
      <c r="G2328" s="1" t="s">
        <v>4014</v>
      </c>
      <c r="I2328" s="1" t="s">
        <v>4014</v>
      </c>
      <c r="L2328" s="1" t="s">
        <v>40</v>
      </c>
      <c r="M2328" s="1">
        <v>7500.0</v>
      </c>
      <c r="N2328" s="1" t="s">
        <v>40</v>
      </c>
      <c r="O2328" s="1">
        <v>1.40133393E8</v>
      </c>
      <c r="P2328" s="1" t="s">
        <v>4028</v>
      </c>
      <c r="Q2328" s="1" t="s">
        <v>4029</v>
      </c>
      <c r="R2328" s="1" t="s">
        <v>4030</v>
      </c>
      <c r="S2328" s="1" t="s">
        <v>44</v>
      </c>
      <c r="T2328" s="1" t="s">
        <v>45</v>
      </c>
      <c r="U2328" s="1">
        <v>4.82353724E8</v>
      </c>
      <c r="W2328" s="1" t="s">
        <v>46</v>
      </c>
      <c r="X2328" s="1" t="s">
        <v>45</v>
      </c>
      <c r="Y2328" s="1">
        <v>4.82353724E8</v>
      </c>
      <c r="Z2328" s="1">
        <v>1.40133393E8</v>
      </c>
      <c r="AA2328" s="1" t="s">
        <v>4028</v>
      </c>
      <c r="AB2328" s="1">
        <v>64775.0</v>
      </c>
      <c r="AC2328" s="2">
        <v>41913.0</v>
      </c>
      <c r="AD2328" s="1">
        <v>7500.0</v>
      </c>
      <c r="AE2328" s="1" t="s">
        <v>40</v>
      </c>
      <c r="AF2328" s="1">
        <v>2.0150667E7</v>
      </c>
      <c r="AG2328" s="1" t="s">
        <v>4015</v>
      </c>
      <c r="AH2328" s="1">
        <v>10.0</v>
      </c>
      <c r="AI2328" s="1">
        <v>2011.0</v>
      </c>
      <c r="AJ2328" s="1">
        <v>2015.0</v>
      </c>
      <c r="AK2328" s="1" t="s">
        <v>4003</v>
      </c>
    </row>
    <row r="2329">
      <c r="A2329" s="1" t="s">
        <v>4013</v>
      </c>
      <c r="B2329" s="1" t="s">
        <v>4013</v>
      </c>
      <c r="C2329" s="1" t="s">
        <v>63</v>
      </c>
      <c r="E2329" s="1">
        <v>1.9608108E7</v>
      </c>
      <c r="F2329" s="2">
        <v>41913.0</v>
      </c>
      <c r="G2329" s="1" t="s">
        <v>4014</v>
      </c>
      <c r="I2329" s="1" t="s">
        <v>4014</v>
      </c>
      <c r="L2329" s="1" t="s">
        <v>40</v>
      </c>
      <c r="M2329" s="1">
        <v>7500.0</v>
      </c>
      <c r="N2329" s="1" t="s">
        <v>40</v>
      </c>
      <c r="O2329" s="1">
        <v>8.48764171E8</v>
      </c>
      <c r="P2329" s="1" t="s">
        <v>1050</v>
      </c>
      <c r="Q2329" s="1" t="s">
        <v>1051</v>
      </c>
      <c r="R2329" s="1" t="s">
        <v>4020</v>
      </c>
      <c r="S2329" s="1" t="s">
        <v>44</v>
      </c>
      <c r="T2329" s="1" t="s">
        <v>45</v>
      </c>
      <c r="U2329" s="1">
        <v>4.82023042E8</v>
      </c>
      <c r="W2329" s="1" t="s">
        <v>46</v>
      </c>
      <c r="X2329" s="1" t="s">
        <v>45</v>
      </c>
      <c r="Y2329" s="1">
        <v>4.820741E8</v>
      </c>
      <c r="Z2329" s="1">
        <v>1962224.0</v>
      </c>
      <c r="AA2329" s="1" t="s">
        <v>52</v>
      </c>
      <c r="AB2329" s="1">
        <v>33160.0</v>
      </c>
      <c r="AC2329" s="2">
        <v>41913.0</v>
      </c>
      <c r="AD2329" s="1">
        <v>7500.0</v>
      </c>
      <c r="AE2329" s="1" t="s">
        <v>40</v>
      </c>
      <c r="AF2329" s="1">
        <v>2.0150656E7</v>
      </c>
      <c r="AG2329" s="1" t="s">
        <v>4015</v>
      </c>
      <c r="AH2329" s="1">
        <v>10.0</v>
      </c>
      <c r="AI2329" s="1">
        <v>2011.0</v>
      </c>
      <c r="AJ2329" s="1">
        <v>2015.0</v>
      </c>
      <c r="AK2329" s="1" t="s">
        <v>4003</v>
      </c>
    </row>
    <row r="2330">
      <c r="A2330" s="1" t="s">
        <v>4013</v>
      </c>
      <c r="B2330" s="1" t="s">
        <v>4013</v>
      </c>
      <c r="C2330" s="1" t="s">
        <v>63</v>
      </c>
      <c r="E2330" s="1">
        <v>1.9608108E7</v>
      </c>
      <c r="F2330" s="2">
        <v>41548.0</v>
      </c>
      <c r="G2330" s="1" t="s">
        <v>4014</v>
      </c>
      <c r="I2330" s="1" t="s">
        <v>4014</v>
      </c>
      <c r="L2330" s="1" t="s">
        <v>40</v>
      </c>
      <c r="M2330" s="1">
        <v>7500.0</v>
      </c>
      <c r="N2330" s="1" t="s">
        <v>40</v>
      </c>
      <c r="O2330" s="1">
        <v>1962224.0</v>
      </c>
      <c r="P2330" s="1" t="s">
        <v>52</v>
      </c>
      <c r="Q2330" s="1" t="s">
        <v>2059</v>
      </c>
      <c r="R2330" s="1" t="s">
        <v>1885</v>
      </c>
      <c r="S2330" s="1" t="s">
        <v>44</v>
      </c>
      <c r="T2330" s="1" t="s">
        <v>45</v>
      </c>
      <c r="U2330" s="1">
        <v>4.82021347E8</v>
      </c>
      <c r="W2330" s="1" t="s">
        <v>46</v>
      </c>
      <c r="X2330" s="1" t="s">
        <v>45</v>
      </c>
      <c r="Y2330" s="1">
        <v>4.82023692E8</v>
      </c>
      <c r="Z2330" s="1">
        <v>1962224.0</v>
      </c>
      <c r="AA2330" s="1" t="s">
        <v>52</v>
      </c>
      <c r="AB2330" s="1">
        <v>45000.0</v>
      </c>
      <c r="AC2330" s="2">
        <v>41548.0</v>
      </c>
      <c r="AD2330" s="1">
        <v>7500.0</v>
      </c>
      <c r="AE2330" s="1" t="s">
        <v>40</v>
      </c>
      <c r="AF2330" s="1">
        <v>2.0141511E7</v>
      </c>
      <c r="AG2330" s="1" t="s">
        <v>4015</v>
      </c>
      <c r="AH2330" s="1">
        <v>10.0</v>
      </c>
      <c r="AI2330" s="1">
        <v>2011.0</v>
      </c>
      <c r="AJ2330" s="1">
        <v>2014.0</v>
      </c>
      <c r="AK2330" s="1" t="s">
        <v>4003</v>
      </c>
    </row>
    <row r="2331">
      <c r="A2331" s="1" t="s">
        <v>4013</v>
      </c>
      <c r="B2331" s="1" t="s">
        <v>4013</v>
      </c>
      <c r="C2331" s="1" t="s">
        <v>63</v>
      </c>
      <c r="E2331" s="1">
        <v>1.9608108E7</v>
      </c>
      <c r="F2331" s="2">
        <v>41548.0</v>
      </c>
      <c r="G2331" s="1" t="s">
        <v>4014</v>
      </c>
      <c r="I2331" s="1" t="s">
        <v>4014</v>
      </c>
      <c r="L2331" s="1" t="s">
        <v>40</v>
      </c>
      <c r="M2331" s="1">
        <v>7500.0</v>
      </c>
      <c r="N2331" s="1" t="s">
        <v>40</v>
      </c>
      <c r="O2331" s="1">
        <v>1962224.0</v>
      </c>
      <c r="P2331" s="1" t="s">
        <v>52</v>
      </c>
      <c r="R2331" s="1" t="s">
        <v>1885</v>
      </c>
      <c r="S2331" s="1" t="s">
        <v>44</v>
      </c>
      <c r="T2331" s="1" t="s">
        <v>45</v>
      </c>
      <c r="U2331" s="1">
        <v>4.82021347E8</v>
      </c>
      <c r="W2331" s="1" t="s">
        <v>46</v>
      </c>
      <c r="X2331" s="1" t="s">
        <v>45</v>
      </c>
      <c r="Y2331" s="1">
        <v>4.82023692E8</v>
      </c>
      <c r="Z2331" s="1">
        <v>1962224.0</v>
      </c>
      <c r="AA2331" s="1" t="s">
        <v>52</v>
      </c>
      <c r="AB2331" s="1">
        <v>25000.0</v>
      </c>
      <c r="AC2331" s="2">
        <v>41548.0</v>
      </c>
      <c r="AD2331" s="1">
        <v>7500.0</v>
      </c>
      <c r="AE2331" s="1" t="s">
        <v>40</v>
      </c>
      <c r="AF2331" s="1">
        <v>2.0141595E7</v>
      </c>
      <c r="AG2331" s="1" t="s">
        <v>4015</v>
      </c>
      <c r="AH2331" s="1">
        <v>10.0</v>
      </c>
      <c r="AI2331" s="1">
        <v>2011.0</v>
      </c>
      <c r="AJ2331" s="1">
        <v>2014.0</v>
      </c>
      <c r="AK2331" s="1" t="s">
        <v>4003</v>
      </c>
    </row>
    <row r="2332">
      <c r="A2332" s="1" t="s">
        <v>4013</v>
      </c>
      <c r="B2332" s="1" t="s">
        <v>4013</v>
      </c>
      <c r="C2332" s="1" t="s">
        <v>63</v>
      </c>
      <c r="E2332" s="1">
        <v>1.9608108E7</v>
      </c>
      <c r="F2332" s="2">
        <v>41548.0</v>
      </c>
      <c r="G2332" s="1" t="s">
        <v>4014</v>
      </c>
      <c r="I2332" s="1" t="s">
        <v>4014</v>
      </c>
      <c r="L2332" s="1" t="s">
        <v>40</v>
      </c>
      <c r="M2332" s="1">
        <v>7500.0</v>
      </c>
      <c r="N2332" s="1" t="s">
        <v>40</v>
      </c>
      <c r="O2332" s="1">
        <v>1962224.0</v>
      </c>
      <c r="P2332" s="1" t="s">
        <v>52</v>
      </c>
      <c r="R2332" s="1" t="s">
        <v>1885</v>
      </c>
      <c r="S2332" s="1" t="s">
        <v>44</v>
      </c>
      <c r="T2332" s="1" t="s">
        <v>45</v>
      </c>
      <c r="U2332" s="1">
        <v>4.82021347E8</v>
      </c>
      <c r="W2332" s="1" t="s">
        <v>46</v>
      </c>
      <c r="X2332" s="1" t="s">
        <v>45</v>
      </c>
      <c r="Y2332" s="1">
        <v>4.82023692E8</v>
      </c>
      <c r="Z2332" s="1">
        <v>1962224.0</v>
      </c>
      <c r="AA2332" s="1" t="s">
        <v>52</v>
      </c>
      <c r="AB2332" s="1">
        <v>50515.81</v>
      </c>
      <c r="AC2332" s="2">
        <v>41548.0</v>
      </c>
      <c r="AD2332" s="1">
        <v>7500.0</v>
      </c>
      <c r="AE2332" s="1" t="s">
        <v>40</v>
      </c>
      <c r="AF2332" s="1">
        <v>2.014151E7</v>
      </c>
      <c r="AG2332" s="1" t="s">
        <v>4015</v>
      </c>
      <c r="AH2332" s="1">
        <v>10.0</v>
      </c>
      <c r="AI2332" s="1">
        <v>2011.0</v>
      </c>
      <c r="AJ2332" s="1">
        <v>2014.0</v>
      </c>
      <c r="AK2332" s="1" t="s">
        <v>4003</v>
      </c>
    </row>
    <row r="2333">
      <c r="A2333" s="1" t="s">
        <v>4013</v>
      </c>
      <c r="B2333" s="1" t="s">
        <v>4013</v>
      </c>
      <c r="C2333" s="1" t="s">
        <v>63</v>
      </c>
      <c r="E2333" s="1">
        <v>1.9608108E7</v>
      </c>
      <c r="F2333" s="2">
        <v>41548.0</v>
      </c>
      <c r="G2333" s="1" t="s">
        <v>4014</v>
      </c>
      <c r="I2333" s="1" t="s">
        <v>4014</v>
      </c>
      <c r="L2333" s="1" t="s">
        <v>40</v>
      </c>
      <c r="M2333" s="1">
        <v>7500.0</v>
      </c>
      <c r="N2333" s="1" t="s">
        <v>40</v>
      </c>
      <c r="O2333" s="1">
        <v>3.7748076E7</v>
      </c>
      <c r="P2333" s="1" t="s">
        <v>4025</v>
      </c>
      <c r="Q2333" s="1" t="s">
        <v>4026</v>
      </c>
      <c r="R2333" s="1" t="s">
        <v>4027</v>
      </c>
      <c r="S2333" s="1" t="s">
        <v>44</v>
      </c>
      <c r="T2333" s="1" t="s">
        <v>45</v>
      </c>
      <c r="U2333" s="1">
        <v>4.82012153E8</v>
      </c>
      <c r="W2333" s="1" t="s">
        <v>46</v>
      </c>
      <c r="X2333" s="1" t="s">
        <v>45</v>
      </c>
      <c r="Y2333" s="1">
        <v>4.82012153E8</v>
      </c>
      <c r="Z2333" s="1">
        <v>5.3866661E7</v>
      </c>
      <c r="AB2333" s="1">
        <v>179384.0</v>
      </c>
      <c r="AC2333" s="2">
        <v>41548.0</v>
      </c>
      <c r="AD2333" s="1">
        <v>7500.0</v>
      </c>
      <c r="AE2333" s="1" t="s">
        <v>40</v>
      </c>
      <c r="AF2333" s="1">
        <v>2.014157E7</v>
      </c>
      <c r="AG2333" s="1" t="s">
        <v>4015</v>
      </c>
      <c r="AH2333" s="1">
        <v>10.0</v>
      </c>
      <c r="AI2333" s="1">
        <v>2011.0</v>
      </c>
      <c r="AJ2333" s="1">
        <v>2014.0</v>
      </c>
      <c r="AK2333" s="1" t="s">
        <v>4003</v>
      </c>
    </row>
    <row r="2334">
      <c r="A2334" s="1" t="s">
        <v>4013</v>
      </c>
      <c r="B2334" s="1" t="s">
        <v>4013</v>
      </c>
      <c r="C2334" s="1" t="s">
        <v>63</v>
      </c>
      <c r="E2334" s="1">
        <v>1.9608108E7</v>
      </c>
      <c r="F2334" s="2">
        <v>41548.0</v>
      </c>
      <c r="G2334" s="1" t="s">
        <v>4014</v>
      </c>
      <c r="I2334" s="1" t="s">
        <v>4014</v>
      </c>
      <c r="L2334" s="1" t="s">
        <v>40</v>
      </c>
      <c r="M2334" s="1">
        <v>7500.0</v>
      </c>
      <c r="N2334" s="1" t="s">
        <v>40</v>
      </c>
      <c r="O2334" s="1">
        <v>1962224.0</v>
      </c>
      <c r="P2334" s="1" t="s">
        <v>52</v>
      </c>
      <c r="Q2334" s="1" t="s">
        <v>4031</v>
      </c>
      <c r="R2334" s="1" t="s">
        <v>1885</v>
      </c>
      <c r="S2334" s="1" t="s">
        <v>44</v>
      </c>
      <c r="T2334" s="1" t="s">
        <v>45</v>
      </c>
      <c r="U2334" s="1">
        <v>4.82021347E8</v>
      </c>
      <c r="W2334" s="1" t="s">
        <v>46</v>
      </c>
      <c r="X2334" s="1" t="s">
        <v>45</v>
      </c>
      <c r="Y2334" s="1">
        <v>4.82023692E8</v>
      </c>
      <c r="Z2334" s="1">
        <v>1962224.0</v>
      </c>
      <c r="AA2334" s="1" t="s">
        <v>52</v>
      </c>
      <c r="AB2334" s="1">
        <v>32489.82</v>
      </c>
      <c r="AC2334" s="2">
        <v>41548.0</v>
      </c>
      <c r="AD2334" s="1">
        <v>7500.0</v>
      </c>
      <c r="AE2334" s="1" t="s">
        <v>40</v>
      </c>
      <c r="AF2334" s="1">
        <v>2.0141509E7</v>
      </c>
      <c r="AG2334" s="1" t="s">
        <v>4015</v>
      </c>
      <c r="AH2334" s="1">
        <v>10.0</v>
      </c>
      <c r="AI2334" s="1">
        <v>2011.0</v>
      </c>
      <c r="AJ2334" s="1">
        <v>2014.0</v>
      </c>
      <c r="AK2334" s="1" t="s">
        <v>4003</v>
      </c>
    </row>
    <row r="2335">
      <c r="A2335" s="1" t="s">
        <v>4013</v>
      </c>
      <c r="B2335" s="1" t="s">
        <v>4013</v>
      </c>
      <c r="C2335" s="1" t="s">
        <v>63</v>
      </c>
      <c r="E2335" s="1">
        <v>1.9608108E7</v>
      </c>
      <c r="F2335" s="2">
        <v>41548.0</v>
      </c>
      <c r="G2335" s="1" t="s">
        <v>4014</v>
      </c>
      <c r="I2335" s="1" t="s">
        <v>4014</v>
      </c>
      <c r="L2335" s="1" t="s">
        <v>40</v>
      </c>
      <c r="M2335" s="1">
        <v>7500.0</v>
      </c>
      <c r="N2335" s="1" t="s">
        <v>40</v>
      </c>
      <c r="O2335" s="1">
        <v>3.8775243E7</v>
      </c>
      <c r="P2335" s="1" t="s">
        <v>209</v>
      </c>
      <c r="Q2335" s="1" t="s">
        <v>210</v>
      </c>
      <c r="R2335" s="1" t="s">
        <v>211</v>
      </c>
      <c r="S2335" s="1" t="s">
        <v>44</v>
      </c>
      <c r="T2335" s="1" t="s">
        <v>45</v>
      </c>
      <c r="U2335" s="1">
        <v>4.82023068E8</v>
      </c>
      <c r="W2335" s="1" t="s">
        <v>46</v>
      </c>
      <c r="X2335" s="1" t="s">
        <v>45</v>
      </c>
      <c r="Y2335" s="1">
        <v>4.82023068E8</v>
      </c>
      <c r="Z2335" s="1">
        <v>3.8775243E7</v>
      </c>
      <c r="AA2335" s="1" t="s">
        <v>209</v>
      </c>
      <c r="AB2335" s="1">
        <v>172418.06</v>
      </c>
      <c r="AC2335" s="2">
        <v>41548.0</v>
      </c>
      <c r="AD2335" s="1">
        <v>7500.0</v>
      </c>
      <c r="AE2335" s="1" t="s">
        <v>40</v>
      </c>
      <c r="AF2335" s="1">
        <v>2.0140714E7</v>
      </c>
      <c r="AG2335" s="1" t="s">
        <v>4015</v>
      </c>
      <c r="AH2335" s="1">
        <v>10.0</v>
      </c>
      <c r="AI2335" s="1">
        <v>2011.0</v>
      </c>
      <c r="AJ2335" s="1">
        <v>2014.0</v>
      </c>
      <c r="AK2335" s="1" t="s">
        <v>4003</v>
      </c>
    </row>
    <row r="2336">
      <c r="A2336" s="1" t="s">
        <v>4013</v>
      </c>
      <c r="B2336" s="1" t="s">
        <v>4013</v>
      </c>
      <c r="C2336" s="1" t="s">
        <v>63</v>
      </c>
      <c r="E2336" s="1">
        <v>1.9608108E7</v>
      </c>
      <c r="F2336" s="2">
        <v>41548.0</v>
      </c>
      <c r="G2336" s="1" t="s">
        <v>4014</v>
      </c>
      <c r="I2336" s="1" t="s">
        <v>4014</v>
      </c>
      <c r="L2336" s="1" t="s">
        <v>40</v>
      </c>
      <c r="M2336" s="1">
        <v>7500.0</v>
      </c>
      <c r="N2336" s="1" t="s">
        <v>40</v>
      </c>
      <c r="O2336" s="1">
        <v>1.43407687E8</v>
      </c>
      <c r="P2336" s="1" t="s">
        <v>4016</v>
      </c>
      <c r="Q2336" s="1" t="s">
        <v>2014</v>
      </c>
      <c r="R2336" s="1" t="s">
        <v>4018</v>
      </c>
      <c r="S2336" s="1" t="s">
        <v>44</v>
      </c>
      <c r="T2336" s="1" t="s">
        <v>45</v>
      </c>
      <c r="U2336" s="1">
        <v>4.82023042E8</v>
      </c>
      <c r="W2336" s="1" t="s">
        <v>46</v>
      </c>
      <c r="X2336" s="1" t="s">
        <v>45</v>
      </c>
      <c r="Y2336" s="1">
        <v>4.820741E8</v>
      </c>
      <c r="Z2336" s="1">
        <v>2.0111969E7</v>
      </c>
      <c r="AA2336" s="1" t="s">
        <v>2015</v>
      </c>
      <c r="AB2336" s="1">
        <v>18976.6</v>
      </c>
      <c r="AC2336" s="2">
        <v>41548.0</v>
      </c>
      <c r="AD2336" s="1">
        <v>7500.0</v>
      </c>
      <c r="AE2336" s="1" t="s">
        <v>40</v>
      </c>
      <c r="AF2336" s="1">
        <v>2.0141553E7</v>
      </c>
      <c r="AG2336" s="1" t="s">
        <v>4015</v>
      </c>
      <c r="AH2336" s="1">
        <v>10.0</v>
      </c>
      <c r="AI2336" s="1">
        <v>2011.0</v>
      </c>
      <c r="AJ2336" s="1">
        <v>2014.0</v>
      </c>
      <c r="AK2336" s="1" t="s">
        <v>4003</v>
      </c>
    </row>
    <row r="2337">
      <c r="A2337" s="1" t="s">
        <v>4013</v>
      </c>
      <c r="B2337" s="1" t="s">
        <v>4013</v>
      </c>
      <c r="C2337" s="1" t="s">
        <v>63</v>
      </c>
      <c r="E2337" s="1">
        <v>1.9608108E7</v>
      </c>
      <c r="F2337" s="2">
        <v>41548.0</v>
      </c>
      <c r="G2337" s="1" t="s">
        <v>4014</v>
      </c>
      <c r="I2337" s="1" t="s">
        <v>4014</v>
      </c>
      <c r="L2337" s="1" t="s">
        <v>40</v>
      </c>
      <c r="M2337" s="1">
        <v>7500.0</v>
      </c>
      <c r="N2337" s="1" t="s">
        <v>40</v>
      </c>
      <c r="O2337" s="1">
        <v>8.48764171E8</v>
      </c>
      <c r="P2337" s="1" t="s">
        <v>1050</v>
      </c>
      <c r="Q2337" s="1" t="s">
        <v>1051</v>
      </c>
      <c r="R2337" s="1" t="s">
        <v>4020</v>
      </c>
      <c r="S2337" s="1" t="s">
        <v>44</v>
      </c>
      <c r="T2337" s="1" t="s">
        <v>45</v>
      </c>
      <c r="U2337" s="1">
        <v>4.82023042E8</v>
      </c>
      <c r="W2337" s="1" t="s">
        <v>46</v>
      </c>
      <c r="X2337" s="1" t="s">
        <v>45</v>
      </c>
      <c r="Y2337" s="1">
        <v>4.820741E8</v>
      </c>
      <c r="Z2337" s="1">
        <v>4912929.0</v>
      </c>
      <c r="AB2337" s="1">
        <v>32330.0</v>
      </c>
      <c r="AC2337" s="2">
        <v>41548.0</v>
      </c>
      <c r="AD2337" s="1">
        <v>7500.0</v>
      </c>
      <c r="AE2337" s="1" t="s">
        <v>40</v>
      </c>
      <c r="AF2337" s="1">
        <v>2.0141545E7</v>
      </c>
      <c r="AG2337" s="1" t="s">
        <v>4015</v>
      </c>
      <c r="AH2337" s="1">
        <v>10.0</v>
      </c>
      <c r="AI2337" s="1">
        <v>2011.0</v>
      </c>
      <c r="AJ2337" s="1">
        <v>2014.0</v>
      </c>
      <c r="AK2337" s="1" t="s">
        <v>4003</v>
      </c>
    </row>
    <row r="2338">
      <c r="A2338" s="1" t="s">
        <v>4013</v>
      </c>
      <c r="B2338" s="1" t="s">
        <v>4013</v>
      </c>
      <c r="C2338" s="1" t="s">
        <v>63</v>
      </c>
      <c r="E2338" s="1">
        <v>1.9608108E7</v>
      </c>
      <c r="F2338" s="2">
        <v>41183.0</v>
      </c>
      <c r="G2338" s="1" t="s">
        <v>4014</v>
      </c>
      <c r="I2338" s="1" t="s">
        <v>4014</v>
      </c>
      <c r="L2338" s="1" t="s">
        <v>40</v>
      </c>
      <c r="M2338" s="1">
        <v>7500.0</v>
      </c>
      <c r="N2338" s="1" t="s">
        <v>40</v>
      </c>
      <c r="O2338" s="1">
        <v>1.0107139E7</v>
      </c>
      <c r="P2338" s="1" t="s">
        <v>4021</v>
      </c>
      <c r="Q2338" s="1" t="s">
        <v>4017</v>
      </c>
      <c r="R2338" s="1" t="s">
        <v>4023</v>
      </c>
      <c r="S2338" s="1" t="s">
        <v>44</v>
      </c>
      <c r="T2338" s="1" t="s">
        <v>45</v>
      </c>
      <c r="U2338" s="1">
        <v>4.821364E8</v>
      </c>
      <c r="W2338" s="1" t="s">
        <v>46</v>
      </c>
      <c r="X2338" s="1" t="s">
        <v>45</v>
      </c>
      <c r="Y2338" s="1">
        <v>4.821364E8</v>
      </c>
      <c r="Z2338" s="1">
        <v>5.5857643E7</v>
      </c>
      <c r="AA2338" s="1" t="s">
        <v>4019</v>
      </c>
      <c r="AB2338" s="1">
        <v>25000.0</v>
      </c>
      <c r="AC2338" s="2">
        <v>41183.0</v>
      </c>
      <c r="AD2338" s="1">
        <v>7500.0</v>
      </c>
      <c r="AE2338" s="1" t="s">
        <v>40</v>
      </c>
      <c r="AF2338" s="1">
        <v>2.0133162E7</v>
      </c>
      <c r="AG2338" s="1" t="s">
        <v>4015</v>
      </c>
      <c r="AH2338" s="1">
        <v>10.0</v>
      </c>
      <c r="AI2338" s="1">
        <v>2011.0</v>
      </c>
      <c r="AJ2338" s="1">
        <v>2013.0</v>
      </c>
      <c r="AK2338" s="1" t="s">
        <v>4003</v>
      </c>
    </row>
    <row r="2339">
      <c r="A2339" s="1" t="s">
        <v>4013</v>
      </c>
      <c r="B2339" s="1" t="s">
        <v>4013</v>
      </c>
      <c r="C2339" s="1" t="s">
        <v>63</v>
      </c>
      <c r="E2339" s="1">
        <v>1.9608108E7</v>
      </c>
      <c r="F2339" s="2">
        <v>41183.0</v>
      </c>
      <c r="G2339" s="1" t="s">
        <v>4014</v>
      </c>
      <c r="I2339" s="1" t="s">
        <v>4014</v>
      </c>
      <c r="L2339" s="1" t="s">
        <v>40</v>
      </c>
      <c r="M2339" s="1">
        <v>7500.0</v>
      </c>
      <c r="N2339" s="1" t="s">
        <v>40</v>
      </c>
      <c r="O2339" s="1">
        <v>3.8775243E7</v>
      </c>
      <c r="P2339" s="1" t="s">
        <v>209</v>
      </c>
      <c r="Q2339" s="1" t="s">
        <v>210</v>
      </c>
      <c r="R2339" s="1" t="s">
        <v>211</v>
      </c>
      <c r="S2339" s="1" t="s">
        <v>44</v>
      </c>
      <c r="T2339" s="1" t="s">
        <v>45</v>
      </c>
      <c r="U2339" s="1">
        <v>4.82023068E8</v>
      </c>
      <c r="W2339" s="1" t="s">
        <v>46</v>
      </c>
      <c r="X2339" s="1" t="s">
        <v>45</v>
      </c>
      <c r="Y2339" s="1">
        <v>4.82023068E8</v>
      </c>
      <c r="Z2339" s="1">
        <v>3.8775243E7</v>
      </c>
      <c r="AA2339" s="1" t="s">
        <v>209</v>
      </c>
      <c r="AB2339" s="1">
        <v>265550.0</v>
      </c>
      <c r="AC2339" s="2">
        <v>41183.0</v>
      </c>
      <c r="AD2339" s="1">
        <v>7500.0</v>
      </c>
      <c r="AE2339" s="1" t="s">
        <v>40</v>
      </c>
      <c r="AF2339" s="1">
        <v>2.0131256E7</v>
      </c>
      <c r="AG2339" s="1" t="s">
        <v>4015</v>
      </c>
      <c r="AH2339" s="1">
        <v>10.0</v>
      </c>
      <c r="AI2339" s="1">
        <v>2011.0</v>
      </c>
      <c r="AJ2339" s="1">
        <v>2013.0</v>
      </c>
      <c r="AK2339" s="1" t="s">
        <v>4003</v>
      </c>
    </row>
    <row r="2340">
      <c r="A2340" s="1" t="s">
        <v>4013</v>
      </c>
      <c r="B2340" s="1" t="s">
        <v>4013</v>
      </c>
      <c r="C2340" s="1" t="s">
        <v>63</v>
      </c>
      <c r="E2340" s="1">
        <v>1.9608108E7</v>
      </c>
      <c r="F2340" s="2">
        <v>41183.0</v>
      </c>
      <c r="G2340" s="1" t="s">
        <v>4014</v>
      </c>
      <c r="I2340" s="1" t="s">
        <v>4014</v>
      </c>
      <c r="L2340" s="1" t="s">
        <v>40</v>
      </c>
      <c r="M2340" s="1">
        <v>7500.0</v>
      </c>
      <c r="N2340" s="1" t="s">
        <v>40</v>
      </c>
      <c r="O2340" s="1">
        <v>1962224.0</v>
      </c>
      <c r="P2340" s="1" t="s">
        <v>52</v>
      </c>
      <c r="Q2340" s="1" t="s">
        <v>4009</v>
      </c>
      <c r="R2340" s="1" t="s">
        <v>1885</v>
      </c>
      <c r="S2340" s="1" t="s">
        <v>44</v>
      </c>
      <c r="T2340" s="1" t="s">
        <v>45</v>
      </c>
      <c r="U2340" s="1">
        <v>4.82021347E8</v>
      </c>
      <c r="W2340" s="1" t="s">
        <v>46</v>
      </c>
      <c r="X2340" s="1" t="s">
        <v>45</v>
      </c>
      <c r="Y2340" s="1">
        <v>4.82023692E8</v>
      </c>
      <c r="Z2340" s="1">
        <v>1962224.0</v>
      </c>
      <c r="AA2340" s="1" t="s">
        <v>52</v>
      </c>
      <c r="AB2340" s="1">
        <v>0.0</v>
      </c>
      <c r="AC2340" s="2">
        <v>41183.0</v>
      </c>
      <c r="AD2340" s="1">
        <v>7500.0</v>
      </c>
      <c r="AE2340" s="1" t="s">
        <v>40</v>
      </c>
      <c r="AF2340" s="1">
        <v>2.0131059E7</v>
      </c>
      <c r="AG2340" s="1" t="s">
        <v>4015</v>
      </c>
      <c r="AH2340" s="1">
        <v>10.0</v>
      </c>
      <c r="AI2340" s="1">
        <v>2011.0</v>
      </c>
      <c r="AJ2340" s="1">
        <v>2013.0</v>
      </c>
      <c r="AK2340" s="1" t="s">
        <v>4003</v>
      </c>
    </row>
    <row r="2341">
      <c r="A2341" s="1" t="s">
        <v>4013</v>
      </c>
      <c r="B2341" s="1" t="s">
        <v>4013</v>
      </c>
      <c r="C2341" s="1" t="s">
        <v>63</v>
      </c>
      <c r="E2341" s="1">
        <v>1.9608108E7</v>
      </c>
      <c r="F2341" s="2">
        <v>41183.0</v>
      </c>
      <c r="G2341" s="1" t="s">
        <v>4014</v>
      </c>
      <c r="I2341" s="1" t="s">
        <v>4014</v>
      </c>
      <c r="L2341" s="1" t="s">
        <v>40</v>
      </c>
      <c r="M2341" s="1">
        <v>7500.0</v>
      </c>
      <c r="N2341" s="1" t="s">
        <v>40</v>
      </c>
      <c r="O2341" s="1">
        <v>8.48764171E8</v>
      </c>
      <c r="P2341" s="1" t="s">
        <v>1050</v>
      </c>
      <c r="Q2341" s="1" t="s">
        <v>1051</v>
      </c>
      <c r="R2341" s="1" t="s">
        <v>4020</v>
      </c>
      <c r="S2341" s="1" t="s">
        <v>44</v>
      </c>
      <c r="T2341" s="1" t="s">
        <v>45</v>
      </c>
      <c r="U2341" s="1">
        <v>4.82023042E8</v>
      </c>
      <c r="W2341" s="1" t="s">
        <v>46</v>
      </c>
      <c r="X2341" s="1" t="s">
        <v>45</v>
      </c>
      <c r="Y2341" s="1">
        <v>4.820741E8</v>
      </c>
      <c r="Z2341" s="1">
        <v>3.8775243E7</v>
      </c>
      <c r="AA2341" s="1" t="s">
        <v>209</v>
      </c>
      <c r="AB2341" s="1">
        <v>71947.0</v>
      </c>
      <c r="AC2341" s="2">
        <v>41183.0</v>
      </c>
      <c r="AD2341" s="1">
        <v>7500.0</v>
      </c>
      <c r="AE2341" s="1" t="s">
        <v>40</v>
      </c>
      <c r="AF2341" s="1">
        <v>2.0130214E7</v>
      </c>
      <c r="AG2341" s="1" t="s">
        <v>4015</v>
      </c>
      <c r="AH2341" s="1">
        <v>10.0</v>
      </c>
      <c r="AI2341" s="1">
        <v>2011.0</v>
      </c>
      <c r="AJ2341" s="1">
        <v>2013.0</v>
      </c>
      <c r="AK2341" s="1" t="s">
        <v>4003</v>
      </c>
    </row>
    <row r="2342">
      <c r="A2342" s="1" t="s">
        <v>4013</v>
      </c>
      <c r="B2342" s="1" t="s">
        <v>4013</v>
      </c>
      <c r="C2342" s="1" t="s">
        <v>63</v>
      </c>
      <c r="E2342" s="1">
        <v>1.9608108E7</v>
      </c>
      <c r="F2342" s="2">
        <v>41183.0</v>
      </c>
      <c r="G2342" s="1" t="s">
        <v>4014</v>
      </c>
      <c r="I2342" s="1" t="s">
        <v>4014</v>
      </c>
      <c r="L2342" s="1" t="s">
        <v>40</v>
      </c>
      <c r="M2342" s="1">
        <v>7500.0</v>
      </c>
      <c r="N2342" s="1" t="s">
        <v>40</v>
      </c>
      <c r="O2342" s="1">
        <v>1962224.0</v>
      </c>
      <c r="P2342" s="1" t="s">
        <v>52</v>
      </c>
      <c r="Q2342" s="1" t="s">
        <v>4032</v>
      </c>
      <c r="R2342" s="1" t="s">
        <v>1885</v>
      </c>
      <c r="S2342" s="1" t="s">
        <v>44</v>
      </c>
      <c r="T2342" s="1" t="s">
        <v>45</v>
      </c>
      <c r="U2342" s="1">
        <v>4.82021347E8</v>
      </c>
      <c r="W2342" s="1" t="s">
        <v>46</v>
      </c>
      <c r="X2342" s="1" t="s">
        <v>45</v>
      </c>
      <c r="Y2342" s="1">
        <v>4.82023692E8</v>
      </c>
      <c r="Z2342" s="1">
        <v>1962224.0</v>
      </c>
      <c r="AA2342" s="1" t="s">
        <v>52</v>
      </c>
      <c r="AB2342" s="1">
        <v>15486.0</v>
      </c>
      <c r="AC2342" s="2">
        <v>41183.0</v>
      </c>
      <c r="AD2342" s="1">
        <v>7500.0</v>
      </c>
      <c r="AE2342" s="1" t="s">
        <v>40</v>
      </c>
      <c r="AF2342" s="1">
        <v>2.0131053E7</v>
      </c>
      <c r="AG2342" s="1" t="s">
        <v>4015</v>
      </c>
      <c r="AH2342" s="1">
        <v>10.0</v>
      </c>
      <c r="AI2342" s="1">
        <v>2011.0</v>
      </c>
      <c r="AJ2342" s="1">
        <v>2013.0</v>
      </c>
      <c r="AK2342" s="1" t="s">
        <v>4003</v>
      </c>
    </row>
    <row r="2343">
      <c r="A2343" s="1" t="s">
        <v>4013</v>
      </c>
      <c r="B2343" s="1" t="s">
        <v>4013</v>
      </c>
      <c r="C2343" s="1" t="s">
        <v>63</v>
      </c>
      <c r="E2343" s="1">
        <v>1.9608108E7</v>
      </c>
      <c r="F2343" s="2">
        <v>41183.0</v>
      </c>
      <c r="G2343" s="1" t="s">
        <v>4014</v>
      </c>
      <c r="I2343" s="1" t="s">
        <v>4014</v>
      </c>
      <c r="L2343" s="1" t="s">
        <v>40</v>
      </c>
      <c r="M2343" s="1">
        <v>7500.0</v>
      </c>
      <c r="N2343" s="1" t="s">
        <v>40</v>
      </c>
      <c r="O2343" s="1">
        <v>7.8583404E7</v>
      </c>
      <c r="P2343" s="1" t="s">
        <v>65</v>
      </c>
      <c r="Q2343" s="1" t="s">
        <v>2974</v>
      </c>
      <c r="R2343" s="1" t="s">
        <v>1573</v>
      </c>
      <c r="S2343" s="1" t="s">
        <v>44</v>
      </c>
      <c r="T2343" s="1" t="s">
        <v>45</v>
      </c>
      <c r="U2343" s="1">
        <v>4.8207311E8</v>
      </c>
      <c r="W2343" s="1" t="s">
        <v>46</v>
      </c>
      <c r="X2343" s="1" t="s">
        <v>45</v>
      </c>
      <c r="Y2343" s="1">
        <v>4.82021732E8</v>
      </c>
      <c r="Z2343" s="1">
        <v>1.25919378E8</v>
      </c>
      <c r="AA2343" s="1" t="s">
        <v>2976</v>
      </c>
      <c r="AB2343" s="1">
        <v>172010.0</v>
      </c>
      <c r="AC2343" s="2">
        <v>41183.0</v>
      </c>
      <c r="AD2343" s="1">
        <v>7500.0</v>
      </c>
      <c r="AE2343" s="1" t="s">
        <v>40</v>
      </c>
      <c r="AF2343" s="1">
        <v>2.01304E7</v>
      </c>
      <c r="AG2343" s="1" t="s">
        <v>4015</v>
      </c>
      <c r="AH2343" s="1">
        <v>10.0</v>
      </c>
      <c r="AI2343" s="1">
        <v>2011.0</v>
      </c>
      <c r="AJ2343" s="1">
        <v>2013.0</v>
      </c>
      <c r="AK2343" s="1" t="s">
        <v>4003</v>
      </c>
    </row>
    <row r="2344">
      <c r="A2344" s="1" t="s">
        <v>4013</v>
      </c>
      <c r="B2344" s="1" t="s">
        <v>4013</v>
      </c>
      <c r="C2344" s="1" t="s">
        <v>63</v>
      </c>
      <c r="E2344" s="1">
        <v>1.9608108E7</v>
      </c>
      <c r="F2344" s="2">
        <v>41183.0</v>
      </c>
      <c r="G2344" s="1" t="s">
        <v>4014</v>
      </c>
      <c r="I2344" s="1" t="s">
        <v>4014</v>
      </c>
      <c r="L2344" s="1" t="s">
        <v>40</v>
      </c>
      <c r="M2344" s="1">
        <v>7500.0</v>
      </c>
      <c r="N2344" s="1" t="s">
        <v>40</v>
      </c>
      <c r="O2344" s="1">
        <v>1.43407687E8</v>
      </c>
      <c r="P2344" s="1" t="s">
        <v>4016</v>
      </c>
      <c r="Q2344" s="1" t="s">
        <v>1051</v>
      </c>
      <c r="R2344" s="1" t="s">
        <v>4018</v>
      </c>
      <c r="S2344" s="1" t="s">
        <v>44</v>
      </c>
      <c r="T2344" s="1" t="s">
        <v>45</v>
      </c>
      <c r="U2344" s="1">
        <v>4.82023042E8</v>
      </c>
      <c r="W2344" s="1" t="s">
        <v>46</v>
      </c>
      <c r="X2344" s="1" t="s">
        <v>45</v>
      </c>
      <c r="Y2344" s="1">
        <v>4.820741E8</v>
      </c>
      <c r="Z2344" s="1">
        <v>1962224.0</v>
      </c>
      <c r="AA2344" s="1" t="s">
        <v>52</v>
      </c>
      <c r="AB2344" s="1">
        <v>12200.89</v>
      </c>
      <c r="AC2344" s="2">
        <v>41183.0</v>
      </c>
      <c r="AD2344" s="1">
        <v>7500.0</v>
      </c>
      <c r="AE2344" s="1" t="s">
        <v>40</v>
      </c>
      <c r="AF2344" s="1">
        <v>2.0130218E7</v>
      </c>
      <c r="AG2344" s="1" t="s">
        <v>4015</v>
      </c>
      <c r="AH2344" s="1">
        <v>10.0</v>
      </c>
      <c r="AI2344" s="1">
        <v>2011.0</v>
      </c>
      <c r="AJ2344" s="1">
        <v>2013.0</v>
      </c>
      <c r="AK2344" s="1" t="s">
        <v>4003</v>
      </c>
    </row>
    <row r="2345">
      <c r="A2345" s="1" t="s">
        <v>4013</v>
      </c>
      <c r="B2345" s="1" t="s">
        <v>4013</v>
      </c>
      <c r="C2345" s="1" t="s">
        <v>63</v>
      </c>
      <c r="E2345" s="1">
        <v>1.9608108E7</v>
      </c>
      <c r="F2345" s="2">
        <v>41183.0</v>
      </c>
      <c r="G2345" s="1" t="s">
        <v>4014</v>
      </c>
      <c r="I2345" s="1" t="s">
        <v>4014</v>
      </c>
      <c r="L2345" s="1" t="s">
        <v>40</v>
      </c>
      <c r="M2345" s="1">
        <v>7500.0</v>
      </c>
      <c r="N2345" s="1" t="s">
        <v>40</v>
      </c>
      <c r="O2345" s="1">
        <v>1.98999146E8</v>
      </c>
      <c r="P2345" s="1" t="s">
        <v>999</v>
      </c>
      <c r="Q2345" s="1" t="s">
        <v>2979</v>
      </c>
      <c r="R2345" s="1" t="s">
        <v>1000</v>
      </c>
      <c r="S2345" s="1" t="s">
        <v>44</v>
      </c>
      <c r="T2345" s="1" t="s">
        <v>45</v>
      </c>
      <c r="U2345" s="1">
        <v>4.82263007E8</v>
      </c>
      <c r="W2345" s="1" t="s">
        <v>46</v>
      </c>
      <c r="X2345" s="1" t="s">
        <v>45</v>
      </c>
      <c r="Y2345" s="1">
        <v>4.82263007E8</v>
      </c>
      <c r="Z2345" s="1">
        <v>1962224.0</v>
      </c>
      <c r="AA2345" s="1" t="s">
        <v>52</v>
      </c>
      <c r="AB2345" s="1">
        <v>53027.0</v>
      </c>
      <c r="AC2345" s="2">
        <v>41183.0</v>
      </c>
      <c r="AD2345" s="1">
        <v>7500.0</v>
      </c>
      <c r="AE2345" s="1" t="s">
        <v>40</v>
      </c>
      <c r="AF2345" s="1">
        <v>2.0130216E7</v>
      </c>
      <c r="AG2345" s="1" t="s">
        <v>4015</v>
      </c>
      <c r="AH2345" s="1">
        <v>10.0</v>
      </c>
      <c r="AI2345" s="1">
        <v>2011.0</v>
      </c>
      <c r="AJ2345" s="1">
        <v>2013.0</v>
      </c>
      <c r="AK2345" s="1" t="s">
        <v>4003</v>
      </c>
    </row>
    <row r="2346">
      <c r="A2346" s="1" t="s">
        <v>4000</v>
      </c>
      <c r="B2346" s="1" t="s">
        <v>4000</v>
      </c>
      <c r="C2346" s="1" t="s">
        <v>63</v>
      </c>
      <c r="E2346" s="1">
        <v>1832896.0</v>
      </c>
      <c r="F2346" s="2">
        <v>41183.0</v>
      </c>
      <c r="G2346" s="1" t="s">
        <v>4001</v>
      </c>
      <c r="I2346" s="1" t="s">
        <v>4001</v>
      </c>
      <c r="L2346" s="1" t="s">
        <v>40</v>
      </c>
      <c r="M2346" s="1">
        <v>7500.0</v>
      </c>
      <c r="N2346" s="1" t="s">
        <v>40</v>
      </c>
      <c r="O2346" s="1">
        <v>7.8583404E7</v>
      </c>
      <c r="P2346" s="1" t="s">
        <v>65</v>
      </c>
      <c r="R2346" s="1" t="s">
        <v>1573</v>
      </c>
      <c r="S2346" s="1" t="s">
        <v>44</v>
      </c>
      <c r="T2346" s="1" t="s">
        <v>45</v>
      </c>
      <c r="U2346" s="1">
        <v>4.8207311E8</v>
      </c>
      <c r="W2346" s="1" t="s">
        <v>46</v>
      </c>
      <c r="X2346" s="1" t="s">
        <v>45</v>
      </c>
      <c r="Y2346" s="1">
        <v>4.82021732E8</v>
      </c>
      <c r="AB2346" s="1">
        <v>1500.0</v>
      </c>
      <c r="AC2346" s="2">
        <v>41183.0</v>
      </c>
      <c r="AD2346" s="1">
        <v>7500.0</v>
      </c>
      <c r="AE2346" s="1" t="s">
        <v>40</v>
      </c>
      <c r="AF2346" s="1">
        <v>2.01304E7</v>
      </c>
      <c r="AG2346" s="1" t="s">
        <v>4002</v>
      </c>
      <c r="AH2346" s="1">
        <v>10.0</v>
      </c>
      <c r="AI2346" s="1">
        <v>2010.0</v>
      </c>
      <c r="AJ2346" s="1">
        <v>2013.0</v>
      </c>
      <c r="AK2346" s="1" t="s">
        <v>4003</v>
      </c>
    </row>
    <row r="2347">
      <c r="A2347" s="1" t="s">
        <v>4033</v>
      </c>
      <c r="B2347" s="1" t="s">
        <v>4033</v>
      </c>
      <c r="C2347" s="1" t="s">
        <v>63</v>
      </c>
      <c r="E2347" s="1">
        <v>7.6172144E7</v>
      </c>
      <c r="F2347" s="2">
        <v>41548.0</v>
      </c>
      <c r="G2347" s="1" t="s">
        <v>4034</v>
      </c>
      <c r="I2347" s="1" t="s">
        <v>4034</v>
      </c>
      <c r="L2347" s="1" t="s">
        <v>40</v>
      </c>
      <c r="M2347" s="1">
        <v>7500.0</v>
      </c>
      <c r="N2347" s="1" t="s">
        <v>40</v>
      </c>
      <c r="O2347" s="1">
        <v>1.7406606E7</v>
      </c>
      <c r="P2347" s="1" t="s">
        <v>1574</v>
      </c>
      <c r="Q2347" s="1" t="s">
        <v>2014</v>
      </c>
      <c r="R2347" s="1" t="s">
        <v>1575</v>
      </c>
      <c r="S2347" s="1" t="s">
        <v>44</v>
      </c>
      <c r="T2347" s="1" t="s">
        <v>45</v>
      </c>
      <c r="U2347" s="1">
        <v>4.82282826E8</v>
      </c>
      <c r="W2347" s="1" t="s">
        <v>46</v>
      </c>
      <c r="X2347" s="1" t="s">
        <v>45</v>
      </c>
      <c r="Y2347" s="1">
        <v>4.82282826E8</v>
      </c>
      <c r="Z2347" s="1">
        <v>2.0111969E7</v>
      </c>
      <c r="AA2347" s="1" t="s">
        <v>2015</v>
      </c>
      <c r="AB2347" s="1">
        <v>55850.0</v>
      </c>
      <c r="AC2347" s="2">
        <v>41548.0</v>
      </c>
      <c r="AD2347" s="1">
        <v>7500.0</v>
      </c>
      <c r="AE2347" s="1" t="s">
        <v>40</v>
      </c>
      <c r="AF2347" s="1">
        <v>2.0141454E7</v>
      </c>
      <c r="AG2347" s="1" t="s">
        <v>4035</v>
      </c>
      <c r="AH2347" s="1">
        <v>10.0</v>
      </c>
      <c r="AI2347" s="1">
        <v>2011.0</v>
      </c>
      <c r="AJ2347" s="1">
        <v>2014.0</v>
      </c>
      <c r="AK2347" s="1" t="s">
        <v>4036</v>
      </c>
    </row>
    <row r="2348">
      <c r="A2348" s="1" t="s">
        <v>4033</v>
      </c>
      <c r="B2348" s="1" t="s">
        <v>4033</v>
      </c>
      <c r="C2348" s="1" t="s">
        <v>63</v>
      </c>
      <c r="E2348" s="1">
        <v>7.6172144E7</v>
      </c>
      <c r="F2348" s="2">
        <v>41548.0</v>
      </c>
      <c r="G2348" s="1" t="s">
        <v>4034</v>
      </c>
      <c r="I2348" s="1" t="s">
        <v>4034</v>
      </c>
      <c r="L2348" s="1" t="s">
        <v>40</v>
      </c>
      <c r="M2348" s="1">
        <v>7500.0</v>
      </c>
      <c r="N2348" s="1" t="s">
        <v>40</v>
      </c>
      <c r="O2348" s="1">
        <v>1962224.0</v>
      </c>
      <c r="P2348" s="1" t="s">
        <v>52</v>
      </c>
      <c r="Q2348" s="1" t="s">
        <v>4037</v>
      </c>
      <c r="R2348" s="1" t="s">
        <v>1885</v>
      </c>
      <c r="S2348" s="1" t="s">
        <v>44</v>
      </c>
      <c r="T2348" s="1" t="s">
        <v>45</v>
      </c>
      <c r="U2348" s="1">
        <v>4.82021347E8</v>
      </c>
      <c r="W2348" s="1" t="s">
        <v>46</v>
      </c>
      <c r="X2348" s="1" t="s">
        <v>45</v>
      </c>
      <c r="Y2348" s="1">
        <v>4.82023692E8</v>
      </c>
      <c r="Z2348" s="1">
        <v>1962224.0</v>
      </c>
      <c r="AA2348" s="1" t="s">
        <v>52</v>
      </c>
      <c r="AB2348" s="1">
        <v>42470.14</v>
      </c>
      <c r="AC2348" s="2">
        <v>41548.0</v>
      </c>
      <c r="AD2348" s="1">
        <v>7500.0</v>
      </c>
      <c r="AE2348" s="1" t="s">
        <v>40</v>
      </c>
      <c r="AF2348" s="1">
        <v>2.0141507E7</v>
      </c>
      <c r="AG2348" s="1" t="s">
        <v>4035</v>
      </c>
      <c r="AH2348" s="1">
        <v>10.0</v>
      </c>
      <c r="AI2348" s="1">
        <v>2011.0</v>
      </c>
      <c r="AJ2348" s="1">
        <v>2014.0</v>
      </c>
      <c r="AK2348" s="1" t="s">
        <v>4036</v>
      </c>
    </row>
    <row r="2349">
      <c r="A2349" s="1" t="s">
        <v>4004</v>
      </c>
      <c r="B2349" s="1" t="s">
        <v>4004</v>
      </c>
      <c r="C2349" s="1" t="s">
        <v>63</v>
      </c>
      <c r="E2349" s="1">
        <v>1039500.0</v>
      </c>
      <c r="F2349" s="2">
        <v>41548.0</v>
      </c>
      <c r="G2349" s="1" t="s">
        <v>4005</v>
      </c>
      <c r="I2349" s="1" t="s">
        <v>4005</v>
      </c>
      <c r="L2349" s="1" t="s">
        <v>40</v>
      </c>
      <c r="M2349" s="1">
        <v>7500.0</v>
      </c>
      <c r="N2349" s="1" t="s">
        <v>40</v>
      </c>
      <c r="O2349" s="1">
        <v>3.8775243E7</v>
      </c>
      <c r="P2349" s="1" t="s">
        <v>209</v>
      </c>
      <c r="Q2349" s="1" t="s">
        <v>210</v>
      </c>
      <c r="R2349" s="1" t="s">
        <v>211</v>
      </c>
      <c r="S2349" s="1" t="s">
        <v>44</v>
      </c>
      <c r="T2349" s="1" t="s">
        <v>45</v>
      </c>
      <c r="U2349" s="1">
        <v>4.82023068E8</v>
      </c>
      <c r="W2349" s="1" t="s">
        <v>46</v>
      </c>
      <c r="X2349" s="1" t="s">
        <v>45</v>
      </c>
      <c r="Y2349" s="1">
        <v>4.82023068E8</v>
      </c>
      <c r="Z2349" s="1">
        <v>3.8775243E7</v>
      </c>
      <c r="AA2349" s="1" t="s">
        <v>209</v>
      </c>
      <c r="AB2349" s="1">
        <v>3030.0</v>
      </c>
      <c r="AC2349" s="2">
        <v>41548.0</v>
      </c>
      <c r="AD2349" s="1">
        <v>7500.0</v>
      </c>
      <c r="AE2349" s="1" t="s">
        <v>40</v>
      </c>
      <c r="AF2349" s="1">
        <v>2.0140708E7</v>
      </c>
      <c r="AG2349" s="1" t="s">
        <v>4006</v>
      </c>
      <c r="AH2349" s="1">
        <v>10.0</v>
      </c>
      <c r="AI2349" s="1">
        <v>2012.0</v>
      </c>
      <c r="AJ2349" s="1">
        <v>2014.0</v>
      </c>
      <c r="AK2349" s="1" t="s">
        <v>342</v>
      </c>
    </row>
    <row r="2350">
      <c r="A2350" s="1" t="s">
        <v>4004</v>
      </c>
      <c r="B2350" s="1" t="s">
        <v>4004</v>
      </c>
      <c r="C2350" s="1" t="s">
        <v>63</v>
      </c>
      <c r="E2350" s="1">
        <v>1039500.0</v>
      </c>
      <c r="F2350" s="2">
        <v>41548.0</v>
      </c>
      <c r="G2350" s="1" t="s">
        <v>4005</v>
      </c>
      <c r="I2350" s="1" t="s">
        <v>4005</v>
      </c>
      <c r="L2350" s="1" t="s">
        <v>40</v>
      </c>
      <c r="M2350" s="1">
        <v>7500.0</v>
      </c>
      <c r="N2350" s="1" t="s">
        <v>40</v>
      </c>
      <c r="O2350" s="1">
        <v>7.3134603E7</v>
      </c>
      <c r="P2350" s="1" t="s">
        <v>41</v>
      </c>
      <c r="Q2350" s="1" t="s">
        <v>252</v>
      </c>
      <c r="R2350" s="1" t="s">
        <v>253</v>
      </c>
      <c r="S2350" s="1" t="s">
        <v>44</v>
      </c>
      <c r="T2350" s="1" t="s">
        <v>45</v>
      </c>
      <c r="U2350" s="1">
        <v>4.8202345E8</v>
      </c>
      <c r="W2350" s="1" t="s">
        <v>46</v>
      </c>
      <c r="X2350" s="1" t="s">
        <v>45</v>
      </c>
      <c r="Y2350" s="1">
        <v>4.8202345E8</v>
      </c>
      <c r="Z2350" s="1">
        <v>7.3134603E7</v>
      </c>
      <c r="AA2350" s="1" t="s">
        <v>41</v>
      </c>
      <c r="AB2350" s="1">
        <v>10000.0</v>
      </c>
      <c r="AC2350" s="2">
        <v>41548.0</v>
      </c>
      <c r="AD2350" s="1">
        <v>7500.0</v>
      </c>
      <c r="AE2350" s="1" t="s">
        <v>40</v>
      </c>
      <c r="AF2350" s="1">
        <v>2.0140045E7</v>
      </c>
      <c r="AG2350" s="1" t="s">
        <v>4006</v>
      </c>
      <c r="AH2350" s="1">
        <v>10.0</v>
      </c>
      <c r="AI2350" s="1">
        <v>2012.0</v>
      </c>
      <c r="AJ2350" s="1">
        <v>2014.0</v>
      </c>
      <c r="AK2350" s="1" t="s">
        <v>342</v>
      </c>
    </row>
    <row r="2351">
      <c r="A2351" s="1" t="s">
        <v>4004</v>
      </c>
      <c r="B2351" s="1" t="s">
        <v>4004</v>
      </c>
      <c r="C2351" s="1" t="s">
        <v>63</v>
      </c>
      <c r="E2351" s="1">
        <v>1039500.0</v>
      </c>
      <c r="F2351" s="2">
        <v>41183.0</v>
      </c>
      <c r="G2351" s="1" t="s">
        <v>4005</v>
      </c>
      <c r="I2351" s="1" t="s">
        <v>4005</v>
      </c>
      <c r="L2351" s="1" t="s">
        <v>40</v>
      </c>
      <c r="M2351" s="1">
        <v>7500.0</v>
      </c>
      <c r="N2351" s="1" t="s">
        <v>40</v>
      </c>
      <c r="O2351" s="1">
        <v>7.3134603E7</v>
      </c>
      <c r="P2351" s="1" t="s">
        <v>41</v>
      </c>
      <c r="Q2351" s="1" t="s">
        <v>252</v>
      </c>
      <c r="R2351" s="1" t="s">
        <v>253</v>
      </c>
      <c r="S2351" s="1" t="s">
        <v>44</v>
      </c>
      <c r="T2351" s="1" t="s">
        <v>45</v>
      </c>
      <c r="U2351" s="1">
        <v>4.8202345E8</v>
      </c>
      <c r="W2351" s="1" t="s">
        <v>46</v>
      </c>
      <c r="X2351" s="1" t="s">
        <v>45</v>
      </c>
      <c r="Y2351" s="1">
        <v>4.8202345E8</v>
      </c>
      <c r="Z2351" s="1">
        <v>7.3134603E7</v>
      </c>
      <c r="AA2351" s="1" t="s">
        <v>41</v>
      </c>
      <c r="AB2351" s="1">
        <v>10000.0</v>
      </c>
      <c r="AC2351" s="2">
        <v>41183.0</v>
      </c>
      <c r="AD2351" s="1">
        <v>7500.0</v>
      </c>
      <c r="AE2351" s="1" t="s">
        <v>40</v>
      </c>
      <c r="AF2351" s="1">
        <v>2.013012E7</v>
      </c>
      <c r="AG2351" s="1" t="s">
        <v>4006</v>
      </c>
      <c r="AH2351" s="1">
        <v>10.0</v>
      </c>
      <c r="AI2351" s="1">
        <v>2012.0</v>
      </c>
      <c r="AJ2351" s="1">
        <v>2013.0</v>
      </c>
      <c r="AK2351" s="1" t="s">
        <v>342</v>
      </c>
    </row>
    <row r="2352">
      <c r="A2352" s="1" t="s">
        <v>4004</v>
      </c>
      <c r="B2352" s="1" t="s">
        <v>4004</v>
      </c>
      <c r="C2352" s="1" t="s">
        <v>63</v>
      </c>
      <c r="E2352" s="1">
        <v>1039500.0</v>
      </c>
      <c r="F2352" s="2">
        <v>41913.0</v>
      </c>
      <c r="G2352" s="1" t="s">
        <v>4005</v>
      </c>
      <c r="I2352" s="1" t="s">
        <v>4005</v>
      </c>
      <c r="L2352" s="1" t="s">
        <v>40</v>
      </c>
      <c r="M2352" s="1">
        <v>7500.0</v>
      </c>
      <c r="N2352" s="1" t="s">
        <v>40</v>
      </c>
      <c r="O2352" s="1">
        <v>7.3134603E7</v>
      </c>
      <c r="P2352" s="1" t="s">
        <v>41</v>
      </c>
      <c r="Q2352" s="1" t="s">
        <v>252</v>
      </c>
      <c r="R2352" s="1" t="s">
        <v>253</v>
      </c>
      <c r="S2352" s="1" t="s">
        <v>44</v>
      </c>
      <c r="T2352" s="1" t="s">
        <v>45</v>
      </c>
      <c r="U2352" s="1">
        <v>4.8202345E8</v>
      </c>
      <c r="W2352" s="1" t="s">
        <v>46</v>
      </c>
      <c r="X2352" s="1" t="s">
        <v>45</v>
      </c>
      <c r="Y2352" s="1">
        <v>4.8202345E8</v>
      </c>
      <c r="Z2352" s="1">
        <v>7.3134603E7</v>
      </c>
      <c r="AA2352" s="1" t="s">
        <v>41</v>
      </c>
      <c r="AB2352" s="1">
        <v>7200.0</v>
      </c>
      <c r="AC2352" s="2">
        <v>41913.0</v>
      </c>
      <c r="AD2352" s="1">
        <v>7500.0</v>
      </c>
      <c r="AE2352" s="1" t="s">
        <v>40</v>
      </c>
      <c r="AF2352" s="1">
        <v>2.0151238E7</v>
      </c>
      <c r="AG2352" s="1" t="s">
        <v>4006</v>
      </c>
      <c r="AH2352" s="1">
        <v>10.0</v>
      </c>
      <c r="AI2352" s="1">
        <v>2012.0</v>
      </c>
      <c r="AJ2352" s="1">
        <v>2015.0</v>
      </c>
      <c r="AK2352" s="1" t="s">
        <v>342</v>
      </c>
    </row>
    <row r="2353">
      <c r="A2353" s="1" t="s">
        <v>3988</v>
      </c>
      <c r="B2353" s="1" t="s">
        <v>3988</v>
      </c>
      <c r="C2353" s="1" t="s">
        <v>645</v>
      </c>
      <c r="E2353" s="1">
        <v>5.6528832E7</v>
      </c>
      <c r="F2353" s="2">
        <v>41548.0</v>
      </c>
      <c r="G2353" s="1" t="s">
        <v>1577</v>
      </c>
      <c r="I2353" s="1" t="s">
        <v>1577</v>
      </c>
      <c r="L2353" s="1" t="s">
        <v>647</v>
      </c>
      <c r="M2353" s="1">
        <v>1200.0</v>
      </c>
      <c r="N2353" s="1" t="s">
        <v>647</v>
      </c>
      <c r="O2353" s="1">
        <v>7596352.0</v>
      </c>
      <c r="P2353" s="1" t="s">
        <v>73</v>
      </c>
      <c r="R2353" s="1" t="s">
        <v>1578</v>
      </c>
      <c r="S2353" s="1" t="s">
        <v>44</v>
      </c>
      <c r="T2353" s="1" t="s">
        <v>45</v>
      </c>
      <c r="U2353" s="1">
        <v>4.82263269E8</v>
      </c>
      <c r="W2353" s="1" t="s">
        <v>46</v>
      </c>
      <c r="X2353" s="1" t="s">
        <v>45</v>
      </c>
      <c r="Y2353" s="1">
        <v>4.82263269E8</v>
      </c>
      <c r="Z2353" s="1">
        <v>6530661.0</v>
      </c>
      <c r="AA2353" s="1" t="s">
        <v>76</v>
      </c>
      <c r="AB2353" s="1">
        <v>5050059.0</v>
      </c>
      <c r="AC2353" s="2">
        <v>41548.0</v>
      </c>
      <c r="AD2353" s="1">
        <v>1200.0</v>
      </c>
      <c r="AE2353" s="1" t="s">
        <v>647</v>
      </c>
      <c r="AF2353" s="1">
        <v>2.0141454E7</v>
      </c>
      <c r="AG2353" s="1" t="s">
        <v>2826</v>
      </c>
      <c r="AH2353" s="1">
        <v>10.0</v>
      </c>
      <c r="AI2353" s="1">
        <v>2013.0</v>
      </c>
      <c r="AJ2353" s="1">
        <v>2014.0</v>
      </c>
      <c r="AK2353" s="1" t="s">
        <v>1580</v>
      </c>
    </row>
    <row r="2354">
      <c r="A2354" s="1" t="s">
        <v>4007</v>
      </c>
      <c r="B2354" s="1" t="s">
        <v>4007</v>
      </c>
      <c r="C2354" s="1" t="s">
        <v>63</v>
      </c>
      <c r="E2354" s="1">
        <v>3.0692876E7</v>
      </c>
      <c r="F2354" s="2">
        <v>41913.0</v>
      </c>
      <c r="G2354" s="1" t="s">
        <v>4008</v>
      </c>
      <c r="I2354" s="1" t="s">
        <v>4008</v>
      </c>
      <c r="L2354" s="1" t="s">
        <v>40</v>
      </c>
      <c r="M2354" s="1">
        <v>7500.0</v>
      </c>
      <c r="N2354" s="1" t="s">
        <v>40</v>
      </c>
      <c r="O2354" s="1">
        <v>1962224.0</v>
      </c>
      <c r="P2354" s="1" t="s">
        <v>52</v>
      </c>
      <c r="Q2354" s="1" t="s">
        <v>2014</v>
      </c>
      <c r="R2354" s="1" t="s">
        <v>1885</v>
      </c>
      <c r="S2354" s="1" t="s">
        <v>44</v>
      </c>
      <c r="T2354" s="1" t="s">
        <v>45</v>
      </c>
      <c r="U2354" s="1">
        <v>4.82021347E8</v>
      </c>
      <c r="W2354" s="1" t="s">
        <v>46</v>
      </c>
      <c r="X2354" s="1" t="s">
        <v>45</v>
      </c>
      <c r="Y2354" s="1">
        <v>4.82023692E8</v>
      </c>
      <c r="Z2354" s="1">
        <v>1962224.0</v>
      </c>
      <c r="AA2354" s="1" t="s">
        <v>52</v>
      </c>
      <c r="AB2354" s="1">
        <v>600000.0</v>
      </c>
      <c r="AC2354" s="2">
        <v>41913.0</v>
      </c>
      <c r="AD2354" s="1">
        <v>7500.0</v>
      </c>
      <c r="AE2354" s="1" t="s">
        <v>40</v>
      </c>
      <c r="AF2354" s="1">
        <v>2.0151656E7</v>
      </c>
      <c r="AG2354" s="1" t="s">
        <v>4010</v>
      </c>
      <c r="AH2354" s="1">
        <v>10.0</v>
      </c>
      <c r="AI2354" s="1">
        <v>2011.0</v>
      </c>
      <c r="AJ2354" s="1">
        <v>2015.0</v>
      </c>
      <c r="AK2354" s="1" t="s">
        <v>4011</v>
      </c>
    </row>
    <row r="2355">
      <c r="A2355" s="1" t="s">
        <v>3989</v>
      </c>
      <c r="B2355" s="1" t="s">
        <v>3989</v>
      </c>
      <c r="C2355" s="1" t="s">
        <v>645</v>
      </c>
      <c r="E2355" s="1">
        <v>3.2942648E7</v>
      </c>
      <c r="F2355" s="2">
        <v>41913.0</v>
      </c>
      <c r="G2355" s="1" t="s">
        <v>1577</v>
      </c>
      <c r="I2355" s="1" t="s">
        <v>1577</v>
      </c>
      <c r="L2355" s="1" t="s">
        <v>647</v>
      </c>
      <c r="M2355" s="1">
        <v>1200.0</v>
      </c>
      <c r="N2355" s="1" t="s">
        <v>647</v>
      </c>
      <c r="O2355" s="1">
        <v>7.6377316E7</v>
      </c>
      <c r="P2355" s="1" t="s">
        <v>2302</v>
      </c>
      <c r="Q2355" s="1" t="s">
        <v>4012</v>
      </c>
      <c r="R2355" s="1" t="s">
        <v>2303</v>
      </c>
      <c r="S2355" s="1" t="s">
        <v>44</v>
      </c>
      <c r="T2355" s="1" t="s">
        <v>45</v>
      </c>
      <c r="U2355" s="1">
        <v>4.82012119E8</v>
      </c>
      <c r="W2355" s="1" t="s">
        <v>46</v>
      </c>
      <c r="X2355" s="1" t="s">
        <v>45</v>
      </c>
      <c r="Y2355" s="1">
        <v>4.82012119E8</v>
      </c>
      <c r="Z2355" s="1">
        <v>5.3866661E7</v>
      </c>
      <c r="AB2355" s="1">
        <v>10297.05</v>
      </c>
      <c r="AC2355" s="2">
        <v>41913.0</v>
      </c>
      <c r="AD2355" s="1">
        <v>1200.0</v>
      </c>
      <c r="AE2355" s="1" t="s">
        <v>647</v>
      </c>
      <c r="AF2355" s="1">
        <v>2.0151652E7</v>
      </c>
      <c r="AG2355" s="1" t="s">
        <v>2826</v>
      </c>
      <c r="AH2355" s="1">
        <v>10.0</v>
      </c>
      <c r="AI2355" s="1">
        <v>2014.0</v>
      </c>
      <c r="AJ2355" s="1">
        <v>2015.0</v>
      </c>
      <c r="AK2355" s="1" t="s">
        <v>1580</v>
      </c>
    </row>
    <row r="2356">
      <c r="A2356" s="1" t="s">
        <v>4033</v>
      </c>
      <c r="B2356" s="1" t="s">
        <v>4033</v>
      </c>
      <c r="C2356" s="1" t="s">
        <v>63</v>
      </c>
      <c r="E2356" s="1">
        <v>7.6172144E7</v>
      </c>
      <c r="F2356" s="2">
        <v>41183.0</v>
      </c>
      <c r="G2356" s="1" t="s">
        <v>4034</v>
      </c>
      <c r="I2356" s="1" t="s">
        <v>4034</v>
      </c>
      <c r="L2356" s="1" t="s">
        <v>40</v>
      </c>
      <c r="M2356" s="1">
        <v>7500.0</v>
      </c>
      <c r="N2356" s="1" t="s">
        <v>40</v>
      </c>
      <c r="O2356" s="1">
        <v>7.8583404E7</v>
      </c>
      <c r="P2356" s="1" t="s">
        <v>65</v>
      </c>
      <c r="Q2356" s="1" t="s">
        <v>2014</v>
      </c>
      <c r="R2356" s="1" t="s">
        <v>1573</v>
      </c>
      <c r="S2356" s="1" t="s">
        <v>44</v>
      </c>
      <c r="T2356" s="1" t="s">
        <v>45</v>
      </c>
      <c r="U2356" s="1">
        <v>4.8207311E8</v>
      </c>
      <c r="W2356" s="1" t="s">
        <v>46</v>
      </c>
      <c r="X2356" s="1" t="s">
        <v>45</v>
      </c>
      <c r="Y2356" s="1">
        <v>4.82021732E8</v>
      </c>
      <c r="Z2356" s="1">
        <v>1.71384183E8</v>
      </c>
      <c r="AA2356" s="1" t="s">
        <v>2978</v>
      </c>
      <c r="AB2356" s="1">
        <v>67350.0</v>
      </c>
      <c r="AC2356" s="2">
        <v>41183.0</v>
      </c>
      <c r="AD2356" s="1">
        <v>7500.0</v>
      </c>
      <c r="AE2356" s="1" t="s">
        <v>40</v>
      </c>
      <c r="AF2356" s="1">
        <v>2.01304E7</v>
      </c>
      <c r="AG2356" s="1" t="s">
        <v>4035</v>
      </c>
      <c r="AH2356" s="1">
        <v>10.0</v>
      </c>
      <c r="AI2356" s="1">
        <v>2011.0</v>
      </c>
      <c r="AJ2356" s="1">
        <v>2013.0</v>
      </c>
      <c r="AK2356" s="1" t="s">
        <v>4036</v>
      </c>
    </row>
    <row r="2357">
      <c r="A2357" s="1" t="s">
        <v>4007</v>
      </c>
      <c r="B2357" s="1" t="s">
        <v>4007</v>
      </c>
      <c r="C2357" s="1" t="s">
        <v>63</v>
      </c>
      <c r="E2357" s="1">
        <v>3.0692876E7</v>
      </c>
      <c r="F2357" s="2">
        <v>41548.0</v>
      </c>
      <c r="G2357" s="1" t="s">
        <v>4008</v>
      </c>
      <c r="I2357" s="1" t="s">
        <v>4008</v>
      </c>
      <c r="L2357" s="1" t="s">
        <v>40</v>
      </c>
      <c r="M2357" s="1">
        <v>7500.0</v>
      </c>
      <c r="N2357" s="1" t="s">
        <v>40</v>
      </c>
      <c r="O2357" s="1">
        <v>1962224.0</v>
      </c>
      <c r="P2357" s="1" t="s">
        <v>52</v>
      </c>
      <c r="Q2357" s="1" t="s">
        <v>2077</v>
      </c>
      <c r="R2357" s="1" t="s">
        <v>1885</v>
      </c>
      <c r="S2357" s="1" t="s">
        <v>44</v>
      </c>
      <c r="T2357" s="1" t="s">
        <v>45</v>
      </c>
      <c r="U2357" s="1">
        <v>4.82021347E8</v>
      </c>
      <c r="W2357" s="1" t="s">
        <v>46</v>
      </c>
      <c r="X2357" s="1" t="s">
        <v>45</v>
      </c>
      <c r="Y2357" s="1">
        <v>4.82023692E8</v>
      </c>
      <c r="Z2357" s="1">
        <v>1962224.0</v>
      </c>
      <c r="AA2357" s="1" t="s">
        <v>52</v>
      </c>
      <c r="AB2357" s="1">
        <v>0.0</v>
      </c>
      <c r="AC2357" s="2">
        <v>41548.0</v>
      </c>
      <c r="AD2357" s="1">
        <v>7500.0</v>
      </c>
      <c r="AE2357" s="1" t="s">
        <v>40</v>
      </c>
      <c r="AF2357" s="1">
        <v>2.0141512E7</v>
      </c>
      <c r="AG2357" s="1" t="s">
        <v>4010</v>
      </c>
      <c r="AH2357" s="1">
        <v>10.0</v>
      </c>
      <c r="AI2357" s="1">
        <v>2011.0</v>
      </c>
      <c r="AJ2357" s="1">
        <v>2014.0</v>
      </c>
      <c r="AK2357" s="1" t="s">
        <v>4011</v>
      </c>
    </row>
    <row r="2358">
      <c r="A2358" s="1" t="s">
        <v>3995</v>
      </c>
      <c r="B2358" s="1" t="s">
        <v>3995</v>
      </c>
      <c r="C2358" s="1" t="s">
        <v>63</v>
      </c>
      <c r="E2358" s="1">
        <v>6092441.0</v>
      </c>
      <c r="F2358" s="2">
        <v>41913.0</v>
      </c>
      <c r="G2358" s="1" t="s">
        <v>3996</v>
      </c>
      <c r="I2358" s="1" t="s">
        <v>3996</v>
      </c>
      <c r="L2358" s="1" t="s">
        <v>40</v>
      </c>
      <c r="M2358" s="1">
        <v>7500.0</v>
      </c>
      <c r="N2358" s="1" t="s">
        <v>40</v>
      </c>
      <c r="O2358" s="1">
        <v>1.41947783E8</v>
      </c>
      <c r="P2358" s="1" t="s">
        <v>144</v>
      </c>
      <c r="Q2358" s="1" t="s">
        <v>1420</v>
      </c>
      <c r="R2358" s="1" t="s">
        <v>145</v>
      </c>
      <c r="S2358" s="1" t="s">
        <v>44</v>
      </c>
      <c r="T2358" s="1" t="s">
        <v>45</v>
      </c>
      <c r="U2358" s="1">
        <v>4.82362148E8</v>
      </c>
      <c r="W2358" s="1" t="s">
        <v>1454</v>
      </c>
      <c r="X2358" s="1" t="s">
        <v>45</v>
      </c>
      <c r="Y2358" s="1">
        <v>4.80922468E8</v>
      </c>
      <c r="Z2358" s="1">
        <v>5.3343976E7</v>
      </c>
      <c r="AA2358" s="1" t="s">
        <v>1421</v>
      </c>
      <c r="AB2358" s="1">
        <v>22500.0</v>
      </c>
      <c r="AC2358" s="2">
        <v>41913.0</v>
      </c>
      <c r="AD2358" s="1">
        <v>7500.0</v>
      </c>
      <c r="AE2358" s="1" t="s">
        <v>40</v>
      </c>
      <c r="AF2358" s="1">
        <v>2.0150229E7</v>
      </c>
      <c r="AG2358" s="1" t="s">
        <v>2931</v>
      </c>
      <c r="AH2358" s="1">
        <v>10.0</v>
      </c>
      <c r="AI2358" s="1">
        <v>2013.0</v>
      </c>
      <c r="AJ2358" s="1">
        <v>2015.0</v>
      </c>
      <c r="AK2358" s="1" t="s">
        <v>3997</v>
      </c>
    </row>
    <row r="2359">
      <c r="A2359" s="1" t="s">
        <v>3995</v>
      </c>
      <c r="B2359" s="1" t="s">
        <v>3995</v>
      </c>
      <c r="C2359" s="1" t="s">
        <v>63</v>
      </c>
      <c r="E2359" s="1">
        <v>6092441.0</v>
      </c>
      <c r="F2359" s="2">
        <v>41548.0</v>
      </c>
      <c r="G2359" s="1" t="s">
        <v>3996</v>
      </c>
      <c r="I2359" s="1" t="s">
        <v>3996</v>
      </c>
      <c r="L2359" s="1" t="s">
        <v>40</v>
      </c>
      <c r="M2359" s="1">
        <v>7500.0</v>
      </c>
      <c r="N2359" s="1" t="s">
        <v>40</v>
      </c>
      <c r="O2359" s="1">
        <v>1.41947783E8</v>
      </c>
      <c r="P2359" s="1" t="s">
        <v>144</v>
      </c>
      <c r="Q2359" s="1" t="s">
        <v>210</v>
      </c>
      <c r="R2359" s="1" t="s">
        <v>145</v>
      </c>
      <c r="S2359" s="1" t="s">
        <v>44</v>
      </c>
      <c r="T2359" s="1" t="s">
        <v>45</v>
      </c>
      <c r="U2359" s="1">
        <v>4.82362148E8</v>
      </c>
      <c r="W2359" s="1" t="s">
        <v>46</v>
      </c>
      <c r="X2359" s="1" t="s">
        <v>45</v>
      </c>
      <c r="Y2359" s="1">
        <v>4.82362148E8</v>
      </c>
      <c r="Z2359" s="1">
        <v>3.8775243E7</v>
      </c>
      <c r="AA2359" s="1" t="s">
        <v>209</v>
      </c>
      <c r="AB2359" s="1">
        <v>7500.0</v>
      </c>
      <c r="AC2359" s="2">
        <v>41548.0</v>
      </c>
      <c r="AD2359" s="1">
        <v>7500.0</v>
      </c>
      <c r="AE2359" s="1" t="s">
        <v>40</v>
      </c>
      <c r="AF2359" s="1">
        <v>2.0140231E7</v>
      </c>
      <c r="AG2359" s="1" t="s">
        <v>2931</v>
      </c>
      <c r="AH2359" s="1">
        <v>10.0</v>
      </c>
      <c r="AI2359" s="1">
        <v>2013.0</v>
      </c>
      <c r="AJ2359" s="1">
        <v>2014.0</v>
      </c>
      <c r="AK2359" s="1" t="s">
        <v>3997</v>
      </c>
    </row>
    <row r="2360">
      <c r="A2360" s="1" t="s">
        <v>4038</v>
      </c>
      <c r="B2360" s="1" t="s">
        <v>4038</v>
      </c>
      <c r="C2360" s="1" t="s">
        <v>1446</v>
      </c>
      <c r="E2360" s="1">
        <v>1.2055408E7</v>
      </c>
      <c r="F2360" s="2">
        <v>41779.0</v>
      </c>
      <c r="G2360" s="1" t="s">
        <v>4039</v>
      </c>
      <c r="I2360" s="1" t="s">
        <v>4039</v>
      </c>
      <c r="L2360" s="1" t="s">
        <v>1079</v>
      </c>
      <c r="M2360" s="1">
        <v>7000.0</v>
      </c>
      <c r="N2360" s="1" t="s">
        <v>1079</v>
      </c>
      <c r="O2360" s="1">
        <v>7.3134884E7</v>
      </c>
      <c r="P2360" s="1" t="s">
        <v>1796</v>
      </c>
      <c r="R2360" s="1" t="s">
        <v>1855</v>
      </c>
      <c r="S2360" s="1" t="s">
        <v>44</v>
      </c>
      <c r="T2360" s="1" t="s">
        <v>45</v>
      </c>
      <c r="U2360" s="1">
        <v>48226.0</v>
      </c>
      <c r="W2360" s="1" t="s">
        <v>46</v>
      </c>
      <c r="X2360" s="1" t="s">
        <v>45</v>
      </c>
      <c r="Y2360" s="1">
        <v>4.8226348E8</v>
      </c>
      <c r="Z2360" s="1">
        <v>7.3134884E7</v>
      </c>
      <c r="AA2360" s="1" t="s">
        <v>1796</v>
      </c>
      <c r="AB2360" s="1">
        <v>110074.0</v>
      </c>
      <c r="AC2360" s="2">
        <v>41779.0</v>
      </c>
      <c r="AD2360" s="1">
        <v>7000.0</v>
      </c>
      <c r="AE2360" s="1" t="s">
        <v>1079</v>
      </c>
      <c r="AF2360" s="1" t="s">
        <v>4040</v>
      </c>
      <c r="AG2360" s="1" t="s">
        <v>4041</v>
      </c>
      <c r="AH2360" s="1">
        <v>10.0</v>
      </c>
      <c r="AI2360" s="1">
        <v>2013.0</v>
      </c>
      <c r="AJ2360" s="1">
        <v>2014.0</v>
      </c>
      <c r="AK2360" s="1" t="s">
        <v>4042</v>
      </c>
    </row>
    <row r="2361">
      <c r="A2361" s="1" t="s">
        <v>4007</v>
      </c>
      <c r="B2361" s="1" t="s">
        <v>4007</v>
      </c>
      <c r="C2361" s="1" t="s">
        <v>63</v>
      </c>
      <c r="E2361" s="1">
        <v>3.0692876E7</v>
      </c>
      <c r="F2361" s="2">
        <v>41548.0</v>
      </c>
      <c r="G2361" s="1" t="s">
        <v>4008</v>
      </c>
      <c r="I2361" s="1" t="s">
        <v>4008</v>
      </c>
      <c r="L2361" s="1" t="s">
        <v>40</v>
      </c>
      <c r="M2361" s="1">
        <v>7500.0</v>
      </c>
      <c r="N2361" s="1" t="s">
        <v>40</v>
      </c>
      <c r="O2361" s="1">
        <v>1962224.0</v>
      </c>
      <c r="P2361" s="1" t="s">
        <v>52</v>
      </c>
      <c r="Q2361" s="1" t="s">
        <v>2077</v>
      </c>
      <c r="R2361" s="1" t="s">
        <v>1885</v>
      </c>
      <c r="S2361" s="1" t="s">
        <v>44</v>
      </c>
      <c r="T2361" s="1" t="s">
        <v>45</v>
      </c>
      <c r="U2361" s="1">
        <v>4.82021347E8</v>
      </c>
      <c r="W2361" s="1" t="s">
        <v>46</v>
      </c>
      <c r="X2361" s="1" t="s">
        <v>45</v>
      </c>
      <c r="Y2361" s="1">
        <v>4.82023692E8</v>
      </c>
      <c r="Z2361" s="1">
        <v>1962224.0</v>
      </c>
      <c r="AA2361" s="1" t="s">
        <v>52</v>
      </c>
      <c r="AB2361" s="1">
        <v>700000.0</v>
      </c>
      <c r="AC2361" s="2">
        <v>41548.0</v>
      </c>
      <c r="AD2361" s="1">
        <v>7500.0</v>
      </c>
      <c r="AE2361" s="1" t="s">
        <v>40</v>
      </c>
      <c r="AF2361" s="1">
        <v>2.0141512E7</v>
      </c>
      <c r="AG2361" s="1" t="s">
        <v>4010</v>
      </c>
      <c r="AH2361" s="1">
        <v>10.0</v>
      </c>
      <c r="AI2361" s="1">
        <v>2011.0</v>
      </c>
      <c r="AJ2361" s="1">
        <v>2014.0</v>
      </c>
      <c r="AK2361" s="1" t="s">
        <v>4011</v>
      </c>
    </row>
    <row r="2362">
      <c r="A2362" s="1" t="s">
        <v>4007</v>
      </c>
      <c r="B2362" s="1" t="s">
        <v>4007</v>
      </c>
      <c r="C2362" s="1" t="s">
        <v>63</v>
      </c>
      <c r="E2362" s="1">
        <v>3.0692876E7</v>
      </c>
      <c r="F2362" s="2">
        <v>41183.0</v>
      </c>
      <c r="G2362" s="1" t="s">
        <v>4008</v>
      </c>
      <c r="I2362" s="1" t="s">
        <v>4008</v>
      </c>
      <c r="L2362" s="1" t="s">
        <v>40</v>
      </c>
      <c r="M2362" s="1">
        <v>7500.0</v>
      </c>
      <c r="N2362" s="1" t="s">
        <v>40</v>
      </c>
      <c r="O2362" s="1">
        <v>1962224.0</v>
      </c>
      <c r="P2362" s="1" t="s">
        <v>52</v>
      </c>
      <c r="Q2362" s="1" t="s">
        <v>4043</v>
      </c>
      <c r="R2362" s="1" t="s">
        <v>1885</v>
      </c>
      <c r="S2362" s="1" t="s">
        <v>44</v>
      </c>
      <c r="T2362" s="1" t="s">
        <v>45</v>
      </c>
      <c r="U2362" s="1">
        <v>4.82021347E8</v>
      </c>
      <c r="W2362" s="1" t="s">
        <v>46</v>
      </c>
      <c r="X2362" s="1" t="s">
        <v>45</v>
      </c>
      <c r="Y2362" s="1">
        <v>4.82023692E8</v>
      </c>
      <c r="Z2362" s="1">
        <v>1962224.0</v>
      </c>
      <c r="AA2362" s="1" t="s">
        <v>52</v>
      </c>
      <c r="AB2362" s="1">
        <v>797000.0</v>
      </c>
      <c r="AC2362" s="2">
        <v>41183.0</v>
      </c>
      <c r="AD2362" s="1">
        <v>7500.0</v>
      </c>
      <c r="AE2362" s="1" t="s">
        <v>40</v>
      </c>
      <c r="AF2362" s="1">
        <v>2.0131061E7</v>
      </c>
      <c r="AG2362" s="1" t="s">
        <v>4010</v>
      </c>
      <c r="AH2362" s="1">
        <v>10.0</v>
      </c>
      <c r="AI2362" s="1">
        <v>2011.0</v>
      </c>
      <c r="AJ2362" s="1">
        <v>2013.0</v>
      </c>
      <c r="AK2362" s="1" t="s">
        <v>4011</v>
      </c>
    </row>
    <row r="2363">
      <c r="A2363" s="1" t="s">
        <v>4004</v>
      </c>
      <c r="B2363" s="1" t="s">
        <v>4004</v>
      </c>
      <c r="C2363" s="1" t="s">
        <v>63</v>
      </c>
      <c r="E2363" s="1">
        <v>1039500.0</v>
      </c>
      <c r="F2363" s="2">
        <v>41548.0</v>
      </c>
      <c r="G2363" s="1" t="s">
        <v>4005</v>
      </c>
      <c r="I2363" s="1" t="s">
        <v>4005</v>
      </c>
      <c r="L2363" s="1" t="s">
        <v>40</v>
      </c>
      <c r="M2363" s="1">
        <v>7500.0</v>
      </c>
      <c r="N2363" s="1" t="s">
        <v>40</v>
      </c>
      <c r="O2363" s="1">
        <v>7.3134603E7</v>
      </c>
      <c r="P2363" s="1" t="s">
        <v>41</v>
      </c>
      <c r="Q2363" s="1" t="s">
        <v>252</v>
      </c>
      <c r="R2363" s="1" t="s">
        <v>253</v>
      </c>
      <c r="S2363" s="1" t="s">
        <v>44</v>
      </c>
      <c r="T2363" s="1" t="s">
        <v>45</v>
      </c>
      <c r="U2363" s="1">
        <v>4.8202345E8</v>
      </c>
      <c r="W2363" s="1" t="s">
        <v>46</v>
      </c>
      <c r="X2363" s="1" t="s">
        <v>45</v>
      </c>
      <c r="Y2363" s="1">
        <v>4.8202345E8</v>
      </c>
      <c r="Z2363" s="1">
        <v>7.3134603E7</v>
      </c>
      <c r="AA2363" s="1" t="s">
        <v>41</v>
      </c>
      <c r="AB2363" s="1">
        <v>7200.0</v>
      </c>
      <c r="AC2363" s="2">
        <v>41548.0</v>
      </c>
      <c r="AD2363" s="1">
        <v>7500.0</v>
      </c>
      <c r="AE2363" s="1" t="s">
        <v>40</v>
      </c>
      <c r="AF2363" s="1">
        <v>2.0140043E7</v>
      </c>
      <c r="AG2363" s="1" t="s">
        <v>4006</v>
      </c>
      <c r="AH2363" s="1">
        <v>10.0</v>
      </c>
      <c r="AI2363" s="1">
        <v>2012.0</v>
      </c>
      <c r="AJ2363" s="1">
        <v>2014.0</v>
      </c>
      <c r="AK2363" s="1" t="s">
        <v>342</v>
      </c>
    </row>
    <row r="2364">
      <c r="A2364" s="1" t="s">
        <v>1297</v>
      </c>
      <c r="B2364" s="1" t="s">
        <v>1297</v>
      </c>
      <c r="C2364" s="1" t="s">
        <v>1281</v>
      </c>
      <c r="E2364" s="1">
        <v>4867566.0</v>
      </c>
      <c r="F2364" s="2">
        <v>41883.0</v>
      </c>
      <c r="G2364" s="1" t="s">
        <v>2610</v>
      </c>
      <c r="I2364" s="1" t="s">
        <v>2610</v>
      </c>
      <c r="L2364" s="1" t="s">
        <v>1281</v>
      </c>
      <c r="M2364" s="1">
        <v>9577.0</v>
      </c>
      <c r="N2364" s="1" t="s">
        <v>1281</v>
      </c>
      <c r="O2364" s="1">
        <v>1.81595232E8</v>
      </c>
      <c r="P2364" s="1" t="s">
        <v>1471</v>
      </c>
      <c r="R2364" s="1" t="s">
        <v>1472</v>
      </c>
      <c r="S2364" s="1" t="s">
        <v>44</v>
      </c>
      <c r="T2364" s="1" t="s">
        <v>45</v>
      </c>
      <c r="U2364" s="1">
        <v>4.82103249E8</v>
      </c>
      <c r="W2364" s="1" t="s">
        <v>46</v>
      </c>
      <c r="X2364" s="1" t="s">
        <v>45</v>
      </c>
      <c r="Y2364" s="1">
        <v>4.82103249E8</v>
      </c>
      <c r="Z2364" s="1">
        <v>1.81595232E8</v>
      </c>
      <c r="AA2364" s="1" t="s">
        <v>1471</v>
      </c>
      <c r="AB2364" s="1">
        <v>224210.0</v>
      </c>
      <c r="AC2364" s="2">
        <v>41883.0</v>
      </c>
      <c r="AD2364" s="1">
        <v>9577.0</v>
      </c>
      <c r="AE2364" s="1" t="s">
        <v>1281</v>
      </c>
      <c r="AF2364" s="1" t="s">
        <v>2823</v>
      </c>
      <c r="AG2364" s="1" t="s">
        <v>2824</v>
      </c>
      <c r="AH2364" s="1">
        <v>2.0</v>
      </c>
      <c r="AI2364" s="1">
        <v>2015.0</v>
      </c>
      <c r="AJ2364" s="1">
        <v>2014.0</v>
      </c>
      <c r="AK2364" s="1" t="s">
        <v>1301</v>
      </c>
    </row>
    <row r="2365">
      <c r="A2365" s="1" t="s">
        <v>4013</v>
      </c>
      <c r="B2365" s="1" t="s">
        <v>4013</v>
      </c>
      <c r="C2365" s="1" t="s">
        <v>63</v>
      </c>
      <c r="E2365" s="1">
        <v>1.9608108E7</v>
      </c>
      <c r="F2365" s="2">
        <v>41913.0</v>
      </c>
      <c r="G2365" s="1" t="s">
        <v>4014</v>
      </c>
      <c r="I2365" s="1" t="s">
        <v>4014</v>
      </c>
      <c r="L2365" s="1" t="s">
        <v>40</v>
      </c>
      <c r="M2365" s="1">
        <v>7500.0</v>
      </c>
      <c r="N2365" s="1" t="s">
        <v>40</v>
      </c>
      <c r="O2365" s="1">
        <v>7.3134603E7</v>
      </c>
      <c r="P2365" s="1" t="s">
        <v>41</v>
      </c>
      <c r="Q2365" s="1" t="s">
        <v>252</v>
      </c>
      <c r="R2365" s="1" t="s">
        <v>253</v>
      </c>
      <c r="S2365" s="1" t="s">
        <v>44</v>
      </c>
      <c r="T2365" s="1" t="s">
        <v>45</v>
      </c>
      <c r="U2365" s="1">
        <v>4.8202345E8</v>
      </c>
      <c r="W2365" s="1" t="s">
        <v>46</v>
      </c>
      <c r="X2365" s="1" t="s">
        <v>45</v>
      </c>
      <c r="Y2365" s="1">
        <v>4.8202345E8</v>
      </c>
      <c r="Z2365" s="1">
        <v>7.3134603E7</v>
      </c>
      <c r="AA2365" s="1" t="s">
        <v>41</v>
      </c>
      <c r="AB2365" s="1">
        <v>50761.81</v>
      </c>
      <c r="AC2365" s="2">
        <v>41913.0</v>
      </c>
      <c r="AD2365" s="1">
        <v>7500.0</v>
      </c>
      <c r="AE2365" s="1" t="s">
        <v>40</v>
      </c>
      <c r="AF2365" s="1">
        <v>2.0151237E7</v>
      </c>
      <c r="AG2365" s="1" t="s">
        <v>4015</v>
      </c>
      <c r="AH2365" s="1">
        <v>10.0</v>
      </c>
      <c r="AI2365" s="1">
        <v>2011.0</v>
      </c>
      <c r="AJ2365" s="1">
        <v>2015.0</v>
      </c>
      <c r="AK2365" s="1" t="s">
        <v>4003</v>
      </c>
    </row>
    <row r="2366">
      <c r="A2366" s="1" t="s">
        <v>4013</v>
      </c>
      <c r="B2366" s="1" t="s">
        <v>4013</v>
      </c>
      <c r="C2366" s="1" t="s">
        <v>63</v>
      </c>
      <c r="E2366" s="1">
        <v>1.9608108E7</v>
      </c>
      <c r="F2366" s="2">
        <v>41913.0</v>
      </c>
      <c r="G2366" s="1" t="s">
        <v>4014</v>
      </c>
      <c r="I2366" s="1" t="s">
        <v>4014</v>
      </c>
      <c r="L2366" s="1" t="s">
        <v>40</v>
      </c>
      <c r="M2366" s="1">
        <v>7500.0</v>
      </c>
      <c r="N2366" s="1" t="s">
        <v>40</v>
      </c>
      <c r="O2366" s="1">
        <v>8.48764171E8</v>
      </c>
      <c r="P2366" s="1" t="s">
        <v>1050</v>
      </c>
      <c r="Q2366" s="1" t="s">
        <v>1051</v>
      </c>
      <c r="R2366" s="1" t="s">
        <v>4020</v>
      </c>
      <c r="S2366" s="1" t="s">
        <v>44</v>
      </c>
      <c r="T2366" s="1" t="s">
        <v>45</v>
      </c>
      <c r="U2366" s="1">
        <v>4.82023042E8</v>
      </c>
      <c r="W2366" s="1" t="s">
        <v>46</v>
      </c>
      <c r="X2366" s="1" t="s">
        <v>45</v>
      </c>
      <c r="Y2366" s="1">
        <v>4.820741E8</v>
      </c>
      <c r="Z2366" s="1">
        <v>6.05058478E8</v>
      </c>
      <c r="AA2366" s="1" t="s">
        <v>2788</v>
      </c>
      <c r="AB2366" s="1">
        <v>26319.59</v>
      </c>
      <c r="AC2366" s="2">
        <v>41913.0</v>
      </c>
      <c r="AD2366" s="1">
        <v>7500.0</v>
      </c>
      <c r="AE2366" s="1" t="s">
        <v>40</v>
      </c>
      <c r="AF2366" s="1">
        <v>2.0150656E7</v>
      </c>
      <c r="AG2366" s="1" t="s">
        <v>4015</v>
      </c>
      <c r="AH2366" s="1">
        <v>10.0</v>
      </c>
      <c r="AI2366" s="1">
        <v>2011.0</v>
      </c>
      <c r="AJ2366" s="1">
        <v>2015.0</v>
      </c>
      <c r="AK2366" s="1" t="s">
        <v>4003</v>
      </c>
    </row>
    <row r="2367">
      <c r="A2367" s="1" t="s">
        <v>4013</v>
      </c>
      <c r="B2367" s="1" t="s">
        <v>4013</v>
      </c>
      <c r="C2367" s="1" t="s">
        <v>63</v>
      </c>
      <c r="E2367" s="1">
        <v>1.9608108E7</v>
      </c>
      <c r="F2367" s="2">
        <v>41913.0</v>
      </c>
      <c r="G2367" s="1" t="s">
        <v>4014</v>
      </c>
      <c r="I2367" s="1" t="s">
        <v>4014</v>
      </c>
      <c r="L2367" s="1" t="s">
        <v>40</v>
      </c>
      <c r="M2367" s="1">
        <v>7500.0</v>
      </c>
      <c r="N2367" s="1" t="s">
        <v>40</v>
      </c>
      <c r="O2367" s="1">
        <v>1962224.0</v>
      </c>
      <c r="P2367" s="1" t="s">
        <v>52</v>
      </c>
      <c r="Q2367" s="1" t="s">
        <v>1408</v>
      </c>
      <c r="R2367" s="1" t="s">
        <v>1885</v>
      </c>
      <c r="S2367" s="1" t="s">
        <v>44</v>
      </c>
      <c r="T2367" s="1" t="s">
        <v>45</v>
      </c>
      <c r="U2367" s="1">
        <v>4.82021347E8</v>
      </c>
      <c r="W2367" s="1" t="s">
        <v>46</v>
      </c>
      <c r="X2367" s="1" t="s">
        <v>45</v>
      </c>
      <c r="Y2367" s="1">
        <v>4.82023692E8</v>
      </c>
      <c r="Z2367" s="1">
        <v>1962224.0</v>
      </c>
      <c r="AA2367" s="1" t="s">
        <v>52</v>
      </c>
      <c r="AB2367" s="1">
        <v>31680.0</v>
      </c>
      <c r="AC2367" s="2">
        <v>41913.0</v>
      </c>
      <c r="AD2367" s="1">
        <v>7500.0</v>
      </c>
      <c r="AE2367" s="1" t="s">
        <v>40</v>
      </c>
      <c r="AF2367" s="1">
        <v>2.0151662E7</v>
      </c>
      <c r="AG2367" s="1" t="s">
        <v>4015</v>
      </c>
      <c r="AH2367" s="1">
        <v>10.0</v>
      </c>
      <c r="AI2367" s="1">
        <v>2011.0</v>
      </c>
      <c r="AJ2367" s="1">
        <v>2015.0</v>
      </c>
      <c r="AK2367" s="1" t="s">
        <v>4003</v>
      </c>
    </row>
    <row r="2368">
      <c r="A2368" s="1" t="s">
        <v>4013</v>
      </c>
      <c r="B2368" s="1" t="s">
        <v>4013</v>
      </c>
      <c r="C2368" s="1" t="s">
        <v>63</v>
      </c>
      <c r="E2368" s="1">
        <v>1.9608108E7</v>
      </c>
      <c r="F2368" s="2">
        <v>41913.0</v>
      </c>
      <c r="G2368" s="1" t="s">
        <v>4014</v>
      </c>
      <c r="I2368" s="1" t="s">
        <v>4014</v>
      </c>
      <c r="L2368" s="1" t="s">
        <v>40</v>
      </c>
      <c r="M2368" s="1">
        <v>7500.0</v>
      </c>
      <c r="N2368" s="1" t="s">
        <v>40</v>
      </c>
      <c r="O2368" s="1">
        <v>1.0107139E7</v>
      </c>
      <c r="P2368" s="1" t="s">
        <v>4021</v>
      </c>
      <c r="Q2368" s="1" t="s">
        <v>2335</v>
      </c>
      <c r="R2368" s="1" t="s">
        <v>4023</v>
      </c>
      <c r="S2368" s="1" t="s">
        <v>44</v>
      </c>
      <c r="T2368" s="1" t="s">
        <v>45</v>
      </c>
      <c r="U2368" s="1">
        <v>4.821364E8</v>
      </c>
      <c r="W2368" s="1" t="s">
        <v>46</v>
      </c>
      <c r="X2368" s="1" t="s">
        <v>45</v>
      </c>
      <c r="Y2368" s="1">
        <v>4.821364E8</v>
      </c>
      <c r="Z2368" s="1">
        <v>1.24863999E8</v>
      </c>
      <c r="AA2368" s="1" t="s">
        <v>2334</v>
      </c>
      <c r="AB2368" s="1">
        <v>6250.0</v>
      </c>
      <c r="AC2368" s="2">
        <v>41913.0</v>
      </c>
      <c r="AD2368" s="1">
        <v>7500.0</v>
      </c>
      <c r="AE2368" s="1" t="s">
        <v>40</v>
      </c>
      <c r="AF2368" s="1">
        <v>2.0151797E7</v>
      </c>
      <c r="AG2368" s="1" t="s">
        <v>4015</v>
      </c>
      <c r="AH2368" s="1">
        <v>10.0</v>
      </c>
      <c r="AI2368" s="1">
        <v>2011.0</v>
      </c>
      <c r="AJ2368" s="1">
        <v>2015.0</v>
      </c>
      <c r="AK2368" s="1" t="s">
        <v>4003</v>
      </c>
    </row>
    <row r="2369">
      <c r="A2369" s="1" t="s">
        <v>4013</v>
      </c>
      <c r="B2369" s="1" t="s">
        <v>4013</v>
      </c>
      <c r="C2369" s="1" t="s">
        <v>63</v>
      </c>
      <c r="E2369" s="1">
        <v>1.9608108E7</v>
      </c>
      <c r="F2369" s="2">
        <v>41913.0</v>
      </c>
      <c r="G2369" s="1" t="s">
        <v>4014</v>
      </c>
      <c r="I2369" s="1" t="s">
        <v>4014</v>
      </c>
      <c r="L2369" s="1" t="s">
        <v>40</v>
      </c>
      <c r="M2369" s="1">
        <v>7500.0</v>
      </c>
      <c r="N2369" s="1" t="s">
        <v>40</v>
      </c>
      <c r="O2369" s="1">
        <v>1.98999146E8</v>
      </c>
      <c r="P2369" s="1" t="s">
        <v>999</v>
      </c>
      <c r="Q2369" s="1" t="s">
        <v>4029</v>
      </c>
      <c r="R2369" s="1" t="s">
        <v>1000</v>
      </c>
      <c r="S2369" s="1" t="s">
        <v>44</v>
      </c>
      <c r="T2369" s="1" t="s">
        <v>45</v>
      </c>
      <c r="U2369" s="1">
        <v>4.82263007E8</v>
      </c>
      <c r="W2369" s="1" t="s">
        <v>46</v>
      </c>
      <c r="X2369" s="1" t="s">
        <v>45</v>
      </c>
      <c r="Y2369" s="1">
        <v>4.82263007E8</v>
      </c>
      <c r="Z2369" s="1">
        <v>1.40133393E8</v>
      </c>
      <c r="AA2369" s="1" t="s">
        <v>4028</v>
      </c>
      <c r="AB2369" s="1">
        <v>28525.01</v>
      </c>
      <c r="AC2369" s="2">
        <v>41913.0</v>
      </c>
      <c r="AD2369" s="1">
        <v>7500.0</v>
      </c>
      <c r="AE2369" s="1" t="s">
        <v>40</v>
      </c>
      <c r="AF2369" s="1">
        <v>2.0150666E7</v>
      </c>
      <c r="AG2369" s="1" t="s">
        <v>4015</v>
      </c>
      <c r="AH2369" s="1">
        <v>10.0</v>
      </c>
      <c r="AI2369" s="1">
        <v>2011.0</v>
      </c>
      <c r="AJ2369" s="1">
        <v>2015.0</v>
      </c>
      <c r="AK2369" s="1" t="s">
        <v>4003</v>
      </c>
    </row>
    <row r="2370">
      <c r="A2370" s="1" t="s">
        <v>4013</v>
      </c>
      <c r="B2370" s="1" t="s">
        <v>4013</v>
      </c>
      <c r="C2370" s="1" t="s">
        <v>63</v>
      </c>
      <c r="E2370" s="1">
        <v>1.9608108E7</v>
      </c>
      <c r="F2370" s="2">
        <v>41913.0</v>
      </c>
      <c r="G2370" s="1" t="s">
        <v>4014</v>
      </c>
      <c r="I2370" s="1" t="s">
        <v>4014</v>
      </c>
      <c r="L2370" s="1" t="s">
        <v>40</v>
      </c>
      <c r="M2370" s="1">
        <v>7500.0</v>
      </c>
      <c r="N2370" s="1" t="s">
        <v>40</v>
      </c>
      <c r="O2370" s="1">
        <v>2.0830303E7</v>
      </c>
      <c r="P2370" s="1" t="s">
        <v>424</v>
      </c>
      <c r="Q2370" s="1" t="s">
        <v>425</v>
      </c>
      <c r="R2370" s="1" t="s">
        <v>426</v>
      </c>
      <c r="S2370" s="1" t="s">
        <v>44</v>
      </c>
      <c r="T2370" s="1" t="s">
        <v>45</v>
      </c>
      <c r="U2370" s="1">
        <v>4.82012002E8</v>
      </c>
      <c r="W2370" s="1" t="s">
        <v>46</v>
      </c>
      <c r="X2370" s="1" t="s">
        <v>45</v>
      </c>
      <c r="Y2370" s="1">
        <v>4.82012002E8</v>
      </c>
      <c r="Z2370" s="1">
        <v>2.0830303E7</v>
      </c>
      <c r="AA2370" s="1" t="s">
        <v>424</v>
      </c>
      <c r="AB2370" s="1">
        <v>22037.0</v>
      </c>
      <c r="AC2370" s="2">
        <v>41913.0</v>
      </c>
      <c r="AD2370" s="1">
        <v>7500.0</v>
      </c>
      <c r="AE2370" s="1" t="s">
        <v>40</v>
      </c>
      <c r="AF2370" s="1">
        <v>2.0150694E7</v>
      </c>
      <c r="AG2370" s="1" t="s">
        <v>4015</v>
      </c>
      <c r="AH2370" s="1">
        <v>10.0</v>
      </c>
      <c r="AI2370" s="1">
        <v>2011.0</v>
      </c>
      <c r="AJ2370" s="1">
        <v>2015.0</v>
      </c>
      <c r="AK2370" s="1" t="s">
        <v>4003</v>
      </c>
    </row>
    <row r="2371">
      <c r="A2371" s="1" t="s">
        <v>4013</v>
      </c>
      <c r="B2371" s="1" t="s">
        <v>4013</v>
      </c>
      <c r="C2371" s="1" t="s">
        <v>63</v>
      </c>
      <c r="E2371" s="1">
        <v>1.9608108E7</v>
      </c>
      <c r="F2371" s="2">
        <v>41913.0</v>
      </c>
      <c r="G2371" s="1" t="s">
        <v>4014</v>
      </c>
      <c r="I2371" s="1" t="s">
        <v>4014</v>
      </c>
      <c r="L2371" s="1" t="s">
        <v>40</v>
      </c>
      <c r="M2371" s="1">
        <v>7500.0</v>
      </c>
      <c r="N2371" s="1" t="s">
        <v>40</v>
      </c>
      <c r="O2371" s="1">
        <v>1.98999146E8</v>
      </c>
      <c r="P2371" s="1" t="s">
        <v>999</v>
      </c>
      <c r="Q2371" s="1" t="s">
        <v>4044</v>
      </c>
      <c r="R2371" s="1" t="s">
        <v>1000</v>
      </c>
      <c r="S2371" s="1" t="s">
        <v>44</v>
      </c>
      <c r="T2371" s="1" t="s">
        <v>45</v>
      </c>
      <c r="U2371" s="1">
        <v>4.82263007E8</v>
      </c>
      <c r="W2371" s="1" t="s">
        <v>46</v>
      </c>
      <c r="X2371" s="1" t="s">
        <v>45</v>
      </c>
      <c r="Y2371" s="1">
        <v>4.82263007E8</v>
      </c>
      <c r="Z2371" s="1">
        <v>2.0885463E7</v>
      </c>
      <c r="AA2371" s="1" t="s">
        <v>4045</v>
      </c>
      <c r="AB2371" s="1">
        <v>53027.0</v>
      </c>
      <c r="AC2371" s="2">
        <v>41913.0</v>
      </c>
      <c r="AD2371" s="1">
        <v>7500.0</v>
      </c>
      <c r="AE2371" s="1" t="s">
        <v>40</v>
      </c>
      <c r="AF2371" s="1">
        <v>2.0150666E7</v>
      </c>
      <c r="AG2371" s="1" t="s">
        <v>4015</v>
      </c>
      <c r="AH2371" s="1">
        <v>10.0</v>
      </c>
      <c r="AI2371" s="1">
        <v>2011.0</v>
      </c>
      <c r="AJ2371" s="1">
        <v>2015.0</v>
      </c>
      <c r="AK2371" s="1" t="s">
        <v>4003</v>
      </c>
    </row>
    <row r="2372">
      <c r="A2372" s="1" t="s">
        <v>4013</v>
      </c>
      <c r="B2372" s="1" t="s">
        <v>4013</v>
      </c>
      <c r="C2372" s="1" t="s">
        <v>63</v>
      </c>
      <c r="E2372" s="1">
        <v>1.9608108E7</v>
      </c>
      <c r="F2372" s="2">
        <v>41913.0</v>
      </c>
      <c r="G2372" s="1" t="s">
        <v>4014</v>
      </c>
      <c r="I2372" s="1" t="s">
        <v>4014</v>
      </c>
      <c r="L2372" s="1" t="s">
        <v>40</v>
      </c>
      <c r="M2372" s="1">
        <v>7500.0</v>
      </c>
      <c r="N2372" s="1" t="s">
        <v>40</v>
      </c>
      <c r="O2372" s="1">
        <v>8.48764171E8</v>
      </c>
      <c r="P2372" s="1" t="s">
        <v>1050</v>
      </c>
      <c r="Q2372" s="1" t="s">
        <v>1051</v>
      </c>
      <c r="R2372" s="1" t="s">
        <v>4020</v>
      </c>
      <c r="S2372" s="1" t="s">
        <v>44</v>
      </c>
      <c r="T2372" s="1" t="s">
        <v>45</v>
      </c>
      <c r="U2372" s="1">
        <v>4.82023042E8</v>
      </c>
      <c r="W2372" s="1" t="s">
        <v>46</v>
      </c>
      <c r="X2372" s="1" t="s">
        <v>45</v>
      </c>
      <c r="Y2372" s="1">
        <v>4.820741E8</v>
      </c>
      <c r="AB2372" s="1">
        <v>41840.0</v>
      </c>
      <c r="AC2372" s="2">
        <v>41913.0</v>
      </c>
      <c r="AD2372" s="1">
        <v>7500.0</v>
      </c>
      <c r="AE2372" s="1" t="s">
        <v>40</v>
      </c>
      <c r="AF2372" s="1">
        <v>2.0150657E7</v>
      </c>
      <c r="AG2372" s="1" t="s">
        <v>4015</v>
      </c>
      <c r="AH2372" s="1">
        <v>10.0</v>
      </c>
      <c r="AI2372" s="1">
        <v>2011.0</v>
      </c>
      <c r="AJ2372" s="1">
        <v>2015.0</v>
      </c>
      <c r="AK2372" s="1" t="s">
        <v>4003</v>
      </c>
    </row>
    <row r="2373">
      <c r="A2373" s="1" t="s">
        <v>4013</v>
      </c>
      <c r="B2373" s="1" t="s">
        <v>4013</v>
      </c>
      <c r="C2373" s="1" t="s">
        <v>63</v>
      </c>
      <c r="E2373" s="1">
        <v>1.9608108E7</v>
      </c>
      <c r="F2373" s="2">
        <v>41548.0</v>
      </c>
      <c r="G2373" s="1" t="s">
        <v>4014</v>
      </c>
      <c r="I2373" s="1" t="s">
        <v>4014</v>
      </c>
      <c r="L2373" s="1" t="s">
        <v>40</v>
      </c>
      <c r="M2373" s="1">
        <v>7500.0</v>
      </c>
      <c r="N2373" s="1" t="s">
        <v>40</v>
      </c>
      <c r="O2373" s="1">
        <v>3.8775243E7</v>
      </c>
      <c r="P2373" s="1" t="s">
        <v>209</v>
      </c>
      <c r="Q2373" s="1" t="s">
        <v>210</v>
      </c>
      <c r="R2373" s="1" t="s">
        <v>211</v>
      </c>
      <c r="S2373" s="1" t="s">
        <v>44</v>
      </c>
      <c r="T2373" s="1" t="s">
        <v>45</v>
      </c>
      <c r="U2373" s="1">
        <v>4.82023068E8</v>
      </c>
      <c r="W2373" s="1" t="s">
        <v>46</v>
      </c>
      <c r="X2373" s="1" t="s">
        <v>45</v>
      </c>
      <c r="Y2373" s="1">
        <v>4.82023068E8</v>
      </c>
      <c r="Z2373" s="1">
        <v>3.8775243E7</v>
      </c>
      <c r="AA2373" s="1" t="s">
        <v>209</v>
      </c>
      <c r="AB2373" s="1">
        <v>232.97</v>
      </c>
      <c r="AC2373" s="2">
        <v>41548.0</v>
      </c>
      <c r="AD2373" s="1">
        <v>7500.0</v>
      </c>
      <c r="AE2373" s="1" t="s">
        <v>40</v>
      </c>
      <c r="AF2373" s="1">
        <v>2.0140714E7</v>
      </c>
      <c r="AG2373" s="1" t="s">
        <v>4015</v>
      </c>
      <c r="AH2373" s="1">
        <v>10.0</v>
      </c>
      <c r="AI2373" s="1">
        <v>2011.0</v>
      </c>
      <c r="AJ2373" s="1">
        <v>2014.0</v>
      </c>
      <c r="AK2373" s="1" t="s">
        <v>4003</v>
      </c>
    </row>
    <row r="2374">
      <c r="A2374" s="1" t="s">
        <v>4013</v>
      </c>
      <c r="B2374" s="1" t="s">
        <v>4013</v>
      </c>
      <c r="C2374" s="1" t="s">
        <v>63</v>
      </c>
      <c r="E2374" s="1">
        <v>1.9608108E7</v>
      </c>
      <c r="F2374" s="2">
        <v>41548.0</v>
      </c>
      <c r="G2374" s="1" t="s">
        <v>4014</v>
      </c>
      <c r="I2374" s="1" t="s">
        <v>4014</v>
      </c>
      <c r="L2374" s="1" t="s">
        <v>40</v>
      </c>
      <c r="M2374" s="1">
        <v>7500.0</v>
      </c>
      <c r="N2374" s="1" t="s">
        <v>40</v>
      </c>
      <c r="O2374" s="1">
        <v>1.43407687E8</v>
      </c>
      <c r="P2374" s="1" t="s">
        <v>4016</v>
      </c>
      <c r="Q2374" s="1" t="s">
        <v>425</v>
      </c>
      <c r="R2374" s="1" t="s">
        <v>4018</v>
      </c>
      <c r="S2374" s="1" t="s">
        <v>44</v>
      </c>
      <c r="T2374" s="1" t="s">
        <v>45</v>
      </c>
      <c r="U2374" s="1">
        <v>4.82023042E8</v>
      </c>
      <c r="W2374" s="1" t="s">
        <v>46</v>
      </c>
      <c r="X2374" s="1" t="s">
        <v>45</v>
      </c>
      <c r="Y2374" s="1">
        <v>4.820741E8</v>
      </c>
      <c r="Z2374" s="1">
        <v>2.0830303E7</v>
      </c>
      <c r="AA2374" s="1" t="s">
        <v>424</v>
      </c>
      <c r="AB2374" s="1">
        <v>23724.93</v>
      </c>
      <c r="AC2374" s="2">
        <v>41548.0</v>
      </c>
      <c r="AD2374" s="1">
        <v>7500.0</v>
      </c>
      <c r="AE2374" s="1" t="s">
        <v>40</v>
      </c>
      <c r="AF2374" s="1">
        <v>2.0141553E7</v>
      </c>
      <c r="AG2374" s="1" t="s">
        <v>4015</v>
      </c>
      <c r="AH2374" s="1">
        <v>10.0</v>
      </c>
      <c r="AI2374" s="1">
        <v>2011.0</v>
      </c>
      <c r="AJ2374" s="1">
        <v>2014.0</v>
      </c>
      <c r="AK2374" s="1" t="s">
        <v>4003</v>
      </c>
    </row>
    <row r="2375">
      <c r="A2375" s="1" t="s">
        <v>4013</v>
      </c>
      <c r="B2375" s="1" t="s">
        <v>4013</v>
      </c>
      <c r="C2375" s="1" t="s">
        <v>63</v>
      </c>
      <c r="E2375" s="1">
        <v>1.9608108E7</v>
      </c>
      <c r="F2375" s="2">
        <v>41548.0</v>
      </c>
      <c r="G2375" s="1" t="s">
        <v>4014</v>
      </c>
      <c r="I2375" s="1" t="s">
        <v>4014</v>
      </c>
      <c r="L2375" s="1" t="s">
        <v>40</v>
      </c>
      <c r="M2375" s="1">
        <v>7500.0</v>
      </c>
      <c r="N2375" s="1" t="s">
        <v>40</v>
      </c>
      <c r="O2375" s="1">
        <v>8.48764171E8</v>
      </c>
      <c r="P2375" s="1" t="s">
        <v>1050</v>
      </c>
      <c r="Q2375" s="1" t="s">
        <v>1051</v>
      </c>
      <c r="R2375" s="1" t="s">
        <v>4020</v>
      </c>
      <c r="S2375" s="1" t="s">
        <v>44</v>
      </c>
      <c r="T2375" s="1" t="s">
        <v>45</v>
      </c>
      <c r="U2375" s="1">
        <v>4.82023042E8</v>
      </c>
      <c r="W2375" s="1" t="s">
        <v>46</v>
      </c>
      <c r="X2375" s="1" t="s">
        <v>45</v>
      </c>
      <c r="Y2375" s="1">
        <v>4.820741E8</v>
      </c>
      <c r="AB2375" s="1">
        <v>5082.0</v>
      </c>
      <c r="AC2375" s="2">
        <v>41548.0</v>
      </c>
      <c r="AD2375" s="1">
        <v>7500.0</v>
      </c>
      <c r="AE2375" s="1" t="s">
        <v>40</v>
      </c>
      <c r="AF2375" s="1">
        <v>2.0141544E7</v>
      </c>
      <c r="AG2375" s="1" t="s">
        <v>4015</v>
      </c>
      <c r="AH2375" s="1">
        <v>10.0</v>
      </c>
      <c r="AI2375" s="1">
        <v>2011.0</v>
      </c>
      <c r="AJ2375" s="1">
        <v>2014.0</v>
      </c>
      <c r="AK2375" s="1" t="s">
        <v>4003</v>
      </c>
    </row>
    <row r="2376">
      <c r="A2376" s="1" t="s">
        <v>4013</v>
      </c>
      <c r="B2376" s="1" t="s">
        <v>4013</v>
      </c>
      <c r="C2376" s="1" t="s">
        <v>63</v>
      </c>
      <c r="E2376" s="1">
        <v>1.9608108E7</v>
      </c>
      <c r="F2376" s="2">
        <v>41548.0</v>
      </c>
      <c r="G2376" s="1" t="s">
        <v>4014</v>
      </c>
      <c r="I2376" s="1" t="s">
        <v>4014</v>
      </c>
      <c r="L2376" s="1" t="s">
        <v>40</v>
      </c>
      <c r="M2376" s="1">
        <v>7500.0</v>
      </c>
      <c r="N2376" s="1" t="s">
        <v>40</v>
      </c>
      <c r="O2376" s="1">
        <v>1.0107139E7</v>
      </c>
      <c r="P2376" s="1" t="s">
        <v>4021</v>
      </c>
      <c r="Q2376" s="1" t="s">
        <v>4046</v>
      </c>
      <c r="R2376" s="1" t="s">
        <v>4023</v>
      </c>
      <c r="S2376" s="1" t="s">
        <v>44</v>
      </c>
      <c r="T2376" s="1" t="s">
        <v>45</v>
      </c>
      <c r="U2376" s="1">
        <v>4.821364E8</v>
      </c>
      <c r="W2376" s="1" t="s">
        <v>46</v>
      </c>
      <c r="X2376" s="1" t="s">
        <v>45</v>
      </c>
      <c r="Y2376" s="1">
        <v>4.821364E8</v>
      </c>
      <c r="Z2376" s="1">
        <v>1.25919378E8</v>
      </c>
      <c r="AA2376" s="1" t="s">
        <v>2976</v>
      </c>
      <c r="AB2376" s="1">
        <v>8333.0</v>
      </c>
      <c r="AC2376" s="2">
        <v>41548.0</v>
      </c>
      <c r="AD2376" s="1">
        <v>7500.0</v>
      </c>
      <c r="AE2376" s="1" t="s">
        <v>40</v>
      </c>
      <c r="AF2376" s="1">
        <v>2.0141589E7</v>
      </c>
      <c r="AG2376" s="1" t="s">
        <v>4015</v>
      </c>
      <c r="AH2376" s="1">
        <v>10.0</v>
      </c>
      <c r="AI2376" s="1">
        <v>2011.0</v>
      </c>
      <c r="AJ2376" s="1">
        <v>2014.0</v>
      </c>
      <c r="AK2376" s="1" t="s">
        <v>4003</v>
      </c>
    </row>
    <row r="2377">
      <c r="A2377" s="1" t="s">
        <v>4013</v>
      </c>
      <c r="B2377" s="1" t="s">
        <v>4013</v>
      </c>
      <c r="C2377" s="1" t="s">
        <v>63</v>
      </c>
      <c r="E2377" s="1">
        <v>1.9608108E7</v>
      </c>
      <c r="F2377" s="2">
        <v>41548.0</v>
      </c>
      <c r="G2377" s="1" t="s">
        <v>4014</v>
      </c>
      <c r="I2377" s="1" t="s">
        <v>4014</v>
      </c>
      <c r="L2377" s="1" t="s">
        <v>40</v>
      </c>
      <c r="M2377" s="1">
        <v>7500.0</v>
      </c>
      <c r="N2377" s="1" t="s">
        <v>40</v>
      </c>
      <c r="O2377" s="1">
        <v>9.4547247E7</v>
      </c>
      <c r="P2377" s="1" t="s">
        <v>2201</v>
      </c>
      <c r="Q2377" s="1" t="s">
        <v>2202</v>
      </c>
      <c r="R2377" s="1" t="s">
        <v>2203</v>
      </c>
      <c r="S2377" s="1" t="s">
        <v>44</v>
      </c>
      <c r="T2377" s="1" t="s">
        <v>45</v>
      </c>
      <c r="U2377" s="1">
        <v>4.8201241E8</v>
      </c>
      <c r="W2377" s="1" t="s">
        <v>46</v>
      </c>
      <c r="X2377" s="1" t="s">
        <v>45</v>
      </c>
      <c r="Y2377" s="1">
        <v>4.8201241E8</v>
      </c>
      <c r="Z2377" s="1">
        <v>9.4547247E7</v>
      </c>
      <c r="AA2377" s="1" t="s">
        <v>2201</v>
      </c>
      <c r="AB2377" s="1">
        <v>8333.0</v>
      </c>
      <c r="AC2377" s="2">
        <v>41548.0</v>
      </c>
      <c r="AD2377" s="1">
        <v>7500.0</v>
      </c>
      <c r="AE2377" s="1" t="s">
        <v>40</v>
      </c>
      <c r="AF2377" s="1">
        <v>2.0141591E7</v>
      </c>
      <c r="AG2377" s="1" t="s">
        <v>4015</v>
      </c>
      <c r="AH2377" s="1">
        <v>10.0</v>
      </c>
      <c r="AI2377" s="1">
        <v>2011.0</v>
      </c>
      <c r="AJ2377" s="1">
        <v>2014.0</v>
      </c>
      <c r="AK2377" s="1" t="s">
        <v>4003</v>
      </c>
    </row>
    <row r="2378">
      <c r="A2378" s="1" t="s">
        <v>4013</v>
      </c>
      <c r="B2378" s="1" t="s">
        <v>4013</v>
      </c>
      <c r="C2378" s="1" t="s">
        <v>63</v>
      </c>
      <c r="E2378" s="1">
        <v>1.9608108E7</v>
      </c>
      <c r="F2378" s="2">
        <v>41548.0</v>
      </c>
      <c r="G2378" s="1" t="s">
        <v>4014</v>
      </c>
      <c r="I2378" s="1" t="s">
        <v>4014</v>
      </c>
      <c r="L2378" s="1" t="s">
        <v>40</v>
      </c>
      <c r="M2378" s="1">
        <v>7500.0</v>
      </c>
      <c r="N2378" s="1" t="s">
        <v>40</v>
      </c>
      <c r="O2378" s="1">
        <v>1962224.0</v>
      </c>
      <c r="P2378" s="1" t="s">
        <v>52</v>
      </c>
      <c r="Q2378" s="1" t="s">
        <v>1051</v>
      </c>
      <c r="R2378" s="1" t="s">
        <v>1885</v>
      </c>
      <c r="S2378" s="1" t="s">
        <v>44</v>
      </c>
      <c r="T2378" s="1" t="s">
        <v>45</v>
      </c>
      <c r="U2378" s="1">
        <v>4.82021347E8</v>
      </c>
      <c r="W2378" s="1" t="s">
        <v>46</v>
      </c>
      <c r="X2378" s="1" t="s">
        <v>45</v>
      </c>
      <c r="Y2378" s="1">
        <v>4.82023692E8</v>
      </c>
      <c r="Z2378" s="1">
        <v>1962224.0</v>
      </c>
      <c r="AA2378" s="1" t="s">
        <v>52</v>
      </c>
      <c r="AB2378" s="1">
        <v>17232.19</v>
      </c>
      <c r="AC2378" s="2">
        <v>41548.0</v>
      </c>
      <c r="AD2378" s="1">
        <v>7500.0</v>
      </c>
      <c r="AE2378" s="1" t="s">
        <v>40</v>
      </c>
      <c r="AF2378" s="1">
        <v>2.014151E7</v>
      </c>
      <c r="AG2378" s="1" t="s">
        <v>4015</v>
      </c>
      <c r="AH2378" s="1">
        <v>10.0</v>
      </c>
      <c r="AI2378" s="1">
        <v>2011.0</v>
      </c>
      <c r="AJ2378" s="1">
        <v>2014.0</v>
      </c>
      <c r="AK2378" s="1" t="s">
        <v>4003</v>
      </c>
    </row>
    <row r="2379">
      <c r="A2379" s="1" t="s">
        <v>4013</v>
      </c>
      <c r="B2379" s="1" t="s">
        <v>4013</v>
      </c>
      <c r="C2379" s="1" t="s">
        <v>63</v>
      </c>
      <c r="E2379" s="1">
        <v>1.9608108E7</v>
      </c>
      <c r="F2379" s="2">
        <v>41183.0</v>
      </c>
      <c r="G2379" s="1" t="s">
        <v>4014</v>
      </c>
      <c r="I2379" s="1" t="s">
        <v>4014</v>
      </c>
      <c r="L2379" s="1" t="s">
        <v>40</v>
      </c>
      <c r="M2379" s="1">
        <v>7500.0</v>
      </c>
      <c r="N2379" s="1" t="s">
        <v>40</v>
      </c>
      <c r="O2379" s="1">
        <v>1962224.0</v>
      </c>
      <c r="P2379" s="1" t="s">
        <v>52</v>
      </c>
      <c r="Q2379" s="1" t="s">
        <v>425</v>
      </c>
      <c r="R2379" s="1" t="s">
        <v>1885</v>
      </c>
      <c r="S2379" s="1" t="s">
        <v>44</v>
      </c>
      <c r="T2379" s="1" t="s">
        <v>45</v>
      </c>
      <c r="U2379" s="1">
        <v>4.82021347E8</v>
      </c>
      <c r="W2379" s="1" t="s">
        <v>46</v>
      </c>
      <c r="X2379" s="1" t="s">
        <v>45</v>
      </c>
      <c r="Y2379" s="1">
        <v>4.82023692E8</v>
      </c>
      <c r="Z2379" s="1">
        <v>1962224.0</v>
      </c>
      <c r="AA2379" s="1" t="s">
        <v>52</v>
      </c>
      <c r="AB2379" s="1">
        <v>190457.11</v>
      </c>
      <c r="AC2379" s="2">
        <v>41183.0</v>
      </c>
      <c r="AD2379" s="1">
        <v>7500.0</v>
      </c>
      <c r="AE2379" s="1" t="s">
        <v>40</v>
      </c>
      <c r="AF2379" s="1">
        <v>2.0131059E7</v>
      </c>
      <c r="AG2379" s="1" t="s">
        <v>4015</v>
      </c>
      <c r="AH2379" s="1">
        <v>10.0</v>
      </c>
      <c r="AI2379" s="1">
        <v>2011.0</v>
      </c>
      <c r="AJ2379" s="1">
        <v>2013.0</v>
      </c>
      <c r="AK2379" s="1" t="s">
        <v>4003</v>
      </c>
    </row>
    <row r="2380">
      <c r="A2380" s="1" t="s">
        <v>4013</v>
      </c>
      <c r="B2380" s="1" t="s">
        <v>4013</v>
      </c>
      <c r="C2380" s="1" t="s">
        <v>63</v>
      </c>
      <c r="E2380" s="1">
        <v>1.9608108E7</v>
      </c>
      <c r="F2380" s="2">
        <v>41183.0</v>
      </c>
      <c r="G2380" s="1" t="s">
        <v>4014</v>
      </c>
      <c r="I2380" s="1" t="s">
        <v>4014</v>
      </c>
      <c r="L2380" s="1" t="s">
        <v>40</v>
      </c>
      <c r="M2380" s="1">
        <v>7500.0</v>
      </c>
      <c r="N2380" s="1" t="s">
        <v>40</v>
      </c>
      <c r="O2380" s="1">
        <v>7.90642933E8</v>
      </c>
      <c r="P2380" s="1" t="s">
        <v>1861</v>
      </c>
      <c r="Q2380" s="1" t="s">
        <v>1862</v>
      </c>
      <c r="R2380" s="1" t="s">
        <v>1863</v>
      </c>
      <c r="S2380" s="1" t="s">
        <v>44</v>
      </c>
      <c r="T2380" s="1" t="s">
        <v>45</v>
      </c>
      <c r="U2380" s="1">
        <v>4.82011908E8</v>
      </c>
      <c r="W2380" s="1" t="s">
        <v>46</v>
      </c>
      <c r="X2380" s="1" t="s">
        <v>45</v>
      </c>
      <c r="Y2380" s="1">
        <v>4.82011908E8</v>
      </c>
      <c r="Z2380" s="1">
        <v>7.90642933E8</v>
      </c>
      <c r="AA2380" s="1" t="s">
        <v>1861</v>
      </c>
      <c r="AB2380" s="1">
        <v>8333.0</v>
      </c>
      <c r="AC2380" s="2">
        <v>41183.0</v>
      </c>
      <c r="AD2380" s="1">
        <v>7500.0</v>
      </c>
      <c r="AE2380" s="1" t="s">
        <v>40</v>
      </c>
      <c r="AF2380" s="1">
        <v>2.0133164E7</v>
      </c>
      <c r="AG2380" s="1" t="s">
        <v>4015</v>
      </c>
      <c r="AH2380" s="1">
        <v>10.0</v>
      </c>
      <c r="AI2380" s="1">
        <v>2011.0</v>
      </c>
      <c r="AJ2380" s="1">
        <v>2013.0</v>
      </c>
      <c r="AK2380" s="1" t="s">
        <v>4003</v>
      </c>
    </row>
    <row r="2381">
      <c r="A2381" s="1" t="s">
        <v>4013</v>
      </c>
      <c r="B2381" s="1" t="s">
        <v>4013</v>
      </c>
      <c r="C2381" s="1" t="s">
        <v>63</v>
      </c>
      <c r="E2381" s="1">
        <v>1.9608108E7</v>
      </c>
      <c r="F2381" s="2">
        <v>41183.0</v>
      </c>
      <c r="G2381" s="1" t="s">
        <v>4014</v>
      </c>
      <c r="I2381" s="1" t="s">
        <v>4014</v>
      </c>
      <c r="L2381" s="1" t="s">
        <v>40</v>
      </c>
      <c r="M2381" s="1">
        <v>7500.0</v>
      </c>
      <c r="N2381" s="1" t="s">
        <v>40</v>
      </c>
      <c r="O2381" s="1">
        <v>1.0107139E7</v>
      </c>
      <c r="P2381" s="1" t="s">
        <v>4021</v>
      </c>
      <c r="Q2381" s="1" t="s">
        <v>2977</v>
      </c>
      <c r="R2381" s="1" t="s">
        <v>4023</v>
      </c>
      <c r="S2381" s="1" t="s">
        <v>44</v>
      </c>
      <c r="T2381" s="1" t="s">
        <v>45</v>
      </c>
      <c r="U2381" s="1">
        <v>4.821364E8</v>
      </c>
      <c r="W2381" s="1" t="s">
        <v>46</v>
      </c>
      <c r="X2381" s="1" t="s">
        <v>45</v>
      </c>
      <c r="Y2381" s="1">
        <v>4.821364E8</v>
      </c>
      <c r="AB2381" s="1">
        <v>25000.0</v>
      </c>
      <c r="AC2381" s="2">
        <v>41183.0</v>
      </c>
      <c r="AD2381" s="1">
        <v>7500.0</v>
      </c>
      <c r="AE2381" s="1" t="s">
        <v>40</v>
      </c>
      <c r="AF2381" s="1">
        <v>2.0133163E7</v>
      </c>
      <c r="AG2381" s="1" t="s">
        <v>4015</v>
      </c>
      <c r="AH2381" s="1">
        <v>10.0</v>
      </c>
      <c r="AI2381" s="1">
        <v>2011.0</v>
      </c>
      <c r="AJ2381" s="1">
        <v>2013.0</v>
      </c>
      <c r="AK2381" s="1" t="s">
        <v>4003</v>
      </c>
    </row>
    <row r="2382">
      <c r="A2382" s="1" t="s">
        <v>4013</v>
      </c>
      <c r="B2382" s="1" t="s">
        <v>4013</v>
      </c>
      <c r="C2382" s="1" t="s">
        <v>63</v>
      </c>
      <c r="E2382" s="1">
        <v>1.9608108E7</v>
      </c>
      <c r="F2382" s="2">
        <v>41183.0</v>
      </c>
      <c r="G2382" s="1" t="s">
        <v>4014</v>
      </c>
      <c r="I2382" s="1" t="s">
        <v>4014</v>
      </c>
      <c r="L2382" s="1" t="s">
        <v>40</v>
      </c>
      <c r="M2382" s="1">
        <v>7500.0</v>
      </c>
      <c r="N2382" s="1" t="s">
        <v>40</v>
      </c>
      <c r="O2382" s="1">
        <v>1.0107139E7</v>
      </c>
      <c r="P2382" s="1" t="s">
        <v>4021</v>
      </c>
      <c r="Q2382" s="1" t="s">
        <v>2563</v>
      </c>
      <c r="R2382" s="1" t="s">
        <v>4023</v>
      </c>
      <c r="S2382" s="1" t="s">
        <v>44</v>
      </c>
      <c r="T2382" s="1" t="s">
        <v>45</v>
      </c>
      <c r="U2382" s="1">
        <v>4.821364E8</v>
      </c>
      <c r="W2382" s="1" t="s">
        <v>46</v>
      </c>
      <c r="X2382" s="1" t="s">
        <v>45</v>
      </c>
      <c r="Y2382" s="1">
        <v>4.821364E8</v>
      </c>
      <c r="Z2382" s="1">
        <v>4.0574592E7</v>
      </c>
      <c r="AA2382" s="1" t="s">
        <v>2564</v>
      </c>
      <c r="AB2382" s="1">
        <v>25000.0</v>
      </c>
      <c r="AC2382" s="2">
        <v>41183.0</v>
      </c>
      <c r="AD2382" s="1">
        <v>7500.0</v>
      </c>
      <c r="AE2382" s="1" t="s">
        <v>40</v>
      </c>
      <c r="AF2382" s="1">
        <v>2.0133161E7</v>
      </c>
      <c r="AG2382" s="1" t="s">
        <v>4015</v>
      </c>
      <c r="AH2382" s="1">
        <v>10.0</v>
      </c>
      <c r="AI2382" s="1">
        <v>2011.0</v>
      </c>
      <c r="AJ2382" s="1">
        <v>2013.0</v>
      </c>
      <c r="AK2382" s="1" t="s">
        <v>4003</v>
      </c>
    </row>
    <row r="2383">
      <c r="A2383" s="1" t="s">
        <v>4013</v>
      </c>
      <c r="B2383" s="1" t="s">
        <v>4013</v>
      </c>
      <c r="C2383" s="1" t="s">
        <v>63</v>
      </c>
      <c r="E2383" s="1">
        <v>1.9608108E7</v>
      </c>
      <c r="F2383" s="2">
        <v>41183.0</v>
      </c>
      <c r="G2383" s="1" t="s">
        <v>4014</v>
      </c>
      <c r="I2383" s="1" t="s">
        <v>4014</v>
      </c>
      <c r="L2383" s="1" t="s">
        <v>40</v>
      </c>
      <c r="M2383" s="1">
        <v>7500.0</v>
      </c>
      <c r="N2383" s="1" t="s">
        <v>40</v>
      </c>
      <c r="O2383" s="1">
        <v>7.3134603E7</v>
      </c>
      <c r="P2383" s="1" t="s">
        <v>41</v>
      </c>
      <c r="Q2383" s="1" t="s">
        <v>252</v>
      </c>
      <c r="R2383" s="1" t="s">
        <v>253</v>
      </c>
      <c r="S2383" s="1" t="s">
        <v>44</v>
      </c>
      <c r="T2383" s="1" t="s">
        <v>45</v>
      </c>
      <c r="U2383" s="1">
        <v>4.8202345E8</v>
      </c>
      <c r="W2383" s="1" t="s">
        <v>46</v>
      </c>
      <c r="X2383" s="1" t="s">
        <v>45</v>
      </c>
      <c r="Y2383" s="1">
        <v>4.8202345E8</v>
      </c>
      <c r="Z2383" s="1">
        <v>7.3134603E7</v>
      </c>
      <c r="AA2383" s="1" t="s">
        <v>41</v>
      </c>
      <c r="AB2383" s="1">
        <v>166568.0</v>
      </c>
      <c r="AC2383" s="2">
        <v>41183.0</v>
      </c>
      <c r="AD2383" s="1">
        <v>7500.0</v>
      </c>
      <c r="AE2383" s="1" t="s">
        <v>40</v>
      </c>
      <c r="AF2383" s="1">
        <v>2.0130114E7</v>
      </c>
      <c r="AG2383" s="1" t="s">
        <v>4015</v>
      </c>
      <c r="AH2383" s="1">
        <v>10.0</v>
      </c>
      <c r="AI2383" s="1">
        <v>2011.0</v>
      </c>
      <c r="AJ2383" s="1">
        <v>2013.0</v>
      </c>
      <c r="AK2383" s="1" t="s">
        <v>4003</v>
      </c>
    </row>
    <row r="2384">
      <c r="A2384" s="1" t="s">
        <v>4013</v>
      </c>
      <c r="B2384" s="1" t="s">
        <v>4013</v>
      </c>
      <c r="C2384" s="1" t="s">
        <v>63</v>
      </c>
      <c r="E2384" s="1">
        <v>1.9608108E7</v>
      </c>
      <c r="F2384" s="2">
        <v>41183.0</v>
      </c>
      <c r="G2384" s="1" t="s">
        <v>4014</v>
      </c>
      <c r="I2384" s="1" t="s">
        <v>4014</v>
      </c>
      <c r="L2384" s="1" t="s">
        <v>40</v>
      </c>
      <c r="M2384" s="1">
        <v>7500.0</v>
      </c>
      <c r="N2384" s="1" t="s">
        <v>40</v>
      </c>
      <c r="O2384" s="1">
        <v>1.40133393E8</v>
      </c>
      <c r="P2384" s="1" t="s">
        <v>4028</v>
      </c>
      <c r="Q2384" s="1" t="s">
        <v>4029</v>
      </c>
      <c r="R2384" s="1" t="s">
        <v>4030</v>
      </c>
      <c r="S2384" s="1" t="s">
        <v>44</v>
      </c>
      <c r="T2384" s="1" t="s">
        <v>45</v>
      </c>
      <c r="U2384" s="1">
        <v>4.82353724E8</v>
      </c>
      <c r="W2384" s="1" t="s">
        <v>46</v>
      </c>
      <c r="X2384" s="1" t="s">
        <v>45</v>
      </c>
      <c r="Y2384" s="1">
        <v>4.82353724E8</v>
      </c>
      <c r="Z2384" s="1">
        <v>1.40133393E8</v>
      </c>
      <c r="AA2384" s="1" t="s">
        <v>4028</v>
      </c>
      <c r="AB2384" s="1">
        <v>168701.0</v>
      </c>
      <c r="AC2384" s="2">
        <v>41183.0</v>
      </c>
      <c r="AD2384" s="1">
        <v>7500.0</v>
      </c>
      <c r="AE2384" s="1" t="s">
        <v>40</v>
      </c>
      <c r="AF2384" s="1">
        <v>2.0130217E7</v>
      </c>
      <c r="AG2384" s="1" t="s">
        <v>4015</v>
      </c>
      <c r="AH2384" s="1">
        <v>10.0</v>
      </c>
      <c r="AI2384" s="1">
        <v>2011.0</v>
      </c>
      <c r="AJ2384" s="1">
        <v>2013.0</v>
      </c>
      <c r="AK2384" s="1" t="s">
        <v>4003</v>
      </c>
    </row>
    <row r="2385">
      <c r="A2385" s="1" t="s">
        <v>4013</v>
      </c>
      <c r="B2385" s="1" t="s">
        <v>4013</v>
      </c>
      <c r="C2385" s="1" t="s">
        <v>63</v>
      </c>
      <c r="E2385" s="1">
        <v>1.9608108E7</v>
      </c>
      <c r="F2385" s="2">
        <v>41183.0</v>
      </c>
      <c r="G2385" s="1" t="s">
        <v>4014</v>
      </c>
      <c r="I2385" s="1" t="s">
        <v>4014</v>
      </c>
      <c r="L2385" s="1" t="s">
        <v>40</v>
      </c>
      <c r="M2385" s="1">
        <v>7500.0</v>
      </c>
      <c r="N2385" s="1" t="s">
        <v>40</v>
      </c>
      <c r="O2385" s="1">
        <v>3.8775243E7</v>
      </c>
      <c r="P2385" s="1" t="s">
        <v>209</v>
      </c>
      <c r="Q2385" s="1" t="s">
        <v>210</v>
      </c>
      <c r="R2385" s="1" t="s">
        <v>211</v>
      </c>
      <c r="S2385" s="1" t="s">
        <v>44</v>
      </c>
      <c r="T2385" s="1" t="s">
        <v>45</v>
      </c>
      <c r="U2385" s="1">
        <v>4.82023068E8</v>
      </c>
      <c r="W2385" s="1" t="s">
        <v>46</v>
      </c>
      <c r="X2385" s="1" t="s">
        <v>45</v>
      </c>
      <c r="Y2385" s="1">
        <v>4.82023068E8</v>
      </c>
      <c r="Z2385" s="1">
        <v>3.8775243E7</v>
      </c>
      <c r="AA2385" s="1" t="s">
        <v>209</v>
      </c>
      <c r="AB2385" s="1">
        <v>88517.0</v>
      </c>
      <c r="AC2385" s="2">
        <v>41183.0</v>
      </c>
      <c r="AD2385" s="1">
        <v>7500.0</v>
      </c>
      <c r="AE2385" s="1" t="s">
        <v>40</v>
      </c>
      <c r="AF2385" s="1">
        <v>2.0131256E7</v>
      </c>
      <c r="AG2385" s="1" t="s">
        <v>4015</v>
      </c>
      <c r="AH2385" s="1">
        <v>10.0</v>
      </c>
      <c r="AI2385" s="1">
        <v>2011.0</v>
      </c>
      <c r="AJ2385" s="1">
        <v>2013.0</v>
      </c>
      <c r="AK2385" s="1" t="s">
        <v>4003</v>
      </c>
    </row>
    <row r="2386">
      <c r="A2386" s="1" t="s">
        <v>4013</v>
      </c>
      <c r="B2386" s="1" t="s">
        <v>4013</v>
      </c>
      <c r="C2386" s="1" t="s">
        <v>63</v>
      </c>
      <c r="E2386" s="1">
        <v>1.9608108E7</v>
      </c>
      <c r="F2386" s="2">
        <v>41913.0</v>
      </c>
      <c r="G2386" s="1" t="s">
        <v>4014</v>
      </c>
      <c r="I2386" s="1" t="s">
        <v>4014</v>
      </c>
      <c r="L2386" s="1" t="s">
        <v>40</v>
      </c>
      <c r="M2386" s="1">
        <v>7500.0</v>
      </c>
      <c r="N2386" s="1" t="s">
        <v>40</v>
      </c>
      <c r="O2386" s="1">
        <v>1962224.0</v>
      </c>
      <c r="P2386" s="1" t="s">
        <v>52</v>
      </c>
      <c r="R2386" s="1" t="s">
        <v>1885</v>
      </c>
      <c r="S2386" s="1" t="s">
        <v>44</v>
      </c>
      <c r="T2386" s="1" t="s">
        <v>45</v>
      </c>
      <c r="U2386" s="1">
        <v>4.82021347E8</v>
      </c>
      <c r="W2386" s="1" t="s">
        <v>46</v>
      </c>
      <c r="X2386" s="1" t="s">
        <v>45</v>
      </c>
      <c r="Y2386" s="1">
        <v>4.82023692E8</v>
      </c>
      <c r="Z2386" s="1">
        <v>1962224.0</v>
      </c>
      <c r="AA2386" s="1" t="s">
        <v>52</v>
      </c>
      <c r="AB2386" s="1">
        <v>13881.8</v>
      </c>
      <c r="AC2386" s="2">
        <v>41913.0</v>
      </c>
      <c r="AD2386" s="1">
        <v>7500.0</v>
      </c>
      <c r="AE2386" s="1" t="s">
        <v>40</v>
      </c>
      <c r="AF2386" s="1">
        <v>2.0151662E7</v>
      </c>
      <c r="AG2386" s="1" t="s">
        <v>4015</v>
      </c>
      <c r="AH2386" s="1">
        <v>10.0</v>
      </c>
      <c r="AI2386" s="1">
        <v>2011.0</v>
      </c>
      <c r="AJ2386" s="1">
        <v>2015.0</v>
      </c>
      <c r="AK2386" s="1" t="s">
        <v>4003</v>
      </c>
    </row>
    <row r="2387">
      <c r="A2387" s="1" t="s">
        <v>4013</v>
      </c>
      <c r="B2387" s="1" t="s">
        <v>4013</v>
      </c>
      <c r="C2387" s="1" t="s">
        <v>63</v>
      </c>
      <c r="E2387" s="1">
        <v>1.9608108E7</v>
      </c>
      <c r="F2387" s="2">
        <v>41183.0</v>
      </c>
      <c r="G2387" s="1" t="s">
        <v>4014</v>
      </c>
      <c r="I2387" s="1" t="s">
        <v>4014</v>
      </c>
      <c r="L2387" s="1" t="s">
        <v>40</v>
      </c>
      <c r="M2387" s="1">
        <v>7500.0</v>
      </c>
      <c r="N2387" s="1" t="s">
        <v>40</v>
      </c>
      <c r="O2387" s="1">
        <v>8.48764171E8</v>
      </c>
      <c r="P2387" s="1" t="s">
        <v>1050</v>
      </c>
      <c r="Q2387" s="1" t="s">
        <v>1051</v>
      </c>
      <c r="R2387" s="1" t="s">
        <v>4020</v>
      </c>
      <c r="S2387" s="1" t="s">
        <v>44</v>
      </c>
      <c r="T2387" s="1" t="s">
        <v>45</v>
      </c>
      <c r="U2387" s="1">
        <v>4.82023042E8</v>
      </c>
      <c r="W2387" s="1" t="s">
        <v>46</v>
      </c>
      <c r="X2387" s="1" t="s">
        <v>45</v>
      </c>
      <c r="Y2387" s="1">
        <v>4.820741E8</v>
      </c>
      <c r="Z2387" s="1">
        <v>2.0111969E7</v>
      </c>
      <c r="AA2387" s="1" t="s">
        <v>2015</v>
      </c>
      <c r="AB2387" s="1">
        <v>44030.0</v>
      </c>
      <c r="AC2387" s="2">
        <v>41183.0</v>
      </c>
      <c r="AD2387" s="1">
        <v>7500.0</v>
      </c>
      <c r="AE2387" s="1" t="s">
        <v>40</v>
      </c>
      <c r="AF2387" s="1">
        <v>2.0130227E7</v>
      </c>
      <c r="AG2387" s="1" t="s">
        <v>4015</v>
      </c>
      <c r="AH2387" s="1">
        <v>10.0</v>
      </c>
      <c r="AI2387" s="1">
        <v>2011.0</v>
      </c>
      <c r="AJ2387" s="1">
        <v>2013.0</v>
      </c>
      <c r="AK2387" s="1" t="s">
        <v>4003</v>
      </c>
    </row>
    <row r="2388">
      <c r="A2388" s="1" t="s">
        <v>4047</v>
      </c>
      <c r="B2388" s="1" t="s">
        <v>4047</v>
      </c>
      <c r="C2388" s="1" t="s">
        <v>645</v>
      </c>
      <c r="E2388" s="1">
        <v>3346681.0</v>
      </c>
      <c r="F2388" s="2">
        <v>42033.0</v>
      </c>
      <c r="G2388" s="1" t="s">
        <v>677</v>
      </c>
      <c r="I2388" s="1" t="s">
        <v>677</v>
      </c>
      <c r="L2388" s="1" t="s">
        <v>647</v>
      </c>
      <c r="M2388" s="1">
        <v>1200.0</v>
      </c>
      <c r="N2388" s="1" t="s">
        <v>647</v>
      </c>
      <c r="O2388" s="1">
        <v>7.6340843E7</v>
      </c>
      <c r="P2388" s="1" t="s">
        <v>461</v>
      </c>
      <c r="R2388" s="1" t="s">
        <v>1599</v>
      </c>
      <c r="S2388" s="1" t="s">
        <v>44</v>
      </c>
      <c r="T2388" s="1" t="s">
        <v>45</v>
      </c>
      <c r="U2388" s="1">
        <v>4.8202301E8</v>
      </c>
      <c r="W2388" s="1" t="s">
        <v>44</v>
      </c>
      <c r="X2388" s="1" t="s">
        <v>45</v>
      </c>
      <c r="Y2388" s="1">
        <v>4.82023096E8</v>
      </c>
      <c r="Z2388" s="1">
        <v>7.6340843E7</v>
      </c>
      <c r="AA2388" s="1" t="s">
        <v>461</v>
      </c>
      <c r="AB2388" s="1">
        <v>632029.0</v>
      </c>
      <c r="AC2388" s="2">
        <v>42033.0</v>
      </c>
      <c r="AD2388" s="1">
        <v>1200.0</v>
      </c>
      <c r="AE2388" s="1" t="s">
        <v>647</v>
      </c>
      <c r="AF2388" s="1" t="s">
        <v>4048</v>
      </c>
      <c r="AG2388" s="1" t="s">
        <v>712</v>
      </c>
      <c r="AH2388" s="1">
        <v>2.0</v>
      </c>
      <c r="AI2388" s="1">
        <v>2015.0</v>
      </c>
      <c r="AJ2388" s="1">
        <v>2015.0</v>
      </c>
      <c r="AK2388" s="1" t="s">
        <v>680</v>
      </c>
    </row>
    <row r="2389">
      <c r="A2389" s="1" t="s">
        <v>4049</v>
      </c>
      <c r="B2389" s="1" t="s">
        <v>4049</v>
      </c>
      <c r="C2389" s="1" t="s">
        <v>1281</v>
      </c>
      <c r="E2389" s="1">
        <v>155000.0</v>
      </c>
      <c r="F2389" s="2">
        <v>42005.0</v>
      </c>
      <c r="G2389" s="1" t="s">
        <v>1338</v>
      </c>
      <c r="I2389" s="1" t="s">
        <v>1338</v>
      </c>
      <c r="L2389" s="1" t="s">
        <v>1281</v>
      </c>
      <c r="M2389" s="1">
        <v>9577.0</v>
      </c>
      <c r="N2389" s="1" t="s">
        <v>1281</v>
      </c>
      <c r="O2389" s="1">
        <v>8.59555054E8</v>
      </c>
      <c r="P2389" s="1" t="s">
        <v>1339</v>
      </c>
      <c r="Q2389" s="1" t="s">
        <v>1340</v>
      </c>
      <c r="R2389" s="1" t="s">
        <v>1341</v>
      </c>
      <c r="S2389" s="1" t="s">
        <v>44</v>
      </c>
      <c r="T2389" s="1" t="s">
        <v>45</v>
      </c>
      <c r="U2389" s="1">
        <v>4.82261656E8</v>
      </c>
      <c r="W2389" s="1" t="s">
        <v>44</v>
      </c>
      <c r="X2389" s="1" t="s">
        <v>45</v>
      </c>
      <c r="Y2389" s="1">
        <v>4.82261656E8</v>
      </c>
      <c r="AB2389" s="1">
        <v>30000.0</v>
      </c>
      <c r="AC2389" s="2">
        <v>42005.0</v>
      </c>
      <c r="AD2389" s="1">
        <v>9577.0</v>
      </c>
      <c r="AE2389" s="1" t="s">
        <v>1281</v>
      </c>
      <c r="AF2389" s="1" t="s">
        <v>4050</v>
      </c>
      <c r="AG2389" s="1" t="s">
        <v>4051</v>
      </c>
      <c r="AH2389" s="1">
        <v>2.0</v>
      </c>
      <c r="AI2389" s="1">
        <v>2015.0</v>
      </c>
      <c r="AJ2389" s="1">
        <v>2015.0</v>
      </c>
      <c r="AK2389" s="1" t="s">
        <v>1344</v>
      </c>
    </row>
    <row r="2390">
      <c r="A2390" s="1" t="s">
        <v>1297</v>
      </c>
      <c r="B2390" s="1" t="s">
        <v>1297</v>
      </c>
      <c r="C2390" s="1" t="s">
        <v>1281</v>
      </c>
      <c r="E2390" s="1">
        <v>4867566.0</v>
      </c>
      <c r="F2390" s="2">
        <v>41883.0</v>
      </c>
      <c r="G2390" s="1" t="s">
        <v>2610</v>
      </c>
      <c r="I2390" s="1" t="s">
        <v>2610</v>
      </c>
      <c r="L2390" s="1" t="s">
        <v>1281</v>
      </c>
      <c r="M2390" s="1">
        <v>9577.0</v>
      </c>
      <c r="N2390" s="1" t="s">
        <v>1281</v>
      </c>
      <c r="O2390" s="1">
        <v>1.5900083E8</v>
      </c>
      <c r="P2390" s="1" t="s">
        <v>1292</v>
      </c>
      <c r="R2390" s="1" t="s">
        <v>1293</v>
      </c>
      <c r="S2390" s="1" t="s">
        <v>44</v>
      </c>
      <c r="T2390" s="1" t="s">
        <v>45</v>
      </c>
      <c r="U2390" s="1">
        <v>4.82022715E8</v>
      </c>
      <c r="W2390" s="1" t="s">
        <v>46</v>
      </c>
      <c r="X2390" s="1" t="s">
        <v>45</v>
      </c>
      <c r="Y2390" s="1">
        <v>4.82022715E8</v>
      </c>
      <c r="AB2390" s="1">
        <v>318874.0</v>
      </c>
      <c r="AC2390" s="2">
        <v>41883.0</v>
      </c>
      <c r="AD2390" s="1">
        <v>9577.0</v>
      </c>
      <c r="AE2390" s="1" t="s">
        <v>1281</v>
      </c>
      <c r="AF2390" s="1" t="s">
        <v>2793</v>
      </c>
      <c r="AG2390" s="1" t="s">
        <v>1300</v>
      </c>
      <c r="AH2390" s="1">
        <v>2.0</v>
      </c>
      <c r="AI2390" s="1">
        <v>2015.0</v>
      </c>
      <c r="AJ2390" s="1">
        <v>2014.0</v>
      </c>
      <c r="AK2390" s="1" t="s">
        <v>1301</v>
      </c>
    </row>
    <row r="2391">
      <c r="A2391" s="1" t="s">
        <v>4033</v>
      </c>
      <c r="B2391" s="1" t="s">
        <v>4033</v>
      </c>
      <c r="C2391" s="1" t="s">
        <v>63</v>
      </c>
      <c r="E2391" s="1">
        <v>7.6172144E7</v>
      </c>
      <c r="F2391" s="2">
        <v>41548.0</v>
      </c>
      <c r="G2391" s="1" t="s">
        <v>4034</v>
      </c>
      <c r="I2391" s="1" t="s">
        <v>4034</v>
      </c>
      <c r="L2391" s="1" t="s">
        <v>40</v>
      </c>
      <c r="M2391" s="1">
        <v>7500.0</v>
      </c>
      <c r="N2391" s="1" t="s">
        <v>40</v>
      </c>
      <c r="O2391" s="1">
        <v>1.7406606E7</v>
      </c>
      <c r="P2391" s="1" t="s">
        <v>1574</v>
      </c>
      <c r="Q2391" s="1" t="s">
        <v>1408</v>
      </c>
      <c r="R2391" s="1" t="s">
        <v>1575</v>
      </c>
      <c r="S2391" s="1" t="s">
        <v>44</v>
      </c>
      <c r="T2391" s="1" t="s">
        <v>45</v>
      </c>
      <c r="U2391" s="1">
        <v>4.82282826E8</v>
      </c>
      <c r="W2391" s="1" t="s">
        <v>46</v>
      </c>
      <c r="X2391" s="1" t="s">
        <v>45</v>
      </c>
      <c r="Y2391" s="1">
        <v>4.82282826E8</v>
      </c>
      <c r="Z2391" s="1">
        <v>7.3134884E7</v>
      </c>
      <c r="AA2391" s="1" t="s">
        <v>1796</v>
      </c>
      <c r="AB2391" s="1">
        <v>72519.0</v>
      </c>
      <c r="AC2391" s="2">
        <v>41548.0</v>
      </c>
      <c r="AD2391" s="1">
        <v>7500.0</v>
      </c>
      <c r="AE2391" s="1" t="s">
        <v>40</v>
      </c>
      <c r="AF2391" s="1">
        <v>2.0141454E7</v>
      </c>
      <c r="AG2391" s="1" t="s">
        <v>4035</v>
      </c>
      <c r="AH2391" s="1">
        <v>10.0</v>
      </c>
      <c r="AI2391" s="1">
        <v>2011.0</v>
      </c>
      <c r="AJ2391" s="1">
        <v>2014.0</v>
      </c>
      <c r="AK2391" s="1" t="s">
        <v>4036</v>
      </c>
    </row>
    <row r="2392">
      <c r="A2392" s="1" t="s">
        <v>4013</v>
      </c>
      <c r="B2392" s="1" t="s">
        <v>4013</v>
      </c>
      <c r="C2392" s="1" t="s">
        <v>63</v>
      </c>
      <c r="E2392" s="1">
        <v>1.9608108E7</v>
      </c>
      <c r="F2392" s="2">
        <v>41913.0</v>
      </c>
      <c r="G2392" s="1" t="s">
        <v>4014</v>
      </c>
      <c r="I2392" s="1" t="s">
        <v>4014</v>
      </c>
      <c r="L2392" s="1" t="s">
        <v>40</v>
      </c>
      <c r="M2392" s="1">
        <v>7500.0</v>
      </c>
      <c r="N2392" s="1" t="s">
        <v>40</v>
      </c>
      <c r="O2392" s="1">
        <v>3.7748076E7</v>
      </c>
      <c r="P2392" s="1" t="s">
        <v>4025</v>
      </c>
      <c r="Q2392" s="1" t="s">
        <v>4026</v>
      </c>
      <c r="R2392" s="1" t="s">
        <v>4027</v>
      </c>
      <c r="S2392" s="1" t="s">
        <v>44</v>
      </c>
      <c r="T2392" s="1" t="s">
        <v>45</v>
      </c>
      <c r="U2392" s="1">
        <v>4.82012153E8</v>
      </c>
      <c r="W2392" s="1" t="s">
        <v>46</v>
      </c>
      <c r="X2392" s="1" t="s">
        <v>45</v>
      </c>
      <c r="Y2392" s="1">
        <v>4.82012153E8</v>
      </c>
      <c r="Z2392" s="1">
        <v>5.3866661E7</v>
      </c>
      <c r="AB2392" s="1">
        <v>33881.16</v>
      </c>
      <c r="AC2392" s="2">
        <v>41913.0</v>
      </c>
      <c r="AD2392" s="1">
        <v>7500.0</v>
      </c>
      <c r="AE2392" s="1" t="s">
        <v>40</v>
      </c>
      <c r="AF2392" s="1">
        <v>2.0150702E7</v>
      </c>
      <c r="AG2392" s="1" t="s">
        <v>4015</v>
      </c>
      <c r="AH2392" s="1">
        <v>10.0</v>
      </c>
      <c r="AI2392" s="1">
        <v>2011.0</v>
      </c>
      <c r="AJ2392" s="1">
        <v>2015.0</v>
      </c>
      <c r="AK2392" s="1" t="s">
        <v>4003</v>
      </c>
    </row>
    <row r="2393">
      <c r="A2393" s="1" t="s">
        <v>4013</v>
      </c>
      <c r="B2393" s="1" t="s">
        <v>4013</v>
      </c>
      <c r="C2393" s="1" t="s">
        <v>63</v>
      </c>
      <c r="E2393" s="1">
        <v>1.9608108E7</v>
      </c>
      <c r="F2393" s="2">
        <v>41913.0</v>
      </c>
      <c r="G2393" s="1" t="s">
        <v>4014</v>
      </c>
      <c r="I2393" s="1" t="s">
        <v>4014</v>
      </c>
      <c r="L2393" s="1" t="s">
        <v>40</v>
      </c>
      <c r="M2393" s="1">
        <v>7500.0</v>
      </c>
      <c r="N2393" s="1" t="s">
        <v>40</v>
      </c>
      <c r="O2393" s="1">
        <v>8.48764171E8</v>
      </c>
      <c r="P2393" s="1" t="s">
        <v>1050</v>
      </c>
      <c r="Q2393" s="1" t="s">
        <v>1051</v>
      </c>
      <c r="R2393" s="1" t="s">
        <v>4020</v>
      </c>
      <c r="S2393" s="1" t="s">
        <v>44</v>
      </c>
      <c r="T2393" s="1" t="s">
        <v>45</v>
      </c>
      <c r="U2393" s="1">
        <v>4.82023042E8</v>
      </c>
      <c r="W2393" s="1" t="s">
        <v>46</v>
      </c>
      <c r="X2393" s="1" t="s">
        <v>45</v>
      </c>
      <c r="Y2393" s="1">
        <v>4.820741E8</v>
      </c>
      <c r="Z2393" s="1">
        <v>5.480424E7</v>
      </c>
      <c r="AA2393" s="1" t="s">
        <v>2967</v>
      </c>
      <c r="AB2393" s="1">
        <v>33207.84</v>
      </c>
      <c r="AC2393" s="2">
        <v>41913.0</v>
      </c>
      <c r="AD2393" s="1">
        <v>7500.0</v>
      </c>
      <c r="AE2393" s="1" t="s">
        <v>40</v>
      </c>
      <c r="AF2393" s="1">
        <v>2.0150657E7</v>
      </c>
      <c r="AG2393" s="1" t="s">
        <v>4015</v>
      </c>
      <c r="AH2393" s="1">
        <v>10.0</v>
      </c>
      <c r="AI2393" s="1">
        <v>2011.0</v>
      </c>
      <c r="AJ2393" s="1">
        <v>2015.0</v>
      </c>
      <c r="AK2393" s="1" t="s">
        <v>4003</v>
      </c>
    </row>
    <row r="2394">
      <c r="A2394" s="1" t="s">
        <v>4013</v>
      </c>
      <c r="B2394" s="1" t="s">
        <v>4013</v>
      </c>
      <c r="C2394" s="1" t="s">
        <v>63</v>
      </c>
      <c r="E2394" s="1">
        <v>1.9608108E7</v>
      </c>
      <c r="F2394" s="2">
        <v>41548.0</v>
      </c>
      <c r="G2394" s="1" t="s">
        <v>4014</v>
      </c>
      <c r="I2394" s="1" t="s">
        <v>4014</v>
      </c>
      <c r="L2394" s="1" t="s">
        <v>40</v>
      </c>
      <c r="M2394" s="1">
        <v>7500.0</v>
      </c>
      <c r="N2394" s="1" t="s">
        <v>40</v>
      </c>
      <c r="O2394" s="1">
        <v>1.27458909E8</v>
      </c>
      <c r="P2394" s="1" t="s">
        <v>2195</v>
      </c>
      <c r="Q2394" s="1" t="s">
        <v>2974</v>
      </c>
      <c r="R2394" s="1" t="s">
        <v>2196</v>
      </c>
      <c r="S2394" s="1" t="s">
        <v>44</v>
      </c>
      <c r="T2394" s="1" t="s">
        <v>45</v>
      </c>
      <c r="U2394" s="1">
        <v>4.82012641E8</v>
      </c>
      <c r="W2394" s="1" t="s">
        <v>46</v>
      </c>
      <c r="X2394" s="1" t="s">
        <v>45</v>
      </c>
      <c r="Y2394" s="1">
        <v>4.82012641E8</v>
      </c>
      <c r="Z2394" s="1">
        <v>1.25919378E8</v>
      </c>
      <c r="AA2394" s="1" t="s">
        <v>2976</v>
      </c>
      <c r="AB2394" s="1">
        <v>31249.0</v>
      </c>
      <c r="AC2394" s="2">
        <v>41548.0</v>
      </c>
      <c r="AD2394" s="1">
        <v>7500.0</v>
      </c>
      <c r="AE2394" s="1" t="s">
        <v>40</v>
      </c>
      <c r="AF2394" s="1">
        <v>2.0141592E7</v>
      </c>
      <c r="AG2394" s="1" t="s">
        <v>4015</v>
      </c>
      <c r="AH2394" s="1">
        <v>10.0</v>
      </c>
      <c r="AI2394" s="1">
        <v>2011.0</v>
      </c>
      <c r="AJ2394" s="1">
        <v>2014.0</v>
      </c>
      <c r="AK2394" s="1" t="s">
        <v>4003</v>
      </c>
    </row>
    <row r="2395">
      <c r="A2395" s="1" t="s">
        <v>4013</v>
      </c>
      <c r="B2395" s="1" t="s">
        <v>4013</v>
      </c>
      <c r="C2395" s="1" t="s">
        <v>63</v>
      </c>
      <c r="E2395" s="1">
        <v>1.9608108E7</v>
      </c>
      <c r="F2395" s="2">
        <v>41548.0</v>
      </c>
      <c r="G2395" s="1" t="s">
        <v>4014</v>
      </c>
      <c r="I2395" s="1" t="s">
        <v>4014</v>
      </c>
      <c r="L2395" s="1" t="s">
        <v>40</v>
      </c>
      <c r="M2395" s="1">
        <v>7500.0</v>
      </c>
      <c r="N2395" s="1" t="s">
        <v>40</v>
      </c>
      <c r="O2395" s="1">
        <v>1.0107139E7</v>
      </c>
      <c r="P2395" s="1" t="s">
        <v>4021</v>
      </c>
      <c r="Q2395" s="1" t="s">
        <v>4029</v>
      </c>
      <c r="R2395" s="1" t="s">
        <v>4023</v>
      </c>
      <c r="S2395" s="1" t="s">
        <v>44</v>
      </c>
      <c r="T2395" s="1" t="s">
        <v>45</v>
      </c>
      <c r="U2395" s="1">
        <v>4.821364E8</v>
      </c>
      <c r="W2395" s="1" t="s">
        <v>46</v>
      </c>
      <c r="X2395" s="1" t="s">
        <v>45</v>
      </c>
      <c r="Y2395" s="1">
        <v>4.821364E8</v>
      </c>
      <c r="Z2395" s="1">
        <v>1.40133393E8</v>
      </c>
      <c r="AA2395" s="1" t="s">
        <v>4028</v>
      </c>
      <c r="AB2395" s="1">
        <v>25000.0</v>
      </c>
      <c r="AC2395" s="2">
        <v>41548.0</v>
      </c>
      <c r="AD2395" s="1">
        <v>7500.0</v>
      </c>
      <c r="AE2395" s="1" t="s">
        <v>40</v>
      </c>
      <c r="AF2395" s="1">
        <v>2.0141586E7</v>
      </c>
      <c r="AG2395" s="1" t="s">
        <v>4015</v>
      </c>
      <c r="AH2395" s="1">
        <v>10.0</v>
      </c>
      <c r="AI2395" s="1">
        <v>2011.0</v>
      </c>
      <c r="AJ2395" s="1">
        <v>2014.0</v>
      </c>
      <c r="AK2395" s="1" t="s">
        <v>4003</v>
      </c>
    </row>
    <row r="2396">
      <c r="A2396" s="1" t="s">
        <v>4013</v>
      </c>
      <c r="B2396" s="1" t="s">
        <v>4013</v>
      </c>
      <c r="C2396" s="1" t="s">
        <v>63</v>
      </c>
      <c r="E2396" s="1">
        <v>1.9608108E7</v>
      </c>
      <c r="F2396" s="2">
        <v>41548.0</v>
      </c>
      <c r="G2396" s="1" t="s">
        <v>4014</v>
      </c>
      <c r="I2396" s="1" t="s">
        <v>4014</v>
      </c>
      <c r="L2396" s="1" t="s">
        <v>40</v>
      </c>
      <c r="M2396" s="1">
        <v>7500.0</v>
      </c>
      <c r="N2396" s="1" t="s">
        <v>40</v>
      </c>
      <c r="O2396" s="1">
        <v>1962224.0</v>
      </c>
      <c r="P2396" s="1" t="s">
        <v>52</v>
      </c>
      <c r="Q2396" s="1" t="s">
        <v>2787</v>
      </c>
      <c r="R2396" s="1" t="s">
        <v>1885</v>
      </c>
      <c r="S2396" s="1" t="s">
        <v>44</v>
      </c>
      <c r="T2396" s="1" t="s">
        <v>45</v>
      </c>
      <c r="U2396" s="1">
        <v>4.82021347E8</v>
      </c>
      <c r="W2396" s="1" t="s">
        <v>46</v>
      </c>
      <c r="X2396" s="1" t="s">
        <v>45</v>
      </c>
      <c r="Y2396" s="1">
        <v>4.82023692E8</v>
      </c>
      <c r="Z2396" s="1">
        <v>1962224.0</v>
      </c>
      <c r="AA2396" s="1" t="s">
        <v>52</v>
      </c>
      <c r="AB2396" s="1">
        <v>106500.0</v>
      </c>
      <c r="AC2396" s="2">
        <v>41548.0</v>
      </c>
      <c r="AD2396" s="1">
        <v>7500.0</v>
      </c>
      <c r="AE2396" s="1" t="s">
        <v>40</v>
      </c>
      <c r="AF2396" s="1">
        <v>2.0141509E7</v>
      </c>
      <c r="AG2396" s="1" t="s">
        <v>4015</v>
      </c>
      <c r="AH2396" s="1">
        <v>10.0</v>
      </c>
      <c r="AI2396" s="1">
        <v>2011.0</v>
      </c>
      <c r="AJ2396" s="1">
        <v>2014.0</v>
      </c>
      <c r="AK2396" s="1" t="s">
        <v>4003</v>
      </c>
    </row>
    <row r="2397">
      <c r="A2397" s="1" t="s">
        <v>4013</v>
      </c>
      <c r="B2397" s="1" t="s">
        <v>4013</v>
      </c>
      <c r="C2397" s="1" t="s">
        <v>63</v>
      </c>
      <c r="E2397" s="1">
        <v>1.9608108E7</v>
      </c>
      <c r="F2397" s="2">
        <v>41548.0</v>
      </c>
      <c r="G2397" s="1" t="s">
        <v>4014</v>
      </c>
      <c r="I2397" s="1" t="s">
        <v>4014</v>
      </c>
      <c r="L2397" s="1" t="s">
        <v>40</v>
      </c>
      <c r="M2397" s="1">
        <v>7500.0</v>
      </c>
      <c r="N2397" s="1" t="s">
        <v>40</v>
      </c>
      <c r="O2397" s="1">
        <v>3.8775243E7</v>
      </c>
      <c r="P2397" s="1" t="s">
        <v>209</v>
      </c>
      <c r="Q2397" s="1" t="s">
        <v>210</v>
      </c>
      <c r="R2397" s="1" t="s">
        <v>211</v>
      </c>
      <c r="S2397" s="1" t="s">
        <v>44</v>
      </c>
      <c r="T2397" s="1" t="s">
        <v>45</v>
      </c>
      <c r="U2397" s="1">
        <v>4.82023068E8</v>
      </c>
      <c r="W2397" s="1" t="s">
        <v>46</v>
      </c>
      <c r="X2397" s="1" t="s">
        <v>45</v>
      </c>
      <c r="Y2397" s="1">
        <v>4.82023068E8</v>
      </c>
      <c r="Z2397" s="1">
        <v>3.8775243E7</v>
      </c>
      <c r="AA2397" s="1" t="s">
        <v>209</v>
      </c>
      <c r="AB2397" s="1">
        <v>0.0</v>
      </c>
      <c r="AC2397" s="2">
        <v>41548.0</v>
      </c>
      <c r="AD2397" s="1">
        <v>7500.0</v>
      </c>
      <c r="AE2397" s="1" t="s">
        <v>40</v>
      </c>
      <c r="AF2397" s="1">
        <v>2.0140714E7</v>
      </c>
      <c r="AG2397" s="1" t="s">
        <v>4015</v>
      </c>
      <c r="AH2397" s="1">
        <v>10.0</v>
      </c>
      <c r="AI2397" s="1">
        <v>2011.0</v>
      </c>
      <c r="AJ2397" s="1">
        <v>2014.0</v>
      </c>
      <c r="AK2397" s="1" t="s">
        <v>4003</v>
      </c>
    </row>
    <row r="2398">
      <c r="A2398" s="1" t="s">
        <v>4013</v>
      </c>
      <c r="B2398" s="1" t="s">
        <v>4013</v>
      </c>
      <c r="C2398" s="1" t="s">
        <v>63</v>
      </c>
      <c r="E2398" s="1">
        <v>1.9608108E7</v>
      </c>
      <c r="F2398" s="2">
        <v>41548.0</v>
      </c>
      <c r="G2398" s="1" t="s">
        <v>4014</v>
      </c>
      <c r="I2398" s="1" t="s">
        <v>4014</v>
      </c>
      <c r="L2398" s="1" t="s">
        <v>40</v>
      </c>
      <c r="M2398" s="1">
        <v>7500.0</v>
      </c>
      <c r="N2398" s="1" t="s">
        <v>40</v>
      </c>
      <c r="O2398" s="1">
        <v>2.0830303E7</v>
      </c>
      <c r="P2398" s="1" t="s">
        <v>424</v>
      </c>
      <c r="Q2398" s="1" t="s">
        <v>425</v>
      </c>
      <c r="R2398" s="1" t="s">
        <v>426</v>
      </c>
      <c r="S2398" s="1" t="s">
        <v>44</v>
      </c>
      <c r="T2398" s="1" t="s">
        <v>45</v>
      </c>
      <c r="U2398" s="1">
        <v>4.82012002E8</v>
      </c>
      <c r="W2398" s="1" t="s">
        <v>46</v>
      </c>
      <c r="X2398" s="1" t="s">
        <v>45</v>
      </c>
      <c r="Y2398" s="1">
        <v>4.82012002E8</v>
      </c>
      <c r="Z2398" s="1">
        <v>2.0830303E7</v>
      </c>
      <c r="AA2398" s="1" t="s">
        <v>424</v>
      </c>
      <c r="AB2398" s="1">
        <v>46083.0</v>
      </c>
      <c r="AC2398" s="2">
        <v>41548.0</v>
      </c>
      <c r="AD2398" s="1">
        <v>7500.0</v>
      </c>
      <c r="AE2398" s="1" t="s">
        <v>40</v>
      </c>
      <c r="AF2398" s="1">
        <v>2.0141562E7</v>
      </c>
      <c r="AG2398" s="1" t="s">
        <v>4015</v>
      </c>
      <c r="AH2398" s="1">
        <v>10.0</v>
      </c>
      <c r="AI2398" s="1">
        <v>2011.0</v>
      </c>
      <c r="AJ2398" s="1">
        <v>2014.0</v>
      </c>
      <c r="AK2398" s="1" t="s">
        <v>4003</v>
      </c>
    </row>
    <row r="2399">
      <c r="A2399" s="1" t="s">
        <v>4013</v>
      </c>
      <c r="B2399" s="1" t="s">
        <v>4013</v>
      </c>
      <c r="C2399" s="1" t="s">
        <v>63</v>
      </c>
      <c r="E2399" s="1">
        <v>1.9608108E7</v>
      </c>
      <c r="F2399" s="2">
        <v>41548.0</v>
      </c>
      <c r="G2399" s="1" t="s">
        <v>4014</v>
      </c>
      <c r="I2399" s="1" t="s">
        <v>4014</v>
      </c>
      <c r="L2399" s="1" t="s">
        <v>40</v>
      </c>
      <c r="M2399" s="1">
        <v>7500.0</v>
      </c>
      <c r="N2399" s="1" t="s">
        <v>40</v>
      </c>
      <c r="O2399" s="1">
        <v>1.40133393E8</v>
      </c>
      <c r="P2399" s="1" t="s">
        <v>4028</v>
      </c>
      <c r="Q2399" s="1" t="s">
        <v>4029</v>
      </c>
      <c r="R2399" s="1" t="s">
        <v>4030</v>
      </c>
      <c r="S2399" s="1" t="s">
        <v>44</v>
      </c>
      <c r="T2399" s="1" t="s">
        <v>45</v>
      </c>
      <c r="U2399" s="1">
        <v>4.82353724E8</v>
      </c>
      <c r="W2399" s="1" t="s">
        <v>46</v>
      </c>
      <c r="X2399" s="1" t="s">
        <v>45</v>
      </c>
      <c r="Y2399" s="1">
        <v>4.82353724E8</v>
      </c>
      <c r="Z2399" s="1">
        <v>1.40133393E8</v>
      </c>
      <c r="AA2399" s="1" t="s">
        <v>4028</v>
      </c>
      <c r="AB2399" s="1">
        <v>137714.0</v>
      </c>
      <c r="AC2399" s="2">
        <v>41548.0</v>
      </c>
      <c r="AD2399" s="1">
        <v>7500.0</v>
      </c>
      <c r="AE2399" s="1" t="s">
        <v>40</v>
      </c>
      <c r="AF2399" s="1">
        <v>2.0141552E7</v>
      </c>
      <c r="AG2399" s="1" t="s">
        <v>4015</v>
      </c>
      <c r="AH2399" s="1">
        <v>10.0</v>
      </c>
      <c r="AI2399" s="1">
        <v>2011.0</v>
      </c>
      <c r="AJ2399" s="1">
        <v>2014.0</v>
      </c>
      <c r="AK2399" s="1" t="s">
        <v>4003</v>
      </c>
    </row>
    <row r="2400">
      <c r="A2400" s="1" t="s">
        <v>4013</v>
      </c>
      <c r="B2400" s="1" t="s">
        <v>4013</v>
      </c>
      <c r="C2400" s="1" t="s">
        <v>63</v>
      </c>
      <c r="E2400" s="1">
        <v>1.9608108E7</v>
      </c>
      <c r="F2400" s="2">
        <v>41548.0</v>
      </c>
      <c r="G2400" s="1" t="s">
        <v>4014</v>
      </c>
      <c r="I2400" s="1" t="s">
        <v>4014</v>
      </c>
      <c r="L2400" s="1" t="s">
        <v>40</v>
      </c>
      <c r="M2400" s="1">
        <v>7500.0</v>
      </c>
      <c r="N2400" s="1" t="s">
        <v>40</v>
      </c>
      <c r="O2400" s="1">
        <v>1.7406606E7</v>
      </c>
      <c r="P2400" s="1" t="s">
        <v>1574</v>
      </c>
      <c r="Q2400" s="1" t="s">
        <v>4032</v>
      </c>
      <c r="R2400" s="1" t="s">
        <v>1575</v>
      </c>
      <c r="S2400" s="1" t="s">
        <v>44</v>
      </c>
      <c r="T2400" s="1" t="s">
        <v>45</v>
      </c>
      <c r="U2400" s="1">
        <v>4.82282826E8</v>
      </c>
      <c r="W2400" s="1" t="s">
        <v>46</v>
      </c>
      <c r="X2400" s="1" t="s">
        <v>45</v>
      </c>
      <c r="Y2400" s="1">
        <v>4.82282826E8</v>
      </c>
      <c r="Z2400" s="1">
        <v>9.4547247E7</v>
      </c>
      <c r="AA2400" s="1" t="s">
        <v>2201</v>
      </c>
      <c r="AB2400" s="1">
        <v>302616.0</v>
      </c>
      <c r="AC2400" s="2">
        <v>41548.0</v>
      </c>
      <c r="AD2400" s="1">
        <v>7500.0</v>
      </c>
      <c r="AE2400" s="1" t="s">
        <v>40</v>
      </c>
      <c r="AF2400" s="1">
        <v>2.0141454E7</v>
      </c>
      <c r="AG2400" s="1" t="s">
        <v>4015</v>
      </c>
      <c r="AH2400" s="1">
        <v>10.0</v>
      </c>
      <c r="AI2400" s="1">
        <v>2011.0</v>
      </c>
      <c r="AJ2400" s="1">
        <v>2014.0</v>
      </c>
      <c r="AK2400" s="1" t="s">
        <v>4003</v>
      </c>
    </row>
    <row r="2401">
      <c r="A2401" s="1" t="s">
        <v>4013</v>
      </c>
      <c r="B2401" s="1" t="s">
        <v>4013</v>
      </c>
      <c r="C2401" s="1" t="s">
        <v>63</v>
      </c>
      <c r="E2401" s="1">
        <v>1.9608108E7</v>
      </c>
      <c r="F2401" s="2">
        <v>41548.0</v>
      </c>
      <c r="G2401" s="1" t="s">
        <v>4014</v>
      </c>
      <c r="I2401" s="1" t="s">
        <v>4014</v>
      </c>
      <c r="L2401" s="1" t="s">
        <v>40</v>
      </c>
      <c r="M2401" s="1">
        <v>7500.0</v>
      </c>
      <c r="N2401" s="1" t="s">
        <v>40</v>
      </c>
      <c r="O2401" s="1">
        <v>1962224.0</v>
      </c>
      <c r="P2401" s="1" t="s">
        <v>52</v>
      </c>
      <c r="Q2401" s="1" t="s">
        <v>4052</v>
      </c>
      <c r="R2401" s="1" t="s">
        <v>1885</v>
      </c>
      <c r="S2401" s="1" t="s">
        <v>44</v>
      </c>
      <c r="T2401" s="1" t="s">
        <v>45</v>
      </c>
      <c r="U2401" s="1">
        <v>4.82021347E8</v>
      </c>
      <c r="W2401" s="1" t="s">
        <v>46</v>
      </c>
      <c r="X2401" s="1" t="s">
        <v>45</v>
      </c>
      <c r="Y2401" s="1">
        <v>4.82023692E8</v>
      </c>
      <c r="Z2401" s="1">
        <v>1962224.0</v>
      </c>
      <c r="AA2401" s="1" t="s">
        <v>52</v>
      </c>
      <c r="AB2401" s="1">
        <v>0.0</v>
      </c>
      <c r="AC2401" s="2">
        <v>41548.0</v>
      </c>
      <c r="AD2401" s="1">
        <v>7500.0</v>
      </c>
      <c r="AE2401" s="1" t="s">
        <v>40</v>
      </c>
      <c r="AF2401" s="1">
        <v>2.0141595E7</v>
      </c>
      <c r="AG2401" s="1" t="s">
        <v>4015</v>
      </c>
      <c r="AH2401" s="1">
        <v>10.0</v>
      </c>
      <c r="AI2401" s="1">
        <v>2011.0</v>
      </c>
      <c r="AJ2401" s="1">
        <v>2014.0</v>
      </c>
      <c r="AK2401" s="1" t="s">
        <v>4003</v>
      </c>
    </row>
    <row r="2402">
      <c r="A2402" s="1" t="s">
        <v>4013</v>
      </c>
      <c r="B2402" s="1" t="s">
        <v>4013</v>
      </c>
      <c r="C2402" s="1" t="s">
        <v>63</v>
      </c>
      <c r="E2402" s="1">
        <v>1.9608108E7</v>
      </c>
      <c r="F2402" s="2">
        <v>41548.0</v>
      </c>
      <c r="G2402" s="1" t="s">
        <v>4014</v>
      </c>
      <c r="I2402" s="1" t="s">
        <v>4014</v>
      </c>
      <c r="L2402" s="1" t="s">
        <v>40</v>
      </c>
      <c r="M2402" s="1">
        <v>7500.0</v>
      </c>
      <c r="N2402" s="1" t="s">
        <v>40</v>
      </c>
      <c r="O2402" s="1">
        <v>1.0107139E7</v>
      </c>
      <c r="P2402" s="1" t="s">
        <v>4021</v>
      </c>
      <c r="Q2402" s="1" t="s">
        <v>4044</v>
      </c>
      <c r="R2402" s="1" t="s">
        <v>4023</v>
      </c>
      <c r="S2402" s="1" t="s">
        <v>44</v>
      </c>
      <c r="T2402" s="1" t="s">
        <v>45</v>
      </c>
      <c r="U2402" s="1">
        <v>4.821364E8</v>
      </c>
      <c r="W2402" s="1" t="s">
        <v>46</v>
      </c>
      <c r="X2402" s="1" t="s">
        <v>45</v>
      </c>
      <c r="Y2402" s="1">
        <v>4.821364E8</v>
      </c>
      <c r="Z2402" s="1">
        <v>2.0885463E7</v>
      </c>
      <c r="AA2402" s="1" t="s">
        <v>4045</v>
      </c>
      <c r="AB2402" s="1">
        <v>8333.0</v>
      </c>
      <c r="AC2402" s="2">
        <v>41548.0</v>
      </c>
      <c r="AD2402" s="1">
        <v>7500.0</v>
      </c>
      <c r="AE2402" s="1" t="s">
        <v>40</v>
      </c>
      <c r="AF2402" s="1">
        <v>2.0141587E7</v>
      </c>
      <c r="AG2402" s="1" t="s">
        <v>4015</v>
      </c>
      <c r="AH2402" s="1">
        <v>10.0</v>
      </c>
      <c r="AI2402" s="1">
        <v>2011.0</v>
      </c>
      <c r="AJ2402" s="1">
        <v>2014.0</v>
      </c>
      <c r="AK2402" s="1" t="s">
        <v>4003</v>
      </c>
    </row>
    <row r="2403">
      <c r="A2403" s="1" t="s">
        <v>4013</v>
      </c>
      <c r="B2403" s="1" t="s">
        <v>4013</v>
      </c>
      <c r="C2403" s="1" t="s">
        <v>63</v>
      </c>
      <c r="E2403" s="1">
        <v>1.9608108E7</v>
      </c>
      <c r="F2403" s="2">
        <v>41548.0</v>
      </c>
      <c r="G2403" s="1" t="s">
        <v>4014</v>
      </c>
      <c r="I2403" s="1" t="s">
        <v>4014</v>
      </c>
      <c r="L2403" s="1" t="s">
        <v>40</v>
      </c>
      <c r="M2403" s="1">
        <v>7500.0</v>
      </c>
      <c r="N2403" s="1" t="s">
        <v>40</v>
      </c>
      <c r="O2403" s="1">
        <v>1.27458909E8</v>
      </c>
      <c r="P2403" s="1" t="s">
        <v>2195</v>
      </c>
      <c r="Q2403" s="1" t="s">
        <v>2563</v>
      </c>
      <c r="R2403" s="1" t="s">
        <v>2196</v>
      </c>
      <c r="S2403" s="1" t="s">
        <v>44</v>
      </c>
      <c r="T2403" s="1" t="s">
        <v>45</v>
      </c>
      <c r="U2403" s="1">
        <v>4.82012641E8</v>
      </c>
      <c r="W2403" s="1" t="s">
        <v>46</v>
      </c>
      <c r="X2403" s="1" t="s">
        <v>45</v>
      </c>
      <c r="Y2403" s="1">
        <v>4.82012641E8</v>
      </c>
      <c r="Z2403" s="1">
        <v>4.0574592E7</v>
      </c>
      <c r="AA2403" s="1" t="s">
        <v>2564</v>
      </c>
      <c r="AB2403" s="1">
        <v>10417.0</v>
      </c>
      <c r="AC2403" s="2">
        <v>41548.0</v>
      </c>
      <c r="AD2403" s="1">
        <v>7500.0</v>
      </c>
      <c r="AE2403" s="1" t="s">
        <v>40</v>
      </c>
      <c r="AF2403" s="1">
        <v>2.0141592E7</v>
      </c>
      <c r="AG2403" s="1" t="s">
        <v>4015</v>
      </c>
      <c r="AH2403" s="1">
        <v>10.0</v>
      </c>
      <c r="AI2403" s="1">
        <v>2011.0</v>
      </c>
      <c r="AJ2403" s="1">
        <v>2014.0</v>
      </c>
      <c r="AK2403" s="1" t="s">
        <v>4003</v>
      </c>
    </row>
    <row r="2404">
      <c r="A2404" s="1" t="s">
        <v>4013</v>
      </c>
      <c r="B2404" s="1" t="s">
        <v>4013</v>
      </c>
      <c r="C2404" s="1" t="s">
        <v>63</v>
      </c>
      <c r="E2404" s="1">
        <v>1.9608108E7</v>
      </c>
      <c r="F2404" s="2">
        <v>41548.0</v>
      </c>
      <c r="G2404" s="1" t="s">
        <v>4014</v>
      </c>
      <c r="I2404" s="1" t="s">
        <v>4014</v>
      </c>
      <c r="L2404" s="1" t="s">
        <v>40</v>
      </c>
      <c r="M2404" s="1">
        <v>7500.0</v>
      </c>
      <c r="N2404" s="1" t="s">
        <v>40</v>
      </c>
      <c r="O2404" s="1">
        <v>7.3134603E7</v>
      </c>
      <c r="P2404" s="1" t="s">
        <v>41</v>
      </c>
      <c r="Q2404" s="1" t="s">
        <v>252</v>
      </c>
      <c r="R2404" s="1" t="s">
        <v>253</v>
      </c>
      <c r="S2404" s="1" t="s">
        <v>44</v>
      </c>
      <c r="T2404" s="1" t="s">
        <v>45</v>
      </c>
      <c r="U2404" s="1">
        <v>4.8202345E8</v>
      </c>
      <c r="W2404" s="1" t="s">
        <v>46</v>
      </c>
      <c r="X2404" s="1" t="s">
        <v>45</v>
      </c>
      <c r="Y2404" s="1">
        <v>4.8202345E8</v>
      </c>
      <c r="Z2404" s="1">
        <v>7.3134603E7</v>
      </c>
      <c r="AA2404" s="1" t="s">
        <v>41</v>
      </c>
      <c r="AB2404" s="1">
        <v>53956.24</v>
      </c>
      <c r="AC2404" s="2">
        <v>41548.0</v>
      </c>
      <c r="AD2404" s="1">
        <v>7500.0</v>
      </c>
      <c r="AE2404" s="1" t="s">
        <v>40</v>
      </c>
      <c r="AF2404" s="1">
        <v>2.014004E7</v>
      </c>
      <c r="AG2404" s="1" t="s">
        <v>4015</v>
      </c>
      <c r="AH2404" s="1">
        <v>10.0</v>
      </c>
      <c r="AI2404" s="1">
        <v>2011.0</v>
      </c>
      <c r="AJ2404" s="1">
        <v>2014.0</v>
      </c>
      <c r="AK2404" s="1" t="s">
        <v>4003</v>
      </c>
    </row>
    <row r="2405">
      <c r="A2405" s="1" t="s">
        <v>4013</v>
      </c>
      <c r="B2405" s="1" t="s">
        <v>4013</v>
      </c>
      <c r="C2405" s="1" t="s">
        <v>63</v>
      </c>
      <c r="E2405" s="1">
        <v>1.9608108E7</v>
      </c>
      <c r="F2405" s="2">
        <v>41548.0</v>
      </c>
      <c r="G2405" s="1" t="s">
        <v>4014</v>
      </c>
      <c r="I2405" s="1" t="s">
        <v>4014</v>
      </c>
      <c r="L2405" s="1" t="s">
        <v>40</v>
      </c>
      <c r="M2405" s="1">
        <v>7500.0</v>
      </c>
      <c r="N2405" s="1" t="s">
        <v>40</v>
      </c>
      <c r="O2405" s="1">
        <v>1.98999146E8</v>
      </c>
      <c r="P2405" s="1" t="s">
        <v>999</v>
      </c>
      <c r="Q2405" s="1" t="s">
        <v>4053</v>
      </c>
      <c r="R2405" s="1" t="s">
        <v>1000</v>
      </c>
      <c r="S2405" s="1" t="s">
        <v>44</v>
      </c>
      <c r="T2405" s="1" t="s">
        <v>45</v>
      </c>
      <c r="U2405" s="1">
        <v>4.82263007E8</v>
      </c>
      <c r="W2405" s="1" t="s">
        <v>46</v>
      </c>
      <c r="X2405" s="1" t="s">
        <v>45</v>
      </c>
      <c r="Y2405" s="1">
        <v>4.82263007E8</v>
      </c>
      <c r="Z2405" s="1">
        <v>7.4305459E7</v>
      </c>
      <c r="AA2405" s="1" t="s">
        <v>4054</v>
      </c>
      <c r="AB2405" s="1">
        <v>54179.94</v>
      </c>
      <c r="AC2405" s="2">
        <v>41548.0</v>
      </c>
      <c r="AD2405" s="1">
        <v>7500.0</v>
      </c>
      <c r="AE2405" s="1" t="s">
        <v>40</v>
      </c>
      <c r="AF2405" s="1">
        <v>2.0141551E7</v>
      </c>
      <c r="AG2405" s="1" t="s">
        <v>4015</v>
      </c>
      <c r="AH2405" s="1">
        <v>10.0</v>
      </c>
      <c r="AI2405" s="1">
        <v>2011.0</v>
      </c>
      <c r="AJ2405" s="1">
        <v>2014.0</v>
      </c>
      <c r="AK2405" s="1" t="s">
        <v>4003</v>
      </c>
    </row>
    <row r="2406">
      <c r="A2406" s="1" t="s">
        <v>4013</v>
      </c>
      <c r="B2406" s="1" t="s">
        <v>4013</v>
      </c>
      <c r="C2406" s="1" t="s">
        <v>63</v>
      </c>
      <c r="E2406" s="1">
        <v>1.9608108E7</v>
      </c>
      <c r="F2406" s="2">
        <v>41183.0</v>
      </c>
      <c r="G2406" s="1" t="s">
        <v>4014</v>
      </c>
      <c r="I2406" s="1" t="s">
        <v>4014</v>
      </c>
      <c r="L2406" s="1" t="s">
        <v>40</v>
      </c>
      <c r="M2406" s="1">
        <v>7500.0</v>
      </c>
      <c r="N2406" s="1" t="s">
        <v>40</v>
      </c>
      <c r="O2406" s="1">
        <v>1962224.0</v>
      </c>
      <c r="P2406" s="1" t="s">
        <v>52</v>
      </c>
      <c r="Q2406" s="1" t="s">
        <v>4009</v>
      </c>
      <c r="R2406" s="1" t="s">
        <v>1885</v>
      </c>
      <c r="S2406" s="1" t="s">
        <v>44</v>
      </c>
      <c r="T2406" s="1" t="s">
        <v>45</v>
      </c>
      <c r="U2406" s="1">
        <v>4.82021347E8</v>
      </c>
      <c r="W2406" s="1" t="s">
        <v>46</v>
      </c>
      <c r="X2406" s="1" t="s">
        <v>45</v>
      </c>
      <c r="Y2406" s="1">
        <v>4.82023692E8</v>
      </c>
      <c r="Z2406" s="1">
        <v>1962224.0</v>
      </c>
      <c r="AA2406" s="1" t="s">
        <v>52</v>
      </c>
      <c r="AB2406" s="1">
        <v>25023.97</v>
      </c>
      <c r="AC2406" s="2">
        <v>41183.0</v>
      </c>
      <c r="AD2406" s="1">
        <v>7500.0</v>
      </c>
      <c r="AE2406" s="1" t="s">
        <v>40</v>
      </c>
      <c r="AF2406" s="1">
        <v>2.0131053E7</v>
      </c>
      <c r="AG2406" s="1" t="s">
        <v>4015</v>
      </c>
      <c r="AH2406" s="1">
        <v>10.0</v>
      </c>
      <c r="AI2406" s="1">
        <v>2011.0</v>
      </c>
      <c r="AJ2406" s="1">
        <v>2013.0</v>
      </c>
      <c r="AK2406" s="1" t="s">
        <v>4003</v>
      </c>
    </row>
    <row r="2407">
      <c r="A2407" s="1" t="s">
        <v>4013</v>
      </c>
      <c r="B2407" s="1" t="s">
        <v>4013</v>
      </c>
      <c r="C2407" s="1" t="s">
        <v>63</v>
      </c>
      <c r="E2407" s="1">
        <v>1.9608108E7</v>
      </c>
      <c r="F2407" s="2">
        <v>41548.0</v>
      </c>
      <c r="G2407" s="1" t="s">
        <v>4014</v>
      </c>
      <c r="I2407" s="1" t="s">
        <v>4014</v>
      </c>
      <c r="L2407" s="1" t="s">
        <v>40</v>
      </c>
      <c r="M2407" s="1">
        <v>7500.0</v>
      </c>
      <c r="N2407" s="1" t="s">
        <v>40</v>
      </c>
      <c r="O2407" s="1">
        <v>8.48764171E8</v>
      </c>
      <c r="P2407" s="1" t="s">
        <v>1050</v>
      </c>
      <c r="Q2407" s="1" t="s">
        <v>1051</v>
      </c>
      <c r="R2407" s="1" t="s">
        <v>4020</v>
      </c>
      <c r="S2407" s="1" t="s">
        <v>44</v>
      </c>
      <c r="T2407" s="1" t="s">
        <v>45</v>
      </c>
      <c r="U2407" s="1">
        <v>4.82023042E8</v>
      </c>
      <c r="W2407" s="1" t="s">
        <v>46</v>
      </c>
      <c r="X2407" s="1" t="s">
        <v>45</v>
      </c>
      <c r="Y2407" s="1">
        <v>4.820741E8</v>
      </c>
      <c r="Z2407" s="1">
        <v>7.2596349E7</v>
      </c>
      <c r="AB2407" s="1">
        <v>26168.0</v>
      </c>
      <c r="AC2407" s="2">
        <v>41548.0</v>
      </c>
      <c r="AD2407" s="1">
        <v>7500.0</v>
      </c>
      <c r="AE2407" s="1" t="s">
        <v>40</v>
      </c>
      <c r="AF2407" s="1">
        <v>2.0141544E7</v>
      </c>
      <c r="AG2407" s="1" t="s">
        <v>4015</v>
      </c>
      <c r="AH2407" s="1">
        <v>10.0</v>
      </c>
      <c r="AI2407" s="1">
        <v>2011.0</v>
      </c>
      <c r="AJ2407" s="1">
        <v>2014.0</v>
      </c>
      <c r="AK2407" s="1" t="s">
        <v>4003</v>
      </c>
    </row>
    <row r="2408">
      <c r="A2408" s="1" t="s">
        <v>4013</v>
      </c>
      <c r="B2408" s="1" t="s">
        <v>4013</v>
      </c>
      <c r="C2408" s="1" t="s">
        <v>63</v>
      </c>
      <c r="E2408" s="1">
        <v>1.9608108E7</v>
      </c>
      <c r="F2408" s="2">
        <v>41183.0</v>
      </c>
      <c r="G2408" s="1" t="s">
        <v>4014</v>
      </c>
      <c r="I2408" s="1" t="s">
        <v>4014</v>
      </c>
      <c r="L2408" s="1" t="s">
        <v>40</v>
      </c>
      <c r="M2408" s="1">
        <v>7500.0</v>
      </c>
      <c r="N2408" s="1" t="s">
        <v>40</v>
      </c>
      <c r="O2408" s="1">
        <v>1962224.0</v>
      </c>
      <c r="P2408" s="1" t="s">
        <v>52</v>
      </c>
      <c r="Q2408" s="1" t="s">
        <v>2077</v>
      </c>
      <c r="R2408" s="1" t="s">
        <v>1885</v>
      </c>
      <c r="S2408" s="1" t="s">
        <v>44</v>
      </c>
      <c r="T2408" s="1" t="s">
        <v>45</v>
      </c>
      <c r="U2408" s="1">
        <v>4.82021347E8</v>
      </c>
      <c r="W2408" s="1" t="s">
        <v>46</v>
      </c>
      <c r="X2408" s="1" t="s">
        <v>45</v>
      </c>
      <c r="Y2408" s="1">
        <v>4.82023692E8</v>
      </c>
      <c r="Z2408" s="1">
        <v>1962224.0</v>
      </c>
      <c r="AA2408" s="1" t="s">
        <v>52</v>
      </c>
      <c r="AB2408" s="1">
        <v>46458.0</v>
      </c>
      <c r="AC2408" s="2">
        <v>41183.0</v>
      </c>
      <c r="AD2408" s="1">
        <v>7500.0</v>
      </c>
      <c r="AE2408" s="1" t="s">
        <v>40</v>
      </c>
      <c r="AF2408" s="1">
        <v>2.013106E7</v>
      </c>
      <c r="AG2408" s="1" t="s">
        <v>4015</v>
      </c>
      <c r="AH2408" s="1">
        <v>10.0</v>
      </c>
      <c r="AI2408" s="1">
        <v>2011.0</v>
      </c>
      <c r="AJ2408" s="1">
        <v>2013.0</v>
      </c>
      <c r="AK2408" s="1" t="s">
        <v>4003</v>
      </c>
    </row>
    <row r="2409">
      <c r="A2409" s="1" t="s">
        <v>4013</v>
      </c>
      <c r="B2409" s="1" t="s">
        <v>4013</v>
      </c>
      <c r="C2409" s="1" t="s">
        <v>63</v>
      </c>
      <c r="E2409" s="1">
        <v>1.9608108E7</v>
      </c>
      <c r="F2409" s="2">
        <v>41183.0</v>
      </c>
      <c r="G2409" s="1" t="s">
        <v>4014</v>
      </c>
      <c r="I2409" s="1" t="s">
        <v>4014</v>
      </c>
      <c r="L2409" s="1" t="s">
        <v>40</v>
      </c>
      <c r="M2409" s="1">
        <v>7500.0</v>
      </c>
      <c r="N2409" s="1" t="s">
        <v>40</v>
      </c>
      <c r="O2409" s="1">
        <v>3.7748076E7</v>
      </c>
      <c r="P2409" s="1" t="s">
        <v>4025</v>
      </c>
      <c r="Q2409" s="1" t="s">
        <v>4026</v>
      </c>
      <c r="R2409" s="1" t="s">
        <v>4027</v>
      </c>
      <c r="S2409" s="1" t="s">
        <v>44</v>
      </c>
      <c r="T2409" s="1" t="s">
        <v>45</v>
      </c>
      <c r="U2409" s="1">
        <v>4.82012153E8</v>
      </c>
      <c r="W2409" s="1" t="s">
        <v>46</v>
      </c>
      <c r="X2409" s="1" t="s">
        <v>45</v>
      </c>
      <c r="Y2409" s="1">
        <v>4.82012153E8</v>
      </c>
      <c r="Z2409" s="1">
        <v>5.3866661E7</v>
      </c>
      <c r="AB2409" s="1">
        <v>168750.0</v>
      </c>
      <c r="AC2409" s="2">
        <v>41183.0</v>
      </c>
      <c r="AD2409" s="1">
        <v>7500.0</v>
      </c>
      <c r="AE2409" s="1" t="s">
        <v>40</v>
      </c>
      <c r="AF2409" s="1">
        <v>2.0130228E7</v>
      </c>
      <c r="AG2409" s="1" t="s">
        <v>4015</v>
      </c>
      <c r="AH2409" s="1">
        <v>10.0</v>
      </c>
      <c r="AI2409" s="1">
        <v>2011.0</v>
      </c>
      <c r="AJ2409" s="1">
        <v>2013.0</v>
      </c>
      <c r="AK2409" s="1" t="s">
        <v>4003</v>
      </c>
    </row>
    <row r="2410">
      <c r="A2410" s="1" t="s">
        <v>4013</v>
      </c>
      <c r="B2410" s="1" t="s">
        <v>4013</v>
      </c>
      <c r="C2410" s="1" t="s">
        <v>63</v>
      </c>
      <c r="E2410" s="1">
        <v>1.9608108E7</v>
      </c>
      <c r="F2410" s="2">
        <v>41913.0</v>
      </c>
      <c r="G2410" s="1" t="s">
        <v>4014</v>
      </c>
      <c r="I2410" s="1" t="s">
        <v>4014</v>
      </c>
      <c r="L2410" s="1" t="s">
        <v>40</v>
      </c>
      <c r="M2410" s="1">
        <v>7500.0</v>
      </c>
      <c r="N2410" s="1" t="s">
        <v>40</v>
      </c>
      <c r="O2410" s="1">
        <v>1962224.0</v>
      </c>
      <c r="P2410" s="1" t="s">
        <v>52</v>
      </c>
      <c r="R2410" s="1" t="s">
        <v>1885</v>
      </c>
      <c r="S2410" s="1" t="s">
        <v>44</v>
      </c>
      <c r="T2410" s="1" t="s">
        <v>45</v>
      </c>
      <c r="U2410" s="1">
        <v>4.82021347E8</v>
      </c>
      <c r="W2410" s="1" t="s">
        <v>46</v>
      </c>
      <c r="X2410" s="1" t="s">
        <v>45</v>
      </c>
      <c r="Y2410" s="1">
        <v>4.82023692E8</v>
      </c>
      <c r="Z2410" s="1">
        <v>1962224.0</v>
      </c>
      <c r="AA2410" s="1" t="s">
        <v>52</v>
      </c>
      <c r="AB2410" s="1">
        <v>14158.27</v>
      </c>
      <c r="AC2410" s="2">
        <v>41913.0</v>
      </c>
      <c r="AD2410" s="1">
        <v>7500.0</v>
      </c>
      <c r="AE2410" s="1" t="s">
        <v>40</v>
      </c>
      <c r="AF2410" s="1">
        <v>2.0151663E7</v>
      </c>
      <c r="AG2410" s="1" t="s">
        <v>4015</v>
      </c>
      <c r="AH2410" s="1">
        <v>10.0</v>
      </c>
      <c r="AI2410" s="1">
        <v>2011.0</v>
      </c>
      <c r="AJ2410" s="1">
        <v>2015.0</v>
      </c>
      <c r="AK2410" s="1" t="s">
        <v>4003</v>
      </c>
    </row>
    <row r="2411">
      <c r="A2411" s="1" t="s">
        <v>4013</v>
      </c>
      <c r="B2411" s="1" t="s">
        <v>4013</v>
      </c>
      <c r="C2411" s="1" t="s">
        <v>63</v>
      </c>
      <c r="E2411" s="1">
        <v>1.9608108E7</v>
      </c>
      <c r="F2411" s="2">
        <v>41548.0</v>
      </c>
      <c r="G2411" s="1" t="s">
        <v>4014</v>
      </c>
      <c r="I2411" s="1" t="s">
        <v>4014</v>
      </c>
      <c r="L2411" s="1" t="s">
        <v>40</v>
      </c>
      <c r="M2411" s="1">
        <v>7500.0</v>
      </c>
      <c r="N2411" s="1" t="s">
        <v>40</v>
      </c>
      <c r="O2411" s="1">
        <v>8.48764171E8</v>
      </c>
      <c r="P2411" s="1" t="s">
        <v>1050</v>
      </c>
      <c r="Q2411" s="1" t="s">
        <v>1051</v>
      </c>
      <c r="R2411" s="1" t="s">
        <v>4020</v>
      </c>
      <c r="S2411" s="1" t="s">
        <v>44</v>
      </c>
      <c r="T2411" s="1" t="s">
        <v>45</v>
      </c>
      <c r="U2411" s="1">
        <v>4.82023042E8</v>
      </c>
      <c r="W2411" s="1" t="s">
        <v>46</v>
      </c>
      <c r="X2411" s="1" t="s">
        <v>45</v>
      </c>
      <c r="Y2411" s="1">
        <v>4.820741E8</v>
      </c>
      <c r="Z2411" s="1">
        <v>8.0948367E8</v>
      </c>
      <c r="AA2411" s="1" t="s">
        <v>4055</v>
      </c>
      <c r="AB2411" s="1">
        <v>44914.0</v>
      </c>
      <c r="AC2411" s="2">
        <v>41548.0</v>
      </c>
      <c r="AD2411" s="1">
        <v>7500.0</v>
      </c>
      <c r="AE2411" s="1" t="s">
        <v>40</v>
      </c>
      <c r="AF2411" s="1">
        <v>2.0141546E7</v>
      </c>
      <c r="AG2411" s="1" t="s">
        <v>4015</v>
      </c>
      <c r="AH2411" s="1">
        <v>10.0</v>
      </c>
      <c r="AI2411" s="1">
        <v>2011.0</v>
      </c>
      <c r="AJ2411" s="1">
        <v>2014.0</v>
      </c>
      <c r="AK2411" s="1" t="s">
        <v>4003</v>
      </c>
    </row>
    <row r="2412">
      <c r="A2412" s="1" t="s">
        <v>4013</v>
      </c>
      <c r="B2412" s="1" t="s">
        <v>4013</v>
      </c>
      <c r="C2412" s="1" t="s">
        <v>63</v>
      </c>
      <c r="E2412" s="1">
        <v>1.9608108E7</v>
      </c>
      <c r="F2412" s="2">
        <v>41183.0</v>
      </c>
      <c r="G2412" s="1" t="s">
        <v>4014</v>
      </c>
      <c r="I2412" s="1" t="s">
        <v>4014</v>
      </c>
      <c r="L2412" s="1" t="s">
        <v>40</v>
      </c>
      <c r="M2412" s="1">
        <v>7500.0</v>
      </c>
      <c r="N2412" s="1" t="s">
        <v>40</v>
      </c>
      <c r="O2412" s="1">
        <v>1.27458909E8</v>
      </c>
      <c r="P2412" s="1" t="s">
        <v>2195</v>
      </c>
      <c r="Q2412" s="1" t="s">
        <v>4029</v>
      </c>
      <c r="R2412" s="1" t="s">
        <v>2196</v>
      </c>
      <c r="S2412" s="1" t="s">
        <v>44</v>
      </c>
      <c r="T2412" s="1" t="s">
        <v>45</v>
      </c>
      <c r="U2412" s="1">
        <v>4.82012641E8</v>
      </c>
      <c r="W2412" s="1" t="s">
        <v>46</v>
      </c>
      <c r="X2412" s="1" t="s">
        <v>45</v>
      </c>
      <c r="Y2412" s="1">
        <v>4.82012641E8</v>
      </c>
      <c r="Z2412" s="1">
        <v>1.40133393E8</v>
      </c>
      <c r="AA2412" s="1" t="s">
        <v>4028</v>
      </c>
      <c r="AB2412" s="1">
        <v>8333.0</v>
      </c>
      <c r="AC2412" s="2">
        <v>41183.0</v>
      </c>
      <c r="AD2412" s="1">
        <v>7500.0</v>
      </c>
      <c r="AE2412" s="1" t="s">
        <v>40</v>
      </c>
      <c r="AF2412" s="1">
        <v>2.0133156E7</v>
      </c>
      <c r="AG2412" s="1" t="s">
        <v>4015</v>
      </c>
      <c r="AH2412" s="1">
        <v>10.0</v>
      </c>
      <c r="AI2412" s="1">
        <v>2011.0</v>
      </c>
      <c r="AJ2412" s="1">
        <v>2013.0</v>
      </c>
      <c r="AK2412" s="1" t="s">
        <v>4003</v>
      </c>
    </row>
    <row r="2413">
      <c r="A2413" s="1" t="s">
        <v>4013</v>
      </c>
      <c r="B2413" s="1" t="s">
        <v>4013</v>
      </c>
      <c r="C2413" s="1" t="s">
        <v>63</v>
      </c>
      <c r="E2413" s="1">
        <v>1.9608108E7</v>
      </c>
      <c r="F2413" s="2">
        <v>41183.0</v>
      </c>
      <c r="G2413" s="1" t="s">
        <v>4014</v>
      </c>
      <c r="I2413" s="1" t="s">
        <v>4014</v>
      </c>
      <c r="L2413" s="1" t="s">
        <v>40</v>
      </c>
      <c r="M2413" s="1">
        <v>7500.0</v>
      </c>
      <c r="N2413" s="1" t="s">
        <v>40</v>
      </c>
      <c r="O2413" s="1">
        <v>7.8583404E7</v>
      </c>
      <c r="P2413" s="1" t="s">
        <v>65</v>
      </c>
      <c r="Q2413" s="1" t="s">
        <v>1051</v>
      </c>
      <c r="R2413" s="1" t="s">
        <v>1573</v>
      </c>
      <c r="S2413" s="1" t="s">
        <v>44</v>
      </c>
      <c r="T2413" s="1" t="s">
        <v>45</v>
      </c>
      <c r="U2413" s="1">
        <v>4.8207311E8</v>
      </c>
      <c r="W2413" s="1" t="s">
        <v>46</v>
      </c>
      <c r="X2413" s="1" t="s">
        <v>45</v>
      </c>
      <c r="Y2413" s="1">
        <v>4.82021732E8</v>
      </c>
      <c r="Z2413" s="1">
        <v>2.088802E7</v>
      </c>
      <c r="AA2413" s="1" t="s">
        <v>4056</v>
      </c>
      <c r="AB2413" s="1">
        <v>123609.0</v>
      </c>
      <c r="AC2413" s="2">
        <v>41183.0</v>
      </c>
      <c r="AD2413" s="1">
        <v>7500.0</v>
      </c>
      <c r="AE2413" s="1" t="s">
        <v>40</v>
      </c>
      <c r="AF2413" s="1">
        <v>2.01304E7</v>
      </c>
      <c r="AG2413" s="1" t="s">
        <v>4015</v>
      </c>
      <c r="AH2413" s="1">
        <v>10.0</v>
      </c>
      <c r="AI2413" s="1">
        <v>2011.0</v>
      </c>
      <c r="AJ2413" s="1">
        <v>2013.0</v>
      </c>
      <c r="AK2413" s="1" t="s">
        <v>4003</v>
      </c>
    </row>
    <row r="2414">
      <c r="A2414" s="1" t="s">
        <v>4013</v>
      </c>
      <c r="B2414" s="1" t="s">
        <v>4013</v>
      </c>
      <c r="C2414" s="1" t="s">
        <v>63</v>
      </c>
      <c r="E2414" s="1">
        <v>1.9608108E7</v>
      </c>
      <c r="F2414" s="2">
        <v>41183.0</v>
      </c>
      <c r="G2414" s="1" t="s">
        <v>4014</v>
      </c>
      <c r="I2414" s="1" t="s">
        <v>4014</v>
      </c>
      <c r="L2414" s="1" t="s">
        <v>40</v>
      </c>
      <c r="M2414" s="1">
        <v>7500.0</v>
      </c>
      <c r="N2414" s="1" t="s">
        <v>40</v>
      </c>
      <c r="O2414" s="1">
        <v>1.43407687E8</v>
      </c>
      <c r="P2414" s="1" t="s">
        <v>4016</v>
      </c>
      <c r="Q2414" s="1" t="s">
        <v>1051</v>
      </c>
      <c r="R2414" s="1" t="s">
        <v>4018</v>
      </c>
      <c r="S2414" s="1" t="s">
        <v>44</v>
      </c>
      <c r="T2414" s="1" t="s">
        <v>45</v>
      </c>
      <c r="U2414" s="1">
        <v>4.82023042E8</v>
      </c>
      <c r="W2414" s="1" t="s">
        <v>46</v>
      </c>
      <c r="X2414" s="1" t="s">
        <v>45</v>
      </c>
      <c r="Y2414" s="1">
        <v>4.820741E8</v>
      </c>
      <c r="Z2414" s="1">
        <v>1962224.0</v>
      </c>
      <c r="AA2414" s="1" t="s">
        <v>52</v>
      </c>
      <c r="AB2414" s="1">
        <v>56737.0</v>
      </c>
      <c r="AC2414" s="2">
        <v>41183.0</v>
      </c>
      <c r="AD2414" s="1">
        <v>7500.0</v>
      </c>
      <c r="AE2414" s="1" t="s">
        <v>40</v>
      </c>
      <c r="AF2414" s="1">
        <v>2.0130218E7</v>
      </c>
      <c r="AG2414" s="1" t="s">
        <v>4015</v>
      </c>
      <c r="AH2414" s="1">
        <v>10.0</v>
      </c>
      <c r="AI2414" s="1">
        <v>2011.0</v>
      </c>
      <c r="AJ2414" s="1">
        <v>2013.0</v>
      </c>
      <c r="AK2414" s="1" t="s">
        <v>4003</v>
      </c>
    </row>
    <row r="2415">
      <c r="A2415" s="1" t="s">
        <v>4013</v>
      </c>
      <c r="B2415" s="1" t="s">
        <v>4013</v>
      </c>
      <c r="C2415" s="1" t="s">
        <v>63</v>
      </c>
      <c r="E2415" s="1">
        <v>1.9608108E7</v>
      </c>
      <c r="F2415" s="2">
        <v>41183.0</v>
      </c>
      <c r="G2415" s="1" t="s">
        <v>4014</v>
      </c>
      <c r="I2415" s="1" t="s">
        <v>4014</v>
      </c>
      <c r="L2415" s="1" t="s">
        <v>40</v>
      </c>
      <c r="M2415" s="1">
        <v>7500.0</v>
      </c>
      <c r="N2415" s="1" t="s">
        <v>40</v>
      </c>
      <c r="O2415" s="1">
        <v>1.98999146E8</v>
      </c>
      <c r="P2415" s="1" t="s">
        <v>999</v>
      </c>
      <c r="R2415" s="1" t="s">
        <v>1000</v>
      </c>
      <c r="S2415" s="1" t="s">
        <v>44</v>
      </c>
      <c r="T2415" s="1" t="s">
        <v>45</v>
      </c>
      <c r="U2415" s="1">
        <v>4.82263007E8</v>
      </c>
      <c r="W2415" s="1" t="s">
        <v>46</v>
      </c>
      <c r="X2415" s="1" t="s">
        <v>45</v>
      </c>
      <c r="Y2415" s="1">
        <v>4.82263007E8</v>
      </c>
      <c r="Z2415" s="1">
        <v>1962224.0</v>
      </c>
      <c r="AA2415" s="1" t="s">
        <v>52</v>
      </c>
      <c r="AB2415" s="1">
        <v>159081.0</v>
      </c>
      <c r="AC2415" s="2">
        <v>41183.0</v>
      </c>
      <c r="AD2415" s="1">
        <v>7500.0</v>
      </c>
      <c r="AE2415" s="1" t="s">
        <v>40</v>
      </c>
      <c r="AF2415" s="1">
        <v>2.0130216E7</v>
      </c>
      <c r="AG2415" s="1" t="s">
        <v>4015</v>
      </c>
      <c r="AH2415" s="1">
        <v>10.0</v>
      </c>
      <c r="AI2415" s="1">
        <v>2011.0</v>
      </c>
      <c r="AJ2415" s="1">
        <v>2013.0</v>
      </c>
      <c r="AK2415" s="1" t="s">
        <v>4003</v>
      </c>
    </row>
    <row r="2416">
      <c r="A2416" s="1" t="s">
        <v>4013</v>
      </c>
      <c r="B2416" s="1" t="s">
        <v>4013</v>
      </c>
      <c r="C2416" s="1" t="s">
        <v>63</v>
      </c>
      <c r="E2416" s="1">
        <v>1.9608108E7</v>
      </c>
      <c r="F2416" s="2">
        <v>41183.0</v>
      </c>
      <c r="G2416" s="1" t="s">
        <v>4014</v>
      </c>
      <c r="I2416" s="1" t="s">
        <v>4014</v>
      </c>
      <c r="L2416" s="1" t="s">
        <v>40</v>
      </c>
      <c r="M2416" s="1">
        <v>7500.0</v>
      </c>
      <c r="N2416" s="1" t="s">
        <v>40</v>
      </c>
      <c r="O2416" s="1">
        <v>8.48764171E8</v>
      </c>
      <c r="P2416" s="1" t="s">
        <v>1050</v>
      </c>
      <c r="Q2416" s="1" t="s">
        <v>1051</v>
      </c>
      <c r="R2416" s="1" t="s">
        <v>4020</v>
      </c>
      <c r="S2416" s="1" t="s">
        <v>44</v>
      </c>
      <c r="T2416" s="1" t="s">
        <v>45</v>
      </c>
      <c r="U2416" s="1">
        <v>4.82023042E8</v>
      </c>
      <c r="W2416" s="1" t="s">
        <v>46</v>
      </c>
      <c r="X2416" s="1" t="s">
        <v>45</v>
      </c>
      <c r="Y2416" s="1">
        <v>4.820741E8</v>
      </c>
      <c r="Z2416" s="1">
        <v>7.2596349E7</v>
      </c>
      <c r="AB2416" s="1">
        <v>107593.0</v>
      </c>
      <c r="AC2416" s="2">
        <v>41183.0</v>
      </c>
      <c r="AD2416" s="1">
        <v>7500.0</v>
      </c>
      <c r="AE2416" s="1" t="s">
        <v>40</v>
      </c>
      <c r="AF2416" s="1">
        <v>2.0130226E7</v>
      </c>
      <c r="AG2416" s="1" t="s">
        <v>4015</v>
      </c>
      <c r="AH2416" s="1">
        <v>10.0</v>
      </c>
      <c r="AI2416" s="1">
        <v>2011.0</v>
      </c>
      <c r="AJ2416" s="1">
        <v>2013.0</v>
      </c>
      <c r="AK2416" s="1" t="s">
        <v>4003</v>
      </c>
    </row>
    <row r="2417">
      <c r="A2417" s="1" t="s">
        <v>4013</v>
      </c>
      <c r="B2417" s="1" t="s">
        <v>4013</v>
      </c>
      <c r="C2417" s="1" t="s">
        <v>63</v>
      </c>
      <c r="E2417" s="1">
        <v>1.9608108E7</v>
      </c>
      <c r="F2417" s="2">
        <v>41183.0</v>
      </c>
      <c r="G2417" s="1" t="s">
        <v>4014</v>
      </c>
      <c r="I2417" s="1" t="s">
        <v>4014</v>
      </c>
      <c r="L2417" s="1" t="s">
        <v>40</v>
      </c>
      <c r="M2417" s="1">
        <v>7500.0</v>
      </c>
      <c r="N2417" s="1" t="s">
        <v>40</v>
      </c>
      <c r="O2417" s="1">
        <v>8.48764171E8</v>
      </c>
      <c r="P2417" s="1" t="s">
        <v>1050</v>
      </c>
      <c r="Q2417" s="1" t="s">
        <v>1051</v>
      </c>
      <c r="R2417" s="1" t="s">
        <v>4020</v>
      </c>
      <c r="S2417" s="1" t="s">
        <v>44</v>
      </c>
      <c r="T2417" s="1" t="s">
        <v>45</v>
      </c>
      <c r="U2417" s="1">
        <v>4.82023042E8</v>
      </c>
      <c r="W2417" s="1" t="s">
        <v>46</v>
      </c>
      <c r="X2417" s="1" t="s">
        <v>45</v>
      </c>
      <c r="Y2417" s="1">
        <v>4.820741E8</v>
      </c>
      <c r="Z2417" s="1">
        <v>8.0948367E8</v>
      </c>
      <c r="AA2417" s="1" t="s">
        <v>4055</v>
      </c>
      <c r="AB2417" s="1">
        <v>88612.0</v>
      </c>
      <c r="AC2417" s="2">
        <v>41183.0</v>
      </c>
      <c r="AD2417" s="1">
        <v>7500.0</v>
      </c>
      <c r="AE2417" s="1" t="s">
        <v>40</v>
      </c>
      <c r="AF2417" s="1">
        <v>2.0130227E7</v>
      </c>
      <c r="AG2417" s="1" t="s">
        <v>4015</v>
      </c>
      <c r="AH2417" s="1">
        <v>10.0</v>
      </c>
      <c r="AI2417" s="1">
        <v>2011.0</v>
      </c>
      <c r="AJ2417" s="1">
        <v>2013.0</v>
      </c>
      <c r="AK2417" s="1" t="s">
        <v>4003</v>
      </c>
    </row>
    <row r="2418">
      <c r="A2418" s="1" t="s">
        <v>4013</v>
      </c>
      <c r="B2418" s="1" t="s">
        <v>4013</v>
      </c>
      <c r="C2418" s="1" t="s">
        <v>63</v>
      </c>
      <c r="E2418" s="1">
        <v>1.9608108E7</v>
      </c>
      <c r="F2418" s="2">
        <v>41183.0</v>
      </c>
      <c r="G2418" s="1" t="s">
        <v>4014</v>
      </c>
      <c r="I2418" s="1" t="s">
        <v>4014</v>
      </c>
      <c r="L2418" s="1" t="s">
        <v>40</v>
      </c>
      <c r="M2418" s="1">
        <v>7500.0</v>
      </c>
      <c r="N2418" s="1" t="s">
        <v>40</v>
      </c>
      <c r="O2418" s="1">
        <v>1962224.0</v>
      </c>
      <c r="P2418" s="1" t="s">
        <v>52</v>
      </c>
      <c r="Q2418" s="1" t="s">
        <v>2077</v>
      </c>
      <c r="R2418" s="1" t="s">
        <v>1885</v>
      </c>
      <c r="S2418" s="1" t="s">
        <v>44</v>
      </c>
      <c r="T2418" s="1" t="s">
        <v>45</v>
      </c>
      <c r="U2418" s="1">
        <v>4.82021347E8</v>
      </c>
      <c r="W2418" s="1" t="s">
        <v>46</v>
      </c>
      <c r="X2418" s="1" t="s">
        <v>45</v>
      </c>
      <c r="Y2418" s="1">
        <v>4.82023692E8</v>
      </c>
      <c r="Z2418" s="1">
        <v>1962224.0</v>
      </c>
      <c r="AA2418" s="1" t="s">
        <v>52</v>
      </c>
      <c r="AB2418" s="1">
        <v>10884.32</v>
      </c>
      <c r="AC2418" s="2">
        <v>41183.0</v>
      </c>
      <c r="AD2418" s="1">
        <v>7500.0</v>
      </c>
      <c r="AE2418" s="1" t="s">
        <v>40</v>
      </c>
      <c r="AF2418" s="1">
        <v>2.0131069E7</v>
      </c>
      <c r="AG2418" s="1" t="s">
        <v>4015</v>
      </c>
      <c r="AH2418" s="1">
        <v>10.0</v>
      </c>
      <c r="AI2418" s="1">
        <v>2011.0</v>
      </c>
      <c r="AJ2418" s="1">
        <v>2013.0</v>
      </c>
      <c r="AK2418" s="1" t="s">
        <v>4003</v>
      </c>
    </row>
    <row r="2419">
      <c r="A2419" s="1" t="s">
        <v>4013</v>
      </c>
      <c r="B2419" s="1" t="s">
        <v>4013</v>
      </c>
      <c r="C2419" s="1" t="s">
        <v>63</v>
      </c>
      <c r="E2419" s="1">
        <v>1.9608108E7</v>
      </c>
      <c r="F2419" s="2">
        <v>41183.0</v>
      </c>
      <c r="G2419" s="1" t="s">
        <v>4014</v>
      </c>
      <c r="I2419" s="1" t="s">
        <v>4014</v>
      </c>
      <c r="L2419" s="1" t="s">
        <v>40</v>
      </c>
      <c r="M2419" s="1">
        <v>7500.0</v>
      </c>
      <c r="N2419" s="1" t="s">
        <v>40</v>
      </c>
      <c r="O2419" s="1">
        <v>1962224.0</v>
      </c>
      <c r="P2419" s="1" t="s">
        <v>52</v>
      </c>
      <c r="Q2419" s="1" t="s">
        <v>4052</v>
      </c>
      <c r="R2419" s="1" t="s">
        <v>1885</v>
      </c>
      <c r="S2419" s="1" t="s">
        <v>44</v>
      </c>
      <c r="T2419" s="1" t="s">
        <v>45</v>
      </c>
      <c r="U2419" s="1">
        <v>4.82021347E8</v>
      </c>
      <c r="W2419" s="1" t="s">
        <v>46</v>
      </c>
      <c r="X2419" s="1" t="s">
        <v>45</v>
      </c>
      <c r="Y2419" s="1">
        <v>4.82023692E8</v>
      </c>
      <c r="Z2419" s="1">
        <v>1962224.0</v>
      </c>
      <c r="AA2419" s="1" t="s">
        <v>52</v>
      </c>
      <c r="AB2419" s="1">
        <v>18928.03</v>
      </c>
      <c r="AC2419" s="2">
        <v>41183.0</v>
      </c>
      <c r="AD2419" s="1">
        <v>7500.0</v>
      </c>
      <c r="AE2419" s="1" t="s">
        <v>40</v>
      </c>
      <c r="AF2419" s="1">
        <v>2.013106E7</v>
      </c>
      <c r="AG2419" s="1" t="s">
        <v>4015</v>
      </c>
      <c r="AH2419" s="1">
        <v>10.0</v>
      </c>
      <c r="AI2419" s="1">
        <v>2011.0</v>
      </c>
      <c r="AJ2419" s="1">
        <v>2013.0</v>
      </c>
      <c r="AK2419" s="1" t="s">
        <v>4003</v>
      </c>
    </row>
    <row r="2420">
      <c r="A2420" s="1" t="s">
        <v>4013</v>
      </c>
      <c r="B2420" s="1" t="s">
        <v>4013</v>
      </c>
      <c r="C2420" s="1" t="s">
        <v>63</v>
      </c>
      <c r="E2420" s="1">
        <v>1.9608108E7</v>
      </c>
      <c r="F2420" s="2">
        <v>41183.0</v>
      </c>
      <c r="G2420" s="1" t="s">
        <v>4014</v>
      </c>
      <c r="I2420" s="1" t="s">
        <v>4014</v>
      </c>
      <c r="L2420" s="1" t="s">
        <v>40</v>
      </c>
      <c r="M2420" s="1">
        <v>7500.0</v>
      </c>
      <c r="N2420" s="1" t="s">
        <v>40</v>
      </c>
      <c r="O2420" s="1">
        <v>1.8009589E8</v>
      </c>
      <c r="P2420" s="1" t="s">
        <v>4057</v>
      </c>
      <c r="Q2420" s="1" t="s">
        <v>4058</v>
      </c>
      <c r="R2420" s="1" t="s">
        <v>4059</v>
      </c>
      <c r="S2420" s="1" t="s">
        <v>44</v>
      </c>
      <c r="T2420" s="1" t="s">
        <v>45</v>
      </c>
      <c r="U2420" s="1">
        <v>4.82033127E8</v>
      </c>
      <c r="W2420" s="1" t="s">
        <v>46</v>
      </c>
      <c r="X2420" s="1" t="s">
        <v>45</v>
      </c>
      <c r="Y2420" s="1">
        <v>4.82033127E8</v>
      </c>
      <c r="Z2420" s="1">
        <v>2.0906988E7</v>
      </c>
      <c r="AA2420" s="1" t="s">
        <v>3760</v>
      </c>
      <c r="AB2420" s="1">
        <v>16703.83</v>
      </c>
      <c r="AC2420" s="2">
        <v>41183.0</v>
      </c>
      <c r="AD2420" s="1">
        <v>7500.0</v>
      </c>
      <c r="AE2420" s="1" t="s">
        <v>40</v>
      </c>
      <c r="AF2420" s="1">
        <v>2.0130224E7</v>
      </c>
      <c r="AG2420" s="1" t="s">
        <v>4015</v>
      </c>
      <c r="AH2420" s="1">
        <v>10.0</v>
      </c>
      <c r="AI2420" s="1">
        <v>2011.0</v>
      </c>
      <c r="AJ2420" s="1">
        <v>2013.0</v>
      </c>
      <c r="AK2420" s="1" t="s">
        <v>4003</v>
      </c>
    </row>
    <row r="2421">
      <c r="A2421" s="1" t="s">
        <v>4013</v>
      </c>
      <c r="B2421" s="1" t="s">
        <v>4013</v>
      </c>
      <c r="C2421" s="1" t="s">
        <v>63</v>
      </c>
      <c r="E2421" s="1">
        <v>1.9608108E7</v>
      </c>
      <c r="F2421" s="2">
        <v>41183.0</v>
      </c>
      <c r="G2421" s="1" t="s">
        <v>4014</v>
      </c>
      <c r="I2421" s="1" t="s">
        <v>4014</v>
      </c>
      <c r="L2421" s="1" t="s">
        <v>40</v>
      </c>
      <c r="M2421" s="1">
        <v>7500.0</v>
      </c>
      <c r="N2421" s="1" t="s">
        <v>40</v>
      </c>
      <c r="O2421" s="1">
        <v>2.0830303E7</v>
      </c>
      <c r="P2421" s="1" t="s">
        <v>424</v>
      </c>
      <c r="Q2421" s="1" t="s">
        <v>425</v>
      </c>
      <c r="R2421" s="1" t="s">
        <v>426</v>
      </c>
      <c r="S2421" s="1" t="s">
        <v>44</v>
      </c>
      <c r="T2421" s="1" t="s">
        <v>45</v>
      </c>
      <c r="U2421" s="1">
        <v>4.82012002E8</v>
      </c>
      <c r="W2421" s="1" t="s">
        <v>46</v>
      </c>
      <c r="X2421" s="1" t="s">
        <v>45</v>
      </c>
      <c r="Y2421" s="1">
        <v>4.82012002E8</v>
      </c>
      <c r="Z2421" s="1">
        <v>2.0830303E7</v>
      </c>
      <c r="AA2421" s="1" t="s">
        <v>424</v>
      </c>
      <c r="AB2421" s="1">
        <v>14834.8</v>
      </c>
      <c r="AC2421" s="2">
        <v>41183.0</v>
      </c>
      <c r="AD2421" s="1">
        <v>7500.0</v>
      </c>
      <c r="AE2421" s="1" t="s">
        <v>40</v>
      </c>
      <c r="AF2421" s="1">
        <v>2.0130541E7</v>
      </c>
      <c r="AG2421" s="1" t="s">
        <v>4015</v>
      </c>
      <c r="AH2421" s="1">
        <v>10.0</v>
      </c>
      <c r="AI2421" s="1">
        <v>2011.0</v>
      </c>
      <c r="AJ2421" s="1">
        <v>2013.0</v>
      </c>
      <c r="AK2421" s="1" t="s">
        <v>4003</v>
      </c>
    </row>
    <row r="2422">
      <c r="A2422" s="1" t="s">
        <v>4013</v>
      </c>
      <c r="B2422" s="1" t="s">
        <v>4013</v>
      </c>
      <c r="C2422" s="1" t="s">
        <v>63</v>
      </c>
      <c r="E2422" s="1">
        <v>1.9608108E7</v>
      </c>
      <c r="F2422" s="2">
        <v>41183.0</v>
      </c>
      <c r="G2422" s="1" t="s">
        <v>4014</v>
      </c>
      <c r="I2422" s="1" t="s">
        <v>4014</v>
      </c>
      <c r="L2422" s="1" t="s">
        <v>40</v>
      </c>
      <c r="M2422" s="1">
        <v>7500.0</v>
      </c>
      <c r="N2422" s="1" t="s">
        <v>40</v>
      </c>
      <c r="O2422" s="1">
        <v>7.8583404E7</v>
      </c>
      <c r="P2422" s="1" t="s">
        <v>65</v>
      </c>
      <c r="R2422" s="1" t="s">
        <v>1573</v>
      </c>
      <c r="S2422" s="1" t="s">
        <v>44</v>
      </c>
      <c r="T2422" s="1" t="s">
        <v>45</v>
      </c>
      <c r="U2422" s="1">
        <v>4.8207311E8</v>
      </c>
      <c r="W2422" s="1" t="s">
        <v>46</v>
      </c>
      <c r="X2422" s="1" t="s">
        <v>45</v>
      </c>
      <c r="Y2422" s="1">
        <v>4.82021732E8</v>
      </c>
      <c r="Z2422" s="1">
        <v>1.71384183E8</v>
      </c>
      <c r="AA2422" s="1" t="s">
        <v>2978</v>
      </c>
      <c r="AB2422" s="1">
        <v>19500.0</v>
      </c>
      <c r="AC2422" s="2">
        <v>41183.0</v>
      </c>
      <c r="AD2422" s="1">
        <v>7500.0</v>
      </c>
      <c r="AE2422" s="1" t="s">
        <v>40</v>
      </c>
      <c r="AF2422" s="1">
        <v>2.01304E7</v>
      </c>
      <c r="AG2422" s="1" t="s">
        <v>4015</v>
      </c>
      <c r="AH2422" s="1">
        <v>10.0</v>
      </c>
      <c r="AI2422" s="1">
        <v>2011.0</v>
      </c>
      <c r="AJ2422" s="1">
        <v>2013.0</v>
      </c>
      <c r="AK2422" s="1" t="s">
        <v>4003</v>
      </c>
    </row>
    <row r="2423">
      <c r="A2423" s="1" t="s">
        <v>4013</v>
      </c>
      <c r="B2423" s="1" t="s">
        <v>4013</v>
      </c>
      <c r="C2423" s="1" t="s">
        <v>63</v>
      </c>
      <c r="E2423" s="1">
        <v>1.9608108E7</v>
      </c>
      <c r="F2423" s="2">
        <v>41183.0</v>
      </c>
      <c r="G2423" s="1" t="s">
        <v>4014</v>
      </c>
      <c r="I2423" s="1" t="s">
        <v>4014</v>
      </c>
      <c r="L2423" s="1" t="s">
        <v>40</v>
      </c>
      <c r="M2423" s="1">
        <v>7500.0</v>
      </c>
      <c r="N2423" s="1" t="s">
        <v>40</v>
      </c>
      <c r="O2423" s="1">
        <v>7.3134603E7</v>
      </c>
      <c r="P2423" s="1" t="s">
        <v>41</v>
      </c>
      <c r="Q2423" s="1" t="s">
        <v>252</v>
      </c>
      <c r="R2423" s="1" t="s">
        <v>253</v>
      </c>
      <c r="S2423" s="1" t="s">
        <v>44</v>
      </c>
      <c r="T2423" s="1" t="s">
        <v>45</v>
      </c>
      <c r="U2423" s="1">
        <v>4.8202345E8</v>
      </c>
      <c r="W2423" s="1" t="s">
        <v>46</v>
      </c>
      <c r="X2423" s="1" t="s">
        <v>45</v>
      </c>
      <c r="Y2423" s="1">
        <v>4.8202345E8</v>
      </c>
      <c r="Z2423" s="1">
        <v>7.3134603E7</v>
      </c>
      <c r="AA2423" s="1" t="s">
        <v>41</v>
      </c>
      <c r="AB2423" s="1">
        <v>55523.0</v>
      </c>
      <c r="AC2423" s="2">
        <v>41183.0</v>
      </c>
      <c r="AD2423" s="1">
        <v>7500.0</v>
      </c>
      <c r="AE2423" s="1" t="s">
        <v>40</v>
      </c>
      <c r="AF2423" s="1">
        <v>2.0130114E7</v>
      </c>
      <c r="AG2423" s="1" t="s">
        <v>4015</v>
      </c>
      <c r="AH2423" s="1">
        <v>10.0</v>
      </c>
      <c r="AI2423" s="1">
        <v>2011.0</v>
      </c>
      <c r="AJ2423" s="1">
        <v>2013.0</v>
      </c>
      <c r="AK2423" s="1" t="s">
        <v>4003</v>
      </c>
    </row>
    <row r="2424">
      <c r="A2424" s="1" t="s">
        <v>4013</v>
      </c>
      <c r="B2424" s="1" t="s">
        <v>4013</v>
      </c>
      <c r="C2424" s="1" t="s">
        <v>63</v>
      </c>
      <c r="E2424" s="1">
        <v>1.9608108E7</v>
      </c>
      <c r="F2424" s="2">
        <v>41183.0</v>
      </c>
      <c r="G2424" s="1" t="s">
        <v>4014</v>
      </c>
      <c r="I2424" s="1" t="s">
        <v>4014</v>
      </c>
      <c r="L2424" s="1" t="s">
        <v>40</v>
      </c>
      <c r="M2424" s="1">
        <v>7500.0</v>
      </c>
      <c r="N2424" s="1" t="s">
        <v>40</v>
      </c>
      <c r="O2424" s="1">
        <v>8.48764171E8</v>
      </c>
      <c r="P2424" s="1" t="s">
        <v>1050</v>
      </c>
      <c r="Q2424" s="1" t="s">
        <v>1051</v>
      </c>
      <c r="R2424" s="1" t="s">
        <v>4020</v>
      </c>
      <c r="S2424" s="1" t="s">
        <v>44</v>
      </c>
      <c r="T2424" s="1" t="s">
        <v>45</v>
      </c>
      <c r="U2424" s="1">
        <v>4.82023042E8</v>
      </c>
      <c r="W2424" s="1" t="s">
        <v>46</v>
      </c>
      <c r="X2424" s="1" t="s">
        <v>45</v>
      </c>
      <c r="Y2424" s="1">
        <v>4.820741E8</v>
      </c>
      <c r="Z2424" s="1">
        <v>3.8775243E7</v>
      </c>
      <c r="AA2424" s="1" t="s">
        <v>209</v>
      </c>
      <c r="AB2424" s="1">
        <v>17407.0</v>
      </c>
      <c r="AC2424" s="2">
        <v>41183.0</v>
      </c>
      <c r="AD2424" s="1">
        <v>7500.0</v>
      </c>
      <c r="AE2424" s="1" t="s">
        <v>40</v>
      </c>
      <c r="AF2424" s="1">
        <v>2.0130226E7</v>
      </c>
      <c r="AG2424" s="1" t="s">
        <v>4015</v>
      </c>
      <c r="AH2424" s="1">
        <v>10.0</v>
      </c>
      <c r="AI2424" s="1">
        <v>2011.0</v>
      </c>
      <c r="AJ2424" s="1">
        <v>2013.0</v>
      </c>
      <c r="AK2424" s="1" t="s">
        <v>4003</v>
      </c>
    </row>
    <row r="2425">
      <c r="A2425" s="1" t="s">
        <v>4033</v>
      </c>
      <c r="B2425" s="1" t="s">
        <v>4033</v>
      </c>
      <c r="C2425" s="1" t="s">
        <v>63</v>
      </c>
      <c r="E2425" s="1">
        <v>7.6172144E7</v>
      </c>
      <c r="F2425" s="2">
        <v>41913.0</v>
      </c>
      <c r="G2425" s="1" t="s">
        <v>4034</v>
      </c>
      <c r="I2425" s="1" t="s">
        <v>4034</v>
      </c>
      <c r="L2425" s="1" t="s">
        <v>40</v>
      </c>
      <c r="M2425" s="1">
        <v>7500.0</v>
      </c>
      <c r="N2425" s="1" t="s">
        <v>40</v>
      </c>
      <c r="O2425" s="1">
        <v>1.7406606E7</v>
      </c>
      <c r="P2425" s="1" t="s">
        <v>1574</v>
      </c>
      <c r="Q2425" s="1" t="s">
        <v>2014</v>
      </c>
      <c r="R2425" s="1" t="s">
        <v>1575</v>
      </c>
      <c r="S2425" s="1" t="s">
        <v>44</v>
      </c>
      <c r="T2425" s="1" t="s">
        <v>45</v>
      </c>
      <c r="U2425" s="1">
        <v>4.82282826E8</v>
      </c>
      <c r="W2425" s="1" t="s">
        <v>46</v>
      </c>
      <c r="X2425" s="1" t="s">
        <v>45</v>
      </c>
      <c r="Y2425" s="1">
        <v>4.82282826E8</v>
      </c>
      <c r="Z2425" s="1">
        <v>1.02339942E8</v>
      </c>
      <c r="AB2425" s="1">
        <v>167551.0</v>
      </c>
      <c r="AC2425" s="2">
        <v>41913.0</v>
      </c>
      <c r="AD2425" s="1">
        <v>7500.0</v>
      </c>
      <c r="AE2425" s="1" t="s">
        <v>40</v>
      </c>
      <c r="AF2425" s="1">
        <v>2.0151729E7</v>
      </c>
      <c r="AG2425" s="1" t="s">
        <v>4035</v>
      </c>
      <c r="AH2425" s="1">
        <v>10.0</v>
      </c>
      <c r="AI2425" s="1">
        <v>2011.0</v>
      </c>
      <c r="AJ2425" s="1">
        <v>2015.0</v>
      </c>
      <c r="AK2425" s="1" t="s">
        <v>4036</v>
      </c>
    </row>
    <row r="2426">
      <c r="A2426" s="1" t="s">
        <v>4033</v>
      </c>
      <c r="B2426" s="1" t="s">
        <v>4033</v>
      </c>
      <c r="C2426" s="1" t="s">
        <v>63</v>
      </c>
      <c r="E2426" s="1">
        <v>7.6172144E7</v>
      </c>
      <c r="F2426" s="2">
        <v>41548.0</v>
      </c>
      <c r="G2426" s="1" t="s">
        <v>4034</v>
      </c>
      <c r="I2426" s="1" t="s">
        <v>4034</v>
      </c>
      <c r="L2426" s="1" t="s">
        <v>40</v>
      </c>
      <c r="M2426" s="1">
        <v>7500.0</v>
      </c>
      <c r="N2426" s="1" t="s">
        <v>40</v>
      </c>
      <c r="O2426" s="1">
        <v>1962224.0</v>
      </c>
      <c r="P2426" s="1" t="s">
        <v>52</v>
      </c>
      <c r="Q2426" s="1" t="s">
        <v>966</v>
      </c>
      <c r="R2426" s="1" t="s">
        <v>1885</v>
      </c>
      <c r="S2426" s="1" t="s">
        <v>44</v>
      </c>
      <c r="T2426" s="1" t="s">
        <v>45</v>
      </c>
      <c r="U2426" s="1">
        <v>4.82021347E8</v>
      </c>
      <c r="W2426" s="1" t="s">
        <v>46</v>
      </c>
      <c r="X2426" s="1" t="s">
        <v>45</v>
      </c>
      <c r="Y2426" s="1">
        <v>4.82023692E8</v>
      </c>
      <c r="Z2426" s="1">
        <v>1962224.0</v>
      </c>
      <c r="AA2426" s="1" t="s">
        <v>52</v>
      </c>
      <c r="AB2426" s="1">
        <v>7287.86</v>
      </c>
      <c r="AC2426" s="2">
        <v>41548.0</v>
      </c>
      <c r="AD2426" s="1">
        <v>7500.0</v>
      </c>
      <c r="AE2426" s="1" t="s">
        <v>40</v>
      </c>
      <c r="AF2426" s="1">
        <v>2.0141507E7</v>
      </c>
      <c r="AG2426" s="1" t="s">
        <v>4035</v>
      </c>
      <c r="AH2426" s="1">
        <v>10.0</v>
      </c>
      <c r="AI2426" s="1">
        <v>2011.0</v>
      </c>
      <c r="AJ2426" s="1">
        <v>2014.0</v>
      </c>
      <c r="AK2426" s="1" t="s">
        <v>4036</v>
      </c>
    </row>
    <row r="2427">
      <c r="A2427" s="1" t="s">
        <v>4060</v>
      </c>
      <c r="B2427" s="1" t="s">
        <v>4060</v>
      </c>
      <c r="C2427" s="1" t="s">
        <v>63</v>
      </c>
      <c r="E2427" s="1">
        <v>2.0576556E7</v>
      </c>
      <c r="F2427" s="2">
        <v>41913.0</v>
      </c>
      <c r="G2427" s="1" t="s">
        <v>4061</v>
      </c>
      <c r="I2427" s="1" t="s">
        <v>4061</v>
      </c>
      <c r="L2427" s="1" t="s">
        <v>40</v>
      </c>
      <c r="M2427" s="1">
        <v>7500.0</v>
      </c>
      <c r="N2427" s="1" t="s">
        <v>40</v>
      </c>
      <c r="O2427" s="1">
        <v>1.7406606E7</v>
      </c>
      <c r="P2427" s="1" t="s">
        <v>1574</v>
      </c>
      <c r="Q2427" s="1" t="s">
        <v>4058</v>
      </c>
      <c r="R2427" s="1" t="s">
        <v>1575</v>
      </c>
      <c r="S2427" s="1" t="s">
        <v>44</v>
      </c>
      <c r="T2427" s="1" t="s">
        <v>45</v>
      </c>
      <c r="U2427" s="1">
        <v>4.82282826E8</v>
      </c>
      <c r="W2427" s="1" t="s">
        <v>46</v>
      </c>
      <c r="X2427" s="1" t="s">
        <v>45</v>
      </c>
      <c r="Y2427" s="1">
        <v>4.82282826E8</v>
      </c>
      <c r="Z2427" s="1">
        <v>2.0906988E7</v>
      </c>
      <c r="AA2427" s="1" t="s">
        <v>3760</v>
      </c>
      <c r="AB2427" s="1">
        <v>82793.0</v>
      </c>
      <c r="AC2427" s="2">
        <v>41913.0</v>
      </c>
      <c r="AD2427" s="1">
        <v>7500.0</v>
      </c>
      <c r="AE2427" s="1" t="s">
        <v>40</v>
      </c>
      <c r="AF2427" s="1">
        <v>2.0151729E7</v>
      </c>
      <c r="AG2427" s="1" t="s">
        <v>375</v>
      </c>
      <c r="AH2427" s="1">
        <v>10.0</v>
      </c>
      <c r="AI2427" s="1">
        <v>2012.0</v>
      </c>
      <c r="AJ2427" s="1">
        <v>2015.0</v>
      </c>
      <c r="AK2427" s="1" t="s">
        <v>4062</v>
      </c>
    </row>
    <row r="2428">
      <c r="A2428" s="1" t="s">
        <v>4033</v>
      </c>
      <c r="B2428" s="1" t="s">
        <v>4033</v>
      </c>
      <c r="C2428" s="1" t="s">
        <v>63</v>
      </c>
      <c r="E2428" s="1">
        <v>7.6172144E7</v>
      </c>
      <c r="F2428" s="2">
        <v>41548.0</v>
      </c>
      <c r="G2428" s="1" t="s">
        <v>4034</v>
      </c>
      <c r="I2428" s="1" t="s">
        <v>4034</v>
      </c>
      <c r="L2428" s="1" t="s">
        <v>40</v>
      </c>
      <c r="M2428" s="1">
        <v>7500.0</v>
      </c>
      <c r="N2428" s="1" t="s">
        <v>40</v>
      </c>
      <c r="O2428" s="1">
        <v>1.7406606E7</v>
      </c>
      <c r="P2428" s="1" t="s">
        <v>1574</v>
      </c>
      <c r="Q2428" s="1" t="s">
        <v>2660</v>
      </c>
      <c r="R2428" s="1" t="s">
        <v>1575</v>
      </c>
      <c r="S2428" s="1" t="s">
        <v>44</v>
      </c>
      <c r="T2428" s="1" t="s">
        <v>45</v>
      </c>
      <c r="U2428" s="1">
        <v>4.82282826E8</v>
      </c>
      <c r="W2428" s="1" t="s">
        <v>46</v>
      </c>
      <c r="X2428" s="1" t="s">
        <v>45</v>
      </c>
      <c r="Y2428" s="1">
        <v>4.82282826E8</v>
      </c>
      <c r="Z2428" s="1">
        <v>4912929.0</v>
      </c>
      <c r="AB2428" s="1">
        <v>202050.0</v>
      </c>
      <c r="AC2428" s="2">
        <v>41548.0</v>
      </c>
      <c r="AD2428" s="1">
        <v>7500.0</v>
      </c>
      <c r="AE2428" s="1" t="s">
        <v>40</v>
      </c>
      <c r="AF2428" s="1">
        <v>2.0141454E7</v>
      </c>
      <c r="AG2428" s="1" t="s">
        <v>4035</v>
      </c>
      <c r="AH2428" s="1">
        <v>10.0</v>
      </c>
      <c r="AI2428" s="1">
        <v>2011.0</v>
      </c>
      <c r="AJ2428" s="1">
        <v>2014.0</v>
      </c>
      <c r="AK2428" s="1" t="s">
        <v>4036</v>
      </c>
    </row>
    <row r="2429">
      <c r="A2429" s="1" t="s">
        <v>4033</v>
      </c>
      <c r="B2429" s="1" t="s">
        <v>4033</v>
      </c>
      <c r="C2429" s="1" t="s">
        <v>63</v>
      </c>
      <c r="E2429" s="1">
        <v>7.6172144E7</v>
      </c>
      <c r="F2429" s="2">
        <v>41183.0</v>
      </c>
      <c r="G2429" s="1" t="s">
        <v>4034</v>
      </c>
      <c r="I2429" s="1" t="s">
        <v>4034</v>
      </c>
      <c r="L2429" s="1" t="s">
        <v>40</v>
      </c>
      <c r="M2429" s="1">
        <v>7500.0</v>
      </c>
      <c r="N2429" s="1" t="s">
        <v>40</v>
      </c>
      <c r="O2429" s="1">
        <v>7.8583404E7</v>
      </c>
      <c r="P2429" s="1" t="s">
        <v>65</v>
      </c>
      <c r="Q2429" s="1" t="s">
        <v>2660</v>
      </c>
      <c r="R2429" s="1" t="s">
        <v>1573</v>
      </c>
      <c r="S2429" s="1" t="s">
        <v>44</v>
      </c>
      <c r="T2429" s="1" t="s">
        <v>45</v>
      </c>
      <c r="U2429" s="1">
        <v>4.8207311E8</v>
      </c>
      <c r="W2429" s="1" t="s">
        <v>46</v>
      </c>
      <c r="X2429" s="1" t="s">
        <v>45</v>
      </c>
      <c r="Y2429" s="1">
        <v>4.82021732E8</v>
      </c>
      <c r="Z2429" s="1">
        <v>1.18715846E8</v>
      </c>
      <c r="AA2429" s="1" t="s">
        <v>2661</v>
      </c>
      <c r="AB2429" s="1">
        <v>241960.0</v>
      </c>
      <c r="AC2429" s="2">
        <v>41183.0</v>
      </c>
      <c r="AD2429" s="1">
        <v>7500.0</v>
      </c>
      <c r="AE2429" s="1" t="s">
        <v>40</v>
      </c>
      <c r="AF2429" s="1">
        <v>2.01304E7</v>
      </c>
      <c r="AG2429" s="1" t="s">
        <v>4035</v>
      </c>
      <c r="AH2429" s="1">
        <v>10.0</v>
      </c>
      <c r="AI2429" s="1">
        <v>2011.0</v>
      </c>
      <c r="AJ2429" s="1">
        <v>2013.0</v>
      </c>
      <c r="AK2429" s="1" t="s">
        <v>4036</v>
      </c>
    </row>
    <row r="2430">
      <c r="A2430" s="1" t="s">
        <v>4063</v>
      </c>
      <c r="B2430" s="1" t="s">
        <v>4063</v>
      </c>
      <c r="C2430" s="1" t="s">
        <v>63</v>
      </c>
      <c r="E2430" s="1">
        <v>2060059.0</v>
      </c>
      <c r="F2430" s="2">
        <v>41183.0</v>
      </c>
      <c r="G2430" s="1" t="s">
        <v>4064</v>
      </c>
      <c r="I2430" s="1" t="s">
        <v>4064</v>
      </c>
      <c r="L2430" s="1" t="s">
        <v>40</v>
      </c>
      <c r="M2430" s="1">
        <v>7500.0</v>
      </c>
      <c r="N2430" s="1" t="s">
        <v>40</v>
      </c>
      <c r="O2430" s="1">
        <v>7.8583404E7</v>
      </c>
      <c r="P2430" s="1" t="s">
        <v>65</v>
      </c>
      <c r="Q2430" s="1" t="s">
        <v>323</v>
      </c>
      <c r="R2430" s="1" t="s">
        <v>1573</v>
      </c>
      <c r="S2430" s="1" t="s">
        <v>44</v>
      </c>
      <c r="T2430" s="1" t="s">
        <v>45</v>
      </c>
      <c r="U2430" s="1">
        <v>4.8207311E8</v>
      </c>
      <c r="W2430" s="1" t="s">
        <v>46</v>
      </c>
      <c r="X2430" s="1" t="s">
        <v>45</v>
      </c>
      <c r="Y2430" s="1">
        <v>4.82021732E8</v>
      </c>
      <c r="Z2430" s="1">
        <v>6530661.0</v>
      </c>
      <c r="AA2430" s="1" t="s">
        <v>76</v>
      </c>
      <c r="AB2430" s="1">
        <v>6000.0</v>
      </c>
      <c r="AC2430" s="2">
        <v>41183.0</v>
      </c>
      <c r="AD2430" s="1">
        <v>7500.0</v>
      </c>
      <c r="AE2430" s="1" t="s">
        <v>40</v>
      </c>
      <c r="AF2430" s="1">
        <v>2.01304E7</v>
      </c>
      <c r="AG2430" s="1" t="s">
        <v>4065</v>
      </c>
      <c r="AH2430" s="1">
        <v>10.0</v>
      </c>
      <c r="AI2430" s="1">
        <v>2010.0</v>
      </c>
      <c r="AJ2430" s="1">
        <v>2013.0</v>
      </c>
      <c r="AK2430" s="1" t="s">
        <v>4066</v>
      </c>
    </row>
    <row r="2431">
      <c r="A2431" s="1" t="s">
        <v>4004</v>
      </c>
      <c r="B2431" s="1" t="s">
        <v>4004</v>
      </c>
      <c r="C2431" s="1" t="s">
        <v>63</v>
      </c>
      <c r="E2431" s="1">
        <v>1039500.0</v>
      </c>
      <c r="F2431" s="2">
        <v>41183.0</v>
      </c>
      <c r="G2431" s="1" t="s">
        <v>4005</v>
      </c>
      <c r="I2431" s="1" t="s">
        <v>4005</v>
      </c>
      <c r="L2431" s="1" t="s">
        <v>40</v>
      </c>
      <c r="M2431" s="1">
        <v>7500.0</v>
      </c>
      <c r="N2431" s="1" t="s">
        <v>40</v>
      </c>
      <c r="O2431" s="1">
        <v>7.3134603E7</v>
      </c>
      <c r="P2431" s="1" t="s">
        <v>41</v>
      </c>
      <c r="Q2431" s="1" t="s">
        <v>252</v>
      </c>
      <c r="R2431" s="1" t="s">
        <v>253</v>
      </c>
      <c r="S2431" s="1" t="s">
        <v>44</v>
      </c>
      <c r="T2431" s="1" t="s">
        <v>45</v>
      </c>
      <c r="U2431" s="1">
        <v>4.8202345E8</v>
      </c>
      <c r="W2431" s="1" t="s">
        <v>46</v>
      </c>
      <c r="X2431" s="1" t="s">
        <v>45</v>
      </c>
      <c r="Y2431" s="1">
        <v>4.8202345E8</v>
      </c>
      <c r="Z2431" s="1">
        <v>7.3134603E7</v>
      </c>
      <c r="AA2431" s="1" t="s">
        <v>41</v>
      </c>
      <c r="AB2431" s="1">
        <v>7200.0</v>
      </c>
      <c r="AC2431" s="2">
        <v>41183.0</v>
      </c>
      <c r="AD2431" s="1">
        <v>7500.0</v>
      </c>
      <c r="AE2431" s="1" t="s">
        <v>40</v>
      </c>
      <c r="AF2431" s="1">
        <v>2.0130117E7</v>
      </c>
      <c r="AG2431" s="1" t="s">
        <v>4006</v>
      </c>
      <c r="AH2431" s="1">
        <v>10.0</v>
      </c>
      <c r="AI2431" s="1">
        <v>2012.0</v>
      </c>
      <c r="AJ2431" s="1">
        <v>2013.0</v>
      </c>
      <c r="AK2431" s="1" t="s">
        <v>342</v>
      </c>
    </row>
    <row r="2432">
      <c r="A2432" s="1" t="s">
        <v>4060</v>
      </c>
      <c r="B2432" s="1" t="s">
        <v>4060</v>
      </c>
      <c r="C2432" s="1" t="s">
        <v>63</v>
      </c>
      <c r="E2432" s="1">
        <v>2.0576556E7</v>
      </c>
      <c r="F2432" s="2">
        <v>41913.0</v>
      </c>
      <c r="G2432" s="1" t="s">
        <v>4061</v>
      </c>
      <c r="I2432" s="1" t="s">
        <v>4061</v>
      </c>
      <c r="L2432" s="1" t="s">
        <v>40</v>
      </c>
      <c r="M2432" s="1">
        <v>7500.0</v>
      </c>
      <c r="N2432" s="1" t="s">
        <v>40</v>
      </c>
      <c r="O2432" s="1">
        <v>1.7406606E7</v>
      </c>
      <c r="P2432" s="1" t="s">
        <v>1574</v>
      </c>
      <c r="Q2432" s="1" t="s">
        <v>4067</v>
      </c>
      <c r="R2432" s="1" t="s">
        <v>1575</v>
      </c>
      <c r="S2432" s="1" t="s">
        <v>44</v>
      </c>
      <c r="T2432" s="1" t="s">
        <v>45</v>
      </c>
      <c r="U2432" s="1">
        <v>4.82282826E8</v>
      </c>
      <c r="W2432" s="1" t="s">
        <v>46</v>
      </c>
      <c r="X2432" s="1" t="s">
        <v>45</v>
      </c>
      <c r="Y2432" s="1">
        <v>4.82282826E8</v>
      </c>
      <c r="Z2432" s="1">
        <v>7.8404738E7</v>
      </c>
      <c r="AA2432" s="1" t="s">
        <v>4068</v>
      </c>
      <c r="AB2432" s="1">
        <v>248377.0</v>
      </c>
      <c r="AC2432" s="2">
        <v>41913.0</v>
      </c>
      <c r="AD2432" s="1">
        <v>7500.0</v>
      </c>
      <c r="AE2432" s="1" t="s">
        <v>40</v>
      </c>
      <c r="AF2432" s="1">
        <v>2.0151729E7</v>
      </c>
      <c r="AG2432" s="1" t="s">
        <v>375</v>
      </c>
      <c r="AH2432" s="1">
        <v>10.0</v>
      </c>
      <c r="AI2432" s="1">
        <v>2012.0</v>
      </c>
      <c r="AJ2432" s="1">
        <v>2015.0</v>
      </c>
      <c r="AK2432" s="1" t="s">
        <v>4062</v>
      </c>
    </row>
    <row r="2433">
      <c r="A2433" s="1" t="s">
        <v>4060</v>
      </c>
      <c r="B2433" s="1" t="s">
        <v>4060</v>
      </c>
      <c r="C2433" s="1" t="s">
        <v>63</v>
      </c>
      <c r="E2433" s="1">
        <v>2.0576556E7</v>
      </c>
      <c r="F2433" s="2">
        <v>41548.0</v>
      </c>
      <c r="G2433" s="1" t="s">
        <v>4061</v>
      </c>
      <c r="I2433" s="1" t="s">
        <v>4061</v>
      </c>
      <c r="L2433" s="1" t="s">
        <v>40</v>
      </c>
      <c r="M2433" s="1">
        <v>7500.0</v>
      </c>
      <c r="N2433" s="1" t="s">
        <v>40</v>
      </c>
      <c r="O2433" s="1">
        <v>1.7406606E7</v>
      </c>
      <c r="P2433" s="1" t="s">
        <v>1574</v>
      </c>
      <c r="Q2433" s="1" t="s">
        <v>4069</v>
      </c>
      <c r="R2433" s="1" t="s">
        <v>1575</v>
      </c>
      <c r="S2433" s="1" t="s">
        <v>44</v>
      </c>
      <c r="T2433" s="1" t="s">
        <v>45</v>
      </c>
      <c r="U2433" s="1">
        <v>4.82282826E8</v>
      </c>
      <c r="W2433" s="1" t="s">
        <v>46</v>
      </c>
      <c r="X2433" s="1" t="s">
        <v>45</v>
      </c>
      <c r="Y2433" s="1">
        <v>4.82282826E8</v>
      </c>
      <c r="Z2433" s="1">
        <v>9.1610089E7</v>
      </c>
      <c r="AA2433" s="1" t="s">
        <v>4070</v>
      </c>
      <c r="AB2433" s="1">
        <v>243644.0</v>
      </c>
      <c r="AC2433" s="2">
        <v>41548.0</v>
      </c>
      <c r="AD2433" s="1">
        <v>7500.0</v>
      </c>
      <c r="AE2433" s="1" t="s">
        <v>40</v>
      </c>
      <c r="AF2433" s="1">
        <v>2.0141454E7</v>
      </c>
      <c r="AG2433" s="1" t="s">
        <v>375</v>
      </c>
      <c r="AH2433" s="1">
        <v>10.0</v>
      </c>
      <c r="AI2433" s="1">
        <v>2012.0</v>
      </c>
      <c r="AJ2433" s="1">
        <v>2014.0</v>
      </c>
      <c r="AK2433" s="1" t="s">
        <v>4062</v>
      </c>
    </row>
    <row r="2434">
      <c r="A2434" s="1" t="s">
        <v>1373</v>
      </c>
      <c r="B2434" s="1" t="s">
        <v>1373</v>
      </c>
      <c r="C2434" s="1" t="s">
        <v>38</v>
      </c>
      <c r="E2434" s="1">
        <v>2931137.0</v>
      </c>
      <c r="F2434" s="2">
        <v>41605.0</v>
      </c>
      <c r="G2434" s="1" t="s">
        <v>4071</v>
      </c>
      <c r="I2434" s="1" t="s">
        <v>4071</v>
      </c>
      <c r="L2434" s="1" t="s">
        <v>40</v>
      </c>
      <c r="M2434" s="1">
        <v>7500.0</v>
      </c>
      <c r="N2434" s="1" t="s">
        <v>40</v>
      </c>
      <c r="O2434" s="1">
        <v>1962224.0</v>
      </c>
      <c r="P2434" s="1" t="s">
        <v>52</v>
      </c>
      <c r="R2434" s="1" t="s">
        <v>1885</v>
      </c>
      <c r="S2434" s="1" t="s">
        <v>44</v>
      </c>
      <c r="T2434" s="1" t="s">
        <v>45</v>
      </c>
      <c r="U2434" s="1">
        <v>4.82021347E8</v>
      </c>
      <c r="W2434" s="1" t="s">
        <v>46</v>
      </c>
      <c r="X2434" s="1" t="s">
        <v>45</v>
      </c>
      <c r="Y2434" s="1">
        <v>4.82012153E8</v>
      </c>
      <c r="Z2434" s="1">
        <v>1962224.0</v>
      </c>
      <c r="AA2434" s="1" t="s">
        <v>52</v>
      </c>
      <c r="AB2434" s="1">
        <v>137806.0</v>
      </c>
      <c r="AC2434" s="2">
        <v>41605.0</v>
      </c>
      <c r="AD2434" s="1">
        <v>7500.0</v>
      </c>
      <c r="AE2434" s="1" t="s">
        <v>40</v>
      </c>
      <c r="AF2434" s="1">
        <v>532256.0</v>
      </c>
      <c r="AG2434" s="1" t="s">
        <v>1375</v>
      </c>
      <c r="AH2434" s="1">
        <v>1.0</v>
      </c>
      <c r="AI2434" s="1">
        <v>2015.0</v>
      </c>
      <c r="AJ2434" s="1">
        <v>2014.0</v>
      </c>
      <c r="AK2434" s="1" t="s">
        <v>372</v>
      </c>
    </row>
    <row r="2435">
      <c r="A2435" s="1" t="s">
        <v>4060</v>
      </c>
      <c r="B2435" s="1" t="s">
        <v>4060</v>
      </c>
      <c r="C2435" s="1" t="s">
        <v>63</v>
      </c>
      <c r="E2435" s="1">
        <v>2.0576556E7</v>
      </c>
      <c r="F2435" s="2">
        <v>41183.0</v>
      </c>
      <c r="G2435" s="1" t="s">
        <v>4061</v>
      </c>
      <c r="I2435" s="1" t="s">
        <v>4061</v>
      </c>
      <c r="L2435" s="1" t="s">
        <v>40</v>
      </c>
      <c r="M2435" s="1">
        <v>7500.0</v>
      </c>
      <c r="N2435" s="1" t="s">
        <v>40</v>
      </c>
      <c r="O2435" s="1">
        <v>7.8583404E7</v>
      </c>
      <c r="P2435" s="1" t="s">
        <v>65</v>
      </c>
      <c r="Q2435" s="1" t="s">
        <v>4072</v>
      </c>
      <c r="R2435" s="1" t="s">
        <v>1573</v>
      </c>
      <c r="S2435" s="1" t="s">
        <v>44</v>
      </c>
      <c r="T2435" s="1" t="s">
        <v>45</v>
      </c>
      <c r="U2435" s="1">
        <v>4.8207311E8</v>
      </c>
      <c r="W2435" s="1" t="s">
        <v>46</v>
      </c>
      <c r="X2435" s="1" t="s">
        <v>45</v>
      </c>
      <c r="Y2435" s="1">
        <v>4.82021732E8</v>
      </c>
      <c r="Z2435" s="1">
        <v>8.0341472E7</v>
      </c>
      <c r="AA2435" s="1" t="s">
        <v>4073</v>
      </c>
      <c r="AB2435" s="1">
        <v>249126.0</v>
      </c>
      <c r="AC2435" s="2">
        <v>41183.0</v>
      </c>
      <c r="AD2435" s="1">
        <v>7500.0</v>
      </c>
      <c r="AE2435" s="1" t="s">
        <v>40</v>
      </c>
      <c r="AF2435" s="1">
        <v>2.01304E7</v>
      </c>
      <c r="AG2435" s="1" t="s">
        <v>375</v>
      </c>
      <c r="AH2435" s="1">
        <v>10.0</v>
      </c>
      <c r="AI2435" s="1">
        <v>2012.0</v>
      </c>
      <c r="AJ2435" s="1">
        <v>2013.0</v>
      </c>
      <c r="AK2435" s="1" t="s">
        <v>4062</v>
      </c>
    </row>
    <row r="2436">
      <c r="A2436" s="1" t="s">
        <v>4074</v>
      </c>
      <c r="B2436" s="1" t="s">
        <v>4074</v>
      </c>
      <c r="C2436" s="1" t="s">
        <v>159</v>
      </c>
      <c r="E2436" s="1">
        <v>1.8873668E7</v>
      </c>
      <c r="F2436" s="2">
        <v>41548.0</v>
      </c>
      <c r="G2436" s="1" t="s">
        <v>2683</v>
      </c>
      <c r="I2436" s="1" t="s">
        <v>2683</v>
      </c>
      <c r="L2436" s="1" t="s">
        <v>40</v>
      </c>
      <c r="M2436" s="1">
        <v>7500.0</v>
      </c>
      <c r="N2436" s="1" t="s">
        <v>40</v>
      </c>
      <c r="O2436" s="1">
        <v>7.6377316E7</v>
      </c>
      <c r="P2436" s="1" t="s">
        <v>2302</v>
      </c>
      <c r="R2436" s="1" t="s">
        <v>2303</v>
      </c>
      <c r="S2436" s="1" t="s">
        <v>44</v>
      </c>
      <c r="T2436" s="1" t="s">
        <v>45</v>
      </c>
      <c r="U2436" s="1">
        <v>4.82012119E8</v>
      </c>
      <c r="W2436" s="1" t="s">
        <v>46</v>
      </c>
      <c r="X2436" s="1" t="s">
        <v>45</v>
      </c>
      <c r="Y2436" s="1">
        <v>4.82012119E8</v>
      </c>
      <c r="Z2436" s="1">
        <v>5.3866661E7</v>
      </c>
      <c r="AB2436" s="1">
        <v>3090.87</v>
      </c>
      <c r="AC2436" s="2">
        <v>41548.0</v>
      </c>
      <c r="AD2436" s="1">
        <v>7500.0</v>
      </c>
      <c r="AE2436" s="1" t="s">
        <v>40</v>
      </c>
      <c r="AF2436" s="1">
        <v>2.0140061E7</v>
      </c>
      <c r="AG2436" s="1" t="s">
        <v>2683</v>
      </c>
      <c r="AH2436" s="1">
        <v>10.0</v>
      </c>
      <c r="AI2436" s="1">
        <v>2013.0</v>
      </c>
      <c r="AJ2436" s="1">
        <v>2014.0</v>
      </c>
      <c r="AK2436" s="1" t="s">
        <v>2684</v>
      </c>
    </row>
    <row r="2437">
      <c r="A2437" s="1" t="s">
        <v>4074</v>
      </c>
      <c r="B2437" s="1" t="s">
        <v>4074</v>
      </c>
      <c r="C2437" s="1" t="s">
        <v>159</v>
      </c>
      <c r="E2437" s="1">
        <v>1.8873668E7</v>
      </c>
      <c r="F2437" s="2">
        <v>41913.0</v>
      </c>
      <c r="G2437" s="1" t="s">
        <v>2683</v>
      </c>
      <c r="I2437" s="1" t="s">
        <v>2683</v>
      </c>
      <c r="L2437" s="1" t="s">
        <v>40</v>
      </c>
      <c r="M2437" s="1">
        <v>7500.0</v>
      </c>
      <c r="N2437" s="1" t="s">
        <v>40</v>
      </c>
      <c r="O2437" s="1">
        <v>7596352.0</v>
      </c>
      <c r="P2437" s="1" t="s">
        <v>73</v>
      </c>
      <c r="R2437" s="1" t="s">
        <v>1578</v>
      </c>
      <c r="S2437" s="1" t="s">
        <v>44</v>
      </c>
      <c r="T2437" s="1" t="s">
        <v>45</v>
      </c>
      <c r="U2437" s="1">
        <v>4.82263269E8</v>
      </c>
      <c r="W2437" s="1" t="s">
        <v>46</v>
      </c>
      <c r="X2437" s="1" t="s">
        <v>45</v>
      </c>
      <c r="Y2437" s="1">
        <v>4.82263269E8</v>
      </c>
      <c r="Z2437" s="1">
        <v>6530661.0</v>
      </c>
      <c r="AA2437" s="1" t="s">
        <v>76</v>
      </c>
      <c r="AB2437" s="1">
        <v>583313.0</v>
      </c>
      <c r="AC2437" s="2">
        <v>41913.0</v>
      </c>
      <c r="AD2437" s="1">
        <v>7500.0</v>
      </c>
      <c r="AE2437" s="1" t="s">
        <v>40</v>
      </c>
      <c r="AF2437" s="1">
        <v>2.0151729E7</v>
      </c>
      <c r="AG2437" s="1" t="s">
        <v>2683</v>
      </c>
      <c r="AH2437" s="1">
        <v>10.0</v>
      </c>
      <c r="AI2437" s="1">
        <v>2013.0</v>
      </c>
      <c r="AJ2437" s="1">
        <v>2015.0</v>
      </c>
      <c r="AK2437" s="1" t="s">
        <v>2684</v>
      </c>
    </row>
    <row r="2438">
      <c r="A2438" s="1" t="s">
        <v>4074</v>
      </c>
      <c r="B2438" s="1" t="s">
        <v>4074</v>
      </c>
      <c r="C2438" s="1" t="s">
        <v>159</v>
      </c>
      <c r="E2438" s="1">
        <v>1.8873668E7</v>
      </c>
      <c r="F2438" s="2">
        <v>41548.0</v>
      </c>
      <c r="G2438" s="1" t="s">
        <v>2683</v>
      </c>
      <c r="I2438" s="1" t="s">
        <v>2683</v>
      </c>
      <c r="L2438" s="1" t="s">
        <v>40</v>
      </c>
      <c r="M2438" s="1">
        <v>7500.0</v>
      </c>
      <c r="N2438" s="1" t="s">
        <v>40</v>
      </c>
      <c r="O2438" s="1">
        <v>7.6377316E7</v>
      </c>
      <c r="P2438" s="1" t="s">
        <v>2302</v>
      </c>
      <c r="R2438" s="1" t="s">
        <v>2303</v>
      </c>
      <c r="S2438" s="1" t="s">
        <v>44</v>
      </c>
      <c r="T2438" s="1" t="s">
        <v>45</v>
      </c>
      <c r="U2438" s="1">
        <v>4.82012119E8</v>
      </c>
      <c r="W2438" s="1" t="s">
        <v>46</v>
      </c>
      <c r="X2438" s="1" t="s">
        <v>45</v>
      </c>
      <c r="Y2438" s="1">
        <v>4.82012119E8</v>
      </c>
      <c r="Z2438" s="1">
        <v>5.3866661E7</v>
      </c>
      <c r="AB2438" s="1">
        <v>0.0</v>
      </c>
      <c r="AC2438" s="2">
        <v>41548.0</v>
      </c>
      <c r="AD2438" s="1">
        <v>7500.0</v>
      </c>
      <c r="AE2438" s="1" t="s">
        <v>40</v>
      </c>
      <c r="AF2438" s="1">
        <v>2.014006E7</v>
      </c>
      <c r="AG2438" s="1" t="s">
        <v>2683</v>
      </c>
      <c r="AH2438" s="1">
        <v>10.0</v>
      </c>
      <c r="AI2438" s="1">
        <v>2013.0</v>
      </c>
      <c r="AJ2438" s="1">
        <v>2014.0</v>
      </c>
      <c r="AK2438" s="1" t="s">
        <v>2684</v>
      </c>
    </row>
    <row r="2439">
      <c r="A2439" s="1" t="s">
        <v>4074</v>
      </c>
      <c r="B2439" s="1" t="s">
        <v>4074</v>
      </c>
      <c r="C2439" s="1" t="s">
        <v>159</v>
      </c>
      <c r="E2439" s="1">
        <v>1.8873668E7</v>
      </c>
      <c r="F2439" s="2">
        <v>41548.0</v>
      </c>
      <c r="G2439" s="1" t="s">
        <v>2683</v>
      </c>
      <c r="I2439" s="1" t="s">
        <v>2683</v>
      </c>
      <c r="L2439" s="1" t="s">
        <v>40</v>
      </c>
      <c r="M2439" s="1">
        <v>7500.0</v>
      </c>
      <c r="N2439" s="1" t="s">
        <v>40</v>
      </c>
      <c r="O2439" s="1">
        <v>3.6094215E8</v>
      </c>
      <c r="P2439" s="1" t="s">
        <v>2861</v>
      </c>
      <c r="R2439" s="1" t="s">
        <v>2862</v>
      </c>
      <c r="S2439" s="1" t="s">
        <v>44</v>
      </c>
      <c r="T2439" s="1" t="s">
        <v>45</v>
      </c>
      <c r="U2439" s="1">
        <v>4.821622E8</v>
      </c>
      <c r="W2439" s="1" t="s">
        <v>46</v>
      </c>
      <c r="X2439" s="1" t="s">
        <v>45</v>
      </c>
      <c r="Y2439" s="1">
        <v>4.821622E8</v>
      </c>
      <c r="Z2439" s="1">
        <v>3.6094215E8</v>
      </c>
      <c r="AA2439" s="1" t="s">
        <v>2861</v>
      </c>
      <c r="AB2439" s="1">
        <v>40000.0</v>
      </c>
      <c r="AC2439" s="2">
        <v>41548.0</v>
      </c>
      <c r="AD2439" s="1">
        <v>7500.0</v>
      </c>
      <c r="AE2439" s="1" t="s">
        <v>40</v>
      </c>
      <c r="AF2439" s="1">
        <v>2.0140304E7</v>
      </c>
      <c r="AG2439" s="1" t="s">
        <v>2683</v>
      </c>
      <c r="AH2439" s="1">
        <v>10.0</v>
      </c>
      <c r="AI2439" s="1">
        <v>2013.0</v>
      </c>
      <c r="AJ2439" s="1">
        <v>2014.0</v>
      </c>
      <c r="AK2439" s="1" t="s">
        <v>2684</v>
      </c>
    </row>
    <row r="2440">
      <c r="A2440" s="1" t="s">
        <v>4074</v>
      </c>
      <c r="B2440" s="1" t="s">
        <v>4074</v>
      </c>
      <c r="C2440" s="1" t="s">
        <v>159</v>
      </c>
      <c r="E2440" s="1">
        <v>1.8873668E7</v>
      </c>
      <c r="F2440" s="2">
        <v>41548.0</v>
      </c>
      <c r="G2440" s="1" t="s">
        <v>2683</v>
      </c>
      <c r="I2440" s="1" t="s">
        <v>2683</v>
      </c>
      <c r="L2440" s="1" t="s">
        <v>40</v>
      </c>
      <c r="M2440" s="1">
        <v>7500.0</v>
      </c>
      <c r="N2440" s="1" t="s">
        <v>40</v>
      </c>
      <c r="O2440" s="1">
        <v>7596352.0</v>
      </c>
      <c r="P2440" s="1" t="s">
        <v>73</v>
      </c>
      <c r="R2440" s="1" t="s">
        <v>1578</v>
      </c>
      <c r="S2440" s="1" t="s">
        <v>44</v>
      </c>
      <c r="T2440" s="1" t="s">
        <v>45</v>
      </c>
      <c r="U2440" s="1">
        <v>4.82263269E8</v>
      </c>
      <c r="W2440" s="1" t="s">
        <v>46</v>
      </c>
      <c r="X2440" s="1" t="s">
        <v>45</v>
      </c>
      <c r="Y2440" s="1">
        <v>4.82263269E8</v>
      </c>
      <c r="Z2440" s="1">
        <v>6530661.0</v>
      </c>
      <c r="AA2440" s="1" t="s">
        <v>76</v>
      </c>
      <c r="AB2440" s="1">
        <v>838758.83</v>
      </c>
      <c r="AC2440" s="2">
        <v>41548.0</v>
      </c>
      <c r="AD2440" s="1">
        <v>7500.0</v>
      </c>
      <c r="AE2440" s="1" t="s">
        <v>40</v>
      </c>
      <c r="AF2440" s="1">
        <v>2.0141454E7</v>
      </c>
      <c r="AG2440" s="1" t="s">
        <v>2683</v>
      </c>
      <c r="AH2440" s="1">
        <v>10.0</v>
      </c>
      <c r="AI2440" s="1">
        <v>2013.0</v>
      </c>
      <c r="AJ2440" s="1">
        <v>2014.0</v>
      </c>
      <c r="AK2440" s="1" t="s">
        <v>2684</v>
      </c>
    </row>
    <row r="2441">
      <c r="A2441" s="1" t="s">
        <v>4075</v>
      </c>
      <c r="B2441" s="1" t="s">
        <v>4075</v>
      </c>
      <c r="C2441" s="1" t="s">
        <v>159</v>
      </c>
      <c r="E2441" s="1">
        <v>3715555.0</v>
      </c>
      <c r="F2441" s="2">
        <v>41913.0</v>
      </c>
      <c r="G2441" s="1" t="s">
        <v>2683</v>
      </c>
      <c r="I2441" s="1" t="s">
        <v>2683</v>
      </c>
      <c r="L2441" s="1" t="s">
        <v>40</v>
      </c>
      <c r="M2441" s="1">
        <v>7500.0</v>
      </c>
      <c r="N2441" s="1" t="s">
        <v>40</v>
      </c>
      <c r="O2441" s="1">
        <v>3.8775243E7</v>
      </c>
      <c r="P2441" s="1" t="s">
        <v>209</v>
      </c>
      <c r="Q2441" s="1" t="s">
        <v>210</v>
      </c>
      <c r="R2441" s="1" t="s">
        <v>211</v>
      </c>
      <c r="S2441" s="1" t="s">
        <v>44</v>
      </c>
      <c r="T2441" s="1" t="s">
        <v>45</v>
      </c>
      <c r="U2441" s="1">
        <v>4.82023068E8</v>
      </c>
      <c r="W2441" s="1" t="s">
        <v>46</v>
      </c>
      <c r="X2441" s="1" t="s">
        <v>45</v>
      </c>
      <c r="Y2441" s="1">
        <v>4.82023068E8</v>
      </c>
      <c r="Z2441" s="1">
        <v>3.8775243E7</v>
      </c>
      <c r="AA2441" s="1" t="s">
        <v>209</v>
      </c>
      <c r="AB2441" s="1">
        <v>52651.96</v>
      </c>
      <c r="AC2441" s="2">
        <v>41913.0</v>
      </c>
      <c r="AD2441" s="1">
        <v>7500.0</v>
      </c>
      <c r="AE2441" s="1" t="s">
        <v>40</v>
      </c>
      <c r="AF2441" s="1">
        <v>2.0151622E7</v>
      </c>
      <c r="AG2441" s="1" t="s">
        <v>2683</v>
      </c>
      <c r="AH2441" s="1">
        <v>10.0</v>
      </c>
      <c r="AI2441" s="1">
        <v>2014.0</v>
      </c>
      <c r="AJ2441" s="1">
        <v>2015.0</v>
      </c>
      <c r="AK2441" s="1" t="s">
        <v>2684</v>
      </c>
    </row>
    <row r="2442">
      <c r="A2442" s="1" t="s">
        <v>4075</v>
      </c>
      <c r="B2442" s="1" t="s">
        <v>4075</v>
      </c>
      <c r="C2442" s="1" t="s">
        <v>159</v>
      </c>
      <c r="E2442" s="1">
        <v>3715555.0</v>
      </c>
      <c r="F2442" s="2">
        <v>41913.0</v>
      </c>
      <c r="G2442" s="1" t="s">
        <v>2683</v>
      </c>
      <c r="I2442" s="1" t="s">
        <v>2683</v>
      </c>
      <c r="L2442" s="1" t="s">
        <v>40</v>
      </c>
      <c r="M2442" s="1">
        <v>7500.0</v>
      </c>
      <c r="N2442" s="1" t="s">
        <v>40</v>
      </c>
      <c r="O2442" s="1">
        <v>7596352.0</v>
      </c>
      <c r="P2442" s="1" t="s">
        <v>73</v>
      </c>
      <c r="R2442" s="1" t="s">
        <v>1578</v>
      </c>
      <c r="S2442" s="1" t="s">
        <v>44</v>
      </c>
      <c r="T2442" s="1" t="s">
        <v>45</v>
      </c>
      <c r="U2442" s="1">
        <v>4.82263269E8</v>
      </c>
      <c r="W2442" s="1" t="s">
        <v>46</v>
      </c>
      <c r="X2442" s="1" t="s">
        <v>45</v>
      </c>
      <c r="Y2442" s="1">
        <v>4.82263269E8</v>
      </c>
      <c r="Z2442" s="1">
        <v>6530661.0</v>
      </c>
      <c r="AA2442" s="1" t="s">
        <v>76</v>
      </c>
      <c r="AB2442" s="1">
        <v>725520.31</v>
      </c>
      <c r="AC2442" s="2">
        <v>41913.0</v>
      </c>
      <c r="AD2442" s="1">
        <v>7500.0</v>
      </c>
      <c r="AE2442" s="1" t="s">
        <v>40</v>
      </c>
      <c r="AF2442" s="1">
        <v>2.0151729E7</v>
      </c>
      <c r="AG2442" s="1" t="s">
        <v>2683</v>
      </c>
      <c r="AH2442" s="1">
        <v>10.0</v>
      </c>
      <c r="AI2442" s="1">
        <v>2014.0</v>
      </c>
      <c r="AJ2442" s="1">
        <v>2015.0</v>
      </c>
      <c r="AK2442" s="1" t="s">
        <v>2684</v>
      </c>
    </row>
    <row r="2443">
      <c r="A2443" s="1" t="s">
        <v>4075</v>
      </c>
      <c r="B2443" s="1" t="s">
        <v>4075</v>
      </c>
      <c r="C2443" s="1" t="s">
        <v>159</v>
      </c>
      <c r="E2443" s="1">
        <v>3715555.0</v>
      </c>
      <c r="F2443" s="2">
        <v>41913.0</v>
      </c>
      <c r="G2443" s="1" t="s">
        <v>2683</v>
      </c>
      <c r="I2443" s="1" t="s">
        <v>2683</v>
      </c>
      <c r="L2443" s="1" t="s">
        <v>40</v>
      </c>
      <c r="M2443" s="1">
        <v>7500.0</v>
      </c>
      <c r="N2443" s="1" t="s">
        <v>40</v>
      </c>
      <c r="O2443" s="1">
        <v>7.3135402E7</v>
      </c>
      <c r="P2443" s="1" t="s">
        <v>152</v>
      </c>
      <c r="Q2443" s="1" t="s">
        <v>153</v>
      </c>
      <c r="R2443" s="1" t="s">
        <v>154</v>
      </c>
      <c r="S2443" s="1" t="s">
        <v>44</v>
      </c>
      <c r="T2443" s="1" t="s">
        <v>45</v>
      </c>
      <c r="U2443" s="1">
        <v>4.82213038E8</v>
      </c>
      <c r="W2443" s="1" t="s">
        <v>46</v>
      </c>
      <c r="X2443" s="1" t="s">
        <v>45</v>
      </c>
      <c r="Y2443" s="1">
        <v>4.82213038E8</v>
      </c>
      <c r="Z2443" s="1">
        <v>7.3135402E7</v>
      </c>
      <c r="AA2443" s="1" t="s">
        <v>152</v>
      </c>
      <c r="AB2443" s="1">
        <v>30201.89</v>
      </c>
      <c r="AC2443" s="2">
        <v>41913.0</v>
      </c>
      <c r="AD2443" s="1">
        <v>7500.0</v>
      </c>
      <c r="AE2443" s="1" t="s">
        <v>40</v>
      </c>
      <c r="AF2443" s="1">
        <v>2.0150204E7</v>
      </c>
      <c r="AG2443" s="1" t="s">
        <v>2683</v>
      </c>
      <c r="AH2443" s="1">
        <v>10.0</v>
      </c>
      <c r="AI2443" s="1">
        <v>2014.0</v>
      </c>
      <c r="AJ2443" s="1">
        <v>2015.0</v>
      </c>
      <c r="AK2443" s="1" t="s">
        <v>2684</v>
      </c>
    </row>
    <row r="2444">
      <c r="A2444" s="1" t="s">
        <v>4075</v>
      </c>
      <c r="B2444" s="1" t="s">
        <v>4075</v>
      </c>
      <c r="C2444" s="1" t="s">
        <v>159</v>
      </c>
      <c r="E2444" s="1">
        <v>3715555.0</v>
      </c>
      <c r="F2444" s="2">
        <v>41913.0</v>
      </c>
      <c r="G2444" s="1" t="s">
        <v>2683</v>
      </c>
      <c r="I2444" s="1" t="s">
        <v>2683</v>
      </c>
      <c r="L2444" s="1" t="s">
        <v>40</v>
      </c>
      <c r="M2444" s="1">
        <v>7500.0</v>
      </c>
      <c r="N2444" s="1" t="s">
        <v>40</v>
      </c>
      <c r="O2444" s="1">
        <v>7.8583404E7</v>
      </c>
      <c r="P2444" s="1" t="s">
        <v>65</v>
      </c>
      <c r="R2444" s="1" t="s">
        <v>1573</v>
      </c>
      <c r="S2444" s="1" t="s">
        <v>44</v>
      </c>
      <c r="T2444" s="1" t="s">
        <v>45</v>
      </c>
      <c r="U2444" s="1">
        <v>4.8207311E8</v>
      </c>
      <c r="W2444" s="1" t="s">
        <v>46</v>
      </c>
      <c r="X2444" s="1" t="s">
        <v>45</v>
      </c>
      <c r="Y2444" s="1">
        <v>4.82073113E8</v>
      </c>
      <c r="AB2444" s="1">
        <v>63005.67</v>
      </c>
      <c r="AC2444" s="2">
        <v>41913.0</v>
      </c>
      <c r="AD2444" s="1">
        <v>7500.0</v>
      </c>
      <c r="AE2444" s="1" t="s">
        <v>40</v>
      </c>
      <c r="AF2444" s="1">
        <v>2.0150143E7</v>
      </c>
      <c r="AG2444" s="1" t="s">
        <v>2683</v>
      </c>
      <c r="AH2444" s="1">
        <v>10.0</v>
      </c>
      <c r="AI2444" s="1">
        <v>2014.0</v>
      </c>
      <c r="AJ2444" s="1">
        <v>2015.0</v>
      </c>
      <c r="AK2444" s="1" t="s">
        <v>2684</v>
      </c>
    </row>
    <row r="2445">
      <c r="A2445" s="1" t="s">
        <v>4076</v>
      </c>
      <c r="B2445" s="1" t="s">
        <v>4076</v>
      </c>
      <c r="C2445" s="1" t="s">
        <v>38</v>
      </c>
      <c r="E2445" s="1">
        <v>1.1900534E7</v>
      </c>
      <c r="F2445" s="2">
        <v>41893.0</v>
      </c>
      <c r="G2445" s="1" t="s">
        <v>4077</v>
      </c>
      <c r="I2445" s="1" t="s">
        <v>4077</v>
      </c>
      <c r="L2445" s="1" t="s">
        <v>40</v>
      </c>
      <c r="M2445" s="1">
        <v>7500.0</v>
      </c>
      <c r="N2445" s="1" t="s">
        <v>40</v>
      </c>
      <c r="O2445" s="1">
        <v>7.3134603E7</v>
      </c>
      <c r="P2445" s="1" t="s">
        <v>41</v>
      </c>
      <c r="Q2445" s="1" t="s">
        <v>42</v>
      </c>
      <c r="R2445" s="1" t="s">
        <v>43</v>
      </c>
      <c r="S2445" s="1" t="s">
        <v>44</v>
      </c>
      <c r="T2445" s="1" t="s">
        <v>45</v>
      </c>
      <c r="U2445" s="1">
        <v>4.8202345E8</v>
      </c>
      <c r="W2445" s="1" t="s">
        <v>44</v>
      </c>
      <c r="X2445" s="1" t="s">
        <v>45</v>
      </c>
      <c r="Y2445" s="1">
        <v>4.82022689E8</v>
      </c>
      <c r="Z2445" s="1">
        <v>7.3134603E7</v>
      </c>
      <c r="AA2445" s="1" t="s">
        <v>41</v>
      </c>
      <c r="AB2445" s="1">
        <v>207037.0</v>
      </c>
      <c r="AC2445" s="2">
        <v>41893.0</v>
      </c>
      <c r="AD2445" s="1">
        <v>7500.0</v>
      </c>
      <c r="AE2445" s="1" t="s">
        <v>40</v>
      </c>
      <c r="AF2445" s="1">
        <v>2.001414481E9</v>
      </c>
      <c r="AG2445" s="1" t="s">
        <v>4078</v>
      </c>
      <c r="AH2445" s="1">
        <v>2.0</v>
      </c>
      <c r="AI2445" s="1">
        <v>2015.0</v>
      </c>
      <c r="AJ2445" s="1">
        <v>2014.0</v>
      </c>
      <c r="AK2445" s="1" t="s">
        <v>4079</v>
      </c>
    </row>
    <row r="2446">
      <c r="A2446" s="1" t="s">
        <v>4080</v>
      </c>
      <c r="B2446" s="1" t="s">
        <v>4080</v>
      </c>
      <c r="C2446" s="1" t="s">
        <v>38</v>
      </c>
      <c r="E2446" s="1">
        <v>1.3349656E7</v>
      </c>
      <c r="F2446" s="2">
        <v>41932.0</v>
      </c>
      <c r="G2446" s="1" t="s">
        <v>4081</v>
      </c>
      <c r="I2446" s="1" t="s">
        <v>4081</v>
      </c>
      <c r="L2446" s="1" t="s">
        <v>40</v>
      </c>
      <c r="M2446" s="1">
        <v>7500.0</v>
      </c>
      <c r="N2446" s="1" t="s">
        <v>40</v>
      </c>
      <c r="O2446" s="1">
        <v>7.3134603E7</v>
      </c>
      <c r="P2446" s="1" t="s">
        <v>41</v>
      </c>
      <c r="Q2446" s="1" t="s">
        <v>252</v>
      </c>
      <c r="R2446" s="1" t="s">
        <v>253</v>
      </c>
      <c r="S2446" s="1" t="s">
        <v>44</v>
      </c>
      <c r="T2446" s="1" t="s">
        <v>45</v>
      </c>
      <c r="U2446" s="1">
        <v>4.8202345E8</v>
      </c>
      <c r="W2446" s="1" t="s">
        <v>46</v>
      </c>
      <c r="X2446" s="1" t="s">
        <v>45</v>
      </c>
      <c r="Y2446" s="1">
        <v>4.82022689E8</v>
      </c>
      <c r="Z2446" s="1">
        <v>7.3134603E7</v>
      </c>
      <c r="AA2446" s="1" t="s">
        <v>41</v>
      </c>
      <c r="AB2446" s="1">
        <v>47597.0</v>
      </c>
      <c r="AC2446" s="2">
        <v>41932.0</v>
      </c>
      <c r="AD2446" s="1">
        <v>7500.0</v>
      </c>
      <c r="AE2446" s="1" t="s">
        <v>40</v>
      </c>
      <c r="AF2446" s="1">
        <v>2.001948029E9</v>
      </c>
      <c r="AG2446" s="1" t="s">
        <v>4082</v>
      </c>
      <c r="AH2446" s="1">
        <v>2.0</v>
      </c>
      <c r="AI2446" s="1">
        <v>2015.0</v>
      </c>
      <c r="AJ2446" s="1">
        <v>2015.0</v>
      </c>
      <c r="AK2446" s="1" t="s">
        <v>338</v>
      </c>
    </row>
    <row r="2447">
      <c r="A2447" s="1" t="s">
        <v>4013</v>
      </c>
      <c r="B2447" s="1" t="s">
        <v>4013</v>
      </c>
      <c r="C2447" s="1" t="s">
        <v>63</v>
      </c>
      <c r="E2447" s="1">
        <v>1.9608108E7</v>
      </c>
      <c r="F2447" s="2">
        <v>41913.0</v>
      </c>
      <c r="G2447" s="1" t="s">
        <v>4014</v>
      </c>
      <c r="I2447" s="1" t="s">
        <v>4014</v>
      </c>
      <c r="L2447" s="1" t="s">
        <v>40</v>
      </c>
      <c r="M2447" s="1">
        <v>7500.0</v>
      </c>
      <c r="N2447" s="1" t="s">
        <v>40</v>
      </c>
      <c r="O2447" s="1">
        <v>1962224.0</v>
      </c>
      <c r="P2447" s="1" t="s">
        <v>52</v>
      </c>
      <c r="Q2447" s="1" t="s">
        <v>4026</v>
      </c>
      <c r="R2447" s="1" t="s">
        <v>1885</v>
      </c>
      <c r="S2447" s="1" t="s">
        <v>44</v>
      </c>
      <c r="T2447" s="1" t="s">
        <v>45</v>
      </c>
      <c r="U2447" s="1">
        <v>4.82021347E8</v>
      </c>
      <c r="W2447" s="1" t="s">
        <v>46</v>
      </c>
      <c r="X2447" s="1" t="s">
        <v>45</v>
      </c>
      <c r="Y2447" s="1">
        <v>4.82023692E8</v>
      </c>
      <c r="Z2447" s="1">
        <v>1962224.0</v>
      </c>
      <c r="AA2447" s="1" t="s">
        <v>52</v>
      </c>
      <c r="AB2447" s="1">
        <v>11905.49</v>
      </c>
      <c r="AC2447" s="2">
        <v>41913.0</v>
      </c>
      <c r="AD2447" s="1">
        <v>7500.0</v>
      </c>
      <c r="AE2447" s="1" t="s">
        <v>40</v>
      </c>
      <c r="AF2447" s="1">
        <v>2.0151666E7</v>
      </c>
      <c r="AG2447" s="1" t="s">
        <v>4015</v>
      </c>
      <c r="AH2447" s="1">
        <v>10.0</v>
      </c>
      <c r="AI2447" s="1">
        <v>2011.0</v>
      </c>
      <c r="AJ2447" s="1">
        <v>2015.0</v>
      </c>
      <c r="AK2447" s="1" t="s">
        <v>4003</v>
      </c>
    </row>
    <row r="2448">
      <c r="A2448" s="1" t="s">
        <v>4013</v>
      </c>
      <c r="B2448" s="1" t="s">
        <v>4013</v>
      </c>
      <c r="C2448" s="1" t="s">
        <v>63</v>
      </c>
      <c r="E2448" s="1">
        <v>1.9608108E7</v>
      </c>
      <c r="F2448" s="2">
        <v>41913.0</v>
      </c>
      <c r="G2448" s="1" t="s">
        <v>4014</v>
      </c>
      <c r="I2448" s="1" t="s">
        <v>4014</v>
      </c>
      <c r="L2448" s="1" t="s">
        <v>40</v>
      </c>
      <c r="M2448" s="1">
        <v>7500.0</v>
      </c>
      <c r="N2448" s="1" t="s">
        <v>40</v>
      </c>
      <c r="O2448" s="1">
        <v>2.0830303E7</v>
      </c>
      <c r="P2448" s="1" t="s">
        <v>424</v>
      </c>
      <c r="Q2448" s="1" t="s">
        <v>425</v>
      </c>
      <c r="R2448" s="1" t="s">
        <v>426</v>
      </c>
      <c r="S2448" s="1" t="s">
        <v>44</v>
      </c>
      <c r="T2448" s="1" t="s">
        <v>45</v>
      </c>
      <c r="U2448" s="1">
        <v>4.82012002E8</v>
      </c>
      <c r="W2448" s="1" t="s">
        <v>46</v>
      </c>
      <c r="X2448" s="1" t="s">
        <v>45</v>
      </c>
      <c r="Y2448" s="1">
        <v>4.82012002E8</v>
      </c>
      <c r="Z2448" s="1">
        <v>2.0830303E7</v>
      </c>
      <c r="AA2448" s="1" t="s">
        <v>424</v>
      </c>
      <c r="AB2448" s="1">
        <v>12829.88</v>
      </c>
      <c r="AC2448" s="2">
        <v>41913.0</v>
      </c>
      <c r="AD2448" s="1">
        <v>7500.0</v>
      </c>
      <c r="AE2448" s="1" t="s">
        <v>40</v>
      </c>
      <c r="AF2448" s="1">
        <v>2.0150694E7</v>
      </c>
      <c r="AG2448" s="1" t="s">
        <v>4015</v>
      </c>
      <c r="AH2448" s="1">
        <v>10.0</v>
      </c>
      <c r="AI2448" s="1">
        <v>2011.0</v>
      </c>
      <c r="AJ2448" s="1">
        <v>2015.0</v>
      </c>
      <c r="AK2448" s="1" t="s">
        <v>4003</v>
      </c>
    </row>
    <row r="2449">
      <c r="A2449" s="1" t="s">
        <v>4013</v>
      </c>
      <c r="B2449" s="1" t="s">
        <v>4013</v>
      </c>
      <c r="C2449" s="1" t="s">
        <v>63</v>
      </c>
      <c r="E2449" s="1">
        <v>1.9608108E7</v>
      </c>
      <c r="F2449" s="2">
        <v>41913.0</v>
      </c>
      <c r="G2449" s="1" t="s">
        <v>4014</v>
      </c>
      <c r="I2449" s="1" t="s">
        <v>4014</v>
      </c>
      <c r="L2449" s="1" t="s">
        <v>40</v>
      </c>
      <c r="M2449" s="1">
        <v>7500.0</v>
      </c>
      <c r="N2449" s="1" t="s">
        <v>40</v>
      </c>
      <c r="O2449" s="1">
        <v>1.40133393E8</v>
      </c>
      <c r="P2449" s="1" t="s">
        <v>4028</v>
      </c>
      <c r="Q2449" s="1" t="s">
        <v>4029</v>
      </c>
      <c r="R2449" s="1" t="s">
        <v>4030</v>
      </c>
      <c r="S2449" s="1" t="s">
        <v>44</v>
      </c>
      <c r="T2449" s="1" t="s">
        <v>45</v>
      </c>
      <c r="U2449" s="1">
        <v>4.82353724E8</v>
      </c>
      <c r="W2449" s="1" t="s">
        <v>46</v>
      </c>
      <c r="X2449" s="1" t="s">
        <v>45</v>
      </c>
      <c r="Y2449" s="1">
        <v>4.82353724E8</v>
      </c>
      <c r="Z2449" s="1">
        <v>1.40133393E8</v>
      </c>
      <c r="AA2449" s="1" t="s">
        <v>4028</v>
      </c>
      <c r="AB2449" s="1">
        <v>51411.85</v>
      </c>
      <c r="AC2449" s="2">
        <v>41913.0</v>
      </c>
      <c r="AD2449" s="1">
        <v>7500.0</v>
      </c>
      <c r="AE2449" s="1" t="s">
        <v>40</v>
      </c>
      <c r="AF2449" s="1">
        <v>2.0150667E7</v>
      </c>
      <c r="AG2449" s="1" t="s">
        <v>4015</v>
      </c>
      <c r="AH2449" s="1">
        <v>10.0</v>
      </c>
      <c r="AI2449" s="1">
        <v>2011.0</v>
      </c>
      <c r="AJ2449" s="1">
        <v>2015.0</v>
      </c>
      <c r="AK2449" s="1" t="s">
        <v>4003</v>
      </c>
    </row>
    <row r="2450">
      <c r="A2450" s="1" t="s">
        <v>4013</v>
      </c>
      <c r="B2450" s="1" t="s">
        <v>4013</v>
      </c>
      <c r="C2450" s="1" t="s">
        <v>63</v>
      </c>
      <c r="E2450" s="1">
        <v>1.9608108E7</v>
      </c>
      <c r="F2450" s="2">
        <v>41913.0</v>
      </c>
      <c r="G2450" s="1" t="s">
        <v>4014</v>
      </c>
      <c r="I2450" s="1" t="s">
        <v>4014</v>
      </c>
      <c r="L2450" s="1" t="s">
        <v>40</v>
      </c>
      <c r="M2450" s="1">
        <v>7500.0</v>
      </c>
      <c r="N2450" s="1" t="s">
        <v>40</v>
      </c>
      <c r="O2450" s="1">
        <v>9.4547247E7</v>
      </c>
      <c r="P2450" s="1" t="s">
        <v>2201</v>
      </c>
      <c r="Q2450" s="1" t="s">
        <v>2202</v>
      </c>
      <c r="R2450" s="1" t="s">
        <v>2203</v>
      </c>
      <c r="S2450" s="1" t="s">
        <v>44</v>
      </c>
      <c r="T2450" s="1" t="s">
        <v>45</v>
      </c>
      <c r="U2450" s="1">
        <v>4.8201241E8</v>
      </c>
      <c r="W2450" s="1" t="s">
        <v>46</v>
      </c>
      <c r="X2450" s="1" t="s">
        <v>45</v>
      </c>
      <c r="Y2450" s="1">
        <v>4.8201241E8</v>
      </c>
      <c r="Z2450" s="1">
        <v>9.4547247E7</v>
      </c>
      <c r="AA2450" s="1" t="s">
        <v>2201</v>
      </c>
      <c r="AB2450" s="1">
        <v>6250.0</v>
      </c>
      <c r="AC2450" s="2">
        <v>41913.0</v>
      </c>
      <c r="AD2450" s="1">
        <v>7500.0</v>
      </c>
      <c r="AE2450" s="1" t="s">
        <v>40</v>
      </c>
      <c r="AF2450" s="1">
        <v>2.01518E7</v>
      </c>
      <c r="AG2450" s="1" t="s">
        <v>4015</v>
      </c>
      <c r="AH2450" s="1">
        <v>10.0</v>
      </c>
      <c r="AI2450" s="1">
        <v>2011.0</v>
      </c>
      <c r="AJ2450" s="1">
        <v>2015.0</v>
      </c>
      <c r="AK2450" s="1" t="s">
        <v>4003</v>
      </c>
    </row>
    <row r="2451">
      <c r="A2451" s="1" t="s">
        <v>4013</v>
      </c>
      <c r="B2451" s="1" t="s">
        <v>4013</v>
      </c>
      <c r="C2451" s="1" t="s">
        <v>63</v>
      </c>
      <c r="E2451" s="1">
        <v>1.9608108E7</v>
      </c>
      <c r="F2451" s="2">
        <v>41913.0</v>
      </c>
      <c r="G2451" s="1" t="s">
        <v>4014</v>
      </c>
      <c r="I2451" s="1" t="s">
        <v>4014</v>
      </c>
      <c r="L2451" s="1" t="s">
        <v>40</v>
      </c>
      <c r="M2451" s="1">
        <v>7500.0</v>
      </c>
      <c r="N2451" s="1" t="s">
        <v>40</v>
      </c>
      <c r="O2451" s="1">
        <v>1.0107139E7</v>
      </c>
      <c r="P2451" s="1" t="s">
        <v>4021</v>
      </c>
      <c r="Q2451" s="1" t="s">
        <v>4022</v>
      </c>
      <c r="R2451" s="1" t="s">
        <v>4023</v>
      </c>
      <c r="S2451" s="1" t="s">
        <v>44</v>
      </c>
      <c r="T2451" s="1" t="s">
        <v>45</v>
      </c>
      <c r="U2451" s="1">
        <v>4.821364E8</v>
      </c>
      <c r="W2451" s="1" t="s">
        <v>46</v>
      </c>
      <c r="X2451" s="1" t="s">
        <v>45</v>
      </c>
      <c r="Y2451" s="1">
        <v>4.821364E8</v>
      </c>
      <c r="Z2451" s="1">
        <v>1367960.0</v>
      </c>
      <c r="AA2451" s="1" t="s">
        <v>4024</v>
      </c>
      <c r="AB2451" s="1">
        <v>6250.0</v>
      </c>
      <c r="AC2451" s="2">
        <v>41913.0</v>
      </c>
      <c r="AD2451" s="1">
        <v>7500.0</v>
      </c>
      <c r="AE2451" s="1" t="s">
        <v>40</v>
      </c>
      <c r="AF2451" s="1">
        <v>2.0151796E7</v>
      </c>
      <c r="AG2451" s="1" t="s">
        <v>4015</v>
      </c>
      <c r="AH2451" s="1">
        <v>10.0</v>
      </c>
      <c r="AI2451" s="1">
        <v>2011.0</v>
      </c>
      <c r="AJ2451" s="1">
        <v>2015.0</v>
      </c>
      <c r="AK2451" s="1" t="s">
        <v>4003</v>
      </c>
    </row>
    <row r="2452">
      <c r="A2452" s="1" t="s">
        <v>4013</v>
      </c>
      <c r="B2452" s="1" t="s">
        <v>4013</v>
      </c>
      <c r="C2452" s="1" t="s">
        <v>63</v>
      </c>
      <c r="E2452" s="1">
        <v>1.9608108E7</v>
      </c>
      <c r="F2452" s="2">
        <v>41913.0</v>
      </c>
      <c r="G2452" s="1" t="s">
        <v>4014</v>
      </c>
      <c r="I2452" s="1" t="s">
        <v>4014</v>
      </c>
      <c r="L2452" s="1" t="s">
        <v>40</v>
      </c>
      <c r="M2452" s="1">
        <v>7500.0</v>
      </c>
      <c r="N2452" s="1" t="s">
        <v>40</v>
      </c>
      <c r="O2452" s="1">
        <v>1.27458909E8</v>
      </c>
      <c r="P2452" s="1" t="s">
        <v>2195</v>
      </c>
      <c r="Q2452" s="1" t="s">
        <v>4032</v>
      </c>
      <c r="R2452" s="1" t="s">
        <v>2196</v>
      </c>
      <c r="S2452" s="1" t="s">
        <v>44</v>
      </c>
      <c r="T2452" s="1" t="s">
        <v>45</v>
      </c>
      <c r="U2452" s="1">
        <v>4.82012641E8</v>
      </c>
      <c r="W2452" s="1" t="s">
        <v>46</v>
      </c>
      <c r="X2452" s="1" t="s">
        <v>45</v>
      </c>
      <c r="Y2452" s="1">
        <v>4.82012641E8</v>
      </c>
      <c r="Z2452" s="1">
        <v>1962224.0</v>
      </c>
      <c r="AA2452" s="1" t="s">
        <v>52</v>
      </c>
      <c r="AB2452" s="1">
        <v>6250.0</v>
      </c>
      <c r="AC2452" s="2">
        <v>41913.0</v>
      </c>
      <c r="AD2452" s="1">
        <v>7500.0</v>
      </c>
      <c r="AE2452" s="1" t="s">
        <v>40</v>
      </c>
      <c r="AF2452" s="1">
        <v>2.0151799E7</v>
      </c>
      <c r="AG2452" s="1" t="s">
        <v>4015</v>
      </c>
      <c r="AH2452" s="1">
        <v>10.0</v>
      </c>
      <c r="AI2452" s="1">
        <v>2011.0</v>
      </c>
      <c r="AJ2452" s="1">
        <v>2015.0</v>
      </c>
      <c r="AK2452" s="1" t="s">
        <v>4003</v>
      </c>
    </row>
    <row r="2453">
      <c r="A2453" s="1" t="s">
        <v>4013</v>
      </c>
      <c r="B2453" s="1" t="s">
        <v>4013</v>
      </c>
      <c r="C2453" s="1" t="s">
        <v>63</v>
      </c>
      <c r="E2453" s="1">
        <v>1.9608108E7</v>
      </c>
      <c r="F2453" s="2">
        <v>41913.0</v>
      </c>
      <c r="G2453" s="1" t="s">
        <v>4014</v>
      </c>
      <c r="I2453" s="1" t="s">
        <v>4014</v>
      </c>
      <c r="L2453" s="1" t="s">
        <v>40</v>
      </c>
      <c r="M2453" s="1">
        <v>7500.0</v>
      </c>
      <c r="N2453" s="1" t="s">
        <v>40</v>
      </c>
      <c r="O2453" s="1">
        <v>1.8009589E8</v>
      </c>
      <c r="P2453" s="1" t="s">
        <v>4057</v>
      </c>
      <c r="Q2453" s="1" t="s">
        <v>2077</v>
      </c>
      <c r="R2453" s="1" t="s">
        <v>4059</v>
      </c>
      <c r="S2453" s="1" t="s">
        <v>44</v>
      </c>
      <c r="T2453" s="1" t="s">
        <v>45</v>
      </c>
      <c r="U2453" s="1">
        <v>4.82033127E8</v>
      </c>
      <c r="W2453" s="1" t="s">
        <v>46</v>
      </c>
      <c r="X2453" s="1" t="s">
        <v>45</v>
      </c>
      <c r="Y2453" s="1">
        <v>4.82033127E8</v>
      </c>
      <c r="Z2453" s="1">
        <v>8.0948367E8</v>
      </c>
      <c r="AA2453" s="1" t="s">
        <v>4055</v>
      </c>
      <c r="AB2453" s="1">
        <v>4284.65</v>
      </c>
      <c r="AC2453" s="2">
        <v>41913.0</v>
      </c>
      <c r="AD2453" s="1">
        <v>7500.0</v>
      </c>
      <c r="AE2453" s="1" t="s">
        <v>40</v>
      </c>
      <c r="AF2453" s="1">
        <v>2.0150697E7</v>
      </c>
      <c r="AG2453" s="1" t="s">
        <v>4015</v>
      </c>
      <c r="AH2453" s="1">
        <v>10.0</v>
      </c>
      <c r="AI2453" s="1">
        <v>2011.0</v>
      </c>
      <c r="AJ2453" s="1">
        <v>2015.0</v>
      </c>
      <c r="AK2453" s="1" t="s">
        <v>4003</v>
      </c>
    </row>
    <row r="2454">
      <c r="A2454" s="1" t="s">
        <v>4013</v>
      </c>
      <c r="B2454" s="1" t="s">
        <v>4013</v>
      </c>
      <c r="C2454" s="1" t="s">
        <v>63</v>
      </c>
      <c r="E2454" s="1">
        <v>1.9608108E7</v>
      </c>
      <c r="F2454" s="2">
        <v>41913.0</v>
      </c>
      <c r="G2454" s="1" t="s">
        <v>4014</v>
      </c>
      <c r="I2454" s="1" t="s">
        <v>4014</v>
      </c>
      <c r="L2454" s="1" t="s">
        <v>40</v>
      </c>
      <c r="M2454" s="1">
        <v>7500.0</v>
      </c>
      <c r="N2454" s="1" t="s">
        <v>40</v>
      </c>
      <c r="O2454" s="1">
        <v>1962224.0</v>
      </c>
      <c r="P2454" s="1" t="s">
        <v>52</v>
      </c>
      <c r="Q2454" s="1" t="s">
        <v>2202</v>
      </c>
      <c r="R2454" s="1" t="s">
        <v>1885</v>
      </c>
      <c r="S2454" s="1" t="s">
        <v>44</v>
      </c>
      <c r="T2454" s="1" t="s">
        <v>45</v>
      </c>
      <c r="U2454" s="1">
        <v>4.82021347E8</v>
      </c>
      <c r="W2454" s="1" t="s">
        <v>46</v>
      </c>
      <c r="X2454" s="1" t="s">
        <v>45</v>
      </c>
      <c r="Y2454" s="1">
        <v>4.82023692E8</v>
      </c>
      <c r="Z2454" s="1">
        <v>1962224.0</v>
      </c>
      <c r="AA2454" s="1" t="s">
        <v>52</v>
      </c>
      <c r="AB2454" s="1">
        <v>17838.0</v>
      </c>
      <c r="AC2454" s="2">
        <v>41913.0</v>
      </c>
      <c r="AD2454" s="1">
        <v>7500.0</v>
      </c>
      <c r="AE2454" s="1" t="s">
        <v>40</v>
      </c>
      <c r="AF2454" s="1">
        <v>2.0151663E7</v>
      </c>
      <c r="AG2454" s="1" t="s">
        <v>4015</v>
      </c>
      <c r="AH2454" s="1">
        <v>10.0</v>
      </c>
      <c r="AI2454" s="1">
        <v>2011.0</v>
      </c>
      <c r="AJ2454" s="1">
        <v>2015.0</v>
      </c>
      <c r="AK2454" s="1" t="s">
        <v>4003</v>
      </c>
    </row>
    <row r="2455">
      <c r="A2455" s="1" t="s">
        <v>4013</v>
      </c>
      <c r="B2455" s="1" t="s">
        <v>4013</v>
      </c>
      <c r="C2455" s="1" t="s">
        <v>63</v>
      </c>
      <c r="E2455" s="1">
        <v>1.9608108E7</v>
      </c>
      <c r="F2455" s="2">
        <v>41913.0</v>
      </c>
      <c r="G2455" s="1" t="s">
        <v>4014</v>
      </c>
      <c r="I2455" s="1" t="s">
        <v>4014</v>
      </c>
      <c r="L2455" s="1" t="s">
        <v>40</v>
      </c>
      <c r="M2455" s="1">
        <v>7500.0</v>
      </c>
      <c r="N2455" s="1" t="s">
        <v>40</v>
      </c>
      <c r="O2455" s="1">
        <v>1962224.0</v>
      </c>
      <c r="P2455" s="1" t="s">
        <v>52</v>
      </c>
      <c r="Q2455" s="1" t="s">
        <v>2636</v>
      </c>
      <c r="R2455" s="1" t="s">
        <v>1885</v>
      </c>
      <c r="S2455" s="1" t="s">
        <v>44</v>
      </c>
      <c r="T2455" s="1" t="s">
        <v>45</v>
      </c>
      <c r="U2455" s="1">
        <v>4.82021347E8</v>
      </c>
      <c r="W2455" s="1" t="s">
        <v>46</v>
      </c>
      <c r="X2455" s="1" t="s">
        <v>45</v>
      </c>
      <c r="Y2455" s="1">
        <v>4.82023692E8</v>
      </c>
      <c r="Z2455" s="1">
        <v>1962224.0</v>
      </c>
      <c r="AA2455" s="1" t="s">
        <v>52</v>
      </c>
      <c r="AB2455" s="1">
        <v>120750.0</v>
      </c>
      <c r="AC2455" s="2">
        <v>41913.0</v>
      </c>
      <c r="AD2455" s="1">
        <v>7500.0</v>
      </c>
      <c r="AE2455" s="1" t="s">
        <v>40</v>
      </c>
      <c r="AF2455" s="1">
        <v>2.0152067E7</v>
      </c>
      <c r="AG2455" s="1" t="s">
        <v>4015</v>
      </c>
      <c r="AH2455" s="1">
        <v>10.0</v>
      </c>
      <c r="AI2455" s="1">
        <v>2011.0</v>
      </c>
      <c r="AJ2455" s="1">
        <v>2015.0</v>
      </c>
      <c r="AK2455" s="1" t="s">
        <v>4003</v>
      </c>
    </row>
    <row r="2456">
      <c r="A2456" s="1" t="s">
        <v>4013</v>
      </c>
      <c r="B2456" s="1" t="s">
        <v>4013</v>
      </c>
      <c r="C2456" s="1" t="s">
        <v>63</v>
      </c>
      <c r="E2456" s="1">
        <v>1.9608108E7</v>
      </c>
      <c r="F2456" s="2">
        <v>41913.0</v>
      </c>
      <c r="G2456" s="1" t="s">
        <v>4014</v>
      </c>
      <c r="I2456" s="1" t="s">
        <v>4014</v>
      </c>
      <c r="L2456" s="1" t="s">
        <v>40</v>
      </c>
      <c r="M2456" s="1">
        <v>7500.0</v>
      </c>
      <c r="N2456" s="1" t="s">
        <v>40</v>
      </c>
      <c r="O2456" s="1">
        <v>1.8009589E8</v>
      </c>
      <c r="P2456" s="1" t="s">
        <v>4057</v>
      </c>
      <c r="Q2456" s="1" t="s">
        <v>2014</v>
      </c>
      <c r="R2456" s="1" t="s">
        <v>4059</v>
      </c>
      <c r="S2456" s="1" t="s">
        <v>44</v>
      </c>
      <c r="T2456" s="1" t="s">
        <v>45</v>
      </c>
      <c r="U2456" s="1">
        <v>4.82033127E8</v>
      </c>
      <c r="W2456" s="1" t="s">
        <v>46</v>
      </c>
      <c r="X2456" s="1" t="s">
        <v>45</v>
      </c>
      <c r="Y2456" s="1">
        <v>4.82033127E8</v>
      </c>
      <c r="Z2456" s="1">
        <v>2.0111969E7</v>
      </c>
      <c r="AA2456" s="1" t="s">
        <v>2015</v>
      </c>
      <c r="AB2456" s="1">
        <v>19612.0</v>
      </c>
      <c r="AC2456" s="2">
        <v>41913.0</v>
      </c>
      <c r="AD2456" s="1">
        <v>7500.0</v>
      </c>
      <c r="AE2456" s="1" t="s">
        <v>40</v>
      </c>
      <c r="AF2456" s="1">
        <v>2.0150697E7</v>
      </c>
      <c r="AG2456" s="1" t="s">
        <v>4015</v>
      </c>
      <c r="AH2456" s="1">
        <v>10.0</v>
      </c>
      <c r="AI2456" s="1">
        <v>2011.0</v>
      </c>
      <c r="AJ2456" s="1">
        <v>2015.0</v>
      </c>
      <c r="AK2456" s="1" t="s">
        <v>4003</v>
      </c>
    </row>
    <row r="2457">
      <c r="A2457" s="1" t="s">
        <v>4013</v>
      </c>
      <c r="B2457" s="1" t="s">
        <v>4013</v>
      </c>
      <c r="C2457" s="1" t="s">
        <v>63</v>
      </c>
      <c r="E2457" s="1">
        <v>1.9608108E7</v>
      </c>
      <c r="F2457" s="2">
        <v>41913.0</v>
      </c>
      <c r="G2457" s="1" t="s">
        <v>4014</v>
      </c>
      <c r="I2457" s="1" t="s">
        <v>4014</v>
      </c>
      <c r="L2457" s="1" t="s">
        <v>40</v>
      </c>
      <c r="M2457" s="1">
        <v>7500.0</v>
      </c>
      <c r="N2457" s="1" t="s">
        <v>40</v>
      </c>
      <c r="O2457" s="1">
        <v>1962224.0</v>
      </c>
      <c r="P2457" s="1" t="s">
        <v>52</v>
      </c>
      <c r="Q2457" s="1" t="s">
        <v>2979</v>
      </c>
      <c r="R2457" s="1" t="s">
        <v>1885</v>
      </c>
      <c r="S2457" s="1" t="s">
        <v>44</v>
      </c>
      <c r="T2457" s="1" t="s">
        <v>45</v>
      </c>
      <c r="U2457" s="1">
        <v>4.82021347E8</v>
      </c>
      <c r="W2457" s="1" t="s">
        <v>46</v>
      </c>
      <c r="X2457" s="1" t="s">
        <v>45</v>
      </c>
      <c r="Y2457" s="1">
        <v>4.82023692E8</v>
      </c>
      <c r="Z2457" s="1">
        <v>1962224.0</v>
      </c>
      <c r="AA2457" s="1" t="s">
        <v>52</v>
      </c>
      <c r="AB2457" s="1">
        <v>15000.0</v>
      </c>
      <c r="AC2457" s="2">
        <v>41913.0</v>
      </c>
      <c r="AD2457" s="1">
        <v>7500.0</v>
      </c>
      <c r="AE2457" s="1" t="s">
        <v>40</v>
      </c>
      <c r="AF2457" s="1">
        <v>2.0151666E7</v>
      </c>
      <c r="AG2457" s="1" t="s">
        <v>4015</v>
      </c>
      <c r="AH2457" s="1">
        <v>10.0</v>
      </c>
      <c r="AI2457" s="1">
        <v>2011.0</v>
      </c>
      <c r="AJ2457" s="1">
        <v>2015.0</v>
      </c>
      <c r="AK2457" s="1" t="s">
        <v>4003</v>
      </c>
    </row>
    <row r="2458">
      <c r="A2458" s="1" t="s">
        <v>4013</v>
      </c>
      <c r="B2458" s="1" t="s">
        <v>4013</v>
      </c>
      <c r="C2458" s="1" t="s">
        <v>63</v>
      </c>
      <c r="E2458" s="1">
        <v>1.9608108E7</v>
      </c>
      <c r="F2458" s="2">
        <v>41913.0</v>
      </c>
      <c r="G2458" s="1" t="s">
        <v>4014</v>
      </c>
      <c r="I2458" s="1" t="s">
        <v>4014</v>
      </c>
      <c r="L2458" s="1" t="s">
        <v>40</v>
      </c>
      <c r="M2458" s="1">
        <v>7500.0</v>
      </c>
      <c r="N2458" s="1" t="s">
        <v>40</v>
      </c>
      <c r="O2458" s="1">
        <v>1.43407687E8</v>
      </c>
      <c r="P2458" s="1" t="s">
        <v>4016</v>
      </c>
      <c r="Q2458" s="1" t="s">
        <v>1051</v>
      </c>
      <c r="R2458" s="1" t="s">
        <v>4018</v>
      </c>
      <c r="S2458" s="1" t="s">
        <v>44</v>
      </c>
      <c r="T2458" s="1" t="s">
        <v>45</v>
      </c>
      <c r="U2458" s="1">
        <v>4.82023042E8</v>
      </c>
      <c r="W2458" s="1" t="s">
        <v>46</v>
      </c>
      <c r="X2458" s="1" t="s">
        <v>45</v>
      </c>
      <c r="Y2458" s="1">
        <v>4.820741E8</v>
      </c>
      <c r="AB2458" s="1">
        <v>18912.0</v>
      </c>
      <c r="AC2458" s="2">
        <v>41913.0</v>
      </c>
      <c r="AD2458" s="1">
        <v>7500.0</v>
      </c>
      <c r="AE2458" s="1" t="s">
        <v>40</v>
      </c>
      <c r="AF2458" s="1">
        <v>2.0150668E7</v>
      </c>
      <c r="AG2458" s="1" t="s">
        <v>4015</v>
      </c>
      <c r="AH2458" s="1">
        <v>10.0</v>
      </c>
      <c r="AI2458" s="1">
        <v>2011.0</v>
      </c>
      <c r="AJ2458" s="1">
        <v>2015.0</v>
      </c>
      <c r="AK2458" s="1" t="s">
        <v>4003</v>
      </c>
    </row>
    <row r="2459">
      <c r="A2459" s="1" t="s">
        <v>4013</v>
      </c>
      <c r="B2459" s="1" t="s">
        <v>4013</v>
      </c>
      <c r="C2459" s="1" t="s">
        <v>63</v>
      </c>
      <c r="E2459" s="1">
        <v>1.9608108E7</v>
      </c>
      <c r="F2459" s="2">
        <v>41548.0</v>
      </c>
      <c r="G2459" s="1" t="s">
        <v>4014</v>
      </c>
      <c r="I2459" s="1" t="s">
        <v>4014</v>
      </c>
      <c r="L2459" s="1" t="s">
        <v>40</v>
      </c>
      <c r="M2459" s="1">
        <v>7500.0</v>
      </c>
      <c r="N2459" s="1" t="s">
        <v>40</v>
      </c>
      <c r="O2459" s="1">
        <v>1.0107139E7</v>
      </c>
      <c r="P2459" s="1" t="s">
        <v>4021</v>
      </c>
      <c r="Q2459" s="1" t="s">
        <v>4026</v>
      </c>
      <c r="R2459" s="1" t="s">
        <v>4023</v>
      </c>
      <c r="S2459" s="1" t="s">
        <v>44</v>
      </c>
      <c r="T2459" s="1" t="s">
        <v>45</v>
      </c>
      <c r="U2459" s="1">
        <v>4.821364E8</v>
      </c>
      <c r="W2459" s="1" t="s">
        <v>46</v>
      </c>
      <c r="X2459" s="1" t="s">
        <v>45</v>
      </c>
      <c r="Y2459" s="1">
        <v>4.821364E8</v>
      </c>
      <c r="Z2459" s="1">
        <v>2.088802E7</v>
      </c>
      <c r="AA2459" s="1" t="s">
        <v>4056</v>
      </c>
      <c r="AB2459" s="1">
        <v>25000.0</v>
      </c>
      <c r="AC2459" s="2">
        <v>41548.0</v>
      </c>
      <c r="AD2459" s="1">
        <v>7500.0</v>
      </c>
      <c r="AE2459" s="1" t="s">
        <v>40</v>
      </c>
      <c r="AF2459" s="1">
        <v>2.0141589E7</v>
      </c>
      <c r="AG2459" s="1" t="s">
        <v>4015</v>
      </c>
      <c r="AH2459" s="1">
        <v>10.0</v>
      </c>
      <c r="AI2459" s="1">
        <v>2011.0</v>
      </c>
      <c r="AJ2459" s="1">
        <v>2014.0</v>
      </c>
      <c r="AK2459" s="1" t="s">
        <v>4003</v>
      </c>
    </row>
    <row r="2460">
      <c r="A2460" s="1" t="s">
        <v>4013</v>
      </c>
      <c r="B2460" s="1" t="s">
        <v>4013</v>
      </c>
      <c r="C2460" s="1" t="s">
        <v>63</v>
      </c>
      <c r="E2460" s="1">
        <v>1.9608108E7</v>
      </c>
      <c r="F2460" s="2">
        <v>41913.0</v>
      </c>
      <c r="G2460" s="1" t="s">
        <v>4014</v>
      </c>
      <c r="I2460" s="1" t="s">
        <v>4014</v>
      </c>
      <c r="L2460" s="1" t="s">
        <v>40</v>
      </c>
      <c r="M2460" s="1">
        <v>7500.0</v>
      </c>
      <c r="N2460" s="1" t="s">
        <v>40</v>
      </c>
      <c r="O2460" s="1">
        <v>8.48764171E8</v>
      </c>
      <c r="P2460" s="1" t="s">
        <v>1050</v>
      </c>
      <c r="Q2460" s="1" t="s">
        <v>1051</v>
      </c>
      <c r="R2460" s="1" t="s">
        <v>4020</v>
      </c>
      <c r="S2460" s="1" t="s">
        <v>44</v>
      </c>
      <c r="T2460" s="1" t="s">
        <v>45</v>
      </c>
      <c r="U2460" s="1">
        <v>4.82023042E8</v>
      </c>
      <c r="W2460" s="1" t="s">
        <v>46</v>
      </c>
      <c r="X2460" s="1" t="s">
        <v>45</v>
      </c>
      <c r="Y2460" s="1">
        <v>4.820741E8</v>
      </c>
      <c r="Z2460" s="1">
        <v>7.3134603E7</v>
      </c>
      <c r="AA2460" s="1" t="s">
        <v>41</v>
      </c>
      <c r="AB2460" s="1">
        <v>31250.0</v>
      </c>
      <c r="AC2460" s="2">
        <v>41913.0</v>
      </c>
      <c r="AD2460" s="1">
        <v>7500.0</v>
      </c>
      <c r="AE2460" s="1" t="s">
        <v>40</v>
      </c>
      <c r="AF2460" s="1">
        <v>2.0150655E7</v>
      </c>
      <c r="AG2460" s="1" t="s">
        <v>4015</v>
      </c>
      <c r="AH2460" s="1">
        <v>10.0</v>
      </c>
      <c r="AI2460" s="1">
        <v>2011.0</v>
      </c>
      <c r="AJ2460" s="1">
        <v>2015.0</v>
      </c>
      <c r="AK2460" s="1" t="s">
        <v>4003</v>
      </c>
    </row>
    <row r="2461">
      <c r="A2461" s="1" t="s">
        <v>4013</v>
      </c>
      <c r="B2461" s="1" t="s">
        <v>4013</v>
      </c>
      <c r="C2461" s="1" t="s">
        <v>63</v>
      </c>
      <c r="E2461" s="1">
        <v>1.9608108E7</v>
      </c>
      <c r="F2461" s="2">
        <v>41548.0</v>
      </c>
      <c r="G2461" s="1" t="s">
        <v>4014</v>
      </c>
      <c r="I2461" s="1" t="s">
        <v>4014</v>
      </c>
      <c r="L2461" s="1" t="s">
        <v>40</v>
      </c>
      <c r="M2461" s="1">
        <v>7500.0</v>
      </c>
      <c r="N2461" s="1" t="s">
        <v>40</v>
      </c>
      <c r="O2461" s="1">
        <v>9.4547247E7</v>
      </c>
      <c r="P2461" s="1" t="s">
        <v>2201</v>
      </c>
      <c r="Q2461" s="1" t="s">
        <v>2202</v>
      </c>
      <c r="R2461" s="1" t="s">
        <v>2203</v>
      </c>
      <c r="S2461" s="1" t="s">
        <v>44</v>
      </c>
      <c r="T2461" s="1" t="s">
        <v>45</v>
      </c>
      <c r="U2461" s="1">
        <v>4.8201241E8</v>
      </c>
      <c r="W2461" s="1" t="s">
        <v>46</v>
      </c>
      <c r="X2461" s="1" t="s">
        <v>45</v>
      </c>
      <c r="Y2461" s="1">
        <v>4.8201241E8</v>
      </c>
      <c r="Z2461" s="1">
        <v>9.4547247E7</v>
      </c>
      <c r="AA2461" s="1" t="s">
        <v>2201</v>
      </c>
      <c r="AB2461" s="1">
        <v>25000.0</v>
      </c>
      <c r="AC2461" s="2">
        <v>41548.0</v>
      </c>
      <c r="AD2461" s="1">
        <v>7500.0</v>
      </c>
      <c r="AE2461" s="1" t="s">
        <v>40</v>
      </c>
      <c r="AF2461" s="1">
        <v>2.0141591E7</v>
      </c>
      <c r="AG2461" s="1" t="s">
        <v>4015</v>
      </c>
      <c r="AH2461" s="1">
        <v>10.0</v>
      </c>
      <c r="AI2461" s="1">
        <v>2011.0</v>
      </c>
      <c r="AJ2461" s="1">
        <v>2014.0</v>
      </c>
      <c r="AK2461" s="1" t="s">
        <v>4003</v>
      </c>
    </row>
    <row r="2462">
      <c r="A2462" s="1" t="s">
        <v>4013</v>
      </c>
      <c r="B2462" s="1" t="s">
        <v>4013</v>
      </c>
      <c r="C2462" s="1" t="s">
        <v>63</v>
      </c>
      <c r="E2462" s="1">
        <v>1.9608108E7</v>
      </c>
      <c r="F2462" s="2">
        <v>41548.0</v>
      </c>
      <c r="G2462" s="1" t="s">
        <v>4014</v>
      </c>
      <c r="I2462" s="1" t="s">
        <v>4014</v>
      </c>
      <c r="L2462" s="1" t="s">
        <v>40</v>
      </c>
      <c r="M2462" s="1">
        <v>7500.0</v>
      </c>
      <c r="N2462" s="1" t="s">
        <v>40</v>
      </c>
      <c r="O2462" s="1">
        <v>1.0107139E7</v>
      </c>
      <c r="P2462" s="1" t="s">
        <v>4021</v>
      </c>
      <c r="Q2462" s="1" t="s">
        <v>4067</v>
      </c>
      <c r="R2462" s="1" t="s">
        <v>4023</v>
      </c>
      <c r="S2462" s="1" t="s">
        <v>44</v>
      </c>
      <c r="T2462" s="1" t="s">
        <v>45</v>
      </c>
      <c r="U2462" s="1">
        <v>4.821364E8</v>
      </c>
      <c r="W2462" s="1" t="s">
        <v>46</v>
      </c>
      <c r="X2462" s="1" t="s">
        <v>45</v>
      </c>
      <c r="Y2462" s="1">
        <v>4.821364E8</v>
      </c>
      <c r="Z2462" s="1">
        <v>7.8404738E7</v>
      </c>
      <c r="AA2462" s="1" t="s">
        <v>4068</v>
      </c>
      <c r="AB2462" s="1">
        <v>25000.0</v>
      </c>
      <c r="AC2462" s="2">
        <v>41548.0</v>
      </c>
      <c r="AD2462" s="1">
        <v>7500.0</v>
      </c>
      <c r="AE2462" s="1" t="s">
        <v>40</v>
      </c>
      <c r="AF2462" s="1">
        <v>2.0141587E7</v>
      </c>
      <c r="AG2462" s="1" t="s">
        <v>4015</v>
      </c>
      <c r="AH2462" s="1">
        <v>10.0</v>
      </c>
      <c r="AI2462" s="1">
        <v>2011.0</v>
      </c>
      <c r="AJ2462" s="1">
        <v>2014.0</v>
      </c>
      <c r="AK2462" s="1" t="s">
        <v>4003</v>
      </c>
    </row>
    <row r="2463">
      <c r="A2463" s="1" t="s">
        <v>4013</v>
      </c>
      <c r="B2463" s="1" t="s">
        <v>4013</v>
      </c>
      <c r="C2463" s="1" t="s">
        <v>63</v>
      </c>
      <c r="E2463" s="1">
        <v>1.9608108E7</v>
      </c>
      <c r="F2463" s="2">
        <v>41548.0</v>
      </c>
      <c r="G2463" s="1" t="s">
        <v>4014</v>
      </c>
      <c r="I2463" s="1" t="s">
        <v>4014</v>
      </c>
      <c r="L2463" s="1" t="s">
        <v>40</v>
      </c>
      <c r="M2463" s="1">
        <v>7500.0</v>
      </c>
      <c r="N2463" s="1" t="s">
        <v>40</v>
      </c>
      <c r="O2463" s="1">
        <v>1962224.0</v>
      </c>
      <c r="P2463" s="1" t="s">
        <v>52</v>
      </c>
      <c r="Q2463" s="1" t="s">
        <v>4083</v>
      </c>
      <c r="R2463" s="1" t="s">
        <v>1885</v>
      </c>
      <c r="S2463" s="1" t="s">
        <v>44</v>
      </c>
      <c r="T2463" s="1" t="s">
        <v>45</v>
      </c>
      <c r="U2463" s="1">
        <v>4.82021347E8</v>
      </c>
      <c r="W2463" s="1" t="s">
        <v>46</v>
      </c>
      <c r="X2463" s="1" t="s">
        <v>45</v>
      </c>
      <c r="Y2463" s="1">
        <v>4.82023692E8</v>
      </c>
      <c r="Z2463" s="1">
        <v>1962224.0</v>
      </c>
      <c r="AA2463" s="1" t="s">
        <v>52</v>
      </c>
      <c r="AB2463" s="1">
        <v>63112.0</v>
      </c>
      <c r="AC2463" s="2">
        <v>41548.0</v>
      </c>
      <c r="AD2463" s="1">
        <v>7500.0</v>
      </c>
      <c r="AE2463" s="1" t="s">
        <v>40</v>
      </c>
      <c r="AF2463" s="1">
        <v>2.0141504E7</v>
      </c>
      <c r="AG2463" s="1" t="s">
        <v>4015</v>
      </c>
      <c r="AH2463" s="1">
        <v>10.0</v>
      </c>
      <c r="AI2463" s="1">
        <v>2011.0</v>
      </c>
      <c r="AJ2463" s="1">
        <v>2014.0</v>
      </c>
      <c r="AK2463" s="1" t="s">
        <v>4003</v>
      </c>
    </row>
    <row r="2464">
      <c r="A2464" s="1" t="s">
        <v>4013</v>
      </c>
      <c r="B2464" s="1" t="s">
        <v>4013</v>
      </c>
      <c r="C2464" s="1" t="s">
        <v>63</v>
      </c>
      <c r="E2464" s="1">
        <v>1.9608108E7</v>
      </c>
      <c r="F2464" s="2">
        <v>41548.0</v>
      </c>
      <c r="G2464" s="1" t="s">
        <v>4014</v>
      </c>
      <c r="I2464" s="1" t="s">
        <v>4014</v>
      </c>
      <c r="L2464" s="1" t="s">
        <v>40</v>
      </c>
      <c r="M2464" s="1">
        <v>7500.0</v>
      </c>
      <c r="N2464" s="1" t="s">
        <v>40</v>
      </c>
      <c r="O2464" s="1">
        <v>3.8775243E7</v>
      </c>
      <c r="P2464" s="1" t="s">
        <v>209</v>
      </c>
      <c r="Q2464" s="1" t="s">
        <v>210</v>
      </c>
      <c r="R2464" s="1" t="s">
        <v>211</v>
      </c>
      <c r="S2464" s="1" t="s">
        <v>44</v>
      </c>
      <c r="T2464" s="1" t="s">
        <v>45</v>
      </c>
      <c r="U2464" s="1">
        <v>4.82023068E8</v>
      </c>
      <c r="W2464" s="1" t="s">
        <v>46</v>
      </c>
      <c r="X2464" s="1" t="s">
        <v>45</v>
      </c>
      <c r="Y2464" s="1">
        <v>4.82023068E8</v>
      </c>
      <c r="Z2464" s="1">
        <v>3.8775243E7</v>
      </c>
      <c r="AA2464" s="1" t="s">
        <v>209</v>
      </c>
      <c r="AB2464" s="1">
        <v>311575.52</v>
      </c>
      <c r="AC2464" s="2">
        <v>41548.0</v>
      </c>
      <c r="AD2464" s="1">
        <v>7500.0</v>
      </c>
      <c r="AE2464" s="1" t="s">
        <v>40</v>
      </c>
      <c r="AF2464" s="1">
        <v>2.0140733E7</v>
      </c>
      <c r="AG2464" s="1" t="s">
        <v>4015</v>
      </c>
      <c r="AH2464" s="1">
        <v>10.0</v>
      </c>
      <c r="AI2464" s="1">
        <v>2011.0</v>
      </c>
      <c r="AJ2464" s="1">
        <v>2014.0</v>
      </c>
      <c r="AK2464" s="1" t="s">
        <v>4003</v>
      </c>
    </row>
    <row r="2465">
      <c r="A2465" s="1" t="s">
        <v>4013</v>
      </c>
      <c r="B2465" s="1" t="s">
        <v>4013</v>
      </c>
      <c r="C2465" s="1" t="s">
        <v>63</v>
      </c>
      <c r="E2465" s="1">
        <v>1.9608108E7</v>
      </c>
      <c r="F2465" s="2">
        <v>41548.0</v>
      </c>
      <c r="G2465" s="1" t="s">
        <v>4014</v>
      </c>
      <c r="I2465" s="1" t="s">
        <v>4014</v>
      </c>
      <c r="L2465" s="1" t="s">
        <v>40</v>
      </c>
      <c r="M2465" s="1">
        <v>7500.0</v>
      </c>
      <c r="N2465" s="1" t="s">
        <v>40</v>
      </c>
      <c r="O2465" s="1">
        <v>7.3134603E7</v>
      </c>
      <c r="P2465" s="1" t="s">
        <v>41</v>
      </c>
      <c r="Q2465" s="1" t="s">
        <v>252</v>
      </c>
      <c r="R2465" s="1" t="s">
        <v>253</v>
      </c>
      <c r="S2465" s="1" t="s">
        <v>44</v>
      </c>
      <c r="T2465" s="1" t="s">
        <v>45</v>
      </c>
      <c r="U2465" s="1">
        <v>4.8202345E8</v>
      </c>
      <c r="W2465" s="1" t="s">
        <v>46</v>
      </c>
      <c r="X2465" s="1" t="s">
        <v>45</v>
      </c>
      <c r="Y2465" s="1">
        <v>4.8202345E8</v>
      </c>
      <c r="Z2465" s="1">
        <v>7.3134603E7</v>
      </c>
      <c r="AA2465" s="1" t="s">
        <v>41</v>
      </c>
      <c r="AB2465" s="1">
        <v>136226.0</v>
      </c>
      <c r="AC2465" s="2">
        <v>41548.0</v>
      </c>
      <c r="AD2465" s="1">
        <v>7500.0</v>
      </c>
      <c r="AE2465" s="1" t="s">
        <v>40</v>
      </c>
      <c r="AF2465" s="1">
        <v>2.014004E7</v>
      </c>
      <c r="AG2465" s="1" t="s">
        <v>4015</v>
      </c>
      <c r="AH2465" s="1">
        <v>10.0</v>
      </c>
      <c r="AI2465" s="1">
        <v>2011.0</v>
      </c>
      <c r="AJ2465" s="1">
        <v>2014.0</v>
      </c>
      <c r="AK2465" s="1" t="s">
        <v>4003</v>
      </c>
    </row>
    <row r="2466">
      <c r="A2466" s="1" t="s">
        <v>4013</v>
      </c>
      <c r="B2466" s="1" t="s">
        <v>4013</v>
      </c>
      <c r="C2466" s="1" t="s">
        <v>63</v>
      </c>
      <c r="E2466" s="1">
        <v>1.9608108E7</v>
      </c>
      <c r="F2466" s="2">
        <v>41548.0</v>
      </c>
      <c r="G2466" s="1" t="s">
        <v>4014</v>
      </c>
      <c r="I2466" s="1" t="s">
        <v>4014</v>
      </c>
      <c r="L2466" s="1" t="s">
        <v>40</v>
      </c>
      <c r="M2466" s="1">
        <v>7500.0</v>
      </c>
      <c r="N2466" s="1" t="s">
        <v>40</v>
      </c>
      <c r="O2466" s="1">
        <v>1.98999146E8</v>
      </c>
      <c r="P2466" s="1" t="s">
        <v>999</v>
      </c>
      <c r="Q2466" s="1" t="s">
        <v>210</v>
      </c>
      <c r="R2466" s="1" t="s">
        <v>1000</v>
      </c>
      <c r="S2466" s="1" t="s">
        <v>44</v>
      </c>
      <c r="T2466" s="1" t="s">
        <v>45</v>
      </c>
      <c r="U2466" s="1">
        <v>4.82263007E8</v>
      </c>
      <c r="W2466" s="1" t="s">
        <v>46</v>
      </c>
      <c r="X2466" s="1" t="s">
        <v>45</v>
      </c>
      <c r="Y2466" s="1">
        <v>4.82263007E8</v>
      </c>
      <c r="Z2466" s="1">
        <v>3.8775243E7</v>
      </c>
      <c r="AA2466" s="1" t="s">
        <v>209</v>
      </c>
      <c r="AB2466" s="1">
        <v>89578.0</v>
      </c>
      <c r="AC2466" s="2">
        <v>41548.0</v>
      </c>
      <c r="AD2466" s="1">
        <v>7500.0</v>
      </c>
      <c r="AE2466" s="1" t="s">
        <v>40</v>
      </c>
      <c r="AF2466" s="1">
        <v>2.0141551E7</v>
      </c>
      <c r="AG2466" s="1" t="s">
        <v>4015</v>
      </c>
      <c r="AH2466" s="1">
        <v>10.0</v>
      </c>
      <c r="AI2466" s="1">
        <v>2011.0</v>
      </c>
      <c r="AJ2466" s="1">
        <v>2014.0</v>
      </c>
      <c r="AK2466" s="1" t="s">
        <v>4003</v>
      </c>
    </row>
    <row r="2467">
      <c r="A2467" s="1" t="s">
        <v>4013</v>
      </c>
      <c r="B2467" s="1" t="s">
        <v>4013</v>
      </c>
      <c r="C2467" s="1" t="s">
        <v>63</v>
      </c>
      <c r="E2467" s="1">
        <v>1.9608108E7</v>
      </c>
      <c r="F2467" s="2">
        <v>41548.0</v>
      </c>
      <c r="G2467" s="1" t="s">
        <v>4014</v>
      </c>
      <c r="I2467" s="1" t="s">
        <v>4014</v>
      </c>
      <c r="L2467" s="1" t="s">
        <v>40</v>
      </c>
      <c r="M2467" s="1">
        <v>7500.0</v>
      </c>
      <c r="N2467" s="1" t="s">
        <v>40</v>
      </c>
      <c r="O2467" s="1">
        <v>8.48764171E8</v>
      </c>
      <c r="P2467" s="1" t="s">
        <v>1050</v>
      </c>
      <c r="Q2467" s="1" t="s">
        <v>1051</v>
      </c>
      <c r="R2467" s="1" t="s">
        <v>4020</v>
      </c>
      <c r="S2467" s="1" t="s">
        <v>44</v>
      </c>
      <c r="T2467" s="1" t="s">
        <v>45</v>
      </c>
      <c r="U2467" s="1">
        <v>4.82023042E8</v>
      </c>
      <c r="W2467" s="1" t="s">
        <v>46</v>
      </c>
      <c r="X2467" s="1" t="s">
        <v>45</v>
      </c>
      <c r="Y2467" s="1">
        <v>4.820741E8</v>
      </c>
      <c r="Z2467" s="1">
        <v>2.0885463E7</v>
      </c>
      <c r="AA2467" s="1" t="s">
        <v>4045</v>
      </c>
      <c r="AB2467" s="1">
        <v>83180.0</v>
      </c>
      <c r="AC2467" s="2">
        <v>41548.0</v>
      </c>
      <c r="AD2467" s="1">
        <v>7500.0</v>
      </c>
      <c r="AE2467" s="1" t="s">
        <v>40</v>
      </c>
      <c r="AF2467" s="1">
        <v>2.0141545E7</v>
      </c>
      <c r="AG2467" s="1" t="s">
        <v>4015</v>
      </c>
      <c r="AH2467" s="1">
        <v>10.0</v>
      </c>
      <c r="AI2467" s="1">
        <v>2011.0</v>
      </c>
      <c r="AJ2467" s="1">
        <v>2014.0</v>
      </c>
      <c r="AK2467" s="1" t="s">
        <v>4003</v>
      </c>
    </row>
    <row r="2468">
      <c r="A2468" s="1" t="s">
        <v>4013</v>
      </c>
      <c r="B2468" s="1" t="s">
        <v>4013</v>
      </c>
      <c r="C2468" s="1" t="s">
        <v>63</v>
      </c>
      <c r="E2468" s="1">
        <v>1.9608108E7</v>
      </c>
      <c r="F2468" s="2">
        <v>41548.0</v>
      </c>
      <c r="G2468" s="1" t="s">
        <v>4014</v>
      </c>
      <c r="I2468" s="1" t="s">
        <v>4014</v>
      </c>
      <c r="L2468" s="1" t="s">
        <v>40</v>
      </c>
      <c r="M2468" s="1">
        <v>7500.0</v>
      </c>
      <c r="N2468" s="1" t="s">
        <v>40</v>
      </c>
      <c r="O2468" s="1">
        <v>8.48764171E8</v>
      </c>
      <c r="P2468" s="1" t="s">
        <v>1050</v>
      </c>
      <c r="Q2468" s="1" t="s">
        <v>1051</v>
      </c>
      <c r="R2468" s="1" t="s">
        <v>4020</v>
      </c>
      <c r="S2468" s="1" t="s">
        <v>44</v>
      </c>
      <c r="T2468" s="1" t="s">
        <v>45</v>
      </c>
      <c r="U2468" s="1">
        <v>4.82023042E8</v>
      </c>
      <c r="W2468" s="1" t="s">
        <v>46</v>
      </c>
      <c r="X2468" s="1" t="s">
        <v>45</v>
      </c>
      <c r="Y2468" s="1">
        <v>4.820741E8</v>
      </c>
      <c r="Z2468" s="1">
        <v>1962224.0</v>
      </c>
      <c r="AA2468" s="1" t="s">
        <v>52</v>
      </c>
      <c r="AB2468" s="1">
        <v>104950.0</v>
      </c>
      <c r="AC2468" s="2">
        <v>41548.0</v>
      </c>
      <c r="AD2468" s="1">
        <v>7500.0</v>
      </c>
      <c r="AE2468" s="1" t="s">
        <v>40</v>
      </c>
      <c r="AF2468" s="1">
        <v>2.0141546E7</v>
      </c>
      <c r="AG2468" s="1" t="s">
        <v>4015</v>
      </c>
      <c r="AH2468" s="1">
        <v>10.0</v>
      </c>
      <c r="AI2468" s="1">
        <v>2011.0</v>
      </c>
      <c r="AJ2468" s="1">
        <v>2014.0</v>
      </c>
      <c r="AK2468" s="1" t="s">
        <v>4003</v>
      </c>
    </row>
    <row r="2469">
      <c r="A2469" s="1" t="s">
        <v>4013</v>
      </c>
      <c r="B2469" s="1" t="s">
        <v>4013</v>
      </c>
      <c r="C2469" s="1" t="s">
        <v>63</v>
      </c>
      <c r="E2469" s="1">
        <v>1.9608108E7</v>
      </c>
      <c r="F2469" s="2">
        <v>41548.0</v>
      </c>
      <c r="G2469" s="1" t="s">
        <v>4014</v>
      </c>
      <c r="I2469" s="1" t="s">
        <v>4014</v>
      </c>
      <c r="L2469" s="1" t="s">
        <v>40</v>
      </c>
      <c r="M2469" s="1">
        <v>7500.0</v>
      </c>
      <c r="N2469" s="1" t="s">
        <v>40</v>
      </c>
      <c r="O2469" s="1">
        <v>1.0107139E7</v>
      </c>
      <c r="P2469" s="1" t="s">
        <v>4021</v>
      </c>
      <c r="Q2469" s="1" t="s">
        <v>4058</v>
      </c>
      <c r="R2469" s="1" t="s">
        <v>4023</v>
      </c>
      <c r="S2469" s="1" t="s">
        <v>44</v>
      </c>
      <c r="T2469" s="1" t="s">
        <v>45</v>
      </c>
      <c r="U2469" s="1">
        <v>4.821364E8</v>
      </c>
      <c r="W2469" s="1" t="s">
        <v>46</v>
      </c>
      <c r="X2469" s="1" t="s">
        <v>45</v>
      </c>
      <c r="Y2469" s="1">
        <v>4.821364E8</v>
      </c>
      <c r="Z2469" s="1">
        <v>2.0906988E7</v>
      </c>
      <c r="AA2469" s="1" t="s">
        <v>3760</v>
      </c>
      <c r="AB2469" s="1">
        <v>8333.0</v>
      </c>
      <c r="AC2469" s="2">
        <v>41548.0</v>
      </c>
      <c r="AD2469" s="1">
        <v>7500.0</v>
      </c>
      <c r="AE2469" s="1" t="s">
        <v>40</v>
      </c>
      <c r="AF2469" s="1">
        <v>2.0141586E7</v>
      </c>
      <c r="AG2469" s="1" t="s">
        <v>4015</v>
      </c>
      <c r="AH2469" s="1">
        <v>10.0</v>
      </c>
      <c r="AI2469" s="1">
        <v>2011.0</v>
      </c>
      <c r="AJ2469" s="1">
        <v>2014.0</v>
      </c>
      <c r="AK2469" s="1" t="s">
        <v>4003</v>
      </c>
    </row>
    <row r="2470">
      <c r="A2470" s="1" t="s">
        <v>4013</v>
      </c>
      <c r="B2470" s="1" t="s">
        <v>4013</v>
      </c>
      <c r="C2470" s="1" t="s">
        <v>63</v>
      </c>
      <c r="E2470" s="1">
        <v>1.9608108E7</v>
      </c>
      <c r="F2470" s="2">
        <v>41548.0</v>
      </c>
      <c r="G2470" s="1" t="s">
        <v>4014</v>
      </c>
      <c r="I2470" s="1" t="s">
        <v>4014</v>
      </c>
      <c r="L2470" s="1" t="s">
        <v>40</v>
      </c>
      <c r="M2470" s="1">
        <v>7500.0</v>
      </c>
      <c r="N2470" s="1" t="s">
        <v>40</v>
      </c>
      <c r="O2470" s="1">
        <v>1962224.0</v>
      </c>
      <c r="P2470" s="1" t="s">
        <v>52</v>
      </c>
      <c r="Q2470" s="1" t="s">
        <v>4017</v>
      </c>
      <c r="R2470" s="1" t="s">
        <v>1885</v>
      </c>
      <c r="S2470" s="1" t="s">
        <v>44</v>
      </c>
      <c r="T2470" s="1" t="s">
        <v>45</v>
      </c>
      <c r="U2470" s="1">
        <v>4.82021347E8</v>
      </c>
      <c r="W2470" s="1" t="s">
        <v>46</v>
      </c>
      <c r="X2470" s="1" t="s">
        <v>45</v>
      </c>
      <c r="Y2470" s="1">
        <v>4.82023692E8</v>
      </c>
      <c r="Z2470" s="1">
        <v>1962224.0</v>
      </c>
      <c r="AA2470" s="1" t="s">
        <v>52</v>
      </c>
      <c r="AB2470" s="1">
        <v>28962.06</v>
      </c>
      <c r="AC2470" s="2">
        <v>41548.0</v>
      </c>
      <c r="AD2470" s="1">
        <v>7500.0</v>
      </c>
      <c r="AE2470" s="1" t="s">
        <v>40</v>
      </c>
      <c r="AF2470" s="1">
        <v>2.0141504E7</v>
      </c>
      <c r="AG2470" s="1" t="s">
        <v>4015</v>
      </c>
      <c r="AH2470" s="1">
        <v>10.0</v>
      </c>
      <c r="AI2470" s="1">
        <v>2011.0</v>
      </c>
      <c r="AJ2470" s="1">
        <v>2014.0</v>
      </c>
      <c r="AK2470" s="1" t="s">
        <v>4003</v>
      </c>
    </row>
    <row r="2471">
      <c r="A2471" s="1" t="s">
        <v>4013</v>
      </c>
      <c r="B2471" s="1" t="s">
        <v>4013</v>
      </c>
      <c r="C2471" s="1" t="s">
        <v>63</v>
      </c>
      <c r="E2471" s="1">
        <v>1.9608108E7</v>
      </c>
      <c r="F2471" s="2">
        <v>41548.0</v>
      </c>
      <c r="G2471" s="1" t="s">
        <v>4014</v>
      </c>
      <c r="I2471" s="1" t="s">
        <v>4014</v>
      </c>
      <c r="L2471" s="1" t="s">
        <v>40</v>
      </c>
      <c r="M2471" s="1">
        <v>7500.0</v>
      </c>
      <c r="N2471" s="1" t="s">
        <v>40</v>
      </c>
      <c r="O2471" s="1">
        <v>3.7748076E7</v>
      </c>
      <c r="P2471" s="1" t="s">
        <v>4025</v>
      </c>
      <c r="Q2471" s="1" t="s">
        <v>4026</v>
      </c>
      <c r="R2471" s="1" t="s">
        <v>4027</v>
      </c>
      <c r="S2471" s="1" t="s">
        <v>44</v>
      </c>
      <c r="T2471" s="1" t="s">
        <v>45</v>
      </c>
      <c r="U2471" s="1">
        <v>4.82012153E8</v>
      </c>
      <c r="W2471" s="1" t="s">
        <v>46</v>
      </c>
      <c r="X2471" s="1" t="s">
        <v>45</v>
      </c>
      <c r="Y2471" s="1">
        <v>4.82012153E8</v>
      </c>
      <c r="Z2471" s="1">
        <v>5.3866661E7</v>
      </c>
      <c r="AB2471" s="1">
        <v>34249.0</v>
      </c>
      <c r="AC2471" s="2">
        <v>41548.0</v>
      </c>
      <c r="AD2471" s="1">
        <v>7500.0</v>
      </c>
      <c r="AE2471" s="1" t="s">
        <v>40</v>
      </c>
      <c r="AF2471" s="1">
        <v>2.014157E7</v>
      </c>
      <c r="AG2471" s="1" t="s">
        <v>4015</v>
      </c>
      <c r="AH2471" s="1">
        <v>10.0</v>
      </c>
      <c r="AI2471" s="1">
        <v>2011.0</v>
      </c>
      <c r="AJ2471" s="1">
        <v>2014.0</v>
      </c>
      <c r="AK2471" s="1" t="s">
        <v>4003</v>
      </c>
    </row>
    <row r="2472">
      <c r="A2472" s="1" t="s">
        <v>4013</v>
      </c>
      <c r="B2472" s="1" t="s">
        <v>4013</v>
      </c>
      <c r="C2472" s="1" t="s">
        <v>63</v>
      </c>
      <c r="E2472" s="1">
        <v>1.9608108E7</v>
      </c>
      <c r="F2472" s="2">
        <v>41548.0</v>
      </c>
      <c r="G2472" s="1" t="s">
        <v>4014</v>
      </c>
      <c r="I2472" s="1" t="s">
        <v>4014</v>
      </c>
      <c r="L2472" s="1" t="s">
        <v>40</v>
      </c>
      <c r="M2472" s="1">
        <v>7500.0</v>
      </c>
      <c r="N2472" s="1" t="s">
        <v>40</v>
      </c>
      <c r="O2472" s="1">
        <v>3.8775243E7</v>
      </c>
      <c r="P2472" s="1" t="s">
        <v>209</v>
      </c>
      <c r="Q2472" s="1" t="s">
        <v>210</v>
      </c>
      <c r="R2472" s="1" t="s">
        <v>211</v>
      </c>
      <c r="S2472" s="1" t="s">
        <v>44</v>
      </c>
      <c r="T2472" s="1" t="s">
        <v>45</v>
      </c>
      <c r="U2472" s="1">
        <v>4.82023068E8</v>
      </c>
      <c r="W2472" s="1" t="s">
        <v>46</v>
      </c>
      <c r="X2472" s="1" t="s">
        <v>45</v>
      </c>
      <c r="Y2472" s="1">
        <v>4.82023068E8</v>
      </c>
      <c r="Z2472" s="1">
        <v>3.8775243E7</v>
      </c>
      <c r="AA2472" s="1" t="s">
        <v>209</v>
      </c>
      <c r="AB2472" s="1">
        <v>63406.48</v>
      </c>
      <c r="AC2472" s="2">
        <v>41548.0</v>
      </c>
      <c r="AD2472" s="1">
        <v>7500.0</v>
      </c>
      <c r="AE2472" s="1" t="s">
        <v>40</v>
      </c>
      <c r="AF2472" s="1">
        <v>2.0140733E7</v>
      </c>
      <c r="AG2472" s="1" t="s">
        <v>4015</v>
      </c>
      <c r="AH2472" s="1">
        <v>10.0</v>
      </c>
      <c r="AI2472" s="1">
        <v>2011.0</v>
      </c>
      <c r="AJ2472" s="1">
        <v>2014.0</v>
      </c>
      <c r="AK2472" s="1" t="s">
        <v>4003</v>
      </c>
    </row>
    <row r="2473">
      <c r="A2473" s="1" t="s">
        <v>4013</v>
      </c>
      <c r="B2473" s="1" t="s">
        <v>4013</v>
      </c>
      <c r="C2473" s="1" t="s">
        <v>63</v>
      </c>
      <c r="E2473" s="1">
        <v>1.9608108E7</v>
      </c>
      <c r="F2473" s="2">
        <v>41548.0</v>
      </c>
      <c r="G2473" s="1" t="s">
        <v>4014</v>
      </c>
      <c r="I2473" s="1" t="s">
        <v>4014</v>
      </c>
      <c r="L2473" s="1" t="s">
        <v>40</v>
      </c>
      <c r="M2473" s="1">
        <v>7500.0</v>
      </c>
      <c r="N2473" s="1" t="s">
        <v>40</v>
      </c>
      <c r="O2473" s="1">
        <v>2.0830303E7</v>
      </c>
      <c r="P2473" s="1" t="s">
        <v>424</v>
      </c>
      <c r="Q2473" s="1" t="s">
        <v>425</v>
      </c>
      <c r="R2473" s="1" t="s">
        <v>426</v>
      </c>
      <c r="S2473" s="1" t="s">
        <v>44</v>
      </c>
      <c r="T2473" s="1" t="s">
        <v>45</v>
      </c>
      <c r="U2473" s="1">
        <v>4.82012002E8</v>
      </c>
      <c r="W2473" s="1" t="s">
        <v>46</v>
      </c>
      <c r="X2473" s="1" t="s">
        <v>45</v>
      </c>
      <c r="Y2473" s="1">
        <v>4.82012002E8</v>
      </c>
      <c r="Z2473" s="1">
        <v>2.0830303E7</v>
      </c>
      <c r="AA2473" s="1" t="s">
        <v>424</v>
      </c>
      <c r="AB2473" s="1">
        <v>18575.16</v>
      </c>
      <c r="AC2473" s="2">
        <v>41548.0</v>
      </c>
      <c r="AD2473" s="1">
        <v>7500.0</v>
      </c>
      <c r="AE2473" s="1" t="s">
        <v>40</v>
      </c>
      <c r="AF2473" s="1">
        <v>2.0141562E7</v>
      </c>
      <c r="AG2473" s="1" t="s">
        <v>4015</v>
      </c>
      <c r="AH2473" s="1">
        <v>10.0</v>
      </c>
      <c r="AI2473" s="1">
        <v>2011.0</v>
      </c>
      <c r="AJ2473" s="1">
        <v>2014.0</v>
      </c>
      <c r="AK2473" s="1" t="s">
        <v>4003</v>
      </c>
    </row>
    <row r="2474">
      <c r="A2474" s="1" t="s">
        <v>4013</v>
      </c>
      <c r="B2474" s="1" t="s">
        <v>4013</v>
      </c>
      <c r="C2474" s="1" t="s">
        <v>63</v>
      </c>
      <c r="E2474" s="1">
        <v>1.9608108E7</v>
      </c>
      <c r="F2474" s="2">
        <v>41548.0</v>
      </c>
      <c r="G2474" s="1" t="s">
        <v>4014</v>
      </c>
      <c r="I2474" s="1" t="s">
        <v>4014</v>
      </c>
      <c r="L2474" s="1" t="s">
        <v>40</v>
      </c>
      <c r="M2474" s="1">
        <v>7500.0</v>
      </c>
      <c r="N2474" s="1" t="s">
        <v>40</v>
      </c>
      <c r="O2474" s="1">
        <v>1.8009589E8</v>
      </c>
      <c r="P2474" s="1" t="s">
        <v>4057</v>
      </c>
      <c r="Q2474" s="1" t="s">
        <v>2059</v>
      </c>
      <c r="R2474" s="1" t="s">
        <v>4059</v>
      </c>
      <c r="S2474" s="1" t="s">
        <v>44</v>
      </c>
      <c r="T2474" s="1" t="s">
        <v>45</v>
      </c>
      <c r="U2474" s="1">
        <v>4.82033127E8</v>
      </c>
      <c r="W2474" s="1" t="s">
        <v>46</v>
      </c>
      <c r="X2474" s="1" t="s">
        <v>45</v>
      </c>
      <c r="Y2474" s="1">
        <v>4.82033127E8</v>
      </c>
      <c r="Z2474" s="1">
        <v>5.1214708E7</v>
      </c>
      <c r="AA2474" s="1" t="s">
        <v>2060</v>
      </c>
      <c r="AB2474" s="1">
        <v>21592.61</v>
      </c>
      <c r="AC2474" s="2">
        <v>41548.0</v>
      </c>
      <c r="AD2474" s="1">
        <v>7500.0</v>
      </c>
      <c r="AE2474" s="1" t="s">
        <v>40</v>
      </c>
      <c r="AF2474" s="1">
        <v>2.0141566E7</v>
      </c>
      <c r="AG2474" s="1" t="s">
        <v>4015</v>
      </c>
      <c r="AH2474" s="1">
        <v>10.0</v>
      </c>
      <c r="AI2474" s="1">
        <v>2011.0</v>
      </c>
      <c r="AJ2474" s="1">
        <v>2014.0</v>
      </c>
      <c r="AK2474" s="1" t="s">
        <v>4003</v>
      </c>
    </row>
    <row r="2475">
      <c r="A2475" s="1" t="s">
        <v>4013</v>
      </c>
      <c r="B2475" s="1" t="s">
        <v>4013</v>
      </c>
      <c r="C2475" s="1" t="s">
        <v>63</v>
      </c>
      <c r="E2475" s="1">
        <v>1.9608108E7</v>
      </c>
      <c r="F2475" s="2">
        <v>41548.0</v>
      </c>
      <c r="G2475" s="1" t="s">
        <v>4014</v>
      </c>
      <c r="I2475" s="1" t="s">
        <v>4014</v>
      </c>
      <c r="L2475" s="1" t="s">
        <v>40</v>
      </c>
      <c r="M2475" s="1">
        <v>7500.0</v>
      </c>
      <c r="N2475" s="1" t="s">
        <v>40</v>
      </c>
      <c r="O2475" s="1">
        <v>1.40133393E8</v>
      </c>
      <c r="P2475" s="1" t="s">
        <v>4028</v>
      </c>
      <c r="Q2475" s="1" t="s">
        <v>4029</v>
      </c>
      <c r="R2475" s="1" t="s">
        <v>4030</v>
      </c>
      <c r="S2475" s="1" t="s">
        <v>44</v>
      </c>
      <c r="T2475" s="1" t="s">
        <v>45</v>
      </c>
      <c r="U2475" s="1">
        <v>4.82353724E8</v>
      </c>
      <c r="W2475" s="1" t="s">
        <v>46</v>
      </c>
      <c r="X2475" s="1" t="s">
        <v>45</v>
      </c>
      <c r="Y2475" s="1">
        <v>4.82353724E8</v>
      </c>
      <c r="Z2475" s="1">
        <v>1.40133393E8</v>
      </c>
      <c r="AA2475" s="1" t="s">
        <v>4028</v>
      </c>
      <c r="AB2475" s="1">
        <v>39440.0</v>
      </c>
      <c r="AC2475" s="2">
        <v>41548.0</v>
      </c>
      <c r="AD2475" s="1">
        <v>7500.0</v>
      </c>
      <c r="AE2475" s="1" t="s">
        <v>40</v>
      </c>
      <c r="AF2475" s="1">
        <v>2.0141552E7</v>
      </c>
      <c r="AG2475" s="1" t="s">
        <v>4015</v>
      </c>
      <c r="AH2475" s="1">
        <v>10.0</v>
      </c>
      <c r="AI2475" s="1">
        <v>2011.0</v>
      </c>
      <c r="AJ2475" s="1">
        <v>2014.0</v>
      </c>
      <c r="AK2475" s="1" t="s">
        <v>4003</v>
      </c>
    </row>
    <row r="2476">
      <c r="A2476" s="1" t="s">
        <v>4013</v>
      </c>
      <c r="B2476" s="1" t="s">
        <v>4013</v>
      </c>
      <c r="C2476" s="1" t="s">
        <v>63</v>
      </c>
      <c r="E2476" s="1">
        <v>1.9608108E7</v>
      </c>
      <c r="F2476" s="2">
        <v>41548.0</v>
      </c>
      <c r="G2476" s="1" t="s">
        <v>4014</v>
      </c>
      <c r="I2476" s="1" t="s">
        <v>4014</v>
      </c>
      <c r="L2476" s="1" t="s">
        <v>40</v>
      </c>
      <c r="M2476" s="1">
        <v>7500.0</v>
      </c>
      <c r="N2476" s="1" t="s">
        <v>40</v>
      </c>
      <c r="O2476" s="1">
        <v>1.7406606E7</v>
      </c>
      <c r="P2476" s="1" t="s">
        <v>1574</v>
      </c>
      <c r="Q2476" s="1" t="s">
        <v>4083</v>
      </c>
      <c r="R2476" s="1" t="s">
        <v>1575</v>
      </c>
      <c r="S2476" s="1" t="s">
        <v>44</v>
      </c>
      <c r="T2476" s="1" t="s">
        <v>45</v>
      </c>
      <c r="U2476" s="1">
        <v>4.82282826E8</v>
      </c>
      <c r="W2476" s="1" t="s">
        <v>46</v>
      </c>
      <c r="X2476" s="1" t="s">
        <v>45</v>
      </c>
      <c r="Y2476" s="1">
        <v>4.82282826E8</v>
      </c>
      <c r="Z2476" s="1">
        <v>4912929.0</v>
      </c>
      <c r="AB2476" s="1">
        <v>154806.83</v>
      </c>
      <c r="AC2476" s="2">
        <v>41548.0</v>
      </c>
      <c r="AD2476" s="1">
        <v>7500.0</v>
      </c>
      <c r="AE2476" s="1" t="s">
        <v>40</v>
      </c>
      <c r="AF2476" s="1">
        <v>2.0141454E7</v>
      </c>
      <c r="AG2476" s="1" t="s">
        <v>4015</v>
      </c>
      <c r="AH2476" s="1">
        <v>10.0</v>
      </c>
      <c r="AI2476" s="1">
        <v>2011.0</v>
      </c>
      <c r="AJ2476" s="1">
        <v>2014.0</v>
      </c>
      <c r="AK2476" s="1" t="s">
        <v>4003</v>
      </c>
    </row>
    <row r="2477">
      <c r="A2477" s="1" t="s">
        <v>4013</v>
      </c>
      <c r="B2477" s="1" t="s">
        <v>4013</v>
      </c>
      <c r="C2477" s="1" t="s">
        <v>63</v>
      </c>
      <c r="E2477" s="1">
        <v>1.9608108E7</v>
      </c>
      <c r="F2477" s="2">
        <v>41183.0</v>
      </c>
      <c r="G2477" s="1" t="s">
        <v>4014</v>
      </c>
      <c r="I2477" s="1" t="s">
        <v>4014</v>
      </c>
      <c r="L2477" s="1" t="s">
        <v>40</v>
      </c>
      <c r="M2477" s="1">
        <v>7500.0</v>
      </c>
      <c r="N2477" s="1" t="s">
        <v>40</v>
      </c>
      <c r="O2477" s="1">
        <v>1962224.0</v>
      </c>
      <c r="P2477" s="1" t="s">
        <v>52</v>
      </c>
      <c r="Q2477" s="1" t="s">
        <v>4052</v>
      </c>
      <c r="R2477" s="1" t="s">
        <v>1885</v>
      </c>
      <c r="S2477" s="1" t="s">
        <v>44</v>
      </c>
      <c r="T2477" s="1" t="s">
        <v>45</v>
      </c>
      <c r="U2477" s="1">
        <v>4.82021347E8</v>
      </c>
      <c r="W2477" s="1" t="s">
        <v>46</v>
      </c>
      <c r="X2477" s="1" t="s">
        <v>45</v>
      </c>
      <c r="Y2477" s="1">
        <v>4.82023692E8</v>
      </c>
      <c r="Z2477" s="1">
        <v>1962224.0</v>
      </c>
      <c r="AA2477" s="1" t="s">
        <v>52</v>
      </c>
      <c r="AB2477" s="1">
        <v>49115.68</v>
      </c>
      <c r="AC2477" s="2">
        <v>41183.0</v>
      </c>
      <c r="AD2477" s="1">
        <v>7500.0</v>
      </c>
      <c r="AE2477" s="1" t="s">
        <v>40</v>
      </c>
      <c r="AF2477" s="1">
        <v>2.0131069E7</v>
      </c>
      <c r="AG2477" s="1" t="s">
        <v>4015</v>
      </c>
      <c r="AH2477" s="1">
        <v>10.0</v>
      </c>
      <c r="AI2477" s="1">
        <v>2011.0</v>
      </c>
      <c r="AJ2477" s="1">
        <v>2013.0</v>
      </c>
      <c r="AK2477" s="1" t="s">
        <v>4003</v>
      </c>
    </row>
    <row r="2478">
      <c r="A2478" s="1" t="s">
        <v>4013</v>
      </c>
      <c r="B2478" s="1" t="s">
        <v>4013</v>
      </c>
      <c r="C2478" s="1" t="s">
        <v>63</v>
      </c>
      <c r="E2478" s="1">
        <v>1.9608108E7</v>
      </c>
      <c r="F2478" s="2">
        <v>41183.0</v>
      </c>
      <c r="G2478" s="1" t="s">
        <v>4014</v>
      </c>
      <c r="I2478" s="1" t="s">
        <v>4014</v>
      </c>
      <c r="L2478" s="1" t="s">
        <v>40</v>
      </c>
      <c r="M2478" s="1">
        <v>7500.0</v>
      </c>
      <c r="N2478" s="1" t="s">
        <v>40</v>
      </c>
      <c r="O2478" s="1">
        <v>3.8775243E7</v>
      </c>
      <c r="P2478" s="1" t="s">
        <v>209</v>
      </c>
      <c r="Q2478" s="1" t="s">
        <v>210</v>
      </c>
      <c r="R2478" s="1" t="s">
        <v>211</v>
      </c>
      <c r="S2478" s="1" t="s">
        <v>44</v>
      </c>
      <c r="T2478" s="1" t="s">
        <v>45</v>
      </c>
      <c r="U2478" s="1">
        <v>4.82023068E8</v>
      </c>
      <c r="W2478" s="1" t="s">
        <v>46</v>
      </c>
      <c r="X2478" s="1" t="s">
        <v>45</v>
      </c>
      <c r="Y2478" s="1">
        <v>4.82023068E8</v>
      </c>
      <c r="Z2478" s="1">
        <v>3.8775243E7</v>
      </c>
      <c r="AA2478" s="1" t="s">
        <v>209</v>
      </c>
      <c r="AB2478" s="1">
        <v>837316.59</v>
      </c>
      <c r="AC2478" s="2">
        <v>41183.0</v>
      </c>
      <c r="AD2478" s="1">
        <v>7500.0</v>
      </c>
      <c r="AE2478" s="1" t="s">
        <v>40</v>
      </c>
      <c r="AF2478" s="1">
        <v>2.0131231E7</v>
      </c>
      <c r="AG2478" s="1" t="s">
        <v>4015</v>
      </c>
      <c r="AH2478" s="1">
        <v>10.0</v>
      </c>
      <c r="AI2478" s="1">
        <v>2011.0</v>
      </c>
      <c r="AJ2478" s="1">
        <v>2013.0</v>
      </c>
      <c r="AK2478" s="1" t="s">
        <v>4003</v>
      </c>
    </row>
    <row r="2479">
      <c r="A2479" s="1" t="s">
        <v>4013</v>
      </c>
      <c r="B2479" s="1" t="s">
        <v>4013</v>
      </c>
      <c r="C2479" s="1" t="s">
        <v>63</v>
      </c>
      <c r="E2479" s="1">
        <v>1.9608108E7</v>
      </c>
      <c r="F2479" s="2">
        <v>41183.0</v>
      </c>
      <c r="G2479" s="1" t="s">
        <v>4014</v>
      </c>
      <c r="I2479" s="1" t="s">
        <v>4014</v>
      </c>
      <c r="L2479" s="1" t="s">
        <v>40</v>
      </c>
      <c r="M2479" s="1">
        <v>7500.0</v>
      </c>
      <c r="N2479" s="1" t="s">
        <v>40</v>
      </c>
      <c r="O2479" s="1">
        <v>1.8009589E8</v>
      </c>
      <c r="P2479" s="1" t="s">
        <v>4057</v>
      </c>
      <c r="Q2479" s="1" t="s">
        <v>4022</v>
      </c>
      <c r="R2479" s="1" t="s">
        <v>4059</v>
      </c>
      <c r="S2479" s="1" t="s">
        <v>44</v>
      </c>
      <c r="T2479" s="1" t="s">
        <v>45</v>
      </c>
      <c r="U2479" s="1">
        <v>4.82033127E8</v>
      </c>
      <c r="W2479" s="1" t="s">
        <v>46</v>
      </c>
      <c r="X2479" s="1" t="s">
        <v>45</v>
      </c>
      <c r="Y2479" s="1">
        <v>4.82033127E8</v>
      </c>
      <c r="Z2479" s="1">
        <v>1367960.0</v>
      </c>
      <c r="AA2479" s="1" t="s">
        <v>4024</v>
      </c>
      <c r="AB2479" s="1">
        <v>61742.17</v>
      </c>
      <c r="AC2479" s="2">
        <v>41183.0</v>
      </c>
      <c r="AD2479" s="1">
        <v>7500.0</v>
      </c>
      <c r="AE2479" s="1" t="s">
        <v>40</v>
      </c>
      <c r="AF2479" s="1">
        <v>2.0130224E7</v>
      </c>
      <c r="AG2479" s="1" t="s">
        <v>4015</v>
      </c>
      <c r="AH2479" s="1">
        <v>10.0</v>
      </c>
      <c r="AI2479" s="1">
        <v>2011.0</v>
      </c>
      <c r="AJ2479" s="1">
        <v>2013.0</v>
      </c>
      <c r="AK2479" s="1" t="s">
        <v>4003</v>
      </c>
    </row>
    <row r="2480">
      <c r="A2480" s="1" t="s">
        <v>4013</v>
      </c>
      <c r="B2480" s="1" t="s">
        <v>4013</v>
      </c>
      <c r="C2480" s="1" t="s">
        <v>63</v>
      </c>
      <c r="E2480" s="1">
        <v>1.9608108E7</v>
      </c>
      <c r="F2480" s="2">
        <v>41183.0</v>
      </c>
      <c r="G2480" s="1" t="s">
        <v>4014</v>
      </c>
      <c r="I2480" s="1" t="s">
        <v>4014</v>
      </c>
      <c r="L2480" s="1" t="s">
        <v>40</v>
      </c>
      <c r="M2480" s="1">
        <v>7500.0</v>
      </c>
      <c r="N2480" s="1" t="s">
        <v>40</v>
      </c>
      <c r="O2480" s="1">
        <v>2.0830303E7</v>
      </c>
      <c r="P2480" s="1" t="s">
        <v>424</v>
      </c>
      <c r="Q2480" s="1" t="s">
        <v>425</v>
      </c>
      <c r="R2480" s="1" t="s">
        <v>426</v>
      </c>
      <c r="S2480" s="1" t="s">
        <v>44</v>
      </c>
      <c r="T2480" s="1" t="s">
        <v>45</v>
      </c>
      <c r="U2480" s="1">
        <v>4.82012002E8</v>
      </c>
      <c r="W2480" s="1" t="s">
        <v>46</v>
      </c>
      <c r="X2480" s="1" t="s">
        <v>45</v>
      </c>
      <c r="Y2480" s="1">
        <v>4.82012002E8</v>
      </c>
      <c r="Z2480" s="1">
        <v>2.0830303E7</v>
      </c>
      <c r="AA2480" s="1" t="s">
        <v>424</v>
      </c>
      <c r="AB2480" s="1">
        <v>73313.2</v>
      </c>
      <c r="AC2480" s="2">
        <v>41183.0</v>
      </c>
      <c r="AD2480" s="1">
        <v>7500.0</v>
      </c>
      <c r="AE2480" s="1" t="s">
        <v>40</v>
      </c>
      <c r="AF2480" s="1">
        <v>2.0130541E7</v>
      </c>
      <c r="AG2480" s="1" t="s">
        <v>4015</v>
      </c>
      <c r="AH2480" s="1">
        <v>10.0</v>
      </c>
      <c r="AI2480" s="1">
        <v>2011.0</v>
      </c>
      <c r="AJ2480" s="1">
        <v>2013.0</v>
      </c>
      <c r="AK2480" s="1" t="s">
        <v>4003</v>
      </c>
    </row>
    <row r="2481">
      <c r="A2481" s="1" t="s">
        <v>4013</v>
      </c>
      <c r="B2481" s="1" t="s">
        <v>4013</v>
      </c>
      <c r="C2481" s="1" t="s">
        <v>63</v>
      </c>
      <c r="E2481" s="1">
        <v>1.9608108E7</v>
      </c>
      <c r="F2481" s="2">
        <v>41183.0</v>
      </c>
      <c r="G2481" s="1" t="s">
        <v>4014</v>
      </c>
      <c r="I2481" s="1" t="s">
        <v>4014</v>
      </c>
      <c r="L2481" s="1" t="s">
        <v>40</v>
      </c>
      <c r="M2481" s="1">
        <v>7500.0</v>
      </c>
      <c r="N2481" s="1" t="s">
        <v>40</v>
      </c>
      <c r="O2481" s="1">
        <v>9.4547247E7</v>
      </c>
      <c r="P2481" s="1" t="s">
        <v>2201</v>
      </c>
      <c r="Q2481" s="1" t="s">
        <v>2202</v>
      </c>
      <c r="R2481" s="1" t="s">
        <v>2203</v>
      </c>
      <c r="S2481" s="1" t="s">
        <v>44</v>
      </c>
      <c r="T2481" s="1" t="s">
        <v>45</v>
      </c>
      <c r="U2481" s="1">
        <v>4.8201241E8</v>
      </c>
      <c r="W2481" s="1" t="s">
        <v>46</v>
      </c>
      <c r="X2481" s="1" t="s">
        <v>45</v>
      </c>
      <c r="Y2481" s="1">
        <v>4.8201241E8</v>
      </c>
      <c r="Z2481" s="1">
        <v>9.4547247E7</v>
      </c>
      <c r="AA2481" s="1" t="s">
        <v>2201</v>
      </c>
      <c r="AB2481" s="1">
        <v>16666.0</v>
      </c>
      <c r="AC2481" s="2">
        <v>41183.0</v>
      </c>
      <c r="AD2481" s="1">
        <v>7500.0</v>
      </c>
      <c r="AE2481" s="1" t="s">
        <v>40</v>
      </c>
      <c r="AF2481" s="1">
        <v>2.0133155E7</v>
      </c>
      <c r="AG2481" s="1" t="s">
        <v>4015</v>
      </c>
      <c r="AH2481" s="1">
        <v>10.0</v>
      </c>
      <c r="AI2481" s="1">
        <v>2011.0</v>
      </c>
      <c r="AJ2481" s="1">
        <v>2013.0</v>
      </c>
      <c r="AK2481" s="1" t="s">
        <v>4003</v>
      </c>
    </row>
    <row r="2482">
      <c r="A2482" s="1" t="s">
        <v>4013</v>
      </c>
      <c r="B2482" s="1" t="s">
        <v>4013</v>
      </c>
      <c r="C2482" s="1" t="s">
        <v>63</v>
      </c>
      <c r="E2482" s="1">
        <v>1.9608108E7</v>
      </c>
      <c r="F2482" s="2">
        <v>41183.0</v>
      </c>
      <c r="G2482" s="1" t="s">
        <v>4014</v>
      </c>
      <c r="I2482" s="1" t="s">
        <v>4014</v>
      </c>
      <c r="L2482" s="1" t="s">
        <v>40</v>
      </c>
      <c r="M2482" s="1">
        <v>7500.0</v>
      </c>
      <c r="N2482" s="1" t="s">
        <v>40</v>
      </c>
      <c r="O2482" s="1">
        <v>3.8775243E7</v>
      </c>
      <c r="P2482" s="1" t="s">
        <v>209</v>
      </c>
      <c r="Q2482" s="1" t="s">
        <v>210</v>
      </c>
      <c r="R2482" s="1" t="s">
        <v>211</v>
      </c>
      <c r="S2482" s="1" t="s">
        <v>44</v>
      </c>
      <c r="T2482" s="1" t="s">
        <v>45</v>
      </c>
      <c r="U2482" s="1">
        <v>4.82023068E8</v>
      </c>
      <c r="W2482" s="1" t="s">
        <v>46</v>
      </c>
      <c r="X2482" s="1" t="s">
        <v>45</v>
      </c>
      <c r="Y2482" s="1">
        <v>4.82023068E8</v>
      </c>
      <c r="Z2482" s="1">
        <v>3.8775243E7</v>
      </c>
      <c r="AA2482" s="1" t="s">
        <v>209</v>
      </c>
      <c r="AB2482" s="1">
        <v>258751.75</v>
      </c>
      <c r="AC2482" s="2">
        <v>41183.0</v>
      </c>
      <c r="AD2482" s="1">
        <v>7500.0</v>
      </c>
      <c r="AE2482" s="1" t="s">
        <v>40</v>
      </c>
      <c r="AF2482" s="1">
        <v>2.0131231E7</v>
      </c>
      <c r="AG2482" s="1" t="s">
        <v>4015</v>
      </c>
      <c r="AH2482" s="1">
        <v>10.0</v>
      </c>
      <c r="AI2482" s="1">
        <v>2011.0</v>
      </c>
      <c r="AJ2482" s="1">
        <v>2013.0</v>
      </c>
      <c r="AK2482" s="1" t="s">
        <v>4003</v>
      </c>
    </row>
    <row r="2483">
      <c r="A2483" s="1" t="s">
        <v>4013</v>
      </c>
      <c r="B2483" s="1" t="s">
        <v>4013</v>
      </c>
      <c r="C2483" s="1" t="s">
        <v>63</v>
      </c>
      <c r="E2483" s="1">
        <v>1.9608108E7</v>
      </c>
      <c r="F2483" s="2">
        <v>41183.0</v>
      </c>
      <c r="G2483" s="1" t="s">
        <v>4014</v>
      </c>
      <c r="I2483" s="1" t="s">
        <v>4014</v>
      </c>
      <c r="L2483" s="1" t="s">
        <v>40</v>
      </c>
      <c r="M2483" s="1">
        <v>7500.0</v>
      </c>
      <c r="N2483" s="1" t="s">
        <v>40</v>
      </c>
      <c r="O2483" s="1">
        <v>3.7748076E7</v>
      </c>
      <c r="P2483" s="1" t="s">
        <v>4025</v>
      </c>
      <c r="Q2483" s="1" t="s">
        <v>4026</v>
      </c>
      <c r="R2483" s="1" t="s">
        <v>4027</v>
      </c>
      <c r="S2483" s="1" t="s">
        <v>44</v>
      </c>
      <c r="T2483" s="1" t="s">
        <v>45</v>
      </c>
      <c r="U2483" s="1">
        <v>4.82012153E8</v>
      </c>
      <c r="W2483" s="1" t="s">
        <v>46</v>
      </c>
      <c r="X2483" s="1" t="s">
        <v>45</v>
      </c>
      <c r="Y2483" s="1">
        <v>4.82012153E8</v>
      </c>
      <c r="Z2483" s="1">
        <v>5.3866661E7</v>
      </c>
      <c r="AB2483" s="1">
        <v>56250.0</v>
      </c>
      <c r="AC2483" s="2">
        <v>41183.0</v>
      </c>
      <c r="AD2483" s="1">
        <v>7500.0</v>
      </c>
      <c r="AE2483" s="1" t="s">
        <v>40</v>
      </c>
      <c r="AF2483" s="1">
        <v>2.0130228E7</v>
      </c>
      <c r="AG2483" s="1" t="s">
        <v>4015</v>
      </c>
      <c r="AH2483" s="1">
        <v>10.0</v>
      </c>
      <c r="AI2483" s="1">
        <v>2011.0</v>
      </c>
      <c r="AJ2483" s="1">
        <v>2013.0</v>
      </c>
      <c r="AK2483" s="1" t="s">
        <v>4003</v>
      </c>
    </row>
    <row r="2484">
      <c r="A2484" s="1" t="s">
        <v>4013</v>
      </c>
      <c r="B2484" s="1" t="s">
        <v>4013</v>
      </c>
      <c r="C2484" s="1" t="s">
        <v>63</v>
      </c>
      <c r="E2484" s="1">
        <v>1.9608108E7</v>
      </c>
      <c r="F2484" s="2">
        <v>41183.0</v>
      </c>
      <c r="G2484" s="1" t="s">
        <v>4014</v>
      </c>
      <c r="I2484" s="1" t="s">
        <v>4014</v>
      </c>
      <c r="L2484" s="1" t="s">
        <v>40</v>
      </c>
      <c r="M2484" s="1">
        <v>7500.0</v>
      </c>
      <c r="N2484" s="1" t="s">
        <v>40</v>
      </c>
      <c r="O2484" s="1">
        <v>8.48764171E8</v>
      </c>
      <c r="P2484" s="1" t="s">
        <v>1050</v>
      </c>
      <c r="Q2484" s="1" t="s">
        <v>1051</v>
      </c>
      <c r="R2484" s="1" t="s">
        <v>4020</v>
      </c>
      <c r="S2484" s="1" t="s">
        <v>44</v>
      </c>
      <c r="T2484" s="1" t="s">
        <v>45</v>
      </c>
      <c r="U2484" s="1">
        <v>4.82023042E8</v>
      </c>
      <c r="W2484" s="1" t="s">
        <v>46</v>
      </c>
      <c r="X2484" s="1" t="s">
        <v>45</v>
      </c>
      <c r="Y2484" s="1">
        <v>4.820741E8</v>
      </c>
      <c r="Z2484" s="1">
        <v>3.8775243E7</v>
      </c>
      <c r="AA2484" s="1" t="s">
        <v>209</v>
      </c>
      <c r="AB2484" s="1">
        <v>67387.0</v>
      </c>
      <c r="AC2484" s="2">
        <v>41183.0</v>
      </c>
      <c r="AD2484" s="1">
        <v>7500.0</v>
      </c>
      <c r="AE2484" s="1" t="s">
        <v>40</v>
      </c>
      <c r="AF2484" s="1">
        <v>2.0130214E7</v>
      </c>
      <c r="AG2484" s="1" t="s">
        <v>4015</v>
      </c>
      <c r="AH2484" s="1">
        <v>10.0</v>
      </c>
      <c r="AI2484" s="1">
        <v>2011.0</v>
      </c>
      <c r="AJ2484" s="1">
        <v>2013.0</v>
      </c>
      <c r="AK2484" s="1" t="s">
        <v>4003</v>
      </c>
    </row>
    <row r="2485">
      <c r="A2485" s="1" t="s">
        <v>4033</v>
      </c>
      <c r="B2485" s="1" t="s">
        <v>4033</v>
      </c>
      <c r="C2485" s="1" t="s">
        <v>63</v>
      </c>
      <c r="E2485" s="1">
        <v>7.6172144E7</v>
      </c>
      <c r="F2485" s="2">
        <v>41913.0</v>
      </c>
      <c r="G2485" s="1" t="s">
        <v>4034</v>
      </c>
      <c r="I2485" s="1" t="s">
        <v>4034</v>
      </c>
      <c r="L2485" s="1" t="s">
        <v>40</v>
      </c>
      <c r="M2485" s="1">
        <v>7500.0</v>
      </c>
      <c r="N2485" s="1" t="s">
        <v>40</v>
      </c>
      <c r="O2485" s="1">
        <v>1.7406606E7</v>
      </c>
      <c r="P2485" s="1" t="s">
        <v>1574</v>
      </c>
      <c r="Q2485" s="1" t="s">
        <v>2014</v>
      </c>
      <c r="R2485" s="1" t="s">
        <v>1575</v>
      </c>
      <c r="S2485" s="1" t="s">
        <v>44</v>
      </c>
      <c r="T2485" s="1" t="s">
        <v>45</v>
      </c>
      <c r="U2485" s="1">
        <v>4.82282826E8</v>
      </c>
      <c r="W2485" s="1" t="s">
        <v>46</v>
      </c>
      <c r="X2485" s="1" t="s">
        <v>45</v>
      </c>
      <c r="Y2485" s="1">
        <v>4.82282826E8</v>
      </c>
      <c r="Z2485" s="1">
        <v>7.4250242E7</v>
      </c>
      <c r="AA2485" s="1" t="s">
        <v>4084</v>
      </c>
      <c r="AB2485" s="1">
        <v>217556.0</v>
      </c>
      <c r="AC2485" s="2">
        <v>41913.0</v>
      </c>
      <c r="AD2485" s="1">
        <v>7500.0</v>
      </c>
      <c r="AE2485" s="1" t="s">
        <v>40</v>
      </c>
      <c r="AF2485" s="1">
        <v>2.0151729E7</v>
      </c>
      <c r="AG2485" s="1" t="s">
        <v>4035</v>
      </c>
      <c r="AH2485" s="1">
        <v>10.0</v>
      </c>
      <c r="AI2485" s="1">
        <v>2011.0</v>
      </c>
      <c r="AJ2485" s="1">
        <v>2015.0</v>
      </c>
      <c r="AK2485" s="1" t="s">
        <v>4036</v>
      </c>
    </row>
    <row r="2486">
      <c r="A2486" s="1" t="s">
        <v>4033</v>
      </c>
      <c r="B2486" s="1" t="s">
        <v>4033</v>
      </c>
      <c r="C2486" s="1" t="s">
        <v>63</v>
      </c>
      <c r="E2486" s="1">
        <v>7.6172144E7</v>
      </c>
      <c r="F2486" s="2">
        <v>41548.0</v>
      </c>
      <c r="G2486" s="1" t="s">
        <v>4034</v>
      </c>
      <c r="I2486" s="1" t="s">
        <v>4034</v>
      </c>
      <c r="L2486" s="1" t="s">
        <v>40</v>
      </c>
      <c r="M2486" s="1">
        <v>7500.0</v>
      </c>
      <c r="N2486" s="1" t="s">
        <v>40</v>
      </c>
      <c r="O2486" s="1">
        <v>1962224.0</v>
      </c>
      <c r="P2486" s="1" t="s">
        <v>52</v>
      </c>
      <c r="Q2486" s="1" t="s">
        <v>4037</v>
      </c>
      <c r="R2486" s="1" t="s">
        <v>1885</v>
      </c>
      <c r="S2486" s="1" t="s">
        <v>44</v>
      </c>
      <c r="T2486" s="1" t="s">
        <v>45</v>
      </c>
      <c r="U2486" s="1">
        <v>4.82021347E8</v>
      </c>
      <c r="W2486" s="1" t="s">
        <v>46</v>
      </c>
      <c r="X2486" s="1" t="s">
        <v>45</v>
      </c>
      <c r="Y2486" s="1">
        <v>4.82023692E8</v>
      </c>
      <c r="Z2486" s="1">
        <v>1962224.0</v>
      </c>
      <c r="AA2486" s="1" t="s">
        <v>52</v>
      </c>
      <c r="AB2486" s="1">
        <v>0.0</v>
      </c>
      <c r="AC2486" s="2">
        <v>41548.0</v>
      </c>
      <c r="AD2486" s="1">
        <v>7500.0</v>
      </c>
      <c r="AE2486" s="1" t="s">
        <v>40</v>
      </c>
      <c r="AF2486" s="1">
        <v>2.0141507E7</v>
      </c>
      <c r="AG2486" s="1" t="s">
        <v>4035</v>
      </c>
      <c r="AH2486" s="1">
        <v>10.0</v>
      </c>
      <c r="AI2486" s="1">
        <v>2011.0</v>
      </c>
      <c r="AJ2486" s="1">
        <v>2014.0</v>
      </c>
      <c r="AK2486" s="1" t="s">
        <v>4036</v>
      </c>
    </row>
    <row r="2487">
      <c r="A2487" s="1" t="s">
        <v>4033</v>
      </c>
      <c r="B2487" s="1" t="s">
        <v>4033</v>
      </c>
      <c r="C2487" s="1" t="s">
        <v>63</v>
      </c>
      <c r="E2487" s="1">
        <v>7.6172144E7</v>
      </c>
      <c r="F2487" s="2">
        <v>41548.0</v>
      </c>
      <c r="G2487" s="1" t="s">
        <v>4034</v>
      </c>
      <c r="I2487" s="1" t="s">
        <v>4034</v>
      </c>
      <c r="L2487" s="1" t="s">
        <v>40</v>
      </c>
      <c r="M2487" s="1">
        <v>7500.0</v>
      </c>
      <c r="N2487" s="1" t="s">
        <v>40</v>
      </c>
      <c r="O2487" s="1">
        <v>1.7406606E7</v>
      </c>
      <c r="P2487" s="1" t="s">
        <v>1574</v>
      </c>
      <c r="Q2487" s="1" t="s">
        <v>4085</v>
      </c>
      <c r="R2487" s="1" t="s">
        <v>1575</v>
      </c>
      <c r="S2487" s="1" t="s">
        <v>44</v>
      </c>
      <c r="T2487" s="1" t="s">
        <v>45</v>
      </c>
      <c r="U2487" s="1">
        <v>4.82282826E8</v>
      </c>
      <c r="W2487" s="1" t="s">
        <v>46</v>
      </c>
      <c r="X2487" s="1" t="s">
        <v>45</v>
      </c>
      <c r="Y2487" s="1">
        <v>4.82282826E8</v>
      </c>
      <c r="Z2487" s="1">
        <v>6.9823615E7</v>
      </c>
      <c r="AA2487" s="1" t="s">
        <v>4086</v>
      </c>
      <c r="AB2487" s="1">
        <v>154906.0</v>
      </c>
      <c r="AC2487" s="2">
        <v>41548.0</v>
      </c>
      <c r="AD2487" s="1">
        <v>7500.0</v>
      </c>
      <c r="AE2487" s="1" t="s">
        <v>40</v>
      </c>
      <c r="AF2487" s="1">
        <v>2.0141454E7</v>
      </c>
      <c r="AG2487" s="1" t="s">
        <v>4035</v>
      </c>
      <c r="AH2487" s="1">
        <v>10.0</v>
      </c>
      <c r="AI2487" s="1">
        <v>2011.0</v>
      </c>
      <c r="AJ2487" s="1">
        <v>2014.0</v>
      </c>
      <c r="AK2487" s="1" t="s">
        <v>4036</v>
      </c>
    </row>
    <row r="2488">
      <c r="A2488" s="1" t="s">
        <v>4033</v>
      </c>
      <c r="B2488" s="1" t="s">
        <v>4033</v>
      </c>
      <c r="C2488" s="1" t="s">
        <v>63</v>
      </c>
      <c r="E2488" s="1">
        <v>7.6172144E7</v>
      </c>
      <c r="F2488" s="2">
        <v>41183.0</v>
      </c>
      <c r="G2488" s="1" t="s">
        <v>4034</v>
      </c>
      <c r="I2488" s="1" t="s">
        <v>4034</v>
      </c>
      <c r="L2488" s="1" t="s">
        <v>40</v>
      </c>
      <c r="M2488" s="1">
        <v>7500.0</v>
      </c>
      <c r="N2488" s="1" t="s">
        <v>40</v>
      </c>
      <c r="O2488" s="1">
        <v>1962224.0</v>
      </c>
      <c r="P2488" s="1" t="s">
        <v>52</v>
      </c>
      <c r="Q2488" s="1" t="s">
        <v>4032</v>
      </c>
      <c r="R2488" s="1" t="s">
        <v>1885</v>
      </c>
      <c r="S2488" s="1" t="s">
        <v>44</v>
      </c>
      <c r="T2488" s="1" t="s">
        <v>45</v>
      </c>
      <c r="U2488" s="1">
        <v>4.82021347E8</v>
      </c>
      <c r="W2488" s="1" t="s">
        <v>46</v>
      </c>
      <c r="X2488" s="1" t="s">
        <v>45</v>
      </c>
      <c r="Y2488" s="1">
        <v>4.82023692E8</v>
      </c>
      <c r="Z2488" s="1">
        <v>1962224.0</v>
      </c>
      <c r="AA2488" s="1" t="s">
        <v>52</v>
      </c>
      <c r="AB2488" s="1">
        <v>50000.0</v>
      </c>
      <c r="AC2488" s="2">
        <v>41183.0</v>
      </c>
      <c r="AD2488" s="1">
        <v>7500.0</v>
      </c>
      <c r="AE2488" s="1" t="s">
        <v>40</v>
      </c>
      <c r="AF2488" s="1">
        <v>2.0131058E7</v>
      </c>
      <c r="AG2488" s="1" t="s">
        <v>4035</v>
      </c>
      <c r="AH2488" s="1">
        <v>10.0</v>
      </c>
      <c r="AI2488" s="1">
        <v>2011.0</v>
      </c>
      <c r="AJ2488" s="1">
        <v>2013.0</v>
      </c>
      <c r="AK2488" s="1" t="s">
        <v>4036</v>
      </c>
    </row>
    <row r="2489">
      <c r="A2489" s="1" t="s">
        <v>4033</v>
      </c>
      <c r="B2489" s="1" t="s">
        <v>4033</v>
      </c>
      <c r="C2489" s="1" t="s">
        <v>63</v>
      </c>
      <c r="E2489" s="1">
        <v>7.6172144E7</v>
      </c>
      <c r="F2489" s="2">
        <v>41183.0</v>
      </c>
      <c r="G2489" s="1" t="s">
        <v>4034</v>
      </c>
      <c r="I2489" s="1" t="s">
        <v>4034</v>
      </c>
      <c r="L2489" s="1" t="s">
        <v>40</v>
      </c>
      <c r="M2489" s="1">
        <v>7500.0</v>
      </c>
      <c r="N2489" s="1" t="s">
        <v>40</v>
      </c>
      <c r="O2489" s="1">
        <v>7.8583404E7</v>
      </c>
      <c r="P2489" s="1" t="s">
        <v>65</v>
      </c>
      <c r="Q2489" s="1" t="s">
        <v>2014</v>
      </c>
      <c r="R2489" s="1" t="s">
        <v>1573</v>
      </c>
      <c r="S2489" s="1" t="s">
        <v>44</v>
      </c>
      <c r="T2489" s="1" t="s">
        <v>45</v>
      </c>
      <c r="U2489" s="1">
        <v>4.8207311E8</v>
      </c>
      <c r="W2489" s="1" t="s">
        <v>46</v>
      </c>
      <c r="X2489" s="1" t="s">
        <v>45</v>
      </c>
      <c r="Y2489" s="1">
        <v>4.82021732E8</v>
      </c>
      <c r="Z2489" s="1">
        <v>8.6183175E7</v>
      </c>
      <c r="AA2489" s="1" t="s">
        <v>2776</v>
      </c>
      <c r="AB2489" s="1">
        <v>29674.0</v>
      </c>
      <c r="AC2489" s="2">
        <v>41183.0</v>
      </c>
      <c r="AD2489" s="1">
        <v>7500.0</v>
      </c>
      <c r="AE2489" s="1" t="s">
        <v>40</v>
      </c>
      <c r="AF2489" s="1">
        <v>2.01304E7</v>
      </c>
      <c r="AG2489" s="1" t="s">
        <v>4035</v>
      </c>
      <c r="AH2489" s="1">
        <v>10.0</v>
      </c>
      <c r="AI2489" s="1">
        <v>2011.0</v>
      </c>
      <c r="AJ2489" s="1">
        <v>2013.0</v>
      </c>
      <c r="AK2489" s="1" t="s">
        <v>4036</v>
      </c>
    </row>
    <row r="2490">
      <c r="A2490" s="1" t="s">
        <v>4033</v>
      </c>
      <c r="B2490" s="1" t="s">
        <v>4033</v>
      </c>
      <c r="C2490" s="1" t="s">
        <v>63</v>
      </c>
      <c r="E2490" s="1">
        <v>7.6172144E7</v>
      </c>
      <c r="F2490" s="2">
        <v>41183.0</v>
      </c>
      <c r="G2490" s="1" t="s">
        <v>4034</v>
      </c>
      <c r="I2490" s="1" t="s">
        <v>4034</v>
      </c>
      <c r="L2490" s="1" t="s">
        <v>40</v>
      </c>
      <c r="M2490" s="1">
        <v>7500.0</v>
      </c>
      <c r="N2490" s="1" t="s">
        <v>40</v>
      </c>
      <c r="O2490" s="1">
        <v>1962224.0</v>
      </c>
      <c r="P2490" s="1" t="s">
        <v>52</v>
      </c>
      <c r="Q2490" s="1" t="s">
        <v>2309</v>
      </c>
      <c r="R2490" s="1" t="s">
        <v>1885</v>
      </c>
      <c r="S2490" s="1" t="s">
        <v>44</v>
      </c>
      <c r="T2490" s="1" t="s">
        <v>45</v>
      </c>
      <c r="U2490" s="1">
        <v>4.82021347E8</v>
      </c>
      <c r="W2490" s="1" t="s">
        <v>46</v>
      </c>
      <c r="X2490" s="1" t="s">
        <v>45</v>
      </c>
      <c r="Y2490" s="1">
        <v>4.82023692E8</v>
      </c>
      <c r="Z2490" s="1">
        <v>1962224.0</v>
      </c>
      <c r="AA2490" s="1" t="s">
        <v>52</v>
      </c>
      <c r="AB2490" s="1">
        <v>30000.0</v>
      </c>
      <c r="AC2490" s="2">
        <v>41183.0</v>
      </c>
      <c r="AD2490" s="1">
        <v>7500.0</v>
      </c>
      <c r="AE2490" s="1" t="s">
        <v>40</v>
      </c>
      <c r="AF2490" s="1">
        <v>2.0131058E7</v>
      </c>
      <c r="AG2490" s="1" t="s">
        <v>4035</v>
      </c>
      <c r="AH2490" s="1">
        <v>10.0</v>
      </c>
      <c r="AI2490" s="1">
        <v>2011.0</v>
      </c>
      <c r="AJ2490" s="1">
        <v>2013.0</v>
      </c>
      <c r="AK2490" s="1" t="s">
        <v>4036</v>
      </c>
    </row>
    <row r="2491">
      <c r="A2491" s="1" t="s">
        <v>4033</v>
      </c>
      <c r="B2491" s="1" t="s">
        <v>4033</v>
      </c>
      <c r="C2491" s="1" t="s">
        <v>63</v>
      </c>
      <c r="E2491" s="1">
        <v>7.6172144E7</v>
      </c>
      <c r="F2491" s="2">
        <v>41183.0</v>
      </c>
      <c r="G2491" s="1" t="s">
        <v>4034</v>
      </c>
      <c r="I2491" s="1" t="s">
        <v>4034</v>
      </c>
      <c r="L2491" s="1" t="s">
        <v>40</v>
      </c>
      <c r="M2491" s="1">
        <v>7500.0</v>
      </c>
      <c r="N2491" s="1" t="s">
        <v>40</v>
      </c>
      <c r="O2491" s="1">
        <v>7.8583404E7</v>
      </c>
      <c r="P2491" s="1" t="s">
        <v>65</v>
      </c>
      <c r="Q2491" s="1" t="s">
        <v>4087</v>
      </c>
      <c r="R2491" s="1" t="s">
        <v>1573</v>
      </c>
      <c r="S2491" s="1" t="s">
        <v>44</v>
      </c>
      <c r="T2491" s="1" t="s">
        <v>45</v>
      </c>
      <c r="U2491" s="1">
        <v>4.8207311E8</v>
      </c>
      <c r="W2491" s="1" t="s">
        <v>46</v>
      </c>
      <c r="X2491" s="1" t="s">
        <v>45</v>
      </c>
      <c r="Y2491" s="1">
        <v>4.82021732E8</v>
      </c>
      <c r="Z2491" s="1">
        <v>3.0188288E7</v>
      </c>
      <c r="AA2491" s="1" t="s">
        <v>4088</v>
      </c>
      <c r="AB2491" s="1">
        <v>197374.0</v>
      </c>
      <c r="AC2491" s="2">
        <v>41183.0</v>
      </c>
      <c r="AD2491" s="1">
        <v>7500.0</v>
      </c>
      <c r="AE2491" s="1" t="s">
        <v>40</v>
      </c>
      <c r="AF2491" s="1">
        <v>2.01304E7</v>
      </c>
      <c r="AG2491" s="1" t="s">
        <v>4035</v>
      </c>
      <c r="AH2491" s="1">
        <v>10.0</v>
      </c>
      <c r="AI2491" s="1">
        <v>2011.0</v>
      </c>
      <c r="AJ2491" s="1">
        <v>2013.0</v>
      </c>
      <c r="AK2491" s="1" t="s">
        <v>4036</v>
      </c>
    </row>
    <row r="2492">
      <c r="A2492" s="1" t="s">
        <v>4074</v>
      </c>
      <c r="B2492" s="1" t="s">
        <v>4074</v>
      </c>
      <c r="C2492" s="1" t="s">
        <v>159</v>
      </c>
      <c r="E2492" s="1">
        <v>1.8873668E7</v>
      </c>
      <c r="F2492" s="2">
        <v>41548.0</v>
      </c>
      <c r="G2492" s="1" t="s">
        <v>2683</v>
      </c>
      <c r="I2492" s="1" t="s">
        <v>2683</v>
      </c>
      <c r="L2492" s="1" t="s">
        <v>40</v>
      </c>
      <c r="M2492" s="1">
        <v>7500.0</v>
      </c>
      <c r="N2492" s="1" t="s">
        <v>40</v>
      </c>
      <c r="O2492" s="1">
        <v>7.3135402E7</v>
      </c>
      <c r="P2492" s="1" t="s">
        <v>152</v>
      </c>
      <c r="Q2492" s="1" t="s">
        <v>153</v>
      </c>
      <c r="R2492" s="1" t="s">
        <v>154</v>
      </c>
      <c r="S2492" s="1" t="s">
        <v>44</v>
      </c>
      <c r="T2492" s="1" t="s">
        <v>45</v>
      </c>
      <c r="U2492" s="1">
        <v>4.82213038E8</v>
      </c>
      <c r="W2492" s="1" t="s">
        <v>46</v>
      </c>
      <c r="X2492" s="1" t="s">
        <v>45</v>
      </c>
      <c r="Y2492" s="1">
        <v>4.82213038E8</v>
      </c>
      <c r="Z2492" s="1">
        <v>7.3135402E7</v>
      </c>
      <c r="AA2492" s="1" t="s">
        <v>152</v>
      </c>
      <c r="AB2492" s="1">
        <v>59589.0</v>
      </c>
      <c r="AC2492" s="2">
        <v>41548.0</v>
      </c>
      <c r="AD2492" s="1">
        <v>7500.0</v>
      </c>
      <c r="AE2492" s="1" t="s">
        <v>40</v>
      </c>
      <c r="AF2492" s="1">
        <v>2.0140307E7</v>
      </c>
      <c r="AG2492" s="1" t="s">
        <v>2683</v>
      </c>
      <c r="AH2492" s="1">
        <v>10.0</v>
      </c>
      <c r="AI2492" s="1">
        <v>2013.0</v>
      </c>
      <c r="AJ2492" s="1">
        <v>2014.0</v>
      </c>
      <c r="AK2492" s="1" t="s">
        <v>2684</v>
      </c>
    </row>
    <row r="2493">
      <c r="A2493" s="1" t="s">
        <v>4075</v>
      </c>
      <c r="B2493" s="1" t="s">
        <v>4075</v>
      </c>
      <c r="C2493" s="1" t="s">
        <v>159</v>
      </c>
      <c r="E2493" s="1">
        <v>3715555.0</v>
      </c>
      <c r="F2493" s="2">
        <v>41913.0</v>
      </c>
      <c r="G2493" s="1" t="s">
        <v>2683</v>
      </c>
      <c r="I2493" s="1" t="s">
        <v>2683</v>
      </c>
      <c r="L2493" s="1" t="s">
        <v>40</v>
      </c>
      <c r="M2493" s="1">
        <v>7500.0</v>
      </c>
      <c r="N2493" s="1" t="s">
        <v>40</v>
      </c>
      <c r="O2493" s="1">
        <v>3.6094215E8</v>
      </c>
      <c r="P2493" s="1" t="s">
        <v>2861</v>
      </c>
      <c r="R2493" s="1" t="s">
        <v>2862</v>
      </c>
      <c r="S2493" s="1" t="s">
        <v>44</v>
      </c>
      <c r="T2493" s="1" t="s">
        <v>45</v>
      </c>
      <c r="U2493" s="1">
        <v>4.821622E8</v>
      </c>
      <c r="W2493" s="1" t="s">
        <v>46</v>
      </c>
      <c r="X2493" s="1" t="s">
        <v>45</v>
      </c>
      <c r="Y2493" s="1">
        <v>4.821622E8</v>
      </c>
      <c r="Z2493" s="1">
        <v>3.6094215E8</v>
      </c>
      <c r="AA2493" s="1" t="s">
        <v>2861</v>
      </c>
      <c r="AB2493" s="1">
        <v>25168.24</v>
      </c>
      <c r="AC2493" s="2">
        <v>41913.0</v>
      </c>
      <c r="AD2493" s="1">
        <v>7500.0</v>
      </c>
      <c r="AE2493" s="1" t="s">
        <v>40</v>
      </c>
      <c r="AF2493" s="1">
        <v>2.01502E7</v>
      </c>
      <c r="AG2493" s="1" t="s">
        <v>2683</v>
      </c>
      <c r="AH2493" s="1">
        <v>10.0</v>
      </c>
      <c r="AI2493" s="1">
        <v>2014.0</v>
      </c>
      <c r="AJ2493" s="1">
        <v>2015.0</v>
      </c>
      <c r="AK2493" s="1" t="s">
        <v>2684</v>
      </c>
    </row>
    <row r="2494">
      <c r="A2494" s="1" t="s">
        <v>4060</v>
      </c>
      <c r="B2494" s="1" t="s">
        <v>4060</v>
      </c>
      <c r="C2494" s="1" t="s">
        <v>63</v>
      </c>
      <c r="E2494" s="1">
        <v>2.0576556E7</v>
      </c>
      <c r="F2494" s="2">
        <v>41548.0</v>
      </c>
      <c r="G2494" s="1" t="s">
        <v>4061</v>
      </c>
      <c r="I2494" s="1" t="s">
        <v>4061</v>
      </c>
      <c r="L2494" s="1" t="s">
        <v>40</v>
      </c>
      <c r="M2494" s="1">
        <v>7500.0</v>
      </c>
      <c r="N2494" s="1" t="s">
        <v>40</v>
      </c>
      <c r="O2494" s="1">
        <v>1.7406606E7</v>
      </c>
      <c r="P2494" s="1" t="s">
        <v>1574</v>
      </c>
      <c r="R2494" s="1" t="s">
        <v>1575</v>
      </c>
      <c r="S2494" s="1" t="s">
        <v>44</v>
      </c>
      <c r="T2494" s="1" t="s">
        <v>45</v>
      </c>
      <c r="U2494" s="1">
        <v>4.82282826E8</v>
      </c>
      <c r="W2494" s="1" t="s">
        <v>46</v>
      </c>
      <c r="X2494" s="1" t="s">
        <v>45</v>
      </c>
      <c r="Y2494" s="1">
        <v>4.82282826E8</v>
      </c>
      <c r="Z2494" s="1">
        <v>8.8328877E7</v>
      </c>
      <c r="AA2494" s="1" t="s">
        <v>2774</v>
      </c>
      <c r="AB2494" s="1">
        <v>81214.0</v>
      </c>
      <c r="AC2494" s="2">
        <v>41548.0</v>
      </c>
      <c r="AD2494" s="1">
        <v>7500.0</v>
      </c>
      <c r="AE2494" s="1" t="s">
        <v>40</v>
      </c>
      <c r="AF2494" s="1">
        <v>2.0141454E7</v>
      </c>
      <c r="AG2494" s="1" t="s">
        <v>375</v>
      </c>
      <c r="AH2494" s="1">
        <v>10.0</v>
      </c>
      <c r="AI2494" s="1">
        <v>2012.0</v>
      </c>
      <c r="AJ2494" s="1">
        <v>2014.0</v>
      </c>
      <c r="AK2494" s="1" t="s">
        <v>4062</v>
      </c>
    </row>
    <row r="2495">
      <c r="A2495" s="1" t="s">
        <v>4089</v>
      </c>
      <c r="B2495" s="1" t="s">
        <v>4089</v>
      </c>
      <c r="C2495" s="1" t="s">
        <v>63</v>
      </c>
      <c r="E2495" s="1">
        <v>2556989.0</v>
      </c>
      <c r="F2495" s="2">
        <v>41183.0</v>
      </c>
      <c r="G2495" s="1" t="s">
        <v>4090</v>
      </c>
      <c r="I2495" s="1" t="s">
        <v>4090</v>
      </c>
      <c r="L2495" s="1" t="s">
        <v>40</v>
      </c>
      <c r="M2495" s="1">
        <v>7500.0</v>
      </c>
      <c r="N2495" s="1" t="s">
        <v>40</v>
      </c>
      <c r="O2495" s="1">
        <v>7.8583404E7</v>
      </c>
      <c r="P2495" s="1" t="s">
        <v>65</v>
      </c>
      <c r="R2495" s="1" t="s">
        <v>1573</v>
      </c>
      <c r="S2495" s="1" t="s">
        <v>44</v>
      </c>
      <c r="T2495" s="1" t="s">
        <v>45</v>
      </c>
      <c r="U2495" s="1">
        <v>4.8207311E8</v>
      </c>
      <c r="W2495" s="1" t="s">
        <v>46</v>
      </c>
      <c r="X2495" s="1" t="s">
        <v>45</v>
      </c>
      <c r="Y2495" s="1">
        <v>4.82021732E8</v>
      </c>
      <c r="AB2495" s="1">
        <v>6750.0</v>
      </c>
      <c r="AC2495" s="2">
        <v>41183.0</v>
      </c>
      <c r="AD2495" s="1">
        <v>7500.0</v>
      </c>
      <c r="AE2495" s="1" t="s">
        <v>40</v>
      </c>
      <c r="AF2495" s="1">
        <v>2.01304E7</v>
      </c>
      <c r="AG2495" s="1" t="s">
        <v>67</v>
      </c>
      <c r="AH2495" s="1">
        <v>10.0</v>
      </c>
      <c r="AI2495" s="1">
        <v>2012.0</v>
      </c>
      <c r="AJ2495" s="1">
        <v>2013.0</v>
      </c>
      <c r="AK2495" s="1" t="s">
        <v>4066</v>
      </c>
    </row>
    <row r="2496">
      <c r="A2496" s="1" t="s">
        <v>4074</v>
      </c>
      <c r="B2496" s="1" t="s">
        <v>4074</v>
      </c>
      <c r="C2496" s="1" t="s">
        <v>159</v>
      </c>
      <c r="E2496" s="1">
        <v>1.8873668E7</v>
      </c>
      <c r="F2496" s="2">
        <v>41548.0</v>
      </c>
      <c r="G2496" s="1" t="s">
        <v>2683</v>
      </c>
      <c r="I2496" s="1" t="s">
        <v>2683</v>
      </c>
      <c r="L2496" s="1" t="s">
        <v>40</v>
      </c>
      <c r="M2496" s="1">
        <v>7500.0</v>
      </c>
      <c r="N2496" s="1" t="s">
        <v>40</v>
      </c>
      <c r="O2496" s="1">
        <v>3.8775243E7</v>
      </c>
      <c r="P2496" s="1" t="s">
        <v>209</v>
      </c>
      <c r="Q2496" s="1" t="s">
        <v>210</v>
      </c>
      <c r="R2496" s="1" t="s">
        <v>211</v>
      </c>
      <c r="S2496" s="1" t="s">
        <v>44</v>
      </c>
      <c r="T2496" s="1" t="s">
        <v>45</v>
      </c>
      <c r="U2496" s="1">
        <v>4.82023068E8</v>
      </c>
      <c r="W2496" s="1" t="s">
        <v>46</v>
      </c>
      <c r="X2496" s="1" t="s">
        <v>45</v>
      </c>
      <c r="Y2496" s="1">
        <v>4.82023068E8</v>
      </c>
      <c r="Z2496" s="1">
        <v>3.8775243E7</v>
      </c>
      <c r="AA2496" s="1" t="s">
        <v>209</v>
      </c>
      <c r="AB2496" s="1">
        <v>104600.0</v>
      </c>
      <c r="AC2496" s="2">
        <v>41548.0</v>
      </c>
      <c r="AD2496" s="1">
        <v>7500.0</v>
      </c>
      <c r="AE2496" s="1" t="s">
        <v>40</v>
      </c>
      <c r="AF2496" s="1">
        <v>2.014192E7</v>
      </c>
      <c r="AG2496" s="1" t="s">
        <v>2683</v>
      </c>
      <c r="AH2496" s="1">
        <v>10.0</v>
      </c>
      <c r="AI2496" s="1">
        <v>2013.0</v>
      </c>
      <c r="AJ2496" s="1">
        <v>2014.0</v>
      </c>
      <c r="AK2496" s="1" t="s">
        <v>2684</v>
      </c>
    </row>
  </sheetData>
  <autoFilter ref="$S$1:$S$2496"/>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3" width="15.63"/>
    <col customWidth="1" min="4" max="4" width="23.63"/>
    <col customWidth="1" min="5" max="5" width="60.0"/>
    <col customWidth="1" min="7" max="7" width="16.63"/>
    <col customWidth="1" min="8" max="8" width="20.0"/>
    <col customWidth="1" min="9" max="9" width="56.0"/>
    <col customWidth="1" min="16" max="16" width="39.88"/>
    <col customWidth="1" min="17" max="17" width="50.38"/>
    <col customWidth="1" min="18" max="18" width="23.38"/>
    <col customWidth="1" min="19" max="20" width="78.75"/>
    <col customWidth="1" min="31" max="31" width="30.25"/>
    <col customWidth="1" min="35" max="35" width="27.25"/>
    <col customWidth="1" min="37" max="37" width="37.25"/>
  </cols>
  <sheetData>
    <row r="1">
      <c r="A1" s="4" t="s">
        <v>4091</v>
      </c>
      <c r="B1" s="1" t="s">
        <v>4092</v>
      </c>
      <c r="C1" s="1" t="s">
        <v>0</v>
      </c>
      <c r="D1" s="1" t="s">
        <v>1</v>
      </c>
      <c r="E1" s="1" t="s">
        <v>2</v>
      </c>
      <c r="F1" s="1" t="s">
        <v>3</v>
      </c>
      <c r="G1" s="1" t="s">
        <v>4</v>
      </c>
      <c r="H1" s="1" t="s">
        <v>5</v>
      </c>
      <c r="I1" s="1" t="s">
        <v>6</v>
      </c>
      <c r="J1" s="1" t="s">
        <v>7</v>
      </c>
      <c r="K1" s="1" t="s">
        <v>8</v>
      </c>
      <c r="L1" s="1" t="s">
        <v>9</v>
      </c>
      <c r="M1" s="1" t="s">
        <v>10</v>
      </c>
      <c r="N1" s="1" t="s">
        <v>11</v>
      </c>
      <c r="O1" s="1" t="s">
        <v>12</v>
      </c>
      <c r="P1" s="1" t="s">
        <v>13</v>
      </c>
      <c r="Q1" s="1" t="s">
        <v>4093</v>
      </c>
      <c r="R1" s="1" t="s">
        <v>14</v>
      </c>
      <c r="S1" s="1" t="s">
        <v>15</v>
      </c>
      <c r="T1" s="1" t="s">
        <v>4094</v>
      </c>
      <c r="U1" s="1" t="s">
        <v>16</v>
      </c>
      <c r="V1" s="1" t="s">
        <v>17</v>
      </c>
      <c r="W1" s="1" t="s">
        <v>18</v>
      </c>
      <c r="X1" s="1" t="s">
        <v>19</v>
      </c>
      <c r="Y1" s="1" t="s">
        <v>20</v>
      </c>
      <c r="Z1" s="1" t="s">
        <v>21</v>
      </c>
      <c r="AA1" s="1" t="s">
        <v>22</v>
      </c>
      <c r="AB1" s="1" t="s">
        <v>23</v>
      </c>
      <c r="AC1" s="1" t="s">
        <v>24</v>
      </c>
      <c r="AD1" s="1" t="s">
        <v>25</v>
      </c>
      <c r="AE1" s="1" t="s">
        <v>26</v>
      </c>
      <c r="AF1" s="1" t="s">
        <v>27</v>
      </c>
      <c r="AG1" s="1" t="s">
        <v>28</v>
      </c>
      <c r="AH1" s="1" t="s">
        <v>29</v>
      </c>
      <c r="AI1" s="1" t="s">
        <v>30</v>
      </c>
      <c r="AJ1" s="1" t="s">
        <v>31</v>
      </c>
      <c r="AK1" s="1" t="s">
        <v>32</v>
      </c>
      <c r="AL1" s="1" t="s">
        <v>33</v>
      </c>
      <c r="AM1" s="1" t="s">
        <v>34</v>
      </c>
      <c r="AN1" s="1" t="s">
        <v>35</v>
      </c>
      <c r="AO1" s="1" t="s">
        <v>36</v>
      </c>
    </row>
    <row r="2">
      <c r="A2" s="5">
        <v>1.0</v>
      </c>
      <c r="B2" s="1">
        <f t="shared" ref="B2:B2496" si="1">A2+(row(A2)-1)</f>
        <v>2</v>
      </c>
      <c r="C2" s="1" t="s">
        <v>37</v>
      </c>
      <c r="D2" s="1" t="s">
        <v>37</v>
      </c>
      <c r="E2" s="1" t="s">
        <v>38</v>
      </c>
      <c r="G2" s="1">
        <v>327379.0</v>
      </c>
      <c r="H2" s="2">
        <v>41208.0</v>
      </c>
      <c r="I2" s="1" t="s">
        <v>39</v>
      </c>
      <c r="K2" s="1" t="s">
        <v>39</v>
      </c>
      <c r="N2" s="1" t="s">
        <v>40</v>
      </c>
      <c r="O2" s="1">
        <v>7500.0</v>
      </c>
      <c r="P2" s="1" t="s">
        <v>40</v>
      </c>
      <c r="Q2" s="1" t="str">
        <f>IF(ISERROR(VLOOKUP(P2,'unique fed agency names'!A:C,3,FALSE)),P2,VLOOKUP(P2,'unique fed agency names'!A:C,3,FALSE))
</f>
        <v>U.S. Department of Health and Human Services (DHHS)</v>
      </c>
      <c r="R2" s="1">
        <v>7.3134603E7</v>
      </c>
      <c r="S2" s="1" t="s">
        <v>41</v>
      </c>
      <c r="T2" s="1" t="str">
        <f>IF(ISERROR(VLOOKUP(S2,'unique org names'!A:C,3,FALSE)),S2,VLOOKUP(S2,'unique org names'!A:C,3,FALSE))
</f>
        <v>Henry Ford Health System</v>
      </c>
      <c r="U2" s="1" t="s">
        <v>42</v>
      </c>
      <c r="V2" s="1" t="s">
        <v>43</v>
      </c>
      <c r="W2" s="1" t="s">
        <v>44</v>
      </c>
      <c r="X2" s="1" t="s">
        <v>45</v>
      </c>
      <c r="Y2" s="1">
        <v>4.8202345E8</v>
      </c>
      <c r="AA2" s="1" t="s">
        <v>46</v>
      </c>
      <c r="AB2" s="1" t="s">
        <v>45</v>
      </c>
      <c r="AC2" s="1">
        <v>4.8202345E8</v>
      </c>
      <c r="AD2" s="1">
        <v>7.3134603E7</v>
      </c>
      <c r="AE2" s="1" t="s">
        <v>41</v>
      </c>
      <c r="AF2" s="1">
        <v>30639.0</v>
      </c>
      <c r="AG2" s="2">
        <v>41208.0</v>
      </c>
      <c r="AH2" s="1">
        <v>7500.0</v>
      </c>
      <c r="AI2" s="1" t="s">
        <v>40</v>
      </c>
      <c r="AJ2" s="1">
        <v>3.002053564E9</v>
      </c>
      <c r="AK2" s="1" t="s">
        <v>47</v>
      </c>
      <c r="AL2" s="1">
        <v>10.0</v>
      </c>
      <c r="AM2" s="1">
        <v>2012.0</v>
      </c>
      <c r="AN2" s="1">
        <v>2013.0</v>
      </c>
      <c r="AO2" s="1" t="s">
        <v>48</v>
      </c>
    </row>
    <row r="3">
      <c r="A3" s="5">
        <v>1.0</v>
      </c>
      <c r="B3" s="1">
        <f t="shared" si="1"/>
        <v>3</v>
      </c>
      <c r="C3" s="1" t="s">
        <v>49</v>
      </c>
      <c r="D3" s="1" t="s">
        <v>49</v>
      </c>
      <c r="E3" s="1" t="s">
        <v>50</v>
      </c>
      <c r="G3" s="1">
        <v>562243.0</v>
      </c>
      <c r="H3" s="2">
        <v>41204.0</v>
      </c>
      <c r="I3" s="1" t="s">
        <v>51</v>
      </c>
      <c r="K3" s="1" t="s">
        <v>51</v>
      </c>
      <c r="N3" s="1" t="s">
        <v>50</v>
      </c>
      <c r="O3" s="1">
        <v>8900.0</v>
      </c>
      <c r="P3" s="1" t="s">
        <v>50</v>
      </c>
      <c r="Q3" s="1" t="str">
        <f>IF(ISERROR(VLOOKUP(P3,'unique fed agency names'!A:C,3,FALSE)),P3,VLOOKUP(P3,'unique fed agency names'!A:C,3,FALSE))
</f>
        <v>U.S. Department of Energy</v>
      </c>
      <c r="R3" s="1">
        <v>1962224.0</v>
      </c>
      <c r="S3" s="1" t="s">
        <v>52</v>
      </c>
      <c r="T3" s="1" t="str">
        <f>IF(ISERROR(VLOOKUP(S3,'unique org names'!A:C,3,FALSE)),S3,VLOOKUP(S3,'unique org names'!A:C,3,FALSE))
</f>
        <v>WAYNE STATE UNIVERSITY</v>
      </c>
      <c r="V3" s="1" t="s">
        <v>53</v>
      </c>
      <c r="W3" s="1" t="s">
        <v>44</v>
      </c>
      <c r="X3" s="1" t="s">
        <v>45</v>
      </c>
      <c r="Y3" s="1">
        <v>4.82023692E8</v>
      </c>
      <c r="AA3" s="1" t="s">
        <v>46</v>
      </c>
      <c r="AB3" s="1" t="s">
        <v>45</v>
      </c>
      <c r="AC3" s="1">
        <v>4.8202405E8</v>
      </c>
      <c r="AD3" s="1">
        <v>1962224.0</v>
      </c>
      <c r="AE3" s="1" t="s">
        <v>52</v>
      </c>
      <c r="AF3" s="1">
        <v>371791.0</v>
      </c>
      <c r="AG3" s="2">
        <v>41204.0</v>
      </c>
      <c r="AH3" s="1">
        <v>8900.0</v>
      </c>
      <c r="AI3" s="1" t="s">
        <v>50</v>
      </c>
      <c r="AJ3" s="1" t="s">
        <v>54</v>
      </c>
      <c r="AK3" s="1" t="s">
        <v>55</v>
      </c>
      <c r="AL3" s="1">
        <v>11.0</v>
      </c>
      <c r="AM3" s="1">
        <v>2012.0</v>
      </c>
      <c r="AN3" s="1">
        <v>2013.0</v>
      </c>
      <c r="AO3" s="1" t="s">
        <v>56</v>
      </c>
    </row>
    <row r="4">
      <c r="A4" s="5">
        <v>1.0</v>
      </c>
      <c r="B4" s="1">
        <f t="shared" si="1"/>
        <v>4</v>
      </c>
      <c r="C4" s="1" t="s">
        <v>57</v>
      </c>
      <c r="D4" s="1" t="s">
        <v>57</v>
      </c>
      <c r="E4" s="1" t="s">
        <v>38</v>
      </c>
      <c r="G4" s="1">
        <v>346750.0</v>
      </c>
      <c r="H4" s="2">
        <v>41199.0</v>
      </c>
      <c r="I4" s="1" t="s">
        <v>58</v>
      </c>
      <c r="K4" s="1" t="s">
        <v>58</v>
      </c>
      <c r="N4" s="1" t="s">
        <v>40</v>
      </c>
      <c r="O4" s="1">
        <v>7500.0</v>
      </c>
      <c r="P4" s="1" t="s">
        <v>40</v>
      </c>
      <c r="Q4" s="1" t="str">
        <f>IF(ISERROR(VLOOKUP(P4,'unique fed agency names'!A:C,3,FALSE)),P4,VLOOKUP(P4,'unique fed agency names'!A:C,3,FALSE))
</f>
        <v>U.S. Department of Health and Human Services (DHHS)</v>
      </c>
      <c r="R4" s="1">
        <v>1962224.0</v>
      </c>
      <c r="S4" s="1" t="s">
        <v>52</v>
      </c>
      <c r="T4" s="1" t="str">
        <f>IF(ISERROR(VLOOKUP(S4,'unique org names'!A:C,3,FALSE)),S4,VLOOKUP(S4,'unique org names'!A:C,3,FALSE))
</f>
        <v>WAYNE STATE UNIVERSITY</v>
      </c>
      <c r="V4" s="1" t="s">
        <v>53</v>
      </c>
      <c r="W4" s="1" t="s">
        <v>44</v>
      </c>
      <c r="X4" s="1" t="s">
        <v>45</v>
      </c>
      <c r="Y4" s="1">
        <v>4.82023692E8</v>
      </c>
      <c r="AA4" s="1" t="s">
        <v>46</v>
      </c>
      <c r="AB4" s="1" t="s">
        <v>45</v>
      </c>
      <c r="AC4" s="1">
        <v>4.8202405E8</v>
      </c>
      <c r="AD4" s="1">
        <v>1962224.0</v>
      </c>
      <c r="AE4" s="1" t="s">
        <v>52</v>
      </c>
      <c r="AF4" s="1">
        <v>36586.0</v>
      </c>
      <c r="AG4" s="2">
        <v>41199.0</v>
      </c>
      <c r="AH4" s="1">
        <v>7500.0</v>
      </c>
      <c r="AI4" s="1" t="s">
        <v>40</v>
      </c>
      <c r="AJ4" s="1" t="s">
        <v>59</v>
      </c>
      <c r="AK4" s="1" t="s">
        <v>60</v>
      </c>
      <c r="AL4" s="1">
        <v>11.0</v>
      </c>
      <c r="AM4" s="1">
        <v>2012.0</v>
      </c>
      <c r="AN4" s="1">
        <v>2013.0</v>
      </c>
      <c r="AO4" s="1" t="s">
        <v>61</v>
      </c>
    </row>
    <row r="5">
      <c r="A5" s="5">
        <v>1.0</v>
      </c>
      <c r="B5" s="1">
        <f t="shared" si="1"/>
        <v>5</v>
      </c>
      <c r="C5" s="1" t="s">
        <v>62</v>
      </c>
      <c r="D5" s="1" t="s">
        <v>62</v>
      </c>
      <c r="E5" s="1" t="s">
        <v>63</v>
      </c>
      <c r="G5" s="1">
        <v>2955883.0</v>
      </c>
      <c r="H5" s="2">
        <v>41183.0</v>
      </c>
      <c r="I5" s="1" t="s">
        <v>64</v>
      </c>
      <c r="K5" s="1" t="s">
        <v>64</v>
      </c>
      <c r="N5" s="1" t="s">
        <v>40</v>
      </c>
      <c r="O5" s="1">
        <v>7500.0</v>
      </c>
      <c r="P5" s="1" t="s">
        <v>40</v>
      </c>
      <c r="Q5" s="1" t="str">
        <f>IF(ISERROR(VLOOKUP(P5,'unique fed agency names'!A:C,3,FALSE)),P5,VLOOKUP(P5,'unique fed agency names'!A:C,3,FALSE))
</f>
        <v>U.S. Department of Health and Human Services (DHHS)</v>
      </c>
      <c r="R5" s="1">
        <v>7.8583404E7</v>
      </c>
      <c r="S5" s="1" t="s">
        <v>65</v>
      </c>
      <c r="T5" s="1" t="str">
        <f>IF(ISERROR(VLOOKUP(S5,'unique org names'!A:C,3,FALSE)),S5,VLOOKUP(S5,'unique org names'!A:C,3,FALSE))
</f>
        <v>Institute for Population Health Inc.</v>
      </c>
      <c r="V5" s="1" t="s">
        <v>66</v>
      </c>
      <c r="W5" s="1" t="s">
        <v>44</v>
      </c>
      <c r="X5" s="1" t="s">
        <v>45</v>
      </c>
      <c r="Y5" s="1">
        <v>4.82021732E8</v>
      </c>
      <c r="AA5" s="1" t="s">
        <v>46</v>
      </c>
      <c r="AB5" s="1" t="s">
        <v>45</v>
      </c>
      <c r="AC5" s="1">
        <v>4.82021732E8</v>
      </c>
      <c r="AF5" s="1">
        <v>3750.0</v>
      </c>
      <c r="AG5" s="2">
        <v>41183.0</v>
      </c>
      <c r="AH5" s="1">
        <v>7500.0</v>
      </c>
      <c r="AI5" s="1" t="s">
        <v>40</v>
      </c>
      <c r="AJ5" s="1">
        <v>2.01304E7</v>
      </c>
      <c r="AK5" s="1" t="s">
        <v>67</v>
      </c>
      <c r="AL5" s="1">
        <v>10.0</v>
      </c>
      <c r="AM5" s="1">
        <v>2010.0</v>
      </c>
      <c r="AN5" s="1">
        <v>2013.0</v>
      </c>
      <c r="AO5" s="1" t="s">
        <v>68</v>
      </c>
    </row>
    <row r="6">
      <c r="A6" s="5">
        <v>1.0</v>
      </c>
      <c r="B6" s="1">
        <f t="shared" si="1"/>
        <v>6</v>
      </c>
      <c r="C6" s="1" t="s">
        <v>69</v>
      </c>
      <c r="D6" s="1" t="s">
        <v>69</v>
      </c>
      <c r="E6" s="1" t="s">
        <v>70</v>
      </c>
      <c r="G6" s="1">
        <v>6449224.0</v>
      </c>
      <c r="H6" s="2">
        <v>41183.0</v>
      </c>
      <c r="I6" s="1" t="s">
        <v>71</v>
      </c>
      <c r="K6" s="1" t="s">
        <v>71</v>
      </c>
      <c r="N6" s="1" t="s">
        <v>72</v>
      </c>
      <c r="O6" s="1">
        <v>1500.0</v>
      </c>
      <c r="P6" s="1" t="s">
        <v>72</v>
      </c>
      <c r="Q6" s="1" t="str">
        <f>IF(ISERROR(VLOOKUP(P6,'unique fed agency names'!A:C,3,FALSE)),P6,VLOOKUP(P6,'unique fed agency names'!A:C,3,FALSE))
</f>
        <v>U.S. Department of Justice (DOJ)</v>
      </c>
      <c r="R6" s="1">
        <v>1.37199266E8</v>
      </c>
      <c r="S6" s="1" t="s">
        <v>73</v>
      </c>
      <c r="T6" s="1" t="str">
        <f>IF(ISERROR(VLOOKUP(S6,'unique org names'!A:C,3,FALSE)),S6,VLOOKUP(S6,'unique org names'!A:C,3,FALSE))
</f>
        <v>City Of Detroit</v>
      </c>
      <c r="U6" s="1" t="s">
        <v>74</v>
      </c>
      <c r="V6" s="1" t="s">
        <v>75</v>
      </c>
      <c r="W6" s="1" t="s">
        <v>44</v>
      </c>
      <c r="X6" s="1" t="s">
        <v>45</v>
      </c>
      <c r="Y6" s="1">
        <v>4.82262308E8</v>
      </c>
      <c r="AA6" s="1" t="s">
        <v>46</v>
      </c>
      <c r="AB6" s="1" t="s">
        <v>45</v>
      </c>
      <c r="AC6" s="1">
        <v>4.82262308E8</v>
      </c>
      <c r="AD6" s="1">
        <v>6530661.0</v>
      </c>
      <c r="AE6" s="1" t="s">
        <v>76</v>
      </c>
      <c r="AF6" s="1">
        <v>50000.0</v>
      </c>
      <c r="AG6" s="2">
        <v>41183.0</v>
      </c>
      <c r="AH6" s="1">
        <v>1500.0</v>
      </c>
      <c r="AI6" s="1" t="s">
        <v>72</v>
      </c>
      <c r="AJ6" s="1" t="s">
        <v>77</v>
      </c>
      <c r="AK6" s="1" t="s">
        <v>78</v>
      </c>
      <c r="AL6" s="1">
        <v>10.0</v>
      </c>
      <c r="AM6" s="1">
        <v>2012.0</v>
      </c>
      <c r="AN6" s="1">
        <v>2013.0</v>
      </c>
      <c r="AO6" s="1" t="s">
        <v>79</v>
      </c>
    </row>
    <row r="7">
      <c r="A7" s="5">
        <v>1.0</v>
      </c>
      <c r="B7" s="1">
        <f t="shared" si="1"/>
        <v>7</v>
      </c>
      <c r="C7" s="1" t="s">
        <v>69</v>
      </c>
      <c r="D7" s="1" t="s">
        <v>69</v>
      </c>
      <c r="E7" s="1" t="s">
        <v>70</v>
      </c>
      <c r="G7" s="1">
        <v>6449224.0</v>
      </c>
      <c r="H7" s="2">
        <v>41183.0</v>
      </c>
      <c r="I7" s="1" t="s">
        <v>71</v>
      </c>
      <c r="K7" s="1" t="s">
        <v>71</v>
      </c>
      <c r="N7" s="1" t="s">
        <v>72</v>
      </c>
      <c r="O7" s="1">
        <v>1500.0</v>
      </c>
      <c r="P7" s="1" t="s">
        <v>72</v>
      </c>
      <c r="Q7" s="1" t="str">
        <f>IF(ISERROR(VLOOKUP(P7,'unique fed agency names'!A:C,3,FALSE)),P7,VLOOKUP(P7,'unique fed agency names'!A:C,3,FALSE))
</f>
        <v>U.S. Department of Justice (DOJ)</v>
      </c>
      <c r="R7" s="1">
        <v>1.37199266E8</v>
      </c>
      <c r="S7" s="1" t="s">
        <v>73</v>
      </c>
      <c r="T7" s="1" t="str">
        <f>IF(ISERROR(VLOOKUP(S7,'unique org names'!A:C,3,FALSE)),S7,VLOOKUP(S7,'unique org names'!A:C,3,FALSE))
</f>
        <v>City Of Detroit</v>
      </c>
      <c r="U7" s="1" t="s">
        <v>74</v>
      </c>
      <c r="V7" s="1" t="s">
        <v>75</v>
      </c>
      <c r="W7" s="1" t="s">
        <v>44</v>
      </c>
      <c r="X7" s="1" t="s">
        <v>45</v>
      </c>
      <c r="Y7" s="1">
        <v>4.82262308E8</v>
      </c>
      <c r="AA7" s="1" t="s">
        <v>46</v>
      </c>
      <c r="AB7" s="1" t="s">
        <v>45</v>
      </c>
      <c r="AC7" s="1">
        <v>4.82262308E8</v>
      </c>
      <c r="AD7" s="1">
        <v>6530661.0</v>
      </c>
      <c r="AE7" s="1" t="s">
        <v>76</v>
      </c>
      <c r="AF7" s="1">
        <v>100000.0</v>
      </c>
      <c r="AG7" s="2">
        <v>41183.0</v>
      </c>
      <c r="AH7" s="1">
        <v>1500.0</v>
      </c>
      <c r="AI7" s="1" t="s">
        <v>72</v>
      </c>
      <c r="AJ7" s="1" t="s">
        <v>80</v>
      </c>
      <c r="AK7" s="1" t="s">
        <v>81</v>
      </c>
      <c r="AL7" s="1">
        <v>10.0</v>
      </c>
      <c r="AM7" s="1">
        <v>2012.0</v>
      </c>
      <c r="AN7" s="1">
        <v>2013.0</v>
      </c>
      <c r="AO7" s="1" t="s">
        <v>79</v>
      </c>
    </row>
    <row r="8">
      <c r="A8" s="5">
        <v>1.0</v>
      </c>
      <c r="B8" s="1">
        <f t="shared" si="1"/>
        <v>8</v>
      </c>
      <c r="C8" s="1" t="s">
        <v>69</v>
      </c>
      <c r="D8" s="1" t="s">
        <v>69</v>
      </c>
      <c r="E8" s="1" t="s">
        <v>70</v>
      </c>
      <c r="G8" s="1">
        <v>6449224.0</v>
      </c>
      <c r="H8" s="2">
        <v>41183.0</v>
      </c>
      <c r="I8" s="1" t="s">
        <v>71</v>
      </c>
      <c r="K8" s="1" t="s">
        <v>71</v>
      </c>
      <c r="N8" s="1" t="s">
        <v>72</v>
      </c>
      <c r="O8" s="1">
        <v>1500.0</v>
      </c>
      <c r="P8" s="1" t="s">
        <v>72</v>
      </c>
      <c r="Q8" s="1" t="str">
        <f>IF(ISERROR(VLOOKUP(P8,'unique fed agency names'!A:C,3,FALSE)),P8,VLOOKUP(P8,'unique fed agency names'!A:C,3,FALSE))
</f>
        <v>U.S. Department of Justice (DOJ)</v>
      </c>
      <c r="R8" s="1">
        <v>1962224.0</v>
      </c>
      <c r="S8" s="1" t="s">
        <v>52</v>
      </c>
      <c r="T8" s="1" t="str">
        <f>IF(ISERROR(VLOOKUP(S8,'unique org names'!A:C,3,FALSE)),S8,VLOOKUP(S8,'unique org names'!A:C,3,FALSE))
</f>
        <v>WAYNE STATE UNIVERSITY</v>
      </c>
      <c r="V8" s="1" t="s">
        <v>53</v>
      </c>
      <c r="W8" s="1" t="s">
        <v>44</v>
      </c>
      <c r="X8" s="1" t="s">
        <v>45</v>
      </c>
      <c r="Y8" s="1">
        <v>4.82023692E8</v>
      </c>
      <c r="AA8" s="1" t="s">
        <v>46</v>
      </c>
      <c r="AB8" s="1" t="s">
        <v>45</v>
      </c>
      <c r="AC8" s="1">
        <v>4.82023692E8</v>
      </c>
      <c r="AD8" s="1">
        <v>1962224.0</v>
      </c>
      <c r="AE8" s="1" t="s">
        <v>52</v>
      </c>
      <c r="AF8" s="1">
        <v>50000.0</v>
      </c>
      <c r="AG8" s="2">
        <v>41183.0</v>
      </c>
      <c r="AH8" s="1">
        <v>1500.0</v>
      </c>
      <c r="AI8" s="1" t="s">
        <v>72</v>
      </c>
      <c r="AJ8" s="1" t="s">
        <v>82</v>
      </c>
      <c r="AK8" s="1" t="s">
        <v>83</v>
      </c>
      <c r="AL8" s="1">
        <v>10.0</v>
      </c>
      <c r="AM8" s="1">
        <v>2012.0</v>
      </c>
      <c r="AN8" s="1">
        <v>2013.0</v>
      </c>
      <c r="AO8" s="1" t="s">
        <v>79</v>
      </c>
    </row>
    <row r="9">
      <c r="A9" s="5">
        <v>1.0</v>
      </c>
      <c r="B9" s="1">
        <f t="shared" si="1"/>
        <v>9</v>
      </c>
      <c r="C9" s="1" t="s">
        <v>84</v>
      </c>
      <c r="D9" s="1" t="s">
        <v>84</v>
      </c>
      <c r="E9" s="1" t="s">
        <v>85</v>
      </c>
      <c r="G9" s="1">
        <v>286829.0</v>
      </c>
      <c r="H9" s="2">
        <v>41183.0</v>
      </c>
      <c r="I9" s="1" t="s">
        <v>86</v>
      </c>
      <c r="K9" s="1" t="s">
        <v>86</v>
      </c>
      <c r="N9" s="1" t="s">
        <v>40</v>
      </c>
      <c r="O9" s="1">
        <v>7500.0</v>
      </c>
      <c r="P9" s="1" t="s">
        <v>40</v>
      </c>
      <c r="Q9" s="1" t="str">
        <f>IF(ISERROR(VLOOKUP(P9,'unique fed agency names'!A:C,3,FALSE)),P9,VLOOKUP(P9,'unique fed agency names'!A:C,3,FALSE))
</f>
        <v>U.S. Department of Health and Human Services (DHHS)</v>
      </c>
      <c r="R9" s="1">
        <v>1962224.0</v>
      </c>
      <c r="S9" s="1" t="s">
        <v>52</v>
      </c>
      <c r="T9" s="1" t="str">
        <f>IF(ISERROR(VLOOKUP(S9,'unique org names'!A:C,3,FALSE)),S9,VLOOKUP(S9,'unique org names'!A:C,3,FALSE))
</f>
        <v>WAYNE STATE UNIVERSITY</v>
      </c>
      <c r="V9" s="1" t="s">
        <v>53</v>
      </c>
      <c r="W9" s="1" t="s">
        <v>44</v>
      </c>
      <c r="X9" s="1" t="s">
        <v>45</v>
      </c>
      <c r="Y9" s="1">
        <v>4.82023692E8</v>
      </c>
      <c r="AA9" s="1" t="s">
        <v>46</v>
      </c>
      <c r="AB9" s="1" t="s">
        <v>45</v>
      </c>
      <c r="AC9" s="1">
        <v>4.82023692E8</v>
      </c>
      <c r="AD9" s="1">
        <v>1962224.0</v>
      </c>
      <c r="AE9" s="1" t="s">
        <v>52</v>
      </c>
      <c r="AF9" s="1">
        <v>70000.0</v>
      </c>
      <c r="AG9" s="2">
        <v>41183.0</v>
      </c>
      <c r="AH9" s="1">
        <v>7500.0</v>
      </c>
      <c r="AI9" s="1" t="s">
        <v>40</v>
      </c>
      <c r="AJ9" s="1">
        <v>2.0131067E7</v>
      </c>
      <c r="AK9" s="1" t="s">
        <v>87</v>
      </c>
      <c r="AL9" s="1">
        <v>10.0</v>
      </c>
      <c r="AM9" s="1">
        <v>2011.0</v>
      </c>
      <c r="AN9" s="1">
        <v>2013.0</v>
      </c>
      <c r="AO9" s="1" t="s">
        <v>88</v>
      </c>
    </row>
    <row r="10">
      <c r="A10" s="5">
        <v>1.0</v>
      </c>
      <c r="B10" s="1">
        <f t="shared" si="1"/>
        <v>10</v>
      </c>
      <c r="C10" s="1" t="s">
        <v>89</v>
      </c>
      <c r="D10" s="1" t="s">
        <v>89</v>
      </c>
      <c r="E10" s="1" t="s">
        <v>38</v>
      </c>
      <c r="G10" s="1">
        <v>2282414.0</v>
      </c>
      <c r="H10" s="2">
        <v>41213.0</v>
      </c>
      <c r="I10" s="1" t="s">
        <v>90</v>
      </c>
      <c r="K10" s="1" t="s">
        <v>90</v>
      </c>
      <c r="N10" s="1" t="s">
        <v>40</v>
      </c>
      <c r="O10" s="1">
        <v>7500.0</v>
      </c>
      <c r="P10" s="1" t="s">
        <v>40</v>
      </c>
      <c r="Q10" s="1" t="str">
        <f>IF(ISERROR(VLOOKUP(P10,'unique fed agency names'!A:C,3,FALSE)),P10,VLOOKUP(P10,'unique fed agency names'!A:C,3,FALSE))
</f>
        <v>U.S. Department of Health and Human Services (DHHS)</v>
      </c>
      <c r="R10" s="1">
        <v>1962224.0</v>
      </c>
      <c r="S10" s="1" t="s">
        <v>52</v>
      </c>
      <c r="T10" s="1" t="str">
        <f>IF(ISERROR(VLOOKUP(S10,'unique org names'!A:C,3,FALSE)),S10,VLOOKUP(S10,'unique org names'!A:C,3,FALSE))
</f>
        <v>WAYNE STATE UNIVERSITY</v>
      </c>
      <c r="V10" s="1" t="s">
        <v>53</v>
      </c>
      <c r="W10" s="1" t="s">
        <v>44</v>
      </c>
      <c r="X10" s="1" t="s">
        <v>45</v>
      </c>
      <c r="Y10" s="1">
        <v>4.82023692E8</v>
      </c>
      <c r="AA10" s="1" t="s">
        <v>46</v>
      </c>
      <c r="AB10" s="1" t="s">
        <v>45</v>
      </c>
      <c r="AC10" s="1">
        <v>4.82012013E8</v>
      </c>
      <c r="AD10" s="1">
        <v>1962224.0</v>
      </c>
      <c r="AE10" s="1" t="s">
        <v>52</v>
      </c>
      <c r="AF10" s="1">
        <v>80304.0</v>
      </c>
      <c r="AG10" s="2">
        <v>41213.0</v>
      </c>
      <c r="AH10" s="1">
        <v>7500.0</v>
      </c>
      <c r="AI10" s="1" t="s">
        <v>40</v>
      </c>
      <c r="AJ10" s="1" t="s">
        <v>91</v>
      </c>
      <c r="AK10" s="1" t="s">
        <v>92</v>
      </c>
      <c r="AL10" s="1">
        <v>11.0</v>
      </c>
      <c r="AM10" s="1">
        <v>2012.0</v>
      </c>
      <c r="AN10" s="1">
        <v>2013.0</v>
      </c>
      <c r="AO10" s="1" t="s">
        <v>93</v>
      </c>
    </row>
    <row r="11">
      <c r="A11" s="5">
        <v>1.0</v>
      </c>
      <c r="B11" s="1">
        <f t="shared" si="1"/>
        <v>11</v>
      </c>
      <c r="C11" s="1" t="s">
        <v>94</v>
      </c>
      <c r="D11" s="1" t="s">
        <v>94</v>
      </c>
      <c r="E11" s="1" t="s">
        <v>38</v>
      </c>
      <c r="G11" s="1">
        <v>370015.0</v>
      </c>
      <c r="H11" s="2">
        <v>41185.0</v>
      </c>
      <c r="I11" s="1" t="s">
        <v>95</v>
      </c>
      <c r="K11" s="1" t="s">
        <v>95</v>
      </c>
      <c r="N11" s="1" t="s">
        <v>40</v>
      </c>
      <c r="O11" s="1">
        <v>7500.0</v>
      </c>
      <c r="P11" s="1" t="s">
        <v>40</v>
      </c>
      <c r="Q11" s="1" t="str">
        <f>IF(ISERROR(VLOOKUP(P11,'unique fed agency names'!A:C,3,FALSE)),P11,VLOOKUP(P11,'unique fed agency names'!A:C,3,FALSE))
</f>
        <v>U.S. Department of Health and Human Services (DHHS)</v>
      </c>
      <c r="R11" s="1">
        <v>7.3134603E7</v>
      </c>
      <c r="S11" s="1" t="s">
        <v>41</v>
      </c>
      <c r="T11" s="1" t="str">
        <f>IF(ISERROR(VLOOKUP(S11,'unique org names'!A:C,3,FALSE)),S11,VLOOKUP(S11,'unique org names'!A:C,3,FALSE))
</f>
        <v>Henry Ford Health System</v>
      </c>
      <c r="U11" s="1" t="s">
        <v>42</v>
      </c>
      <c r="V11" s="1" t="s">
        <v>43</v>
      </c>
      <c r="W11" s="1" t="s">
        <v>44</v>
      </c>
      <c r="X11" s="1" t="s">
        <v>45</v>
      </c>
      <c r="Y11" s="1">
        <v>4.8202345E8</v>
      </c>
      <c r="AA11" s="1" t="s">
        <v>46</v>
      </c>
      <c r="AB11" s="1" t="s">
        <v>45</v>
      </c>
      <c r="AC11" s="1">
        <v>4.8202345E8</v>
      </c>
      <c r="AD11" s="1">
        <v>7.3134603E7</v>
      </c>
      <c r="AE11" s="1" t="s">
        <v>41</v>
      </c>
      <c r="AF11" s="1">
        <v>97330.0</v>
      </c>
      <c r="AG11" s="2">
        <v>41185.0</v>
      </c>
      <c r="AH11" s="1">
        <v>7500.0</v>
      </c>
      <c r="AI11" s="1" t="s">
        <v>40</v>
      </c>
      <c r="AJ11" s="1" t="s">
        <v>96</v>
      </c>
      <c r="AK11" s="1" t="s">
        <v>97</v>
      </c>
      <c r="AL11" s="1">
        <v>12.0</v>
      </c>
      <c r="AM11" s="1">
        <v>2012.0</v>
      </c>
      <c r="AN11" s="1">
        <v>2013.0</v>
      </c>
      <c r="AO11" s="1" t="s">
        <v>98</v>
      </c>
    </row>
    <row r="12">
      <c r="A12" s="5">
        <v>1.0</v>
      </c>
      <c r="B12" s="1">
        <f t="shared" si="1"/>
        <v>12</v>
      </c>
      <c r="C12" s="1" t="s">
        <v>99</v>
      </c>
      <c r="D12" s="1" t="s">
        <v>99</v>
      </c>
      <c r="E12" s="1" t="s">
        <v>100</v>
      </c>
      <c r="G12" s="1">
        <v>177672.0</v>
      </c>
      <c r="H12" s="2">
        <v>41183.0</v>
      </c>
      <c r="I12" s="1" t="s">
        <v>101</v>
      </c>
      <c r="K12" s="1" t="s">
        <v>101</v>
      </c>
      <c r="N12" s="1" t="s">
        <v>102</v>
      </c>
      <c r="O12" s="1">
        <v>8600.0</v>
      </c>
      <c r="P12" s="1" t="s">
        <v>102</v>
      </c>
      <c r="Q12" s="1" t="str">
        <f>IF(ISERROR(VLOOKUP(P12,'unique fed agency names'!A:C,3,FALSE)),P12,VLOOKUP(P12,'unique fed agency names'!A:C,3,FALSE))
</f>
        <v>U.S. Department of Housing and Urban Development (HUD)</v>
      </c>
      <c r="R12" s="1">
        <v>1.31984697E8</v>
      </c>
      <c r="S12" s="1" t="s">
        <v>103</v>
      </c>
      <c r="T12" s="1" t="str">
        <f>IF(ISERROR(VLOOKUP(S12,'unique org names'!A:C,3,FALSE)),S12,VLOOKUP(S12,'unique org names'!A:C,3,FALSE))
</f>
        <v>SOUTHWEST HOUSING SOLUTIONS CORPORATION</v>
      </c>
      <c r="U12" s="1" t="s">
        <v>104</v>
      </c>
      <c r="V12" s="1" t="s">
        <v>105</v>
      </c>
      <c r="W12" s="1" t="s">
        <v>44</v>
      </c>
      <c r="X12" s="1" t="s">
        <v>45</v>
      </c>
      <c r="Y12" s="1">
        <v>4.82161435E8</v>
      </c>
      <c r="AA12" s="1" t="s">
        <v>46</v>
      </c>
      <c r="AB12" s="1" t="s">
        <v>45</v>
      </c>
      <c r="AC12" s="1">
        <v>4.82161435E8</v>
      </c>
      <c r="AD12" s="1">
        <v>7.6385699E7</v>
      </c>
      <c r="AE12" s="1" t="s">
        <v>106</v>
      </c>
      <c r="AF12" s="1">
        <v>86245.64</v>
      </c>
      <c r="AG12" s="2">
        <v>41183.0</v>
      </c>
      <c r="AH12" s="1">
        <v>8600.0</v>
      </c>
      <c r="AI12" s="1" t="s">
        <v>102</v>
      </c>
      <c r="AJ12" s="1">
        <v>2.0130876E7</v>
      </c>
      <c r="AK12" s="1" t="s">
        <v>107</v>
      </c>
      <c r="AL12" s="1">
        <v>10.0</v>
      </c>
      <c r="AM12" s="1">
        <v>2011.0</v>
      </c>
      <c r="AN12" s="1">
        <v>2013.0</v>
      </c>
      <c r="AO12" s="1" t="s">
        <v>108</v>
      </c>
    </row>
    <row r="13">
      <c r="A13" s="5">
        <v>1.0</v>
      </c>
      <c r="B13" s="1">
        <f t="shared" si="1"/>
        <v>13</v>
      </c>
      <c r="C13" s="1">
        <v>1128122.0</v>
      </c>
      <c r="D13" s="1">
        <v>1128122.0</v>
      </c>
      <c r="E13" s="1" t="s">
        <v>109</v>
      </c>
      <c r="G13" s="1">
        <v>1.1207676E7</v>
      </c>
      <c r="H13" s="2">
        <v>41219.0</v>
      </c>
      <c r="I13" s="1" t="s">
        <v>110</v>
      </c>
      <c r="K13" s="1" t="s">
        <v>110</v>
      </c>
      <c r="N13" s="1" t="s">
        <v>109</v>
      </c>
      <c r="O13" s="1">
        <v>4900.0</v>
      </c>
      <c r="P13" s="1" t="s">
        <v>109</v>
      </c>
      <c r="Q13" s="1" t="str">
        <f>IF(ISERROR(VLOOKUP(P13,'unique fed agency names'!A:C,3,FALSE)),P13,VLOOKUP(P13,'unique fed agency names'!A:C,3,FALSE))
</f>
        <v>National Science Foundation</v>
      </c>
      <c r="R13" s="1">
        <v>1962224.0</v>
      </c>
      <c r="S13" s="1" t="s">
        <v>52</v>
      </c>
      <c r="T13" s="1" t="str">
        <f>IF(ISERROR(VLOOKUP(S13,'unique org names'!A:C,3,FALSE)),S13,VLOOKUP(S13,'unique org names'!A:C,3,FALSE))
</f>
        <v>WAYNE STATE UNIVERSITY</v>
      </c>
      <c r="V13" s="1" t="s">
        <v>53</v>
      </c>
      <c r="W13" s="1" t="s">
        <v>44</v>
      </c>
      <c r="X13" s="1" t="s">
        <v>45</v>
      </c>
      <c r="Y13" s="1">
        <v>4.82023692E8</v>
      </c>
      <c r="AA13" s="1" t="s">
        <v>46</v>
      </c>
      <c r="AB13" s="1" t="s">
        <v>45</v>
      </c>
      <c r="AC13" s="1">
        <v>4.8202405E8</v>
      </c>
      <c r="AD13" s="1">
        <v>1962224.0</v>
      </c>
      <c r="AE13" s="1" t="s">
        <v>52</v>
      </c>
      <c r="AF13" s="1">
        <v>141445.0</v>
      </c>
      <c r="AG13" s="2">
        <v>41219.0</v>
      </c>
      <c r="AH13" s="1">
        <v>4900.0</v>
      </c>
      <c r="AI13" s="1" t="s">
        <v>109</v>
      </c>
      <c r="AJ13" s="1" t="s">
        <v>111</v>
      </c>
      <c r="AK13" s="1" t="s">
        <v>112</v>
      </c>
      <c r="AL13" s="1">
        <v>11.0</v>
      </c>
      <c r="AM13" s="1">
        <v>2012.0</v>
      </c>
      <c r="AN13" s="1">
        <v>2013.0</v>
      </c>
      <c r="AO13" s="1" t="s">
        <v>113</v>
      </c>
    </row>
    <row r="14">
      <c r="A14" s="5">
        <v>1.0</v>
      </c>
      <c r="B14" s="1">
        <f t="shared" si="1"/>
        <v>14</v>
      </c>
      <c r="C14" s="1">
        <v>1.261002049E9</v>
      </c>
      <c r="D14" s="1">
        <v>1.261002049E9</v>
      </c>
      <c r="E14" s="1" t="s">
        <v>114</v>
      </c>
      <c r="G14" s="1">
        <v>768945.0</v>
      </c>
      <c r="H14" s="2">
        <v>41547.0</v>
      </c>
      <c r="I14" s="1" t="s">
        <v>115</v>
      </c>
      <c r="K14" s="1" t="s">
        <v>115</v>
      </c>
      <c r="N14" s="1" t="s">
        <v>114</v>
      </c>
      <c r="O14" s="1">
        <v>5920.0</v>
      </c>
      <c r="P14" s="1" t="s">
        <v>114</v>
      </c>
      <c r="Q14" s="1" t="str">
        <f>IF(ISERROR(VLOOKUP(P14,'unique fed agency names'!A:C,3,FALSE)),P14,VLOOKUP(P14,'unique fed agency names'!A:C,3,FALSE))
</f>
        <v>National Endowment for the Arts</v>
      </c>
      <c r="R14" s="1">
        <v>1.43199672E8</v>
      </c>
      <c r="S14" s="1" t="s">
        <v>116</v>
      </c>
      <c r="T14" s="1" t="str">
        <f>IF(ISERROR(VLOOKUP(S14,'unique org names'!A:C,3,FALSE)),S14,VLOOKUP(S14,'unique org names'!A:C,3,FALSE))
</f>
        <v>Sphinx Organization, Inc</v>
      </c>
      <c r="V14" s="1" t="s">
        <v>117</v>
      </c>
      <c r="W14" s="1" t="s">
        <v>44</v>
      </c>
      <c r="X14" s="1" t="s">
        <v>45</v>
      </c>
      <c r="Y14" s="1">
        <v>4.82431607E8</v>
      </c>
      <c r="AA14" s="1" t="s">
        <v>46</v>
      </c>
      <c r="AB14" s="1" t="s">
        <v>45</v>
      </c>
      <c r="AC14" s="1">
        <v>4.82431607E8</v>
      </c>
      <c r="AF14" s="1">
        <v>50000.0</v>
      </c>
      <c r="AG14" s="2">
        <v>41547.0</v>
      </c>
      <c r="AH14" s="1">
        <v>5920.0</v>
      </c>
      <c r="AI14" s="1" t="s">
        <v>114</v>
      </c>
      <c r="AJ14" s="1" t="s">
        <v>118</v>
      </c>
      <c r="AK14" s="1" t="s">
        <v>119</v>
      </c>
      <c r="AL14" s="1">
        <v>11.0</v>
      </c>
      <c r="AM14" s="1">
        <v>2012.0</v>
      </c>
      <c r="AN14" s="1">
        <v>2013.0</v>
      </c>
      <c r="AO14" s="1" t="s">
        <v>120</v>
      </c>
    </row>
    <row r="15">
      <c r="A15" s="5">
        <v>1.0</v>
      </c>
      <c r="B15" s="1">
        <f t="shared" si="1"/>
        <v>15</v>
      </c>
      <c r="C15" s="1" t="s">
        <v>121</v>
      </c>
      <c r="D15" s="1" t="s">
        <v>121</v>
      </c>
      <c r="E15" s="1" t="s">
        <v>100</v>
      </c>
      <c r="G15" s="1">
        <v>3.8521788E7</v>
      </c>
      <c r="H15" s="2">
        <v>41255.0</v>
      </c>
      <c r="I15" s="1" t="s">
        <v>122</v>
      </c>
      <c r="K15" s="1" t="s">
        <v>122</v>
      </c>
      <c r="N15" s="1" t="s">
        <v>102</v>
      </c>
      <c r="O15" s="1">
        <v>8600.0</v>
      </c>
      <c r="P15" s="1" t="s">
        <v>102</v>
      </c>
      <c r="Q15" s="1" t="str">
        <f>IF(ISERROR(VLOOKUP(P15,'unique fed agency names'!A:C,3,FALSE)),P15,VLOOKUP(P15,'unique fed agency names'!A:C,3,FALSE))
</f>
        <v>U.S. Department of Housing and Urban Development (HUD)</v>
      </c>
      <c r="R15" s="1">
        <v>9.64523815E8</v>
      </c>
      <c r="S15" s="1" t="s">
        <v>123</v>
      </c>
      <c r="T15" s="1" t="str">
        <f>IF(ISERROR(VLOOKUP(S15,'unique org names'!A:C,3,FALSE)),S15,VLOOKUP(S15,'unique org names'!A:C,3,FALSE))
</f>
        <v>GRANDMONT ROSEDALE DEVELOPMENT CORPORATION</v>
      </c>
      <c r="U15" s="1" t="s">
        <v>124</v>
      </c>
      <c r="V15" s="1" t="s">
        <v>125</v>
      </c>
      <c r="W15" s="1" t="s">
        <v>44</v>
      </c>
      <c r="X15" s="1" t="s">
        <v>45</v>
      </c>
      <c r="Y15" s="1">
        <v>4.82231227E8</v>
      </c>
      <c r="AA15" s="1" t="s">
        <v>46</v>
      </c>
      <c r="AB15" s="1" t="s">
        <v>45</v>
      </c>
      <c r="AC15" s="1">
        <v>4.82231227E8</v>
      </c>
      <c r="AF15" s="1">
        <v>40000.0</v>
      </c>
      <c r="AG15" s="2">
        <v>41255.0</v>
      </c>
      <c r="AH15" s="1">
        <v>8600.0</v>
      </c>
      <c r="AI15" s="1" t="s">
        <v>102</v>
      </c>
      <c r="AJ15" s="1">
        <v>4.07420076E8</v>
      </c>
      <c r="AK15" s="1" t="s">
        <v>126</v>
      </c>
      <c r="AL15" s="1">
        <v>12.0</v>
      </c>
      <c r="AM15" s="1">
        <v>2012.0</v>
      </c>
      <c r="AN15" s="1">
        <v>2013.0</v>
      </c>
      <c r="AO15" s="1" t="s">
        <v>127</v>
      </c>
    </row>
    <row r="16">
      <c r="A16" s="5">
        <v>1.0</v>
      </c>
      <c r="B16" s="1">
        <f t="shared" si="1"/>
        <v>16</v>
      </c>
      <c r="C16" s="1" t="s">
        <v>128</v>
      </c>
      <c r="D16" s="1" t="s">
        <v>128</v>
      </c>
      <c r="E16" s="1" t="s">
        <v>129</v>
      </c>
      <c r="G16" s="1">
        <v>1.12959E7</v>
      </c>
      <c r="H16" s="2">
        <v>41271.0</v>
      </c>
      <c r="I16" s="1" t="s">
        <v>130</v>
      </c>
      <c r="K16" s="1" t="s">
        <v>130</v>
      </c>
      <c r="N16" s="1" t="s">
        <v>40</v>
      </c>
      <c r="O16" s="1">
        <v>7500.0</v>
      </c>
      <c r="P16" s="1" t="s">
        <v>40</v>
      </c>
      <c r="Q16" s="1" t="str">
        <f>IF(ISERROR(VLOOKUP(P16,'unique fed agency names'!A:C,3,FALSE)),P16,VLOOKUP(P16,'unique fed agency names'!A:C,3,FALSE))
</f>
        <v>U.S. Department of Health and Human Services (DHHS)</v>
      </c>
      <c r="R16" s="1">
        <v>6.9840817E7</v>
      </c>
      <c r="S16" s="1" t="s">
        <v>131</v>
      </c>
      <c r="T16" s="1" t="str">
        <f>IF(ISERROR(VLOOKUP(S16,'unique org names'!A:C,3,FALSE)),S16,VLOOKUP(S16,'unique org names'!A:C,3,FALSE))
</f>
        <v>LUTHERAN SOCIAL SERVICES OF MICHIGAN</v>
      </c>
      <c r="V16" s="1" t="s">
        <v>132</v>
      </c>
      <c r="W16" s="1" t="s">
        <v>44</v>
      </c>
      <c r="X16" s="1" t="s">
        <v>45</v>
      </c>
      <c r="Y16" s="1">
        <v>4.8214261E8</v>
      </c>
      <c r="AA16" s="1" t="s">
        <v>133</v>
      </c>
      <c r="AB16" s="1" t="s">
        <v>45</v>
      </c>
      <c r="AC16" s="1">
        <v>4.8214261E8</v>
      </c>
      <c r="AD16" s="1">
        <v>6.9840817E7</v>
      </c>
      <c r="AE16" s="1" t="s">
        <v>131</v>
      </c>
      <c r="AF16" s="1">
        <v>429400.0</v>
      </c>
      <c r="AG16" s="2">
        <v>41271.0</v>
      </c>
      <c r="AH16" s="1">
        <v>7500.0</v>
      </c>
      <c r="AI16" s="1" t="s">
        <v>40</v>
      </c>
      <c r="AJ16" s="1" t="s">
        <v>134</v>
      </c>
      <c r="AK16" s="1" t="s">
        <v>135</v>
      </c>
      <c r="AL16" s="1">
        <v>12.0</v>
      </c>
      <c r="AM16" s="1">
        <v>2012.0</v>
      </c>
      <c r="AN16" s="1">
        <v>2013.0</v>
      </c>
      <c r="AO16" s="1" t="s">
        <v>136</v>
      </c>
    </row>
    <row r="17">
      <c r="A17" s="5">
        <v>1.0</v>
      </c>
      <c r="B17" s="1">
        <f t="shared" si="1"/>
        <v>17</v>
      </c>
      <c r="C17" s="1" t="s">
        <v>137</v>
      </c>
      <c r="D17" s="1" t="s">
        <v>137</v>
      </c>
      <c r="E17" s="1" t="s">
        <v>129</v>
      </c>
      <c r="G17" s="1">
        <v>1.4258505E7</v>
      </c>
      <c r="H17" s="2">
        <v>41277.0</v>
      </c>
      <c r="I17" s="1" t="s">
        <v>138</v>
      </c>
      <c r="K17" s="1" t="s">
        <v>138</v>
      </c>
      <c r="N17" s="1" t="s">
        <v>40</v>
      </c>
      <c r="O17" s="1">
        <v>7500.0</v>
      </c>
      <c r="P17" s="1" t="s">
        <v>40</v>
      </c>
      <c r="Q17" s="1" t="str">
        <f>IF(ISERROR(VLOOKUP(P17,'unique fed agency names'!A:C,3,FALSE)),P17,VLOOKUP(P17,'unique fed agency names'!A:C,3,FALSE))
</f>
        <v>U.S. Department of Health and Human Services (DHHS)</v>
      </c>
      <c r="R17" s="1">
        <v>6.9840817E7</v>
      </c>
      <c r="S17" s="1" t="s">
        <v>131</v>
      </c>
      <c r="T17" s="1" t="str">
        <f>IF(ISERROR(VLOOKUP(S17,'unique org names'!A:C,3,FALSE)),S17,VLOOKUP(S17,'unique org names'!A:C,3,FALSE))
</f>
        <v>LUTHERAN SOCIAL SERVICES OF MICHIGAN</v>
      </c>
      <c r="V17" s="1" t="s">
        <v>132</v>
      </c>
      <c r="W17" s="1" t="s">
        <v>44</v>
      </c>
      <c r="X17" s="1" t="s">
        <v>45</v>
      </c>
      <c r="Y17" s="1">
        <v>4.8214261E8</v>
      </c>
      <c r="AA17" s="1" t="s">
        <v>46</v>
      </c>
      <c r="AB17" s="1" t="s">
        <v>45</v>
      </c>
      <c r="AC17" s="1">
        <v>4.8214261E8</v>
      </c>
      <c r="AD17" s="1">
        <v>6.9840817E7</v>
      </c>
      <c r="AE17" s="1" t="s">
        <v>131</v>
      </c>
      <c r="AF17" s="1">
        <v>186287.0</v>
      </c>
      <c r="AG17" s="2">
        <v>41277.0</v>
      </c>
      <c r="AH17" s="1">
        <v>7500.0</v>
      </c>
      <c r="AI17" s="1" t="s">
        <v>40</v>
      </c>
      <c r="AJ17" s="1" t="s">
        <v>139</v>
      </c>
      <c r="AK17" s="1" t="s">
        <v>140</v>
      </c>
      <c r="AL17" s="1">
        <v>1.0</v>
      </c>
      <c r="AM17" s="1">
        <v>2013.0</v>
      </c>
      <c r="AN17" s="1">
        <v>2013.0</v>
      </c>
      <c r="AO17" s="1" t="s">
        <v>141</v>
      </c>
    </row>
    <row r="18">
      <c r="A18" s="5">
        <v>1.0</v>
      </c>
      <c r="B18" s="1">
        <f t="shared" si="1"/>
        <v>18</v>
      </c>
      <c r="C18" s="1" t="s">
        <v>142</v>
      </c>
      <c r="D18" s="1" t="s">
        <v>142</v>
      </c>
      <c r="E18" s="1" t="s">
        <v>129</v>
      </c>
      <c r="G18" s="1">
        <v>1650532.0</v>
      </c>
      <c r="H18" s="2">
        <v>41183.0</v>
      </c>
      <c r="I18" s="1" t="s">
        <v>143</v>
      </c>
      <c r="K18" s="1" t="s">
        <v>143</v>
      </c>
      <c r="N18" s="1" t="s">
        <v>40</v>
      </c>
      <c r="O18" s="1">
        <v>7500.0</v>
      </c>
      <c r="P18" s="1" t="s">
        <v>40</v>
      </c>
      <c r="Q18" s="1" t="str">
        <f>IF(ISERROR(VLOOKUP(P18,'unique fed agency names'!A:C,3,FALSE)),P18,VLOOKUP(P18,'unique fed agency names'!A:C,3,FALSE))
</f>
        <v>U.S. Department of Health and Human Services (DHHS)</v>
      </c>
      <c r="R18" s="1">
        <v>1.41947783E8</v>
      </c>
      <c r="S18" s="1" t="s">
        <v>144</v>
      </c>
      <c r="T18" s="1" t="str">
        <f>IF(ISERROR(VLOOKUP(S18,'unique org names'!A:C,3,FALSE)),S18,VLOOKUP(S18,'unique org names'!A:C,3,FALSE))
</f>
        <v>St John Community Health Investment Corporation</v>
      </c>
      <c r="V18" s="1" t="s">
        <v>145</v>
      </c>
      <c r="W18" s="1" t="s">
        <v>44</v>
      </c>
      <c r="X18" s="1" t="s">
        <v>45</v>
      </c>
      <c r="Y18" s="1">
        <v>4.82362148E8</v>
      </c>
      <c r="AA18" s="1" t="s">
        <v>46</v>
      </c>
      <c r="AB18" s="1" t="s">
        <v>45</v>
      </c>
      <c r="AC18" s="1">
        <v>4.82362148E8</v>
      </c>
      <c r="AF18" s="1">
        <v>100000.0</v>
      </c>
      <c r="AG18" s="2">
        <v>41183.0</v>
      </c>
      <c r="AH18" s="1">
        <v>7500.0</v>
      </c>
      <c r="AI18" s="1" t="s">
        <v>40</v>
      </c>
      <c r="AJ18" s="1">
        <v>2.0130452E7</v>
      </c>
      <c r="AK18" s="1" t="s">
        <v>146</v>
      </c>
      <c r="AL18" s="1">
        <v>10.0</v>
      </c>
      <c r="AM18" s="1">
        <v>2012.0</v>
      </c>
      <c r="AN18" s="1">
        <v>2013.0</v>
      </c>
      <c r="AO18" s="1" t="s">
        <v>147</v>
      </c>
    </row>
    <row r="19">
      <c r="A19" s="5">
        <v>1.0</v>
      </c>
      <c r="B19" s="1">
        <f t="shared" si="1"/>
        <v>19</v>
      </c>
      <c r="C19" s="1" t="s">
        <v>148</v>
      </c>
      <c r="D19" s="1" t="s">
        <v>148</v>
      </c>
      <c r="E19" s="1" t="s">
        <v>149</v>
      </c>
      <c r="G19" s="1">
        <v>3493000.0</v>
      </c>
      <c r="H19" s="2">
        <v>41294.0</v>
      </c>
      <c r="I19" s="1" t="s">
        <v>150</v>
      </c>
      <c r="K19" s="1" t="s">
        <v>150</v>
      </c>
      <c r="N19" s="1" t="s">
        <v>151</v>
      </c>
      <c r="O19" s="1">
        <v>6900.0</v>
      </c>
      <c r="P19" s="1" t="s">
        <v>151</v>
      </c>
      <c r="Q19" s="1" t="str">
        <f>IF(ISERROR(VLOOKUP(P19,'unique fed agency names'!A:C,3,FALSE)),P19,VLOOKUP(P19,'unique fed agency names'!A:C,3,FALSE))
</f>
        <v>U.S. Department of Transportation (DOT)</v>
      </c>
      <c r="R19" s="1">
        <v>7.3135402E7</v>
      </c>
      <c r="S19" s="1" t="s">
        <v>152</v>
      </c>
      <c r="T19" s="1" t="str">
        <f>IF(ISERROR(VLOOKUP(S19,'unique org names'!A:C,3,FALSE)),S19,VLOOKUP(S19,'unique org names'!A:C,3,FALSE))
</f>
        <v>UNIVERSITY OF DETROIT MERCY</v>
      </c>
      <c r="U19" s="1" t="s">
        <v>153</v>
      </c>
      <c r="V19" s="1" t="s">
        <v>154</v>
      </c>
      <c r="W19" s="1" t="s">
        <v>44</v>
      </c>
      <c r="X19" s="1" t="s">
        <v>45</v>
      </c>
      <c r="Y19" s="1">
        <v>4.82213038E8</v>
      </c>
      <c r="AA19" s="1" t="s">
        <v>46</v>
      </c>
      <c r="AB19" s="1" t="s">
        <v>45</v>
      </c>
      <c r="AC19" s="1">
        <v>4.82213038E8</v>
      </c>
      <c r="AD19" s="1">
        <v>7.3135402E7</v>
      </c>
      <c r="AE19" s="1" t="s">
        <v>152</v>
      </c>
      <c r="AF19" s="1">
        <v>133111.0</v>
      </c>
      <c r="AG19" s="2">
        <v>41294.0</v>
      </c>
      <c r="AH19" s="1">
        <v>6900.0</v>
      </c>
      <c r="AI19" s="1" t="s">
        <v>151</v>
      </c>
      <c r="AJ19" s="1" t="s">
        <v>155</v>
      </c>
      <c r="AK19" s="1" t="s">
        <v>156</v>
      </c>
      <c r="AL19" s="1">
        <v>2.0</v>
      </c>
      <c r="AM19" s="1">
        <v>2013.0</v>
      </c>
      <c r="AN19" s="1">
        <v>2013.0</v>
      </c>
      <c r="AO19" s="1" t="s">
        <v>157</v>
      </c>
    </row>
    <row r="20">
      <c r="A20" s="5">
        <v>1.0</v>
      </c>
      <c r="B20" s="1">
        <f t="shared" si="1"/>
        <v>20</v>
      </c>
      <c r="C20" s="1" t="s">
        <v>158</v>
      </c>
      <c r="D20" s="1" t="s">
        <v>158</v>
      </c>
      <c r="E20" s="1" t="s">
        <v>159</v>
      </c>
      <c r="G20" s="1">
        <v>299996.0</v>
      </c>
      <c r="H20" s="2">
        <v>41183.0</v>
      </c>
      <c r="I20" s="1" t="s">
        <v>160</v>
      </c>
      <c r="K20" s="1" t="s">
        <v>160</v>
      </c>
      <c r="N20" s="1" t="s">
        <v>40</v>
      </c>
      <c r="O20" s="1">
        <v>7500.0</v>
      </c>
      <c r="P20" s="1" t="s">
        <v>40</v>
      </c>
      <c r="Q20" s="1" t="str">
        <f>IF(ISERROR(VLOOKUP(P20,'unique fed agency names'!A:C,3,FALSE)),P20,VLOOKUP(P20,'unique fed agency names'!A:C,3,FALSE))
</f>
        <v>U.S. Department of Health and Human Services (DHHS)</v>
      </c>
      <c r="R20" s="1">
        <v>1962224.0</v>
      </c>
      <c r="S20" s="1" t="s">
        <v>52</v>
      </c>
      <c r="T20" s="1" t="str">
        <f>IF(ISERROR(VLOOKUP(S20,'unique org names'!A:C,3,FALSE)),S20,VLOOKUP(S20,'unique org names'!A:C,3,FALSE))
</f>
        <v>WAYNE STATE UNIVERSITY</v>
      </c>
      <c r="V20" s="1" t="s">
        <v>53</v>
      </c>
      <c r="W20" s="1" t="s">
        <v>44</v>
      </c>
      <c r="X20" s="1" t="s">
        <v>45</v>
      </c>
      <c r="Y20" s="1">
        <v>4.82023692E8</v>
      </c>
      <c r="AA20" s="1" t="s">
        <v>46</v>
      </c>
      <c r="AB20" s="1" t="s">
        <v>45</v>
      </c>
      <c r="AC20" s="1">
        <v>4.82023692E8</v>
      </c>
      <c r="AD20" s="1">
        <v>1962224.0</v>
      </c>
      <c r="AE20" s="1" t="s">
        <v>52</v>
      </c>
      <c r="AF20" s="1">
        <v>0.0</v>
      </c>
      <c r="AG20" s="2">
        <v>41183.0</v>
      </c>
      <c r="AH20" s="1">
        <v>7500.0</v>
      </c>
      <c r="AI20" s="1" t="s">
        <v>40</v>
      </c>
      <c r="AJ20" s="1">
        <v>2.0131061E7</v>
      </c>
      <c r="AK20" s="1" t="s">
        <v>161</v>
      </c>
      <c r="AL20" s="1">
        <v>10.0</v>
      </c>
      <c r="AM20" s="1">
        <v>2012.0</v>
      </c>
      <c r="AN20" s="1">
        <v>2013.0</v>
      </c>
      <c r="AO20" s="1" t="s">
        <v>162</v>
      </c>
    </row>
    <row r="21">
      <c r="A21" s="5">
        <v>1.0</v>
      </c>
      <c r="B21" s="1">
        <f t="shared" si="1"/>
        <v>21</v>
      </c>
      <c r="C21" s="1" t="s">
        <v>163</v>
      </c>
      <c r="D21" s="1" t="s">
        <v>163</v>
      </c>
      <c r="E21" s="1">
        <v>7545.0</v>
      </c>
      <c r="G21" s="1">
        <v>715669.0</v>
      </c>
      <c r="H21" s="2">
        <v>41183.0</v>
      </c>
      <c r="I21" s="1" t="s">
        <v>164</v>
      </c>
      <c r="K21" s="1" t="s">
        <v>164</v>
      </c>
      <c r="N21" s="1" t="s">
        <v>40</v>
      </c>
      <c r="O21" s="1">
        <v>7500.0</v>
      </c>
      <c r="P21" s="1" t="s">
        <v>40</v>
      </c>
      <c r="Q21" s="1" t="str">
        <f>IF(ISERROR(VLOOKUP(P21,'unique fed agency names'!A:C,3,FALSE)),P21,VLOOKUP(P21,'unique fed agency names'!A:C,3,FALSE))
</f>
        <v>U.S. Department of Health and Human Services (DHHS)</v>
      </c>
      <c r="R21" s="1">
        <v>4.6842605E7</v>
      </c>
      <c r="S21" s="1" t="s">
        <v>165</v>
      </c>
      <c r="T21" s="1" t="str">
        <f>IF(ISERROR(VLOOKUP(S21,'unique org names'!A:C,3,FALSE)),S21,VLOOKUP(S21,'unique org names'!A:C,3,FALSE))
</f>
        <v>DETROIT AREA AGENCY ON AGING</v>
      </c>
      <c r="U21" s="1" t="s">
        <v>166</v>
      </c>
      <c r="V21" s="1" t="s">
        <v>167</v>
      </c>
      <c r="W21" s="1" t="s">
        <v>44</v>
      </c>
      <c r="X21" s="1" t="s">
        <v>45</v>
      </c>
      <c r="Y21" s="1">
        <v>4.82074544E8</v>
      </c>
      <c r="AA21" s="1" t="s">
        <v>46</v>
      </c>
      <c r="AB21" s="1" t="s">
        <v>45</v>
      </c>
      <c r="AC21" s="1">
        <v>4.82074544E8</v>
      </c>
      <c r="AF21" s="1">
        <v>22432.0</v>
      </c>
      <c r="AG21" s="2">
        <v>41183.0</v>
      </c>
      <c r="AH21" s="1">
        <v>7500.0</v>
      </c>
      <c r="AI21" s="1" t="s">
        <v>40</v>
      </c>
      <c r="AJ21" s="1">
        <v>2.0131585E7</v>
      </c>
      <c r="AK21" s="1" t="s">
        <v>168</v>
      </c>
      <c r="AL21" s="1">
        <v>10.0</v>
      </c>
      <c r="AM21" s="1">
        <v>2011.0</v>
      </c>
      <c r="AN21" s="1">
        <v>2013.0</v>
      </c>
      <c r="AO21" s="1" t="s">
        <v>169</v>
      </c>
    </row>
    <row r="22">
      <c r="A22" s="5">
        <v>1.0</v>
      </c>
      <c r="B22" s="1">
        <f t="shared" si="1"/>
        <v>22</v>
      </c>
      <c r="C22" s="1">
        <v>1231742.0</v>
      </c>
      <c r="D22" s="1">
        <v>1231742.0</v>
      </c>
      <c r="E22" s="1" t="s">
        <v>109</v>
      </c>
      <c r="G22" s="1">
        <v>444999.0</v>
      </c>
      <c r="H22" s="2">
        <v>41261.0</v>
      </c>
      <c r="I22" s="1" t="s">
        <v>170</v>
      </c>
      <c r="K22" s="1" t="s">
        <v>170</v>
      </c>
      <c r="N22" s="1" t="s">
        <v>109</v>
      </c>
      <c r="O22" s="1">
        <v>4900.0</v>
      </c>
      <c r="P22" s="1" t="s">
        <v>109</v>
      </c>
      <c r="Q22" s="1" t="str">
        <f>IF(ISERROR(VLOOKUP(P22,'unique fed agency names'!A:C,3,FALSE)),P22,VLOOKUP(P22,'unique fed agency names'!A:C,3,FALSE))
</f>
        <v>National Science Foundation</v>
      </c>
      <c r="R22" s="1">
        <v>7.3134603E7</v>
      </c>
      <c r="S22" s="1" t="s">
        <v>41</v>
      </c>
      <c r="T22" s="1" t="str">
        <f>IF(ISERROR(VLOOKUP(S22,'unique org names'!A:C,3,FALSE)),S22,VLOOKUP(S22,'unique org names'!A:C,3,FALSE))
</f>
        <v>Henry Ford Health System</v>
      </c>
      <c r="U22" s="1" t="s">
        <v>42</v>
      </c>
      <c r="V22" s="1" t="s">
        <v>43</v>
      </c>
      <c r="W22" s="1" t="s">
        <v>44</v>
      </c>
      <c r="X22" s="1" t="s">
        <v>45</v>
      </c>
      <c r="Y22" s="1">
        <v>4.8202345E8</v>
      </c>
      <c r="AA22" s="1" t="s">
        <v>46</v>
      </c>
      <c r="AB22" s="1" t="s">
        <v>45</v>
      </c>
      <c r="AC22" s="1">
        <v>4.8202345E8</v>
      </c>
      <c r="AD22" s="1">
        <v>7.3134603E7</v>
      </c>
      <c r="AE22" s="1" t="s">
        <v>41</v>
      </c>
      <c r="AF22" s="1">
        <v>112978.0</v>
      </c>
      <c r="AG22" s="2">
        <v>41261.0</v>
      </c>
      <c r="AH22" s="1">
        <v>4900.0</v>
      </c>
      <c r="AI22" s="1" t="s">
        <v>109</v>
      </c>
      <c r="AJ22" s="1" t="s">
        <v>171</v>
      </c>
      <c r="AK22" s="1" t="s">
        <v>172</v>
      </c>
      <c r="AL22" s="1">
        <v>12.0</v>
      </c>
      <c r="AM22" s="1">
        <v>2012.0</v>
      </c>
      <c r="AN22" s="1">
        <v>2013.0</v>
      </c>
      <c r="AO22" s="1" t="s">
        <v>113</v>
      </c>
    </row>
    <row r="23">
      <c r="A23" s="5">
        <v>1.0</v>
      </c>
      <c r="B23" s="1">
        <f t="shared" si="1"/>
        <v>23</v>
      </c>
      <c r="C23" s="1" t="s">
        <v>173</v>
      </c>
      <c r="D23" s="1" t="s">
        <v>173</v>
      </c>
      <c r="E23" s="1" t="s">
        <v>159</v>
      </c>
      <c r="G23" s="1">
        <v>1310940.0</v>
      </c>
      <c r="H23" s="2">
        <v>41263.0</v>
      </c>
      <c r="I23" s="1" t="s">
        <v>174</v>
      </c>
      <c r="K23" s="1" t="s">
        <v>174</v>
      </c>
      <c r="N23" s="1" t="s">
        <v>40</v>
      </c>
      <c r="O23" s="1">
        <v>7500.0</v>
      </c>
      <c r="P23" s="1" t="s">
        <v>40</v>
      </c>
      <c r="Q23" s="1" t="str">
        <f>IF(ISERROR(VLOOKUP(P23,'unique fed agency names'!A:C,3,FALSE)),P23,VLOOKUP(P23,'unique fed agency names'!A:C,3,FALSE))
</f>
        <v>U.S. Department of Health and Human Services (DHHS)</v>
      </c>
      <c r="R23" s="1">
        <v>8.09204196E8</v>
      </c>
      <c r="S23" s="1" t="s">
        <v>175</v>
      </c>
      <c r="T23" s="1" t="str">
        <f>IF(ISERROR(VLOOKUP(S23,'unique org names'!A:C,3,FALSE)),S23,VLOOKUP(S23,'unique org names'!A:C,3,FALSE))
</f>
        <v>DETROIT WAYNE COUNTY HEALTH AUTHORITY</v>
      </c>
      <c r="V23" s="1" t="s">
        <v>176</v>
      </c>
      <c r="W23" s="1" t="s">
        <v>44</v>
      </c>
      <c r="X23" s="1" t="s">
        <v>45</v>
      </c>
      <c r="Y23" s="1">
        <v>4.82023025E8</v>
      </c>
      <c r="AA23" s="1" t="s">
        <v>46</v>
      </c>
      <c r="AB23" s="1" t="s">
        <v>45</v>
      </c>
      <c r="AC23" s="1">
        <v>4.82023046E8</v>
      </c>
      <c r="AF23" s="1">
        <v>57380.0</v>
      </c>
      <c r="AG23" s="2">
        <v>41263.0</v>
      </c>
      <c r="AH23" s="1">
        <v>7500.0</v>
      </c>
      <c r="AI23" s="1" t="s">
        <v>40</v>
      </c>
      <c r="AJ23" s="1" t="s">
        <v>177</v>
      </c>
      <c r="AK23" s="1" t="s">
        <v>178</v>
      </c>
      <c r="AL23" s="1">
        <v>1.0</v>
      </c>
      <c r="AM23" s="1">
        <v>2013.0</v>
      </c>
      <c r="AN23" s="1">
        <v>2013.0</v>
      </c>
      <c r="AO23" s="1" t="s">
        <v>179</v>
      </c>
    </row>
    <row r="24">
      <c r="A24" s="5">
        <v>1.0</v>
      </c>
      <c r="B24" s="1">
        <f t="shared" si="1"/>
        <v>24</v>
      </c>
      <c r="C24" s="1" t="s">
        <v>180</v>
      </c>
      <c r="D24" s="1" t="s">
        <v>180</v>
      </c>
      <c r="E24" s="1" t="s">
        <v>70</v>
      </c>
      <c r="G24" s="1">
        <v>7000000.0</v>
      </c>
      <c r="H24" s="2">
        <v>41275.0</v>
      </c>
      <c r="I24" s="1" t="s">
        <v>181</v>
      </c>
      <c r="K24" s="1" t="s">
        <v>181</v>
      </c>
      <c r="N24" s="1" t="s">
        <v>72</v>
      </c>
      <c r="O24" s="1">
        <v>1500.0</v>
      </c>
      <c r="P24" s="1" t="s">
        <v>72</v>
      </c>
      <c r="Q24" s="1" t="str">
        <f>IF(ISERROR(VLOOKUP(P24,'unique fed agency names'!A:C,3,FALSE)),P24,VLOOKUP(P24,'unique fed agency names'!A:C,3,FALSE))
</f>
        <v>U.S. Department of Justice (DOJ)</v>
      </c>
      <c r="R24" s="1">
        <v>3.2345709E7</v>
      </c>
      <c r="S24" s="1" t="s">
        <v>182</v>
      </c>
      <c r="T24" s="1" t="str">
        <f>IF(ISERROR(VLOOKUP(S24,'unique org names'!A:C,3,FALSE)),S24,VLOOKUP(S24,'unique org names'!A:C,3,FALSE))
</f>
        <v>Big Brothers Big Sisters of Metropolitan Detroit</v>
      </c>
      <c r="V24" s="1" t="s">
        <v>183</v>
      </c>
      <c r="W24" s="1" t="s">
        <v>44</v>
      </c>
      <c r="X24" s="1" t="s">
        <v>45</v>
      </c>
      <c r="Y24" s="1">
        <v>4.82022411E8</v>
      </c>
      <c r="AA24" s="1" t="s">
        <v>44</v>
      </c>
      <c r="AB24" s="1" t="s">
        <v>45</v>
      </c>
      <c r="AC24" s="1">
        <v>4.82022411E8</v>
      </c>
      <c r="AD24" s="1">
        <v>3.2345709E7</v>
      </c>
      <c r="AE24" s="1" t="s">
        <v>182</v>
      </c>
      <c r="AF24" s="1">
        <v>87500.0</v>
      </c>
      <c r="AG24" s="2">
        <v>41275.0</v>
      </c>
      <c r="AH24" s="1">
        <v>1500.0</v>
      </c>
      <c r="AI24" s="1" t="s">
        <v>72</v>
      </c>
      <c r="AJ24" s="1" t="s">
        <v>184</v>
      </c>
      <c r="AK24" s="1" t="s">
        <v>185</v>
      </c>
      <c r="AL24" s="1">
        <v>1.0</v>
      </c>
      <c r="AM24" s="1">
        <v>2013.0</v>
      </c>
      <c r="AN24" s="1">
        <v>2013.0</v>
      </c>
      <c r="AO24" s="1" t="s">
        <v>186</v>
      </c>
    </row>
    <row r="25">
      <c r="A25" s="5">
        <v>1.0</v>
      </c>
      <c r="B25" s="1">
        <f t="shared" si="1"/>
        <v>25</v>
      </c>
      <c r="C25" s="1" t="s">
        <v>187</v>
      </c>
      <c r="D25" s="1" t="s">
        <v>187</v>
      </c>
      <c r="E25" s="1" t="s">
        <v>188</v>
      </c>
      <c r="G25" s="1">
        <v>7453022.0</v>
      </c>
      <c r="H25" s="2">
        <v>41276.0</v>
      </c>
      <c r="I25" s="1" t="s">
        <v>189</v>
      </c>
      <c r="K25" s="1" t="s">
        <v>189</v>
      </c>
      <c r="N25" s="1" t="s">
        <v>188</v>
      </c>
      <c r="O25" s="1">
        <v>1900.0</v>
      </c>
      <c r="P25" s="1" t="s">
        <v>188</v>
      </c>
      <c r="Q25" s="1" t="str">
        <f>IF(ISERROR(VLOOKUP(P25,'unique fed agency names'!A:C,3,FALSE)),P25,VLOOKUP(P25,'unique fed agency names'!A:C,3,FALSE))
</f>
        <v>U.S. Department of State</v>
      </c>
      <c r="R25" s="1">
        <v>6.9840817E7</v>
      </c>
      <c r="S25" s="1" t="s">
        <v>131</v>
      </c>
      <c r="T25" s="1" t="str">
        <f>IF(ISERROR(VLOOKUP(S25,'unique org names'!A:C,3,FALSE)),S25,VLOOKUP(S25,'unique org names'!A:C,3,FALSE))
</f>
        <v>LUTHERAN SOCIAL SERVICES OF MICHIGAN</v>
      </c>
      <c r="V25" s="1" t="s">
        <v>132</v>
      </c>
      <c r="W25" s="1" t="s">
        <v>44</v>
      </c>
      <c r="X25" s="1" t="s">
        <v>45</v>
      </c>
      <c r="Y25" s="1">
        <v>4.8214261E8</v>
      </c>
      <c r="AA25" s="1" t="s">
        <v>46</v>
      </c>
      <c r="AB25" s="1" t="s">
        <v>45</v>
      </c>
      <c r="AC25" s="1">
        <v>4.8214261E8</v>
      </c>
      <c r="AD25" s="1">
        <v>6.9840817E7</v>
      </c>
      <c r="AE25" s="1" t="s">
        <v>131</v>
      </c>
      <c r="AF25" s="1">
        <v>863950.0</v>
      </c>
      <c r="AG25" s="2">
        <v>41276.0</v>
      </c>
      <c r="AH25" s="1">
        <v>1900.0</v>
      </c>
      <c r="AI25" s="1" t="s">
        <v>188</v>
      </c>
      <c r="AJ25" s="1" t="s">
        <v>190</v>
      </c>
      <c r="AK25" s="1" t="s">
        <v>191</v>
      </c>
      <c r="AL25" s="1">
        <v>12.0</v>
      </c>
      <c r="AM25" s="1">
        <v>2012.0</v>
      </c>
      <c r="AN25" s="1">
        <v>2013.0</v>
      </c>
      <c r="AO25" s="1" t="s">
        <v>192</v>
      </c>
    </row>
    <row r="26">
      <c r="A26" s="5">
        <v>1.0</v>
      </c>
      <c r="B26" s="1">
        <f t="shared" si="1"/>
        <v>26</v>
      </c>
      <c r="C26" s="1" t="s">
        <v>193</v>
      </c>
      <c r="D26" s="1" t="s">
        <v>193</v>
      </c>
      <c r="E26" s="1" t="s">
        <v>194</v>
      </c>
      <c r="G26" s="1">
        <v>199696.0</v>
      </c>
      <c r="H26" s="2">
        <v>41319.0</v>
      </c>
      <c r="I26" s="1" t="s">
        <v>195</v>
      </c>
      <c r="K26" s="1" t="s">
        <v>195</v>
      </c>
      <c r="N26" s="1" t="s">
        <v>194</v>
      </c>
      <c r="O26" s="1">
        <v>9100.0</v>
      </c>
      <c r="P26" s="1" t="s">
        <v>194</v>
      </c>
      <c r="Q26" s="1" t="str">
        <f>IF(ISERROR(VLOOKUP(P26,'unique fed agency names'!A:C,3,FALSE)),P26,VLOOKUP(P26,'unique fed agency names'!A:C,3,FALSE))
</f>
        <v>U.S. Department of Education (ED)</v>
      </c>
      <c r="R26" s="1">
        <v>1962224.0</v>
      </c>
      <c r="S26" s="1" t="s">
        <v>52</v>
      </c>
      <c r="T26" s="1" t="str">
        <f>IF(ISERROR(VLOOKUP(S26,'unique org names'!A:C,3,FALSE)),S26,VLOOKUP(S26,'unique org names'!A:C,3,FALSE))
</f>
        <v>WAYNE STATE UNIVERSITY</v>
      </c>
      <c r="V26" s="1" t="s">
        <v>53</v>
      </c>
      <c r="W26" s="1" t="s">
        <v>44</v>
      </c>
      <c r="X26" s="1" t="s">
        <v>45</v>
      </c>
      <c r="Y26" s="1">
        <v>4.82023692E8</v>
      </c>
      <c r="AA26" s="1" t="s">
        <v>46</v>
      </c>
      <c r="AB26" s="1" t="s">
        <v>45</v>
      </c>
      <c r="AC26" s="1">
        <v>4.82011309E8</v>
      </c>
      <c r="AD26" s="1">
        <v>1962224.0</v>
      </c>
      <c r="AE26" s="1" t="s">
        <v>52</v>
      </c>
      <c r="AF26" s="1">
        <v>44248.0</v>
      </c>
      <c r="AG26" s="2">
        <v>41319.0</v>
      </c>
      <c r="AH26" s="1">
        <v>9100.0</v>
      </c>
      <c r="AI26" s="1" t="s">
        <v>194</v>
      </c>
      <c r="AJ26" s="1">
        <v>4.500001161E9</v>
      </c>
      <c r="AK26" s="1" t="s">
        <v>196</v>
      </c>
      <c r="AL26" s="1">
        <v>2.0</v>
      </c>
      <c r="AM26" s="1">
        <v>2013.0</v>
      </c>
      <c r="AN26" s="1">
        <v>2013.0</v>
      </c>
      <c r="AO26" s="1" t="s">
        <v>197</v>
      </c>
    </row>
    <row r="27">
      <c r="A27" s="5">
        <v>1.0</v>
      </c>
      <c r="B27" s="1">
        <f t="shared" si="1"/>
        <v>27</v>
      </c>
      <c r="C27" s="1" t="s">
        <v>198</v>
      </c>
      <c r="D27" s="1" t="s">
        <v>198</v>
      </c>
      <c r="E27" s="1" t="s">
        <v>38</v>
      </c>
      <c r="G27" s="1">
        <v>3271317.0</v>
      </c>
      <c r="H27" s="2">
        <v>41263.0</v>
      </c>
      <c r="I27" s="1" t="s">
        <v>199</v>
      </c>
      <c r="K27" s="1" t="s">
        <v>199</v>
      </c>
      <c r="N27" s="1" t="s">
        <v>40</v>
      </c>
      <c r="O27" s="1">
        <v>7500.0</v>
      </c>
      <c r="P27" s="1" t="s">
        <v>40</v>
      </c>
      <c r="Q27" s="1" t="str">
        <f>IF(ISERROR(VLOOKUP(P27,'unique fed agency names'!A:C,3,FALSE)),P27,VLOOKUP(P27,'unique fed agency names'!A:C,3,FALSE))
</f>
        <v>U.S. Department of Health and Human Services (DHHS)</v>
      </c>
      <c r="R27" s="1">
        <v>7.3134603E7</v>
      </c>
      <c r="S27" s="1" t="s">
        <v>41</v>
      </c>
      <c r="T27" s="1" t="str">
        <f>IF(ISERROR(VLOOKUP(S27,'unique org names'!A:C,3,FALSE)),S27,VLOOKUP(S27,'unique org names'!A:C,3,FALSE))
</f>
        <v>Henry Ford Health System</v>
      </c>
      <c r="U27" s="1" t="s">
        <v>42</v>
      </c>
      <c r="V27" s="1" t="s">
        <v>43</v>
      </c>
      <c r="W27" s="1" t="s">
        <v>44</v>
      </c>
      <c r="X27" s="1" t="s">
        <v>45</v>
      </c>
      <c r="Y27" s="1">
        <v>4.8202345E8</v>
      </c>
      <c r="AA27" s="1" t="s">
        <v>44</v>
      </c>
      <c r="AB27" s="1" t="s">
        <v>45</v>
      </c>
      <c r="AC27" s="1">
        <v>4.8202345E8</v>
      </c>
      <c r="AD27" s="1">
        <v>7.3134603E7</v>
      </c>
      <c r="AE27" s="1" t="s">
        <v>41</v>
      </c>
      <c r="AF27" s="1">
        <v>94308.0</v>
      </c>
      <c r="AG27" s="2">
        <v>41263.0</v>
      </c>
      <c r="AH27" s="1">
        <v>7500.0</v>
      </c>
      <c r="AI27" s="1" t="s">
        <v>40</v>
      </c>
      <c r="AJ27" s="1" t="s">
        <v>200</v>
      </c>
      <c r="AK27" s="1" t="s">
        <v>201</v>
      </c>
      <c r="AL27" s="1">
        <v>2.0</v>
      </c>
      <c r="AM27" s="1">
        <v>2013.0</v>
      </c>
      <c r="AN27" s="1">
        <v>2013.0</v>
      </c>
      <c r="AO27" s="1" t="s">
        <v>202</v>
      </c>
    </row>
    <row r="28">
      <c r="A28" s="5">
        <v>1.0</v>
      </c>
      <c r="B28" s="1">
        <f t="shared" si="1"/>
        <v>28</v>
      </c>
      <c r="C28" s="1" t="s">
        <v>203</v>
      </c>
      <c r="D28" s="1" t="s">
        <v>203</v>
      </c>
      <c r="E28" s="1" t="s">
        <v>100</v>
      </c>
      <c r="G28" s="1">
        <v>2.2173386E7</v>
      </c>
      <c r="H28" s="2">
        <v>41291.0</v>
      </c>
      <c r="I28" s="1" t="s">
        <v>122</v>
      </c>
      <c r="K28" s="1" t="s">
        <v>122</v>
      </c>
      <c r="N28" s="1" t="s">
        <v>102</v>
      </c>
      <c r="O28" s="1">
        <v>8600.0</v>
      </c>
      <c r="P28" s="1" t="s">
        <v>102</v>
      </c>
      <c r="Q28" s="1" t="str">
        <f>IF(ISERROR(VLOOKUP(P28,'unique fed agency names'!A:C,3,FALSE)),P28,VLOOKUP(P28,'unique fed agency names'!A:C,3,FALSE))
</f>
        <v>U.S. Department of Housing and Urban Development (HUD)</v>
      </c>
      <c r="R28" s="1">
        <v>9.64523815E8</v>
      </c>
      <c r="S28" s="1" t="s">
        <v>123</v>
      </c>
      <c r="T28" s="1" t="str">
        <f>IF(ISERROR(VLOOKUP(S28,'unique org names'!A:C,3,FALSE)),S28,VLOOKUP(S28,'unique org names'!A:C,3,FALSE))
</f>
        <v>GRANDMONT ROSEDALE DEVELOPMENT CORPORATION</v>
      </c>
      <c r="U28" s="1" t="s">
        <v>124</v>
      </c>
      <c r="V28" s="1" t="s">
        <v>125</v>
      </c>
      <c r="W28" s="1" t="s">
        <v>44</v>
      </c>
      <c r="X28" s="1" t="s">
        <v>45</v>
      </c>
      <c r="Y28" s="1">
        <v>4.82231227E8</v>
      </c>
      <c r="AA28" s="1" t="s">
        <v>46</v>
      </c>
      <c r="AB28" s="1" t="s">
        <v>45</v>
      </c>
      <c r="AC28" s="1">
        <v>4.82231227E8</v>
      </c>
      <c r="AF28" s="1">
        <v>90000.0</v>
      </c>
      <c r="AG28" s="2">
        <v>41291.0</v>
      </c>
      <c r="AH28" s="1">
        <v>8600.0</v>
      </c>
      <c r="AI28" s="1" t="s">
        <v>102</v>
      </c>
      <c r="AJ28" s="1" t="s">
        <v>204</v>
      </c>
      <c r="AK28" s="1" t="s">
        <v>205</v>
      </c>
      <c r="AL28" s="1">
        <v>1.0</v>
      </c>
      <c r="AM28" s="1">
        <v>2013.0</v>
      </c>
      <c r="AN28" s="1">
        <v>2013.0</v>
      </c>
      <c r="AO28" s="1" t="s">
        <v>127</v>
      </c>
    </row>
    <row r="29">
      <c r="A29" s="5">
        <v>1.0</v>
      </c>
      <c r="B29" s="1">
        <f t="shared" si="1"/>
        <v>29</v>
      </c>
      <c r="C29" s="1" t="s">
        <v>206</v>
      </c>
      <c r="D29" s="1" t="s">
        <v>206</v>
      </c>
      <c r="E29" s="1" t="s">
        <v>207</v>
      </c>
      <c r="G29" s="1">
        <v>3060000.0</v>
      </c>
      <c r="H29" s="2">
        <v>41183.0</v>
      </c>
      <c r="I29" s="1" t="s">
        <v>208</v>
      </c>
      <c r="K29" s="1" t="s">
        <v>208</v>
      </c>
      <c r="N29" s="1" t="s">
        <v>40</v>
      </c>
      <c r="O29" s="1">
        <v>7500.0</v>
      </c>
      <c r="P29" s="1" t="s">
        <v>40</v>
      </c>
      <c r="Q29" s="1" t="str">
        <f>IF(ISERROR(VLOOKUP(P29,'unique fed agency names'!A:C,3,FALSE)),P29,VLOOKUP(P29,'unique fed agency names'!A:C,3,FALSE))
</f>
        <v>U.S. Department of Health and Human Services (DHHS)</v>
      </c>
      <c r="R29" s="1">
        <v>3.8775243E7</v>
      </c>
      <c r="S29" s="1" t="s">
        <v>209</v>
      </c>
      <c r="T29" s="1" t="str">
        <f>IF(ISERROR(VLOOKUP(S29,'unique org names'!A:C,3,FALSE)),S29,VLOOKUP(S29,'unique org names'!A:C,3,FALSE))
</f>
        <v>SOUTHEASTERN MICHIGAN HEALTH ASSOCIATION</v>
      </c>
      <c r="U29" s="1" t="s">
        <v>210</v>
      </c>
      <c r="V29" s="1" t="s">
        <v>211</v>
      </c>
      <c r="W29" s="1" t="s">
        <v>44</v>
      </c>
      <c r="X29" s="1" t="s">
        <v>45</v>
      </c>
      <c r="Y29" s="1">
        <v>4.82023068E8</v>
      </c>
      <c r="AA29" s="1" t="s">
        <v>46</v>
      </c>
      <c r="AB29" s="1" t="s">
        <v>45</v>
      </c>
      <c r="AC29" s="1">
        <v>4.82023068E8</v>
      </c>
      <c r="AD29" s="1">
        <v>3.8775243E7</v>
      </c>
      <c r="AE29" s="1" t="s">
        <v>209</v>
      </c>
      <c r="AF29" s="1">
        <v>0.0</v>
      </c>
      <c r="AG29" s="2">
        <v>41183.0</v>
      </c>
      <c r="AH29" s="1">
        <v>7500.0</v>
      </c>
      <c r="AI29" s="1" t="s">
        <v>40</v>
      </c>
      <c r="AJ29" s="1">
        <v>2.0131079E7</v>
      </c>
      <c r="AK29" s="1" t="s">
        <v>212</v>
      </c>
      <c r="AL29" s="1">
        <v>11.0</v>
      </c>
      <c r="AM29" s="1">
        <v>2012.0</v>
      </c>
      <c r="AN29" s="1">
        <v>2013.0</v>
      </c>
      <c r="AO29" s="1" t="s">
        <v>213</v>
      </c>
    </row>
    <row r="30">
      <c r="A30" s="5">
        <v>1.0</v>
      </c>
      <c r="B30" s="1">
        <f t="shared" si="1"/>
        <v>30</v>
      </c>
      <c r="C30" s="1" t="s">
        <v>206</v>
      </c>
      <c r="D30" s="1" t="s">
        <v>206</v>
      </c>
      <c r="E30" s="1" t="s">
        <v>207</v>
      </c>
      <c r="G30" s="1">
        <v>3060000.0</v>
      </c>
      <c r="H30" s="2">
        <v>41183.0</v>
      </c>
      <c r="I30" s="1" t="s">
        <v>208</v>
      </c>
      <c r="K30" s="1" t="s">
        <v>208</v>
      </c>
      <c r="N30" s="1" t="s">
        <v>40</v>
      </c>
      <c r="O30" s="1">
        <v>7500.0</v>
      </c>
      <c r="P30" s="1" t="s">
        <v>40</v>
      </c>
      <c r="Q30" s="1" t="str">
        <f>IF(ISERROR(VLOOKUP(P30,'unique fed agency names'!A:C,3,FALSE)),P30,VLOOKUP(P30,'unique fed agency names'!A:C,3,FALSE))
</f>
        <v>U.S. Department of Health and Human Services (DHHS)</v>
      </c>
      <c r="R30" s="1">
        <v>3.8775243E7</v>
      </c>
      <c r="S30" s="1" t="s">
        <v>209</v>
      </c>
      <c r="T30" s="1" t="str">
        <f>IF(ISERROR(VLOOKUP(S30,'unique org names'!A:C,3,FALSE)),S30,VLOOKUP(S30,'unique org names'!A:C,3,FALSE))
</f>
        <v>SOUTHEASTERN MICHIGAN HEALTH ASSOCIATION</v>
      </c>
      <c r="U30" s="1" t="s">
        <v>210</v>
      </c>
      <c r="V30" s="1" t="s">
        <v>211</v>
      </c>
      <c r="W30" s="1" t="s">
        <v>44</v>
      </c>
      <c r="X30" s="1" t="s">
        <v>45</v>
      </c>
      <c r="Y30" s="1">
        <v>4.82023068E8</v>
      </c>
      <c r="AA30" s="1" t="s">
        <v>46</v>
      </c>
      <c r="AB30" s="1" t="s">
        <v>45</v>
      </c>
      <c r="AC30" s="1">
        <v>4.82023068E8</v>
      </c>
      <c r="AD30" s="1">
        <v>3.8775243E7</v>
      </c>
      <c r="AE30" s="1" t="s">
        <v>209</v>
      </c>
      <c r="AF30" s="1">
        <v>0.0</v>
      </c>
      <c r="AG30" s="2">
        <v>41183.0</v>
      </c>
      <c r="AH30" s="1">
        <v>7500.0</v>
      </c>
      <c r="AI30" s="1" t="s">
        <v>40</v>
      </c>
      <c r="AJ30" s="1">
        <v>2.0131085E7</v>
      </c>
      <c r="AK30" s="1" t="s">
        <v>212</v>
      </c>
      <c r="AL30" s="1">
        <v>11.0</v>
      </c>
      <c r="AM30" s="1">
        <v>2012.0</v>
      </c>
      <c r="AN30" s="1">
        <v>2013.0</v>
      </c>
      <c r="AO30" s="1" t="s">
        <v>213</v>
      </c>
    </row>
    <row r="31">
      <c r="A31" s="5">
        <v>1.0</v>
      </c>
      <c r="B31" s="1">
        <f t="shared" si="1"/>
        <v>31</v>
      </c>
      <c r="C31" s="1" t="s">
        <v>206</v>
      </c>
      <c r="D31" s="1" t="s">
        <v>206</v>
      </c>
      <c r="E31" s="1" t="s">
        <v>207</v>
      </c>
      <c r="G31" s="1">
        <v>3060000.0</v>
      </c>
      <c r="H31" s="2">
        <v>41183.0</v>
      </c>
      <c r="I31" s="1" t="s">
        <v>208</v>
      </c>
      <c r="K31" s="1" t="s">
        <v>208</v>
      </c>
      <c r="N31" s="1" t="s">
        <v>40</v>
      </c>
      <c r="O31" s="1">
        <v>7500.0</v>
      </c>
      <c r="P31" s="1" t="s">
        <v>40</v>
      </c>
      <c r="Q31" s="1" t="str">
        <f>IF(ISERROR(VLOOKUP(P31,'unique fed agency names'!A:C,3,FALSE)),P31,VLOOKUP(P31,'unique fed agency names'!A:C,3,FALSE))
</f>
        <v>U.S. Department of Health and Human Services (DHHS)</v>
      </c>
      <c r="R31" s="1">
        <v>7.8583404E7</v>
      </c>
      <c r="S31" s="1" t="s">
        <v>65</v>
      </c>
      <c r="T31" s="1" t="str">
        <f>IF(ISERROR(VLOOKUP(S31,'unique org names'!A:C,3,FALSE)),S31,VLOOKUP(S31,'unique org names'!A:C,3,FALSE))
</f>
        <v>Institute for Population Health Inc.</v>
      </c>
      <c r="V31" s="1" t="s">
        <v>66</v>
      </c>
      <c r="W31" s="1" t="s">
        <v>44</v>
      </c>
      <c r="X31" s="1" t="s">
        <v>45</v>
      </c>
      <c r="Y31" s="1">
        <v>4.82021732E8</v>
      </c>
      <c r="AA31" s="1" t="s">
        <v>46</v>
      </c>
      <c r="AB31" s="1" t="s">
        <v>45</v>
      </c>
      <c r="AC31" s="1">
        <v>4.82021732E8</v>
      </c>
      <c r="AF31" s="1">
        <v>0.0</v>
      </c>
      <c r="AG31" s="2">
        <v>41183.0</v>
      </c>
      <c r="AH31" s="1">
        <v>7500.0</v>
      </c>
      <c r="AI31" s="1" t="s">
        <v>40</v>
      </c>
      <c r="AJ31" s="1">
        <v>2.01304E7</v>
      </c>
      <c r="AK31" s="1" t="s">
        <v>212</v>
      </c>
      <c r="AL31" s="1">
        <v>11.0</v>
      </c>
      <c r="AM31" s="1">
        <v>2012.0</v>
      </c>
      <c r="AN31" s="1">
        <v>2013.0</v>
      </c>
      <c r="AO31" s="1" t="s">
        <v>213</v>
      </c>
    </row>
    <row r="32">
      <c r="A32" s="5">
        <v>1.0</v>
      </c>
      <c r="B32" s="1">
        <f t="shared" si="1"/>
        <v>32</v>
      </c>
      <c r="C32" s="1" t="s">
        <v>206</v>
      </c>
      <c r="D32" s="1" t="s">
        <v>206</v>
      </c>
      <c r="E32" s="1" t="s">
        <v>207</v>
      </c>
      <c r="G32" s="1">
        <v>3060000.0</v>
      </c>
      <c r="H32" s="2">
        <v>41183.0</v>
      </c>
      <c r="I32" s="1" t="s">
        <v>208</v>
      </c>
      <c r="K32" s="1" t="s">
        <v>208</v>
      </c>
      <c r="N32" s="1" t="s">
        <v>40</v>
      </c>
      <c r="O32" s="1">
        <v>7500.0</v>
      </c>
      <c r="P32" s="1" t="s">
        <v>40</v>
      </c>
      <c r="Q32" s="1" t="str">
        <f>IF(ISERROR(VLOOKUP(P32,'unique fed agency names'!A:C,3,FALSE)),P32,VLOOKUP(P32,'unique fed agency names'!A:C,3,FALSE))
</f>
        <v>U.S. Department of Health and Human Services (DHHS)</v>
      </c>
      <c r="R32" s="1">
        <v>8.09204196E8</v>
      </c>
      <c r="S32" s="1" t="s">
        <v>175</v>
      </c>
      <c r="T32" s="1" t="str">
        <f>IF(ISERROR(VLOOKUP(S32,'unique org names'!A:C,3,FALSE)),S32,VLOOKUP(S32,'unique org names'!A:C,3,FALSE))
</f>
        <v>DETROIT WAYNE COUNTY HEALTH AUTHORITY</v>
      </c>
      <c r="V32" s="1" t="s">
        <v>176</v>
      </c>
      <c r="W32" s="1" t="s">
        <v>44</v>
      </c>
      <c r="X32" s="1" t="s">
        <v>45</v>
      </c>
      <c r="Y32" s="1">
        <v>4.82023025E8</v>
      </c>
      <c r="AA32" s="1" t="s">
        <v>46</v>
      </c>
      <c r="AB32" s="1" t="s">
        <v>45</v>
      </c>
      <c r="AC32" s="1">
        <v>4.82023025E8</v>
      </c>
      <c r="AF32" s="1">
        <v>0.0</v>
      </c>
      <c r="AG32" s="2">
        <v>41183.0</v>
      </c>
      <c r="AH32" s="1">
        <v>7500.0</v>
      </c>
      <c r="AI32" s="1" t="s">
        <v>40</v>
      </c>
      <c r="AJ32" s="1">
        <v>2.0131444E7</v>
      </c>
      <c r="AK32" s="1" t="s">
        <v>212</v>
      </c>
      <c r="AL32" s="1">
        <v>11.0</v>
      </c>
      <c r="AM32" s="1">
        <v>2012.0</v>
      </c>
      <c r="AN32" s="1">
        <v>2013.0</v>
      </c>
      <c r="AO32" s="1" t="s">
        <v>213</v>
      </c>
    </row>
    <row r="33">
      <c r="A33" s="5">
        <v>1.0</v>
      </c>
      <c r="B33" s="1">
        <f t="shared" si="1"/>
        <v>33</v>
      </c>
      <c r="C33" s="1" t="s">
        <v>214</v>
      </c>
      <c r="D33" s="1" t="s">
        <v>214</v>
      </c>
      <c r="E33" s="1" t="s">
        <v>50</v>
      </c>
      <c r="G33" s="1">
        <v>3287008.0</v>
      </c>
      <c r="H33" s="2">
        <v>41200.0</v>
      </c>
      <c r="I33" s="1" t="s">
        <v>215</v>
      </c>
      <c r="K33" s="1" t="s">
        <v>215</v>
      </c>
      <c r="N33" s="1" t="s">
        <v>50</v>
      </c>
      <c r="O33" s="1">
        <v>8900.0</v>
      </c>
      <c r="P33" s="1" t="s">
        <v>50</v>
      </c>
      <c r="Q33" s="1" t="str">
        <f>IF(ISERROR(VLOOKUP(P33,'unique fed agency names'!A:C,3,FALSE)),P33,VLOOKUP(P33,'unique fed agency names'!A:C,3,FALSE))
</f>
        <v>U.S. Department of Energy</v>
      </c>
      <c r="R33" s="1">
        <v>6957872.0</v>
      </c>
      <c r="S33" s="1" t="s">
        <v>216</v>
      </c>
      <c r="T33" s="1" t="str">
        <f>IF(ISERROR(VLOOKUP(S33,'unique org names'!A:C,3,FALSE)),S33,VLOOKUP(S33,'unique org names'!A:C,3,FALSE))
</f>
        <v>THE DETROIT EDISON COMPANY</v>
      </c>
      <c r="U33" s="1" t="s">
        <v>217</v>
      </c>
      <c r="V33" s="1" t="s">
        <v>218</v>
      </c>
      <c r="W33" s="1" t="s">
        <v>44</v>
      </c>
      <c r="X33" s="1" t="s">
        <v>45</v>
      </c>
      <c r="Y33" s="1">
        <v>4.82261203E8</v>
      </c>
      <c r="AA33" s="1" t="s">
        <v>46</v>
      </c>
      <c r="AB33" s="1" t="s">
        <v>45</v>
      </c>
      <c r="AC33" s="1">
        <v>4.82261221E8</v>
      </c>
      <c r="AD33" s="1">
        <v>8.39329158E8</v>
      </c>
      <c r="AE33" s="1" t="s">
        <v>219</v>
      </c>
      <c r="AF33" s="1">
        <v>63817.0</v>
      </c>
      <c r="AG33" s="2">
        <v>41200.0</v>
      </c>
      <c r="AH33" s="1">
        <v>8900.0</v>
      </c>
      <c r="AI33" s="1" t="s">
        <v>50</v>
      </c>
      <c r="AJ33" s="1" t="s">
        <v>220</v>
      </c>
      <c r="AK33" s="1" t="s">
        <v>221</v>
      </c>
      <c r="AL33" s="1">
        <v>9.0</v>
      </c>
      <c r="AM33" s="1">
        <v>2012.0</v>
      </c>
      <c r="AN33" s="1">
        <v>2013.0</v>
      </c>
      <c r="AO33" s="1" t="s">
        <v>222</v>
      </c>
    </row>
    <row r="34">
      <c r="A34" s="5">
        <v>1.0</v>
      </c>
      <c r="B34" s="1">
        <f t="shared" si="1"/>
        <v>34</v>
      </c>
      <c r="C34" s="1" t="s">
        <v>223</v>
      </c>
      <c r="D34" s="1" t="s">
        <v>223</v>
      </c>
      <c r="E34" s="1" t="s">
        <v>224</v>
      </c>
      <c r="G34" s="1">
        <v>365051.0</v>
      </c>
      <c r="H34" s="2">
        <v>41359.0</v>
      </c>
      <c r="I34" s="1" t="s">
        <v>225</v>
      </c>
      <c r="K34" s="1" t="s">
        <v>225</v>
      </c>
      <c r="N34" s="1" t="s">
        <v>151</v>
      </c>
      <c r="O34" s="1">
        <v>6900.0</v>
      </c>
      <c r="P34" s="1" t="s">
        <v>151</v>
      </c>
      <c r="Q34" s="1" t="str">
        <f>IF(ISERROR(VLOOKUP(P34,'unique fed agency names'!A:C,3,FALSE)),P34,VLOOKUP(P34,'unique fed agency names'!A:C,3,FALSE))
</f>
        <v>U.S. Department of Transportation (DOT)</v>
      </c>
      <c r="R34" s="1">
        <v>1.1855476E8</v>
      </c>
      <c r="S34" s="1" t="s">
        <v>73</v>
      </c>
      <c r="T34" s="1" t="str">
        <f>IF(ISERROR(VLOOKUP(S34,'unique org names'!A:C,3,FALSE)),S34,VLOOKUP(S34,'unique org names'!A:C,3,FALSE))
</f>
        <v>City Of Detroit</v>
      </c>
      <c r="U34" s="1" t="s">
        <v>226</v>
      </c>
      <c r="V34" s="1" t="s">
        <v>227</v>
      </c>
      <c r="W34" s="1" t="s">
        <v>44</v>
      </c>
      <c r="X34" s="1" t="s">
        <v>45</v>
      </c>
      <c r="Y34" s="1">
        <v>4.82262886E8</v>
      </c>
      <c r="AA34" s="1" t="s">
        <v>46</v>
      </c>
      <c r="AB34" s="1" t="s">
        <v>45</v>
      </c>
      <c r="AC34" s="1">
        <v>4.82262886E8</v>
      </c>
      <c r="AD34" s="1">
        <v>6530661.0</v>
      </c>
      <c r="AE34" s="1" t="s">
        <v>76</v>
      </c>
      <c r="AF34" s="1">
        <v>365051.0</v>
      </c>
      <c r="AG34" s="2">
        <v>41359.0</v>
      </c>
      <c r="AH34" s="1">
        <v>6900.0</v>
      </c>
      <c r="AI34" s="1" t="s">
        <v>151</v>
      </c>
      <c r="AJ34" s="1">
        <v>1.0</v>
      </c>
      <c r="AK34" s="1" t="s">
        <v>228</v>
      </c>
      <c r="AL34" s="1">
        <v>4.0</v>
      </c>
      <c r="AM34" s="1">
        <v>2013.0</v>
      </c>
      <c r="AN34" s="1">
        <v>2013.0</v>
      </c>
      <c r="AO34" s="1" t="s">
        <v>229</v>
      </c>
    </row>
    <row r="35">
      <c r="A35" s="5">
        <v>1.0</v>
      </c>
      <c r="B35" s="1">
        <f t="shared" si="1"/>
        <v>35</v>
      </c>
      <c r="C35" s="1" t="s">
        <v>230</v>
      </c>
      <c r="D35" s="1" t="s">
        <v>230</v>
      </c>
      <c r="E35" s="1" t="s">
        <v>224</v>
      </c>
      <c r="G35" s="1">
        <v>2423169.0</v>
      </c>
      <c r="H35" s="2">
        <v>41359.0</v>
      </c>
      <c r="I35" s="1" t="s">
        <v>225</v>
      </c>
      <c r="K35" s="1" t="s">
        <v>225</v>
      </c>
      <c r="N35" s="1" t="s">
        <v>151</v>
      </c>
      <c r="O35" s="1">
        <v>6900.0</v>
      </c>
      <c r="P35" s="1" t="s">
        <v>151</v>
      </c>
      <c r="Q35" s="1" t="str">
        <f>IF(ISERROR(VLOOKUP(P35,'unique fed agency names'!A:C,3,FALSE)),P35,VLOOKUP(P35,'unique fed agency names'!A:C,3,FALSE))
</f>
        <v>U.S. Department of Transportation (DOT)</v>
      </c>
      <c r="R35" s="1">
        <v>1.1855476E8</v>
      </c>
      <c r="S35" s="1" t="s">
        <v>73</v>
      </c>
      <c r="T35" s="1" t="str">
        <f>IF(ISERROR(VLOOKUP(S35,'unique org names'!A:C,3,FALSE)),S35,VLOOKUP(S35,'unique org names'!A:C,3,FALSE))
</f>
        <v>City Of Detroit</v>
      </c>
      <c r="U35" s="1" t="s">
        <v>226</v>
      </c>
      <c r="V35" s="1" t="s">
        <v>227</v>
      </c>
      <c r="W35" s="1" t="s">
        <v>44</v>
      </c>
      <c r="X35" s="1" t="s">
        <v>45</v>
      </c>
      <c r="Y35" s="1">
        <v>4.82262886E8</v>
      </c>
      <c r="AA35" s="1" t="s">
        <v>46</v>
      </c>
      <c r="AB35" s="1" t="s">
        <v>45</v>
      </c>
      <c r="AC35" s="1">
        <v>4.82262886E8</v>
      </c>
      <c r="AD35" s="1">
        <v>6530661.0</v>
      </c>
      <c r="AE35" s="1" t="s">
        <v>76</v>
      </c>
      <c r="AF35" s="1">
        <v>2423169.25</v>
      </c>
      <c r="AG35" s="2">
        <v>41359.0</v>
      </c>
      <c r="AH35" s="1">
        <v>6900.0</v>
      </c>
      <c r="AI35" s="1" t="s">
        <v>151</v>
      </c>
      <c r="AJ35" s="1">
        <v>1.0</v>
      </c>
      <c r="AK35" s="1" t="s">
        <v>228</v>
      </c>
      <c r="AL35" s="1">
        <v>4.0</v>
      </c>
      <c r="AM35" s="1">
        <v>2013.0</v>
      </c>
      <c r="AN35" s="1">
        <v>2013.0</v>
      </c>
      <c r="AO35" s="1" t="s">
        <v>229</v>
      </c>
    </row>
    <row r="36">
      <c r="A36" s="5">
        <v>1.0</v>
      </c>
      <c r="B36" s="1">
        <f t="shared" si="1"/>
        <v>36</v>
      </c>
      <c r="C36" s="1" t="s">
        <v>137</v>
      </c>
      <c r="D36" s="1" t="s">
        <v>137</v>
      </c>
      <c r="E36" s="1" t="s">
        <v>129</v>
      </c>
      <c r="G36" s="1">
        <v>1.7038268E7</v>
      </c>
      <c r="H36" s="2">
        <v>41362.0</v>
      </c>
      <c r="I36" s="1" t="s">
        <v>138</v>
      </c>
      <c r="K36" s="1" t="s">
        <v>138</v>
      </c>
      <c r="N36" s="1" t="s">
        <v>40</v>
      </c>
      <c r="O36" s="1">
        <v>7500.0</v>
      </c>
      <c r="P36" s="1" t="s">
        <v>40</v>
      </c>
      <c r="Q36" s="1" t="str">
        <f>IF(ISERROR(VLOOKUP(P36,'unique fed agency names'!A:C,3,FALSE)),P36,VLOOKUP(P36,'unique fed agency names'!A:C,3,FALSE))
</f>
        <v>U.S. Department of Health and Human Services (DHHS)</v>
      </c>
      <c r="R36" s="1">
        <v>6.9840817E7</v>
      </c>
      <c r="S36" s="1" t="s">
        <v>131</v>
      </c>
      <c r="T36" s="1" t="str">
        <f>IF(ISERROR(VLOOKUP(S36,'unique org names'!A:C,3,FALSE)),S36,VLOOKUP(S36,'unique org names'!A:C,3,FALSE))
</f>
        <v>LUTHERAN SOCIAL SERVICES OF MICHIGAN</v>
      </c>
      <c r="V36" s="1" t="s">
        <v>132</v>
      </c>
      <c r="W36" s="1" t="s">
        <v>44</v>
      </c>
      <c r="X36" s="1" t="s">
        <v>45</v>
      </c>
      <c r="Y36" s="1">
        <v>4.8214261E8</v>
      </c>
      <c r="AA36" s="1" t="s">
        <v>46</v>
      </c>
      <c r="AB36" s="1" t="s">
        <v>45</v>
      </c>
      <c r="AC36" s="1">
        <v>4.8214261E8</v>
      </c>
      <c r="AD36" s="1">
        <v>6.9840817E7</v>
      </c>
      <c r="AE36" s="1" t="s">
        <v>131</v>
      </c>
      <c r="AF36" s="1">
        <v>95906.0</v>
      </c>
      <c r="AG36" s="2">
        <v>41362.0</v>
      </c>
      <c r="AH36" s="1">
        <v>7500.0</v>
      </c>
      <c r="AI36" s="1" t="s">
        <v>40</v>
      </c>
      <c r="AJ36" s="1" t="s">
        <v>231</v>
      </c>
      <c r="AK36" s="1" t="s">
        <v>140</v>
      </c>
      <c r="AL36" s="1">
        <v>3.0</v>
      </c>
      <c r="AM36" s="1">
        <v>2013.0</v>
      </c>
      <c r="AN36" s="1">
        <v>2013.0</v>
      </c>
      <c r="AO36" s="1" t="s">
        <v>141</v>
      </c>
    </row>
    <row r="37">
      <c r="A37" s="5">
        <v>1.0</v>
      </c>
      <c r="B37" s="1">
        <f t="shared" si="1"/>
        <v>37</v>
      </c>
      <c r="C37" s="1" t="s">
        <v>232</v>
      </c>
      <c r="D37" s="1" t="s">
        <v>232</v>
      </c>
      <c r="E37" s="1" t="s">
        <v>233</v>
      </c>
      <c r="G37" s="1">
        <v>3293101.0</v>
      </c>
      <c r="H37" s="2">
        <v>41183.0</v>
      </c>
      <c r="I37" s="1" t="s">
        <v>234</v>
      </c>
      <c r="K37" s="1" t="s">
        <v>234</v>
      </c>
      <c r="N37" s="1" t="s">
        <v>151</v>
      </c>
      <c r="O37" s="1">
        <v>6900.0</v>
      </c>
      <c r="P37" s="1" t="s">
        <v>151</v>
      </c>
      <c r="Q37" s="1" t="str">
        <f>IF(ISERROR(VLOOKUP(P37,'unique fed agency names'!A:C,3,FALSE)),P37,VLOOKUP(P37,'unique fed agency names'!A:C,3,FALSE))
</f>
        <v>U.S. Department of Transportation (DOT)</v>
      </c>
      <c r="R37" s="1">
        <v>1962224.0</v>
      </c>
      <c r="S37" s="1" t="s">
        <v>52</v>
      </c>
      <c r="T37" s="1" t="str">
        <f>IF(ISERROR(VLOOKUP(S37,'unique org names'!A:C,3,FALSE)),S37,VLOOKUP(S37,'unique org names'!A:C,3,FALSE))
</f>
        <v>WAYNE STATE UNIVERSITY</v>
      </c>
      <c r="V37" s="1" t="s">
        <v>53</v>
      </c>
      <c r="W37" s="1" t="s">
        <v>44</v>
      </c>
      <c r="X37" s="1" t="s">
        <v>45</v>
      </c>
      <c r="Y37" s="1">
        <v>4.82023692E8</v>
      </c>
      <c r="AA37" s="1" t="s">
        <v>46</v>
      </c>
      <c r="AB37" s="1" t="s">
        <v>45</v>
      </c>
      <c r="AC37" s="1">
        <v>4.82023692E8</v>
      </c>
      <c r="AD37" s="1">
        <v>1962224.0</v>
      </c>
      <c r="AE37" s="1" t="s">
        <v>52</v>
      </c>
      <c r="AF37" s="1">
        <v>180000.0</v>
      </c>
      <c r="AG37" s="2">
        <v>41183.0</v>
      </c>
      <c r="AH37" s="1">
        <v>6900.0</v>
      </c>
      <c r="AI37" s="1" t="s">
        <v>151</v>
      </c>
      <c r="AJ37" s="1" t="s">
        <v>235</v>
      </c>
      <c r="AK37" s="1" t="s">
        <v>236</v>
      </c>
      <c r="AL37" s="1">
        <v>2.0</v>
      </c>
      <c r="AM37" s="1">
        <v>2013.0</v>
      </c>
      <c r="AN37" s="1">
        <v>2013.0</v>
      </c>
      <c r="AO37" s="1" t="s">
        <v>237</v>
      </c>
    </row>
    <row r="38">
      <c r="A38" s="5">
        <v>1.0</v>
      </c>
      <c r="B38" s="1">
        <f t="shared" si="1"/>
        <v>38</v>
      </c>
      <c r="C38" s="1" t="s">
        <v>232</v>
      </c>
      <c r="D38" s="1" t="s">
        <v>232</v>
      </c>
      <c r="E38" s="1" t="s">
        <v>233</v>
      </c>
      <c r="G38" s="1">
        <v>3293101.0</v>
      </c>
      <c r="H38" s="2">
        <v>41183.0</v>
      </c>
      <c r="I38" s="1" t="s">
        <v>234</v>
      </c>
      <c r="K38" s="1" t="s">
        <v>234</v>
      </c>
      <c r="N38" s="1" t="s">
        <v>151</v>
      </c>
      <c r="O38" s="1">
        <v>6900.0</v>
      </c>
      <c r="P38" s="1" t="s">
        <v>151</v>
      </c>
      <c r="Q38" s="1" t="str">
        <f>IF(ISERROR(VLOOKUP(P38,'unique fed agency names'!A:C,3,FALSE)),P38,VLOOKUP(P38,'unique fed agency names'!A:C,3,FALSE))
</f>
        <v>U.S. Department of Transportation (DOT)</v>
      </c>
      <c r="R38" s="1">
        <v>1.37199266E8</v>
      </c>
      <c r="S38" s="1" t="s">
        <v>73</v>
      </c>
      <c r="T38" s="1" t="str">
        <f>IF(ISERROR(VLOOKUP(S38,'unique org names'!A:C,3,FALSE)),S38,VLOOKUP(S38,'unique org names'!A:C,3,FALSE))
</f>
        <v>City Of Detroit</v>
      </c>
      <c r="U38" s="1" t="s">
        <v>74</v>
      </c>
      <c r="V38" s="1" t="s">
        <v>75</v>
      </c>
      <c r="W38" s="1" t="s">
        <v>44</v>
      </c>
      <c r="X38" s="1" t="s">
        <v>45</v>
      </c>
      <c r="Y38" s="1">
        <v>4.82262308E8</v>
      </c>
      <c r="AA38" s="1" t="s">
        <v>46</v>
      </c>
      <c r="AB38" s="1" t="s">
        <v>45</v>
      </c>
      <c r="AC38" s="1">
        <v>4.82262308E8</v>
      </c>
      <c r="AD38" s="1">
        <v>6530661.0</v>
      </c>
      <c r="AE38" s="1" t="s">
        <v>76</v>
      </c>
      <c r="AF38" s="1">
        <v>300000.0</v>
      </c>
      <c r="AG38" s="2">
        <v>41183.0</v>
      </c>
      <c r="AH38" s="1">
        <v>6900.0</v>
      </c>
      <c r="AI38" s="1" t="s">
        <v>151</v>
      </c>
      <c r="AJ38" s="1" t="s">
        <v>238</v>
      </c>
      <c r="AK38" s="1" t="s">
        <v>239</v>
      </c>
      <c r="AL38" s="1">
        <v>2.0</v>
      </c>
      <c r="AM38" s="1">
        <v>2013.0</v>
      </c>
      <c r="AN38" s="1">
        <v>2013.0</v>
      </c>
      <c r="AO38" s="1" t="s">
        <v>237</v>
      </c>
    </row>
    <row r="39">
      <c r="A39" s="5">
        <v>1.0</v>
      </c>
      <c r="B39" s="1">
        <f t="shared" si="1"/>
        <v>39</v>
      </c>
      <c r="C39" s="1" t="s">
        <v>240</v>
      </c>
      <c r="D39" s="1" t="s">
        <v>240</v>
      </c>
      <c r="E39" s="1" t="s">
        <v>224</v>
      </c>
      <c r="G39" s="1">
        <v>1371811.0</v>
      </c>
      <c r="H39" s="2">
        <v>41345.0</v>
      </c>
      <c r="I39" s="1" t="s">
        <v>241</v>
      </c>
      <c r="K39" s="1" t="s">
        <v>241</v>
      </c>
      <c r="N39" s="1" t="s">
        <v>151</v>
      </c>
      <c r="O39" s="1">
        <v>6900.0</v>
      </c>
      <c r="P39" s="1" t="s">
        <v>151</v>
      </c>
      <c r="Q39" s="1" t="str">
        <f>IF(ISERROR(VLOOKUP(P39,'unique fed agency names'!A:C,3,FALSE)),P39,VLOOKUP(P39,'unique fed agency names'!A:C,3,FALSE))
</f>
        <v>U.S. Department of Transportation (DOT)</v>
      </c>
      <c r="R39" s="1">
        <v>7.84079899E8</v>
      </c>
      <c r="S39" s="1" t="s">
        <v>242</v>
      </c>
      <c r="T39" s="1" t="str">
        <f>IF(ISERROR(VLOOKUP(S39,'unique org names'!A:C,3,FALSE)),S39,VLOOKUP(S39,'unique org names'!A:C,3,FALSE))
</f>
        <v>City Of Eastpointe</v>
      </c>
      <c r="U39" s="1" t="s">
        <v>243</v>
      </c>
      <c r="V39" s="1" t="s">
        <v>244</v>
      </c>
      <c r="W39" s="1" t="s">
        <v>245</v>
      </c>
      <c r="X39" s="1" t="s">
        <v>45</v>
      </c>
      <c r="Y39" s="1">
        <v>4.80211683E8</v>
      </c>
      <c r="AA39" s="1" t="s">
        <v>245</v>
      </c>
      <c r="AB39" s="1" t="s">
        <v>45</v>
      </c>
      <c r="AC39" s="1">
        <v>4.80211683E8</v>
      </c>
      <c r="AD39" s="1">
        <v>6.9831964E7</v>
      </c>
      <c r="AF39" s="1">
        <v>1371811.77</v>
      </c>
      <c r="AG39" s="2">
        <v>41345.0</v>
      </c>
      <c r="AH39" s="1">
        <v>6900.0</v>
      </c>
      <c r="AI39" s="1" t="s">
        <v>151</v>
      </c>
      <c r="AJ39" s="1">
        <v>1.0</v>
      </c>
      <c r="AK39" s="1" t="s">
        <v>246</v>
      </c>
      <c r="AL39" s="1">
        <v>4.0</v>
      </c>
      <c r="AM39" s="1">
        <v>2013.0</v>
      </c>
      <c r="AN39" s="1">
        <v>2013.0</v>
      </c>
      <c r="AO39" s="1" t="s">
        <v>229</v>
      </c>
    </row>
    <row r="40">
      <c r="A40" s="5">
        <v>1.0</v>
      </c>
      <c r="B40" s="1">
        <f t="shared" si="1"/>
        <v>40</v>
      </c>
      <c r="C40" s="1" t="s">
        <v>247</v>
      </c>
      <c r="D40" s="1" t="s">
        <v>247</v>
      </c>
      <c r="E40" s="1" t="s">
        <v>224</v>
      </c>
      <c r="G40" s="1">
        <v>1169155.0</v>
      </c>
      <c r="H40" s="2">
        <v>41345.0</v>
      </c>
      <c r="I40" s="1" t="s">
        <v>248</v>
      </c>
      <c r="K40" s="1" t="s">
        <v>248</v>
      </c>
      <c r="N40" s="1" t="s">
        <v>151</v>
      </c>
      <c r="O40" s="1">
        <v>6900.0</v>
      </c>
      <c r="P40" s="1" t="s">
        <v>151</v>
      </c>
      <c r="Q40" s="1" t="str">
        <f>IF(ISERROR(VLOOKUP(P40,'unique fed agency names'!A:C,3,FALSE)),P40,VLOOKUP(P40,'unique fed agency names'!A:C,3,FALSE))
</f>
        <v>U.S. Department of Transportation (DOT)</v>
      </c>
      <c r="R40" s="1">
        <v>7.84079899E8</v>
      </c>
      <c r="S40" s="1" t="s">
        <v>242</v>
      </c>
      <c r="T40" s="1" t="str">
        <f>IF(ISERROR(VLOOKUP(S40,'unique org names'!A:C,3,FALSE)),S40,VLOOKUP(S40,'unique org names'!A:C,3,FALSE))
</f>
        <v>City Of Eastpointe</v>
      </c>
      <c r="U40" s="1" t="s">
        <v>243</v>
      </c>
      <c r="V40" s="1" t="s">
        <v>244</v>
      </c>
      <c r="W40" s="1" t="s">
        <v>245</v>
      </c>
      <c r="X40" s="1" t="s">
        <v>45</v>
      </c>
      <c r="Y40" s="1">
        <v>4.80211683E8</v>
      </c>
      <c r="AA40" s="1" t="s">
        <v>245</v>
      </c>
      <c r="AB40" s="1" t="s">
        <v>45</v>
      </c>
      <c r="AC40" s="1">
        <v>4.80211683E8</v>
      </c>
      <c r="AD40" s="1">
        <v>6.9831964E7</v>
      </c>
      <c r="AF40" s="1">
        <v>1169155.91</v>
      </c>
      <c r="AG40" s="2">
        <v>41345.0</v>
      </c>
      <c r="AH40" s="1">
        <v>6900.0</v>
      </c>
      <c r="AI40" s="1" t="s">
        <v>151</v>
      </c>
      <c r="AJ40" s="1">
        <v>1.0</v>
      </c>
      <c r="AK40" s="1" t="s">
        <v>249</v>
      </c>
      <c r="AL40" s="1">
        <v>4.0</v>
      </c>
      <c r="AM40" s="1">
        <v>2013.0</v>
      </c>
      <c r="AN40" s="1">
        <v>2013.0</v>
      </c>
      <c r="AO40" s="1" t="s">
        <v>229</v>
      </c>
    </row>
    <row r="41">
      <c r="A41" s="5">
        <v>1.0</v>
      </c>
      <c r="B41" s="1">
        <f t="shared" si="1"/>
        <v>41</v>
      </c>
      <c r="C41" s="1" t="s">
        <v>250</v>
      </c>
      <c r="D41" s="1" t="s">
        <v>250</v>
      </c>
      <c r="E41" s="1" t="s">
        <v>38</v>
      </c>
      <c r="G41" s="1">
        <v>1017485.0</v>
      </c>
      <c r="H41" s="2">
        <v>41338.0</v>
      </c>
      <c r="I41" s="1" t="s">
        <v>251</v>
      </c>
      <c r="K41" s="1" t="s">
        <v>251</v>
      </c>
      <c r="N41" s="1" t="s">
        <v>40</v>
      </c>
      <c r="O41" s="1">
        <v>7500.0</v>
      </c>
      <c r="P41" s="1" t="s">
        <v>40</v>
      </c>
      <c r="Q41" s="1" t="str">
        <f>IF(ISERROR(VLOOKUP(P41,'unique fed agency names'!A:C,3,FALSE)),P41,VLOOKUP(P41,'unique fed agency names'!A:C,3,FALSE))
</f>
        <v>U.S. Department of Health and Human Services (DHHS)</v>
      </c>
      <c r="R41" s="1">
        <v>7.3134603E7</v>
      </c>
      <c r="S41" s="1" t="s">
        <v>41</v>
      </c>
      <c r="T41" s="1" t="str">
        <f>IF(ISERROR(VLOOKUP(S41,'unique org names'!A:C,3,FALSE)),S41,VLOOKUP(S41,'unique org names'!A:C,3,FALSE))
</f>
        <v>Henry Ford Health System</v>
      </c>
      <c r="U41" s="1" t="s">
        <v>252</v>
      </c>
      <c r="V41" s="1" t="s">
        <v>253</v>
      </c>
      <c r="W41" s="1" t="s">
        <v>44</v>
      </c>
      <c r="X41" s="1" t="s">
        <v>45</v>
      </c>
      <c r="Y41" s="1">
        <v>4.8202345E8</v>
      </c>
      <c r="AA41" s="1" t="s">
        <v>46</v>
      </c>
      <c r="AB41" s="1" t="s">
        <v>45</v>
      </c>
      <c r="AC41" s="1">
        <v>4.82022608E8</v>
      </c>
      <c r="AD41" s="1">
        <v>7.3134603E7</v>
      </c>
      <c r="AE41" s="1" t="s">
        <v>41</v>
      </c>
      <c r="AF41" s="1">
        <v>27500.0</v>
      </c>
      <c r="AG41" s="2">
        <v>41338.0</v>
      </c>
      <c r="AH41" s="1">
        <v>7500.0</v>
      </c>
      <c r="AI41" s="1" t="s">
        <v>40</v>
      </c>
      <c r="AJ41" s="1" t="s">
        <v>254</v>
      </c>
      <c r="AK41" s="1" t="s">
        <v>255</v>
      </c>
      <c r="AL41" s="1">
        <v>4.0</v>
      </c>
      <c r="AM41" s="1">
        <v>2013.0</v>
      </c>
      <c r="AN41" s="1">
        <v>2013.0</v>
      </c>
      <c r="AO41" s="1" t="s">
        <v>256</v>
      </c>
    </row>
    <row r="42">
      <c r="A42" s="5">
        <v>1.0</v>
      </c>
      <c r="B42" s="1">
        <f t="shared" si="1"/>
        <v>42</v>
      </c>
      <c r="C42" s="1" t="s">
        <v>257</v>
      </c>
      <c r="D42" s="1" t="s">
        <v>257</v>
      </c>
      <c r="E42" s="1" t="s">
        <v>224</v>
      </c>
      <c r="G42" s="1">
        <v>155523.0</v>
      </c>
      <c r="H42" s="2">
        <v>41347.0</v>
      </c>
      <c r="I42" s="1" t="s">
        <v>258</v>
      </c>
      <c r="K42" s="1" t="s">
        <v>258</v>
      </c>
      <c r="N42" s="1" t="s">
        <v>151</v>
      </c>
      <c r="O42" s="1">
        <v>6900.0</v>
      </c>
      <c r="P42" s="1" t="s">
        <v>151</v>
      </c>
      <c r="Q42" s="1" t="str">
        <f>IF(ISERROR(VLOOKUP(P42,'unique fed agency names'!A:C,3,FALSE)),P42,VLOOKUP(P42,'unique fed agency names'!A:C,3,FALSE))
</f>
        <v>U.S. Department of Transportation (DOT)</v>
      </c>
      <c r="R42" s="1">
        <v>9.63886101E8</v>
      </c>
      <c r="S42" s="1" t="s">
        <v>259</v>
      </c>
      <c r="T42" s="1" t="str">
        <f>IF(ISERROR(VLOOKUP(S42,'unique org names'!A:C,3,FALSE)),S42,VLOOKUP(S42,'unique org names'!A:C,3,FALSE))
</f>
        <v>Wayne County</v>
      </c>
      <c r="V42" s="1" t="s">
        <v>260</v>
      </c>
      <c r="W42" s="1" t="s">
        <v>44</v>
      </c>
      <c r="X42" s="1" t="s">
        <v>45</v>
      </c>
      <c r="Y42" s="1">
        <v>4.8226348E8</v>
      </c>
      <c r="AA42" s="1" t="s">
        <v>46</v>
      </c>
      <c r="AB42" s="1" t="s">
        <v>45</v>
      </c>
      <c r="AC42" s="1">
        <v>4.8226348E8</v>
      </c>
      <c r="AD42" s="1">
        <v>7.3134884E7</v>
      </c>
      <c r="AE42" s="1" t="s">
        <v>261</v>
      </c>
      <c r="AF42" s="1">
        <v>155523.01</v>
      </c>
      <c r="AG42" s="2">
        <v>41347.0</v>
      </c>
      <c r="AH42" s="1">
        <v>6900.0</v>
      </c>
      <c r="AI42" s="1" t="s">
        <v>151</v>
      </c>
      <c r="AJ42" s="1">
        <v>1.0</v>
      </c>
      <c r="AK42" s="1" t="s">
        <v>262</v>
      </c>
      <c r="AL42" s="1">
        <v>4.0</v>
      </c>
      <c r="AM42" s="1">
        <v>2013.0</v>
      </c>
      <c r="AN42" s="1">
        <v>2013.0</v>
      </c>
      <c r="AO42" s="1" t="s">
        <v>229</v>
      </c>
    </row>
    <row r="43">
      <c r="A43" s="5">
        <v>1.0</v>
      </c>
      <c r="B43" s="1">
        <f t="shared" si="1"/>
        <v>43</v>
      </c>
      <c r="C43" s="1" t="s">
        <v>263</v>
      </c>
      <c r="D43" s="1" t="s">
        <v>263</v>
      </c>
      <c r="E43" s="1" t="s">
        <v>224</v>
      </c>
      <c r="G43" s="1">
        <v>1126594.0</v>
      </c>
      <c r="H43" s="2">
        <v>41345.0</v>
      </c>
      <c r="I43" s="1" t="s">
        <v>264</v>
      </c>
      <c r="K43" s="1" t="s">
        <v>264</v>
      </c>
      <c r="N43" s="1" t="s">
        <v>151</v>
      </c>
      <c r="O43" s="1">
        <v>6900.0</v>
      </c>
      <c r="P43" s="1" t="s">
        <v>151</v>
      </c>
      <c r="Q43" s="1" t="str">
        <f>IF(ISERROR(VLOOKUP(P43,'unique fed agency names'!A:C,3,FALSE)),P43,VLOOKUP(P43,'unique fed agency names'!A:C,3,FALSE))
</f>
        <v>U.S. Department of Transportation (DOT)</v>
      </c>
      <c r="R43" s="1">
        <v>9.63886101E8</v>
      </c>
      <c r="S43" s="1" t="s">
        <v>259</v>
      </c>
      <c r="T43" s="1" t="str">
        <f>IF(ISERROR(VLOOKUP(S43,'unique org names'!A:C,3,FALSE)),S43,VLOOKUP(S43,'unique org names'!A:C,3,FALSE))
</f>
        <v>Wayne County</v>
      </c>
      <c r="V43" s="1" t="s">
        <v>260</v>
      </c>
      <c r="W43" s="1" t="s">
        <v>44</v>
      </c>
      <c r="X43" s="1" t="s">
        <v>45</v>
      </c>
      <c r="Y43" s="1">
        <v>4.8226348E8</v>
      </c>
      <c r="AA43" s="1" t="s">
        <v>46</v>
      </c>
      <c r="AB43" s="1" t="s">
        <v>45</v>
      </c>
      <c r="AC43" s="1">
        <v>4.8226348E8</v>
      </c>
      <c r="AD43" s="1">
        <v>7.3134884E7</v>
      </c>
      <c r="AE43" s="1" t="s">
        <v>261</v>
      </c>
      <c r="AF43" s="1">
        <v>1126594.04</v>
      </c>
      <c r="AG43" s="2">
        <v>41345.0</v>
      </c>
      <c r="AH43" s="1">
        <v>6900.0</v>
      </c>
      <c r="AI43" s="1" t="s">
        <v>151</v>
      </c>
      <c r="AJ43" s="1">
        <v>1.0</v>
      </c>
      <c r="AK43" s="1" t="s">
        <v>265</v>
      </c>
      <c r="AL43" s="1">
        <v>4.0</v>
      </c>
      <c r="AM43" s="1">
        <v>2013.0</v>
      </c>
      <c r="AN43" s="1">
        <v>2013.0</v>
      </c>
      <c r="AO43" s="1" t="s">
        <v>229</v>
      </c>
    </row>
    <row r="44">
      <c r="A44" s="5">
        <v>1.0</v>
      </c>
      <c r="B44" s="1">
        <f t="shared" si="1"/>
        <v>44</v>
      </c>
      <c r="C44" s="1" t="s">
        <v>266</v>
      </c>
      <c r="D44" s="1" t="s">
        <v>266</v>
      </c>
      <c r="E44" s="1" t="s">
        <v>224</v>
      </c>
      <c r="G44" s="1">
        <v>254062.0</v>
      </c>
      <c r="H44" s="2">
        <v>41361.0</v>
      </c>
      <c r="I44" s="1" t="s">
        <v>267</v>
      </c>
      <c r="K44" s="1" t="s">
        <v>267</v>
      </c>
      <c r="N44" s="1" t="s">
        <v>151</v>
      </c>
      <c r="O44" s="1">
        <v>6900.0</v>
      </c>
      <c r="P44" s="1" t="s">
        <v>151</v>
      </c>
      <c r="Q44" s="1" t="str">
        <f>IF(ISERROR(VLOOKUP(P44,'unique fed agency names'!A:C,3,FALSE)),P44,VLOOKUP(P44,'unique fed agency names'!A:C,3,FALSE))
</f>
        <v>U.S. Department of Transportation (DOT)</v>
      </c>
      <c r="R44" s="1">
        <v>1.1855476E8</v>
      </c>
      <c r="S44" s="1" t="s">
        <v>73</v>
      </c>
      <c r="T44" s="1" t="str">
        <f>IF(ISERROR(VLOOKUP(S44,'unique org names'!A:C,3,FALSE)),S44,VLOOKUP(S44,'unique org names'!A:C,3,FALSE))
</f>
        <v>City Of Detroit</v>
      </c>
      <c r="U44" s="1" t="s">
        <v>226</v>
      </c>
      <c r="V44" s="1" t="s">
        <v>227</v>
      </c>
      <c r="W44" s="1" t="s">
        <v>44</v>
      </c>
      <c r="X44" s="1" t="s">
        <v>45</v>
      </c>
      <c r="Y44" s="1">
        <v>4.82262886E8</v>
      </c>
      <c r="AA44" s="1" t="s">
        <v>46</v>
      </c>
      <c r="AB44" s="1" t="s">
        <v>45</v>
      </c>
      <c r="AC44" s="1">
        <v>4.82262886E8</v>
      </c>
      <c r="AD44" s="1">
        <v>6530661.0</v>
      </c>
      <c r="AE44" s="1" t="s">
        <v>76</v>
      </c>
      <c r="AF44" s="1">
        <v>254062.4</v>
      </c>
      <c r="AG44" s="2">
        <v>41361.0</v>
      </c>
      <c r="AH44" s="1">
        <v>6900.0</v>
      </c>
      <c r="AI44" s="1" t="s">
        <v>151</v>
      </c>
      <c r="AJ44" s="1">
        <v>1.0</v>
      </c>
      <c r="AK44" s="1" t="s">
        <v>268</v>
      </c>
      <c r="AL44" s="1">
        <v>4.0</v>
      </c>
      <c r="AM44" s="1">
        <v>2013.0</v>
      </c>
      <c r="AN44" s="1">
        <v>2013.0</v>
      </c>
      <c r="AO44" s="1" t="s">
        <v>229</v>
      </c>
    </row>
    <row r="45">
      <c r="A45" s="5">
        <v>1.0</v>
      </c>
      <c r="B45" s="1">
        <f t="shared" si="1"/>
        <v>45</v>
      </c>
      <c r="C45" s="1" t="s">
        <v>269</v>
      </c>
      <c r="D45" s="1" t="s">
        <v>269</v>
      </c>
      <c r="E45" s="1" t="s">
        <v>224</v>
      </c>
      <c r="G45" s="1">
        <v>921029.0</v>
      </c>
      <c r="H45" s="2">
        <v>41361.0</v>
      </c>
      <c r="I45" s="1" t="s">
        <v>270</v>
      </c>
      <c r="K45" s="1" t="s">
        <v>270</v>
      </c>
      <c r="N45" s="1" t="s">
        <v>151</v>
      </c>
      <c r="O45" s="1">
        <v>6900.0</v>
      </c>
      <c r="P45" s="1" t="s">
        <v>151</v>
      </c>
      <c r="Q45" s="1" t="str">
        <f>IF(ISERROR(VLOOKUP(P45,'unique fed agency names'!A:C,3,FALSE)),P45,VLOOKUP(P45,'unique fed agency names'!A:C,3,FALSE))
</f>
        <v>U.S. Department of Transportation (DOT)</v>
      </c>
      <c r="R45" s="1">
        <v>9.63886101E8</v>
      </c>
      <c r="S45" s="1" t="s">
        <v>259</v>
      </c>
      <c r="T45" s="1" t="str">
        <f>IF(ISERROR(VLOOKUP(S45,'unique org names'!A:C,3,FALSE)),S45,VLOOKUP(S45,'unique org names'!A:C,3,FALSE))
</f>
        <v>Wayne County</v>
      </c>
      <c r="V45" s="1" t="s">
        <v>260</v>
      </c>
      <c r="W45" s="1" t="s">
        <v>44</v>
      </c>
      <c r="X45" s="1" t="s">
        <v>45</v>
      </c>
      <c r="Y45" s="1">
        <v>4.8226348E8</v>
      </c>
      <c r="AA45" s="1" t="s">
        <v>46</v>
      </c>
      <c r="AB45" s="1" t="s">
        <v>45</v>
      </c>
      <c r="AC45" s="1">
        <v>4.8226348E8</v>
      </c>
      <c r="AD45" s="1">
        <v>7.3134884E7</v>
      </c>
      <c r="AE45" s="1" t="s">
        <v>261</v>
      </c>
      <c r="AF45" s="1">
        <v>921029.56</v>
      </c>
      <c r="AG45" s="2">
        <v>41361.0</v>
      </c>
      <c r="AH45" s="1">
        <v>6900.0</v>
      </c>
      <c r="AI45" s="1" t="s">
        <v>151</v>
      </c>
      <c r="AJ45" s="1">
        <v>1.0</v>
      </c>
      <c r="AK45" s="1" t="s">
        <v>271</v>
      </c>
      <c r="AL45" s="1">
        <v>4.0</v>
      </c>
      <c r="AM45" s="1">
        <v>2013.0</v>
      </c>
      <c r="AN45" s="1">
        <v>2013.0</v>
      </c>
      <c r="AO45" s="1" t="s">
        <v>229</v>
      </c>
    </row>
    <row r="46">
      <c r="A46" s="5">
        <v>1.0</v>
      </c>
      <c r="B46" s="1">
        <f t="shared" si="1"/>
        <v>46</v>
      </c>
      <c r="C46" s="1" t="s">
        <v>187</v>
      </c>
      <c r="D46" s="1" t="s">
        <v>187</v>
      </c>
      <c r="E46" s="1" t="s">
        <v>188</v>
      </c>
      <c r="G46" s="1">
        <v>1.356288E7</v>
      </c>
      <c r="H46" s="2">
        <v>41362.0</v>
      </c>
      <c r="I46" s="1" t="s">
        <v>189</v>
      </c>
      <c r="K46" s="1" t="s">
        <v>189</v>
      </c>
      <c r="N46" s="1" t="s">
        <v>188</v>
      </c>
      <c r="O46" s="1">
        <v>1900.0</v>
      </c>
      <c r="P46" s="1" t="s">
        <v>188</v>
      </c>
      <c r="Q46" s="1" t="str">
        <f>IF(ISERROR(VLOOKUP(P46,'unique fed agency names'!A:C,3,FALSE)),P46,VLOOKUP(P46,'unique fed agency names'!A:C,3,FALSE))
</f>
        <v>U.S. Department of State</v>
      </c>
      <c r="R46" s="1">
        <v>6.9840817E7</v>
      </c>
      <c r="S46" s="1" t="s">
        <v>131</v>
      </c>
      <c r="T46" s="1" t="str">
        <f>IF(ISERROR(VLOOKUP(S46,'unique org names'!A:C,3,FALSE)),S46,VLOOKUP(S46,'unique org names'!A:C,3,FALSE))
</f>
        <v>LUTHERAN SOCIAL SERVICES OF MICHIGAN</v>
      </c>
      <c r="V46" s="1" t="s">
        <v>132</v>
      </c>
      <c r="W46" s="1" t="s">
        <v>44</v>
      </c>
      <c r="X46" s="1" t="s">
        <v>45</v>
      </c>
      <c r="Y46" s="1">
        <v>4.8214261E8</v>
      </c>
      <c r="AA46" s="1" t="s">
        <v>46</v>
      </c>
      <c r="AB46" s="1" t="s">
        <v>45</v>
      </c>
      <c r="AC46" s="1">
        <v>4.8214261E8</v>
      </c>
      <c r="AD46" s="1">
        <v>6.9840817E7</v>
      </c>
      <c r="AE46" s="1" t="s">
        <v>131</v>
      </c>
      <c r="AF46" s="1">
        <v>504800.0</v>
      </c>
      <c r="AG46" s="2">
        <v>41362.0</v>
      </c>
      <c r="AH46" s="1">
        <v>1900.0</v>
      </c>
      <c r="AI46" s="1" t="s">
        <v>188</v>
      </c>
      <c r="AJ46" s="1" t="s">
        <v>272</v>
      </c>
      <c r="AK46" s="1" t="s">
        <v>191</v>
      </c>
      <c r="AL46" s="1">
        <v>3.0</v>
      </c>
      <c r="AM46" s="1">
        <v>2013.0</v>
      </c>
      <c r="AN46" s="1">
        <v>2013.0</v>
      </c>
      <c r="AO46" s="1" t="s">
        <v>192</v>
      </c>
    </row>
    <row r="47">
      <c r="A47" s="5">
        <v>1.0</v>
      </c>
      <c r="B47" s="1">
        <f t="shared" si="1"/>
        <v>47</v>
      </c>
      <c r="C47" s="1" t="s">
        <v>273</v>
      </c>
      <c r="D47" s="1" t="s">
        <v>273</v>
      </c>
      <c r="E47" s="1" t="s">
        <v>194</v>
      </c>
      <c r="G47" s="1">
        <v>2513837.0</v>
      </c>
      <c r="H47" s="2">
        <v>41383.0</v>
      </c>
      <c r="I47" s="1" t="s">
        <v>274</v>
      </c>
      <c r="K47" s="1" t="s">
        <v>274</v>
      </c>
      <c r="N47" s="1" t="s">
        <v>194</v>
      </c>
      <c r="O47" s="1">
        <v>9100.0</v>
      </c>
      <c r="P47" s="1" t="s">
        <v>194</v>
      </c>
      <c r="Q47" s="1" t="str">
        <f>IF(ISERROR(VLOOKUP(P47,'unique fed agency names'!A:C,3,FALSE)),P47,VLOOKUP(P47,'unique fed agency names'!A:C,3,FALSE))
</f>
        <v>U.S. Department of Education (ED)</v>
      </c>
      <c r="R47" s="1">
        <v>1962224.0</v>
      </c>
      <c r="S47" s="1" t="s">
        <v>52</v>
      </c>
      <c r="T47" s="1" t="str">
        <f>IF(ISERROR(VLOOKUP(S47,'unique org names'!A:C,3,FALSE)),S47,VLOOKUP(S47,'unique org names'!A:C,3,FALSE))
</f>
        <v>WAYNE STATE UNIVERSITY</v>
      </c>
      <c r="V47" s="1" t="s">
        <v>53</v>
      </c>
      <c r="W47" s="1" t="s">
        <v>44</v>
      </c>
      <c r="X47" s="1" t="s">
        <v>45</v>
      </c>
      <c r="Y47" s="1">
        <v>4.82023692E8</v>
      </c>
      <c r="AA47" s="1" t="s">
        <v>46</v>
      </c>
      <c r="AB47" s="1" t="s">
        <v>45</v>
      </c>
      <c r="AC47" s="1">
        <v>4.82023424E8</v>
      </c>
      <c r="AD47" s="1">
        <v>1962224.0</v>
      </c>
      <c r="AE47" s="1" t="s">
        <v>52</v>
      </c>
      <c r="AF47" s="1">
        <v>268342.0</v>
      </c>
      <c r="AG47" s="2">
        <v>41383.0</v>
      </c>
      <c r="AH47" s="1">
        <v>9100.0</v>
      </c>
      <c r="AI47" s="1" t="s">
        <v>194</v>
      </c>
      <c r="AJ47" s="1" t="s">
        <v>275</v>
      </c>
      <c r="AK47" s="1" t="s">
        <v>276</v>
      </c>
      <c r="AL47" s="1">
        <v>7.0</v>
      </c>
      <c r="AM47" s="1">
        <v>2012.0</v>
      </c>
      <c r="AN47" s="1">
        <v>2013.0</v>
      </c>
      <c r="AO47" s="1" t="s">
        <v>277</v>
      </c>
    </row>
    <row r="48">
      <c r="A48" s="5">
        <v>1.0</v>
      </c>
      <c r="B48" s="1">
        <f t="shared" si="1"/>
        <v>48</v>
      </c>
      <c r="C48" s="1" t="s">
        <v>278</v>
      </c>
      <c r="D48" s="1" t="s">
        <v>278</v>
      </c>
      <c r="E48" s="1" t="s">
        <v>194</v>
      </c>
      <c r="G48" s="1">
        <v>4.1284256E7</v>
      </c>
      <c r="H48" s="2">
        <v>41186.0</v>
      </c>
      <c r="I48" s="1" t="s">
        <v>279</v>
      </c>
      <c r="K48" s="1" t="s">
        <v>279</v>
      </c>
      <c r="N48" s="1" t="s">
        <v>194</v>
      </c>
      <c r="O48" s="1">
        <v>9100.0</v>
      </c>
      <c r="P48" s="1" t="s">
        <v>194</v>
      </c>
      <c r="Q48" s="1" t="str">
        <f>IF(ISERROR(VLOOKUP(P48,'unique fed agency names'!A:C,3,FALSE)),P48,VLOOKUP(P48,'unique fed agency names'!A:C,3,FALSE))
</f>
        <v>U.S. Department of Education (ED)</v>
      </c>
      <c r="R48" s="1">
        <v>8.01081899E8</v>
      </c>
      <c r="S48" s="1" t="s">
        <v>280</v>
      </c>
      <c r="T48" s="1" t="str">
        <f>IF(ISERROR(VLOOKUP(S48,'unique org names'!A:C,3,FALSE)),S48,VLOOKUP(S48,'unique org names'!A:C,3,FALSE))
</f>
        <v>ACE ACADEMY</v>
      </c>
      <c r="V48" s="1" t="s">
        <v>281</v>
      </c>
      <c r="W48" s="1" t="s">
        <v>44</v>
      </c>
      <c r="X48" s="1" t="s">
        <v>45</v>
      </c>
      <c r="Y48" s="1">
        <v>4.82033277E8</v>
      </c>
      <c r="AA48" s="1" t="s">
        <v>282</v>
      </c>
      <c r="AB48" s="1" t="s">
        <v>45</v>
      </c>
      <c r="AC48" s="1">
        <v>4.82202899E8</v>
      </c>
      <c r="AF48" s="1">
        <v>1350000.0</v>
      </c>
      <c r="AG48" s="2">
        <v>41186.0</v>
      </c>
      <c r="AH48" s="1">
        <v>9100.0</v>
      </c>
      <c r="AI48" s="1" t="s">
        <v>194</v>
      </c>
      <c r="AJ48" s="1" t="s">
        <v>283</v>
      </c>
      <c r="AK48" s="1" t="s">
        <v>284</v>
      </c>
      <c r="AL48" s="1">
        <v>4.0</v>
      </c>
      <c r="AM48" s="1">
        <v>2013.0</v>
      </c>
      <c r="AN48" s="1">
        <v>2013.0</v>
      </c>
      <c r="AO48" s="1" t="s">
        <v>285</v>
      </c>
    </row>
    <row r="49">
      <c r="A49" s="5">
        <v>1.0</v>
      </c>
      <c r="B49" s="1">
        <f t="shared" si="1"/>
        <v>49</v>
      </c>
      <c r="C49" s="1" t="s">
        <v>232</v>
      </c>
      <c r="D49" s="1" t="s">
        <v>232</v>
      </c>
      <c r="E49" s="1" t="s">
        <v>233</v>
      </c>
      <c r="G49" s="1">
        <v>3293101.0</v>
      </c>
      <c r="H49" s="2">
        <v>41206.0</v>
      </c>
      <c r="I49" s="1" t="s">
        <v>234</v>
      </c>
      <c r="K49" s="1" t="s">
        <v>234</v>
      </c>
      <c r="N49" s="1" t="s">
        <v>151</v>
      </c>
      <c r="O49" s="1">
        <v>6900.0</v>
      </c>
      <c r="P49" s="1" t="s">
        <v>151</v>
      </c>
      <c r="Q49" s="1" t="str">
        <f>IF(ISERROR(VLOOKUP(P49,'unique fed agency names'!A:C,3,FALSE)),P49,VLOOKUP(P49,'unique fed agency names'!A:C,3,FALSE))
</f>
        <v>U.S. Department of Transportation (DOT)</v>
      </c>
      <c r="R49" s="1">
        <v>7.3134884E7</v>
      </c>
      <c r="S49" s="1" t="s">
        <v>259</v>
      </c>
      <c r="T49" s="1" t="str">
        <f>IF(ISERROR(VLOOKUP(S49,'unique org names'!A:C,3,FALSE)),S49,VLOOKUP(S49,'unique org names'!A:C,3,FALSE))
</f>
        <v>Wayne County</v>
      </c>
      <c r="V49" s="1" t="s">
        <v>286</v>
      </c>
      <c r="W49" s="1" t="s">
        <v>44</v>
      </c>
      <c r="X49" s="1" t="s">
        <v>45</v>
      </c>
      <c r="Y49" s="1">
        <v>4.82262841E8</v>
      </c>
      <c r="AA49" s="1" t="s">
        <v>287</v>
      </c>
      <c r="AB49" s="1" t="s">
        <v>45</v>
      </c>
      <c r="AC49" s="1">
        <v>4.8186953E8</v>
      </c>
      <c r="AD49" s="1">
        <v>7.3134884E7</v>
      </c>
      <c r="AE49" s="1" t="s">
        <v>261</v>
      </c>
      <c r="AF49" s="1">
        <v>275000.0</v>
      </c>
      <c r="AG49" s="2">
        <v>41206.0</v>
      </c>
      <c r="AH49" s="1">
        <v>6900.0</v>
      </c>
      <c r="AI49" s="1" t="s">
        <v>151</v>
      </c>
      <c r="AJ49" s="1" t="s">
        <v>288</v>
      </c>
      <c r="AK49" s="1" t="s">
        <v>239</v>
      </c>
      <c r="AL49" s="1">
        <v>2.0</v>
      </c>
      <c r="AM49" s="1">
        <v>2013.0</v>
      </c>
      <c r="AN49" s="1">
        <v>2013.0</v>
      </c>
      <c r="AO49" s="1" t="s">
        <v>237</v>
      </c>
    </row>
    <row r="50">
      <c r="A50" s="5">
        <v>1.0</v>
      </c>
      <c r="B50" s="1">
        <f t="shared" si="1"/>
        <v>50</v>
      </c>
      <c r="C50" s="1" t="s">
        <v>278</v>
      </c>
      <c r="D50" s="1" t="s">
        <v>278</v>
      </c>
      <c r="E50" s="1" t="s">
        <v>194</v>
      </c>
      <c r="G50" s="1">
        <v>4.1284256E7</v>
      </c>
      <c r="H50" s="2">
        <v>41204.0</v>
      </c>
      <c r="I50" s="1" t="s">
        <v>279</v>
      </c>
      <c r="K50" s="1" t="s">
        <v>279</v>
      </c>
      <c r="N50" s="1" t="s">
        <v>194</v>
      </c>
      <c r="O50" s="1">
        <v>9100.0</v>
      </c>
      <c r="P50" s="1" t="s">
        <v>194</v>
      </c>
      <c r="Q50" s="1" t="str">
        <f>IF(ISERROR(VLOOKUP(P50,'unique fed agency names'!A:C,3,FALSE)),P50,VLOOKUP(P50,'unique fed agency names'!A:C,3,FALSE))
</f>
        <v>U.S. Department of Education (ED)</v>
      </c>
      <c r="R50" s="1">
        <v>1.66664495E8</v>
      </c>
      <c r="S50" s="1" t="s">
        <v>289</v>
      </c>
      <c r="T50" s="1" t="str">
        <f>IF(ISERROR(VLOOKUP(S50,'unique org names'!A:C,3,FALSE)),S50,VLOOKUP(S50,'unique org names'!A:C,3,FALSE))
</f>
        <v>DETROIT YOUTH FOUNDATION</v>
      </c>
      <c r="U50" s="1" t="s">
        <v>290</v>
      </c>
      <c r="V50" s="1" t="s">
        <v>291</v>
      </c>
      <c r="W50" s="1" t="s">
        <v>44</v>
      </c>
      <c r="X50" s="1" t="s">
        <v>45</v>
      </c>
      <c r="Y50" s="1">
        <v>4.82023158E8</v>
      </c>
      <c r="AA50" s="1" t="s">
        <v>46</v>
      </c>
      <c r="AB50" s="1" t="s">
        <v>45</v>
      </c>
      <c r="AC50" s="1">
        <v>4.82023157E8</v>
      </c>
      <c r="AF50" s="1">
        <v>405000.0</v>
      </c>
      <c r="AG50" s="2">
        <v>41204.0</v>
      </c>
      <c r="AH50" s="1">
        <v>9100.0</v>
      </c>
      <c r="AI50" s="1" t="s">
        <v>194</v>
      </c>
      <c r="AJ50" s="1" t="s">
        <v>292</v>
      </c>
      <c r="AK50" s="1" t="s">
        <v>284</v>
      </c>
      <c r="AL50" s="1">
        <v>4.0</v>
      </c>
      <c r="AM50" s="1">
        <v>2013.0</v>
      </c>
      <c r="AN50" s="1">
        <v>2013.0</v>
      </c>
      <c r="AO50" s="1" t="s">
        <v>285</v>
      </c>
    </row>
    <row r="51">
      <c r="A51" s="5">
        <v>1.0</v>
      </c>
      <c r="B51" s="1">
        <f t="shared" si="1"/>
        <v>51</v>
      </c>
      <c r="C51" s="1" t="s">
        <v>293</v>
      </c>
      <c r="D51" s="1" t="s">
        <v>293</v>
      </c>
      <c r="E51" s="1" t="s">
        <v>224</v>
      </c>
      <c r="G51" s="1">
        <v>472261.0</v>
      </c>
      <c r="H51" s="2">
        <v>41255.0</v>
      </c>
      <c r="I51" s="1" t="s">
        <v>294</v>
      </c>
      <c r="K51" s="1" t="s">
        <v>294</v>
      </c>
      <c r="N51" s="1" t="s">
        <v>151</v>
      </c>
      <c r="O51" s="1">
        <v>6900.0</v>
      </c>
      <c r="P51" s="1" t="s">
        <v>151</v>
      </c>
      <c r="Q51" s="1" t="str">
        <f>IF(ISERROR(VLOOKUP(P51,'unique fed agency names'!A:C,3,FALSE)),P51,VLOOKUP(P51,'unique fed agency names'!A:C,3,FALSE))
</f>
        <v>U.S. Department of Transportation (DOT)</v>
      </c>
      <c r="R51" s="1">
        <v>9.63886101E8</v>
      </c>
      <c r="S51" s="1" t="s">
        <v>259</v>
      </c>
      <c r="T51" s="1" t="str">
        <f>IF(ISERROR(VLOOKUP(S51,'unique org names'!A:C,3,FALSE)),S51,VLOOKUP(S51,'unique org names'!A:C,3,FALSE))
</f>
        <v>Wayne County</v>
      </c>
      <c r="V51" s="1" t="s">
        <v>260</v>
      </c>
      <c r="W51" s="1" t="s">
        <v>44</v>
      </c>
      <c r="X51" s="1" t="s">
        <v>45</v>
      </c>
      <c r="Y51" s="1">
        <v>4.8226348E8</v>
      </c>
      <c r="AA51" s="1" t="s">
        <v>46</v>
      </c>
      <c r="AB51" s="1" t="s">
        <v>45</v>
      </c>
      <c r="AC51" s="1">
        <v>4.8226348E8</v>
      </c>
      <c r="AD51" s="1">
        <v>7.3134884E7</v>
      </c>
      <c r="AE51" s="1" t="s">
        <v>261</v>
      </c>
      <c r="AF51" s="1">
        <v>472261.55</v>
      </c>
      <c r="AG51" s="2">
        <v>41255.0</v>
      </c>
      <c r="AH51" s="1">
        <v>6900.0</v>
      </c>
      <c r="AI51" s="1" t="s">
        <v>151</v>
      </c>
      <c r="AJ51" s="1">
        <v>1.0</v>
      </c>
      <c r="AK51" s="1" t="s">
        <v>295</v>
      </c>
      <c r="AL51" s="1">
        <v>5.0</v>
      </c>
      <c r="AM51" s="1">
        <v>2013.0</v>
      </c>
      <c r="AN51" s="1">
        <v>2013.0</v>
      </c>
      <c r="AO51" s="1" t="s">
        <v>229</v>
      </c>
    </row>
    <row r="52">
      <c r="A52" s="5">
        <v>1.0</v>
      </c>
      <c r="B52" s="1">
        <f t="shared" si="1"/>
        <v>52</v>
      </c>
      <c r="C52" s="1" t="s">
        <v>296</v>
      </c>
      <c r="D52" s="1" t="s">
        <v>296</v>
      </c>
      <c r="E52" s="1" t="s">
        <v>100</v>
      </c>
      <c r="G52" s="1">
        <v>1303371.0</v>
      </c>
      <c r="H52" s="2">
        <v>41319.0</v>
      </c>
      <c r="I52" s="1" t="s">
        <v>297</v>
      </c>
      <c r="K52" s="1" t="s">
        <v>297</v>
      </c>
      <c r="N52" s="1" t="s">
        <v>102</v>
      </c>
      <c r="O52" s="1">
        <v>8600.0</v>
      </c>
      <c r="P52" s="1" t="s">
        <v>102</v>
      </c>
      <c r="Q52" s="1" t="str">
        <f>IF(ISERROR(VLOOKUP(P52,'unique fed agency names'!A:C,3,FALSE)),P52,VLOOKUP(P52,'unique fed agency names'!A:C,3,FALSE))
</f>
        <v>U.S. Department of Housing and Urban Development (HUD)</v>
      </c>
      <c r="R52" s="1">
        <v>4.9263668E7</v>
      </c>
      <c r="S52" s="1" t="s">
        <v>298</v>
      </c>
      <c r="T52" s="1" t="str">
        <f>IF(ISERROR(VLOOKUP(S52,'unique org names'!A:C,3,FALSE)),S52,VLOOKUP(S52,'unique org names'!A:C,3,FALSE))
</f>
        <v>WADE TRIM ASSOCIATES, INC.</v>
      </c>
      <c r="V52" s="1" t="s">
        <v>299</v>
      </c>
      <c r="W52" s="1" t="s">
        <v>44</v>
      </c>
      <c r="X52" s="1" t="s">
        <v>45</v>
      </c>
      <c r="Y52" s="1">
        <v>4.82264481E8</v>
      </c>
      <c r="AA52" s="1" t="s">
        <v>300</v>
      </c>
      <c r="AB52" s="1" t="s">
        <v>301</v>
      </c>
      <c r="AC52" s="1">
        <v>3.36341148E8</v>
      </c>
      <c r="AD52" s="1">
        <v>3.9866249E7</v>
      </c>
      <c r="AE52" s="1" t="s">
        <v>302</v>
      </c>
      <c r="AF52" s="1">
        <v>49940.0</v>
      </c>
      <c r="AG52" s="2">
        <v>41319.0</v>
      </c>
      <c r="AH52" s="1">
        <v>8600.0</v>
      </c>
      <c r="AI52" s="1" t="s">
        <v>102</v>
      </c>
      <c r="AJ52" s="1" t="s">
        <v>303</v>
      </c>
      <c r="AK52" s="1" t="s">
        <v>304</v>
      </c>
      <c r="AL52" s="1">
        <v>3.0</v>
      </c>
      <c r="AM52" s="1">
        <v>2013.0</v>
      </c>
      <c r="AN52" s="1">
        <v>2013.0</v>
      </c>
      <c r="AO52" s="1" t="s">
        <v>305</v>
      </c>
    </row>
    <row r="53">
      <c r="A53" s="5">
        <v>1.0</v>
      </c>
      <c r="B53" s="1">
        <f t="shared" si="1"/>
        <v>53</v>
      </c>
      <c r="C53" s="1" t="s">
        <v>306</v>
      </c>
      <c r="D53" s="1" t="s">
        <v>306</v>
      </c>
      <c r="E53" s="1" t="s">
        <v>50</v>
      </c>
      <c r="G53" s="1">
        <v>2303343.0</v>
      </c>
      <c r="H53" s="2">
        <v>41244.0</v>
      </c>
      <c r="I53" s="1" t="s">
        <v>307</v>
      </c>
      <c r="K53" s="1" t="s">
        <v>307</v>
      </c>
      <c r="N53" s="1" t="s">
        <v>50</v>
      </c>
      <c r="O53" s="1">
        <v>8900.0</v>
      </c>
      <c r="P53" s="1" t="s">
        <v>50</v>
      </c>
      <c r="Q53" s="1" t="str">
        <f>IF(ISERROR(VLOOKUP(P53,'unique fed agency names'!A:C,3,FALSE)),P53,VLOOKUP(P53,'unique fed agency names'!A:C,3,FALSE))
</f>
        <v>U.S. Department of Energy</v>
      </c>
      <c r="R53" s="1">
        <v>8.32447812E8</v>
      </c>
      <c r="S53" s="1" t="s">
        <v>308</v>
      </c>
      <c r="T53" s="1" t="str">
        <f>IF(ISERROR(VLOOKUP(S53,'unique org names'!A:C,3,FALSE)),S53,VLOOKUP(S53,'unique org names'!A:C,3,FALSE))
</f>
        <v>General Motors</v>
      </c>
      <c r="U53" s="1" t="s">
        <v>309</v>
      </c>
      <c r="V53" s="1" t="s">
        <v>310</v>
      </c>
      <c r="W53" s="1" t="s">
        <v>44</v>
      </c>
      <c r="X53" s="1" t="s">
        <v>45</v>
      </c>
      <c r="Y53" s="1">
        <v>4.82431403E8</v>
      </c>
      <c r="AA53" s="1" t="s">
        <v>46</v>
      </c>
      <c r="AB53" s="1" t="s">
        <v>45</v>
      </c>
      <c r="AC53" s="1">
        <v>4.82431403E8</v>
      </c>
      <c r="AD53" s="1">
        <v>8.32447812E8</v>
      </c>
      <c r="AF53" s="1">
        <v>81079.0</v>
      </c>
      <c r="AG53" s="2">
        <v>41244.0</v>
      </c>
      <c r="AH53" s="1">
        <v>8900.0</v>
      </c>
      <c r="AI53" s="1" t="s">
        <v>50</v>
      </c>
      <c r="AJ53" s="1">
        <v>503020.0</v>
      </c>
      <c r="AK53" s="1" t="s">
        <v>311</v>
      </c>
      <c r="AL53" s="1">
        <v>12.0</v>
      </c>
      <c r="AM53" s="1">
        <v>2012.0</v>
      </c>
      <c r="AN53" s="1">
        <v>2013.0</v>
      </c>
      <c r="AO53" s="1" t="s">
        <v>312</v>
      </c>
    </row>
    <row r="54">
      <c r="A54" s="5">
        <v>1.0</v>
      </c>
      <c r="B54" s="1">
        <f t="shared" si="1"/>
        <v>54</v>
      </c>
      <c r="C54" s="1" t="s">
        <v>313</v>
      </c>
      <c r="D54" s="1" t="s">
        <v>313</v>
      </c>
      <c r="E54" s="1" t="s">
        <v>224</v>
      </c>
      <c r="G54" s="1">
        <v>170564.0</v>
      </c>
      <c r="H54" s="2">
        <v>41345.0</v>
      </c>
      <c r="I54" s="1" t="s">
        <v>264</v>
      </c>
      <c r="K54" s="1" t="s">
        <v>264</v>
      </c>
      <c r="N54" s="1" t="s">
        <v>151</v>
      </c>
      <c r="O54" s="1">
        <v>6900.0</v>
      </c>
      <c r="P54" s="1" t="s">
        <v>151</v>
      </c>
      <c r="Q54" s="1" t="str">
        <f>IF(ISERROR(VLOOKUP(P54,'unique fed agency names'!A:C,3,FALSE)),P54,VLOOKUP(P54,'unique fed agency names'!A:C,3,FALSE))
</f>
        <v>U.S. Department of Transportation (DOT)</v>
      </c>
      <c r="R54" s="1">
        <v>9.63886101E8</v>
      </c>
      <c r="S54" s="1" t="s">
        <v>259</v>
      </c>
      <c r="T54" s="1" t="str">
        <f>IF(ISERROR(VLOOKUP(S54,'unique org names'!A:C,3,FALSE)),S54,VLOOKUP(S54,'unique org names'!A:C,3,FALSE))
</f>
        <v>Wayne County</v>
      </c>
      <c r="V54" s="1" t="s">
        <v>260</v>
      </c>
      <c r="W54" s="1" t="s">
        <v>44</v>
      </c>
      <c r="X54" s="1" t="s">
        <v>45</v>
      </c>
      <c r="Y54" s="1">
        <v>4.8226348E8</v>
      </c>
      <c r="AA54" s="1" t="s">
        <v>46</v>
      </c>
      <c r="AB54" s="1" t="s">
        <v>45</v>
      </c>
      <c r="AC54" s="1">
        <v>4.8226348E8</v>
      </c>
      <c r="AD54" s="1">
        <v>7.3134884E7</v>
      </c>
      <c r="AE54" s="1" t="s">
        <v>261</v>
      </c>
      <c r="AF54" s="1">
        <v>170564.76</v>
      </c>
      <c r="AG54" s="2">
        <v>41345.0</v>
      </c>
      <c r="AH54" s="1">
        <v>6900.0</v>
      </c>
      <c r="AI54" s="1" t="s">
        <v>151</v>
      </c>
      <c r="AJ54" s="1">
        <v>1.0</v>
      </c>
      <c r="AK54" s="1" t="s">
        <v>265</v>
      </c>
      <c r="AL54" s="1">
        <v>4.0</v>
      </c>
      <c r="AM54" s="1">
        <v>2013.0</v>
      </c>
      <c r="AN54" s="1">
        <v>2013.0</v>
      </c>
      <c r="AO54" s="1" t="s">
        <v>229</v>
      </c>
    </row>
    <row r="55">
      <c r="A55" s="5">
        <v>1.0</v>
      </c>
      <c r="B55" s="1">
        <f t="shared" si="1"/>
        <v>55</v>
      </c>
      <c r="C55" s="1" t="s">
        <v>314</v>
      </c>
      <c r="D55" s="1" t="s">
        <v>314</v>
      </c>
      <c r="E55" s="1" t="s">
        <v>224</v>
      </c>
      <c r="G55" s="1">
        <v>1041091.0</v>
      </c>
      <c r="H55" s="2">
        <v>41347.0</v>
      </c>
      <c r="I55" s="1" t="s">
        <v>258</v>
      </c>
      <c r="K55" s="1" t="s">
        <v>258</v>
      </c>
      <c r="N55" s="1" t="s">
        <v>151</v>
      </c>
      <c r="O55" s="1">
        <v>6900.0</v>
      </c>
      <c r="P55" s="1" t="s">
        <v>151</v>
      </c>
      <c r="Q55" s="1" t="str">
        <f>IF(ISERROR(VLOOKUP(P55,'unique fed agency names'!A:C,3,FALSE)),P55,VLOOKUP(P55,'unique fed agency names'!A:C,3,FALSE))
</f>
        <v>U.S. Department of Transportation (DOT)</v>
      </c>
      <c r="R55" s="1">
        <v>9.63886101E8</v>
      </c>
      <c r="S55" s="1" t="s">
        <v>259</v>
      </c>
      <c r="T55" s="1" t="str">
        <f>IF(ISERROR(VLOOKUP(S55,'unique org names'!A:C,3,FALSE)),S55,VLOOKUP(S55,'unique org names'!A:C,3,FALSE))
</f>
        <v>Wayne County</v>
      </c>
      <c r="V55" s="1" t="s">
        <v>260</v>
      </c>
      <c r="W55" s="1" t="s">
        <v>44</v>
      </c>
      <c r="X55" s="1" t="s">
        <v>45</v>
      </c>
      <c r="Y55" s="1">
        <v>4.8226348E8</v>
      </c>
      <c r="AA55" s="1" t="s">
        <v>46</v>
      </c>
      <c r="AB55" s="1" t="s">
        <v>45</v>
      </c>
      <c r="AC55" s="1">
        <v>4.8226348E8</v>
      </c>
      <c r="AD55" s="1">
        <v>7.3134884E7</v>
      </c>
      <c r="AE55" s="1" t="s">
        <v>261</v>
      </c>
      <c r="AF55" s="1">
        <v>1041091.97</v>
      </c>
      <c r="AG55" s="2">
        <v>41347.0</v>
      </c>
      <c r="AH55" s="1">
        <v>6900.0</v>
      </c>
      <c r="AI55" s="1" t="s">
        <v>151</v>
      </c>
      <c r="AJ55" s="1">
        <v>1.0</v>
      </c>
      <c r="AK55" s="1" t="s">
        <v>262</v>
      </c>
      <c r="AL55" s="1">
        <v>4.0</v>
      </c>
      <c r="AM55" s="1">
        <v>2013.0</v>
      </c>
      <c r="AN55" s="1">
        <v>2013.0</v>
      </c>
      <c r="AO55" s="1" t="s">
        <v>229</v>
      </c>
    </row>
    <row r="56">
      <c r="A56" s="5">
        <v>1.0</v>
      </c>
      <c r="B56" s="1">
        <f t="shared" si="1"/>
        <v>56</v>
      </c>
      <c r="C56" s="1" t="s">
        <v>315</v>
      </c>
      <c r="D56" s="1" t="s">
        <v>315</v>
      </c>
      <c r="E56" s="1" t="s">
        <v>224</v>
      </c>
      <c r="G56" s="1">
        <v>139730.0</v>
      </c>
      <c r="H56" s="2">
        <v>41361.0</v>
      </c>
      <c r="I56" s="1" t="s">
        <v>270</v>
      </c>
      <c r="K56" s="1" t="s">
        <v>270</v>
      </c>
      <c r="N56" s="1" t="s">
        <v>151</v>
      </c>
      <c r="O56" s="1">
        <v>6900.0</v>
      </c>
      <c r="P56" s="1" t="s">
        <v>151</v>
      </c>
      <c r="Q56" s="1" t="str">
        <f>IF(ISERROR(VLOOKUP(P56,'unique fed agency names'!A:C,3,FALSE)),P56,VLOOKUP(P56,'unique fed agency names'!A:C,3,FALSE))
</f>
        <v>U.S. Department of Transportation (DOT)</v>
      </c>
      <c r="R56" s="1">
        <v>9.63886101E8</v>
      </c>
      <c r="S56" s="1" t="s">
        <v>259</v>
      </c>
      <c r="T56" s="1" t="str">
        <f>IF(ISERROR(VLOOKUP(S56,'unique org names'!A:C,3,FALSE)),S56,VLOOKUP(S56,'unique org names'!A:C,3,FALSE))
</f>
        <v>Wayne County</v>
      </c>
      <c r="V56" s="1" t="s">
        <v>260</v>
      </c>
      <c r="W56" s="1" t="s">
        <v>44</v>
      </c>
      <c r="X56" s="1" t="s">
        <v>45</v>
      </c>
      <c r="Y56" s="1">
        <v>4.8226348E8</v>
      </c>
      <c r="AA56" s="1" t="s">
        <v>46</v>
      </c>
      <c r="AB56" s="1" t="s">
        <v>45</v>
      </c>
      <c r="AC56" s="1">
        <v>4.8226348E8</v>
      </c>
      <c r="AD56" s="1">
        <v>7.3134884E7</v>
      </c>
      <c r="AE56" s="1" t="s">
        <v>261</v>
      </c>
      <c r="AF56" s="1">
        <v>139730.05</v>
      </c>
      <c r="AG56" s="2">
        <v>41361.0</v>
      </c>
      <c r="AH56" s="1">
        <v>6900.0</v>
      </c>
      <c r="AI56" s="1" t="s">
        <v>151</v>
      </c>
      <c r="AJ56" s="1">
        <v>1.0</v>
      </c>
      <c r="AK56" s="1" t="s">
        <v>271</v>
      </c>
      <c r="AL56" s="1">
        <v>4.0</v>
      </c>
      <c r="AM56" s="1">
        <v>2013.0</v>
      </c>
      <c r="AN56" s="1">
        <v>2013.0</v>
      </c>
      <c r="AO56" s="1" t="s">
        <v>229</v>
      </c>
    </row>
    <row r="57">
      <c r="A57" s="5">
        <v>1.0</v>
      </c>
      <c r="B57" s="1">
        <f t="shared" si="1"/>
        <v>57</v>
      </c>
      <c r="C57" s="1" t="s">
        <v>128</v>
      </c>
      <c r="D57" s="1" t="s">
        <v>128</v>
      </c>
      <c r="E57" s="1" t="s">
        <v>129</v>
      </c>
      <c r="G57" s="1">
        <v>1.50612E7</v>
      </c>
      <c r="H57" s="2">
        <v>41362.0</v>
      </c>
      <c r="I57" s="1" t="s">
        <v>130</v>
      </c>
      <c r="K57" s="1" t="s">
        <v>130</v>
      </c>
      <c r="N57" s="1" t="s">
        <v>40</v>
      </c>
      <c r="O57" s="1">
        <v>7500.0</v>
      </c>
      <c r="P57" s="1" t="s">
        <v>40</v>
      </c>
      <c r="Q57" s="1" t="str">
        <f>IF(ISERROR(VLOOKUP(P57,'unique fed agency names'!A:C,3,FALSE)),P57,VLOOKUP(P57,'unique fed agency names'!A:C,3,FALSE))
</f>
        <v>U.S. Department of Health and Human Services (DHHS)</v>
      </c>
      <c r="R57" s="1">
        <v>6.9840817E7</v>
      </c>
      <c r="S57" s="1" t="s">
        <v>131</v>
      </c>
      <c r="T57" s="1" t="str">
        <f>IF(ISERROR(VLOOKUP(S57,'unique org names'!A:C,3,FALSE)),S57,VLOOKUP(S57,'unique org names'!A:C,3,FALSE))
</f>
        <v>LUTHERAN SOCIAL SERVICES OF MICHIGAN</v>
      </c>
      <c r="V57" s="1" t="s">
        <v>132</v>
      </c>
      <c r="W57" s="1" t="s">
        <v>44</v>
      </c>
      <c r="X57" s="1" t="s">
        <v>45</v>
      </c>
      <c r="Y57" s="1">
        <v>4.8214261E8</v>
      </c>
      <c r="AA57" s="1" t="s">
        <v>133</v>
      </c>
      <c r="AB57" s="1" t="s">
        <v>45</v>
      </c>
      <c r="AC57" s="1">
        <v>4.8214261E8</v>
      </c>
      <c r="AD57" s="1">
        <v>6.9840817E7</v>
      </c>
      <c r="AE57" s="1" t="s">
        <v>131</v>
      </c>
      <c r="AF57" s="1">
        <v>178600.0</v>
      </c>
      <c r="AG57" s="2">
        <v>41362.0</v>
      </c>
      <c r="AH57" s="1">
        <v>7500.0</v>
      </c>
      <c r="AI57" s="1" t="s">
        <v>40</v>
      </c>
      <c r="AJ57" s="1" t="s">
        <v>316</v>
      </c>
      <c r="AK57" s="1" t="s">
        <v>135</v>
      </c>
      <c r="AL57" s="1">
        <v>3.0</v>
      </c>
      <c r="AM57" s="1">
        <v>2013.0</v>
      </c>
      <c r="AN57" s="1">
        <v>2013.0</v>
      </c>
      <c r="AO57" s="1" t="s">
        <v>136</v>
      </c>
    </row>
    <row r="58">
      <c r="A58" s="5">
        <v>1.0</v>
      </c>
      <c r="B58" s="1">
        <f t="shared" si="1"/>
        <v>58</v>
      </c>
      <c r="C58" s="1" t="s">
        <v>317</v>
      </c>
      <c r="D58" s="1" t="s">
        <v>317</v>
      </c>
      <c r="E58" s="1" t="s">
        <v>38</v>
      </c>
      <c r="G58" s="1">
        <v>811768.0</v>
      </c>
      <c r="H58" s="2">
        <v>41323.0</v>
      </c>
      <c r="I58" s="1" t="s">
        <v>318</v>
      </c>
      <c r="K58" s="1" t="s">
        <v>318</v>
      </c>
      <c r="N58" s="1" t="s">
        <v>40</v>
      </c>
      <c r="O58" s="1">
        <v>7500.0</v>
      </c>
      <c r="P58" s="1" t="s">
        <v>40</v>
      </c>
      <c r="Q58" s="1" t="str">
        <f>IF(ISERROR(VLOOKUP(P58,'unique fed agency names'!A:C,3,FALSE)),P58,VLOOKUP(P58,'unique fed agency names'!A:C,3,FALSE))
</f>
        <v>U.S. Department of Health and Human Services (DHHS)</v>
      </c>
      <c r="R58" s="1">
        <v>7.3134603E7</v>
      </c>
      <c r="S58" s="1" t="s">
        <v>41</v>
      </c>
      <c r="T58" s="1" t="str">
        <f>IF(ISERROR(VLOOKUP(S58,'unique org names'!A:C,3,FALSE)),S58,VLOOKUP(S58,'unique org names'!A:C,3,FALSE))
</f>
        <v>Henry Ford Health System</v>
      </c>
      <c r="U58" s="1" t="s">
        <v>42</v>
      </c>
      <c r="V58" s="1" t="s">
        <v>43</v>
      </c>
      <c r="W58" s="1" t="s">
        <v>44</v>
      </c>
      <c r="X58" s="1" t="s">
        <v>45</v>
      </c>
      <c r="Y58" s="1">
        <v>4.8202345E8</v>
      </c>
      <c r="AA58" s="1" t="s">
        <v>44</v>
      </c>
      <c r="AB58" s="1" t="s">
        <v>45</v>
      </c>
      <c r="AC58" s="1">
        <v>4.8202345E8</v>
      </c>
      <c r="AD58" s="1">
        <v>7.3134603E7</v>
      </c>
      <c r="AE58" s="1" t="s">
        <v>41</v>
      </c>
      <c r="AF58" s="1">
        <v>38232.0</v>
      </c>
      <c r="AG58" s="2">
        <v>41323.0</v>
      </c>
      <c r="AH58" s="1">
        <v>7500.0</v>
      </c>
      <c r="AI58" s="1" t="s">
        <v>40</v>
      </c>
      <c r="AJ58" s="1" t="s">
        <v>319</v>
      </c>
      <c r="AK58" s="1" t="s">
        <v>320</v>
      </c>
      <c r="AL58" s="1">
        <v>3.0</v>
      </c>
      <c r="AM58" s="1">
        <v>2013.0</v>
      </c>
      <c r="AN58" s="1">
        <v>2013.0</v>
      </c>
      <c r="AO58" s="1" t="s">
        <v>256</v>
      </c>
    </row>
    <row r="59">
      <c r="A59" s="5">
        <v>1.0</v>
      </c>
      <c r="B59" s="1">
        <f t="shared" si="1"/>
        <v>59</v>
      </c>
      <c r="C59" s="1" t="s">
        <v>321</v>
      </c>
      <c r="D59" s="1" t="s">
        <v>321</v>
      </c>
      <c r="E59" s="1" t="s">
        <v>100</v>
      </c>
      <c r="G59" s="1">
        <v>2200845.0</v>
      </c>
      <c r="H59" s="2">
        <v>41288.0</v>
      </c>
      <c r="I59" s="1" t="s">
        <v>322</v>
      </c>
      <c r="K59" s="1" t="s">
        <v>322</v>
      </c>
      <c r="N59" s="1" t="s">
        <v>102</v>
      </c>
      <c r="O59" s="1">
        <v>8600.0</v>
      </c>
      <c r="P59" s="1" t="s">
        <v>102</v>
      </c>
      <c r="Q59" s="1" t="str">
        <f>IF(ISERROR(VLOOKUP(P59,'unique fed agency names'!A:C,3,FALSE)),P59,VLOOKUP(P59,'unique fed agency names'!A:C,3,FALSE))
</f>
        <v>U.S. Department of Housing and Urban Development (HUD)</v>
      </c>
      <c r="R59" s="1">
        <v>6530661.0</v>
      </c>
      <c r="S59" s="1" t="s">
        <v>73</v>
      </c>
      <c r="T59" s="1" t="str">
        <f>IF(ISERROR(VLOOKUP(S59,'unique org names'!A:C,3,FALSE)),S59,VLOOKUP(S59,'unique org names'!A:C,3,FALSE))
</f>
        <v>City Of Detroit</v>
      </c>
      <c r="U59" s="1" t="s">
        <v>323</v>
      </c>
      <c r="V59" s="1" t="s">
        <v>324</v>
      </c>
      <c r="W59" s="1" t="s">
        <v>44</v>
      </c>
      <c r="X59" s="1" t="s">
        <v>45</v>
      </c>
      <c r="Y59" s="1">
        <v>4.8226E8</v>
      </c>
      <c r="AA59" s="1" t="s">
        <v>46</v>
      </c>
      <c r="AB59" s="1" t="s">
        <v>45</v>
      </c>
      <c r="AC59" s="1">
        <v>4.82263437E8</v>
      </c>
      <c r="AD59" s="1">
        <v>6530661.0</v>
      </c>
      <c r="AE59" s="1" t="s">
        <v>76</v>
      </c>
      <c r="AF59" s="1">
        <v>2200845.0</v>
      </c>
      <c r="AG59" s="2">
        <v>41288.0</v>
      </c>
      <c r="AH59" s="1">
        <v>8600.0</v>
      </c>
      <c r="AI59" s="1" t="s">
        <v>102</v>
      </c>
      <c r="AJ59" s="1">
        <v>4.0</v>
      </c>
      <c r="AK59" s="1" t="s">
        <v>325</v>
      </c>
      <c r="AL59" s="1">
        <v>2.0</v>
      </c>
      <c r="AM59" s="1">
        <v>2013.0</v>
      </c>
      <c r="AN59" s="1">
        <v>2013.0</v>
      </c>
      <c r="AO59" s="1" t="s">
        <v>326</v>
      </c>
    </row>
    <row r="60">
      <c r="A60" s="5">
        <v>1.0</v>
      </c>
      <c r="B60" s="1">
        <f t="shared" si="1"/>
        <v>60</v>
      </c>
      <c r="C60" s="1" t="s">
        <v>203</v>
      </c>
      <c r="D60" s="1" t="s">
        <v>203</v>
      </c>
      <c r="E60" s="1" t="s">
        <v>100</v>
      </c>
      <c r="G60" s="1">
        <v>2.2173386E7</v>
      </c>
      <c r="H60" s="2">
        <v>41290.0</v>
      </c>
      <c r="I60" s="1" t="s">
        <v>122</v>
      </c>
      <c r="K60" s="1" t="s">
        <v>122</v>
      </c>
      <c r="N60" s="1" t="s">
        <v>102</v>
      </c>
      <c r="O60" s="1">
        <v>8600.0</v>
      </c>
      <c r="P60" s="1" t="s">
        <v>102</v>
      </c>
      <c r="Q60" s="1" t="str">
        <f>IF(ISERROR(VLOOKUP(P60,'unique fed agency names'!A:C,3,FALSE)),P60,VLOOKUP(P60,'unique fed agency names'!A:C,3,FALSE))
</f>
        <v>U.S. Department of Housing and Urban Development (HUD)</v>
      </c>
      <c r="R60" s="1">
        <v>1.45406612E8</v>
      </c>
      <c r="S60" s="1" t="s">
        <v>327</v>
      </c>
      <c r="T60" s="1" t="str">
        <f>IF(ISERROR(VLOOKUP(S60,'unique org names'!A:C,3,FALSE)),S60,VLOOKUP(S60,'unique org names'!A:C,3,FALSE))
</f>
        <v>VANGUARD COMMUNITY DEVELOPMENT CORPORATION</v>
      </c>
      <c r="V60" s="1" t="s">
        <v>328</v>
      </c>
      <c r="W60" s="1" t="s">
        <v>44</v>
      </c>
      <c r="X60" s="1" t="s">
        <v>45</v>
      </c>
      <c r="Y60" s="1">
        <v>4.82112003E8</v>
      </c>
      <c r="AA60" s="1" t="s">
        <v>46</v>
      </c>
      <c r="AB60" s="1" t="s">
        <v>45</v>
      </c>
      <c r="AC60" s="1">
        <v>4.82112003E8</v>
      </c>
      <c r="AF60" s="1">
        <v>90000.0</v>
      </c>
      <c r="AG60" s="2">
        <v>41290.0</v>
      </c>
      <c r="AH60" s="1">
        <v>8600.0</v>
      </c>
      <c r="AI60" s="1" t="s">
        <v>102</v>
      </c>
      <c r="AJ60" s="1" t="s">
        <v>329</v>
      </c>
      <c r="AK60" s="1" t="s">
        <v>330</v>
      </c>
      <c r="AL60" s="1">
        <v>1.0</v>
      </c>
      <c r="AM60" s="1">
        <v>2013.0</v>
      </c>
      <c r="AN60" s="1">
        <v>2013.0</v>
      </c>
      <c r="AO60" s="1" t="s">
        <v>127</v>
      </c>
    </row>
    <row r="61">
      <c r="A61" s="5">
        <v>1.0</v>
      </c>
      <c r="B61" s="1">
        <f t="shared" si="1"/>
        <v>61</v>
      </c>
      <c r="C61" s="1" t="s">
        <v>331</v>
      </c>
      <c r="D61" s="1" t="s">
        <v>331</v>
      </c>
      <c r="E61" s="1" t="s">
        <v>100</v>
      </c>
      <c r="G61" s="1">
        <v>5833389.0</v>
      </c>
      <c r="H61" s="2">
        <v>41288.0</v>
      </c>
      <c r="I61" s="1" t="s">
        <v>332</v>
      </c>
      <c r="K61" s="1" t="s">
        <v>332</v>
      </c>
      <c r="N61" s="1" t="s">
        <v>102</v>
      </c>
      <c r="O61" s="1">
        <v>8600.0</v>
      </c>
      <c r="P61" s="1" t="s">
        <v>102</v>
      </c>
      <c r="Q61" s="1" t="str">
        <f>IF(ISERROR(VLOOKUP(P61,'unique fed agency names'!A:C,3,FALSE)),P61,VLOOKUP(P61,'unique fed agency names'!A:C,3,FALSE))
</f>
        <v>U.S. Department of Housing and Urban Development (HUD)</v>
      </c>
      <c r="R61" s="1">
        <v>6530661.0</v>
      </c>
      <c r="S61" s="1" t="s">
        <v>73</v>
      </c>
      <c r="T61" s="1" t="str">
        <f>IF(ISERROR(VLOOKUP(S61,'unique org names'!A:C,3,FALSE)),S61,VLOOKUP(S61,'unique org names'!A:C,3,FALSE))
</f>
        <v>City Of Detroit</v>
      </c>
      <c r="U61" s="1" t="s">
        <v>323</v>
      </c>
      <c r="V61" s="1" t="s">
        <v>324</v>
      </c>
      <c r="W61" s="1" t="s">
        <v>44</v>
      </c>
      <c r="X61" s="1" t="s">
        <v>45</v>
      </c>
      <c r="Y61" s="1">
        <v>4.8226E8</v>
      </c>
      <c r="AA61" s="1" t="s">
        <v>46</v>
      </c>
      <c r="AB61" s="1" t="s">
        <v>45</v>
      </c>
      <c r="AC61" s="1">
        <v>4.82263437E8</v>
      </c>
      <c r="AD61" s="1">
        <v>6530661.0</v>
      </c>
      <c r="AE61" s="1" t="s">
        <v>76</v>
      </c>
      <c r="AF61" s="1">
        <v>5833389.0</v>
      </c>
      <c r="AG61" s="2">
        <v>41288.0</v>
      </c>
      <c r="AH61" s="1">
        <v>8600.0</v>
      </c>
      <c r="AI61" s="1" t="s">
        <v>102</v>
      </c>
      <c r="AJ61" s="1">
        <v>2.0</v>
      </c>
      <c r="AK61" s="1" t="s">
        <v>333</v>
      </c>
      <c r="AL61" s="1">
        <v>2.0</v>
      </c>
      <c r="AM61" s="1">
        <v>2013.0</v>
      </c>
      <c r="AN61" s="1">
        <v>2013.0</v>
      </c>
      <c r="AO61" s="1" t="s">
        <v>334</v>
      </c>
    </row>
    <row r="62">
      <c r="A62" s="5">
        <v>1.0</v>
      </c>
      <c r="B62" s="1">
        <f t="shared" si="1"/>
        <v>62</v>
      </c>
      <c r="C62" s="1" t="s">
        <v>206</v>
      </c>
      <c r="D62" s="1" t="s">
        <v>206</v>
      </c>
      <c r="E62" s="1" t="s">
        <v>207</v>
      </c>
      <c r="G62" s="1">
        <v>3060000.0</v>
      </c>
      <c r="H62" s="2">
        <v>41183.0</v>
      </c>
      <c r="I62" s="1" t="s">
        <v>208</v>
      </c>
      <c r="K62" s="1" t="s">
        <v>208</v>
      </c>
      <c r="N62" s="1" t="s">
        <v>40</v>
      </c>
      <c r="O62" s="1">
        <v>7500.0</v>
      </c>
      <c r="P62" s="1" t="s">
        <v>40</v>
      </c>
      <c r="Q62" s="1" t="str">
        <f>IF(ISERROR(VLOOKUP(P62,'unique fed agency names'!A:C,3,FALSE)),P62,VLOOKUP(P62,'unique fed agency names'!A:C,3,FALSE))
</f>
        <v>U.S. Department of Health and Human Services (DHHS)</v>
      </c>
      <c r="R62" s="1">
        <v>3.8775243E7</v>
      </c>
      <c r="S62" s="1" t="s">
        <v>209</v>
      </c>
      <c r="T62" s="1" t="str">
        <f>IF(ISERROR(VLOOKUP(S62,'unique org names'!A:C,3,FALSE)),S62,VLOOKUP(S62,'unique org names'!A:C,3,FALSE))
</f>
        <v>SOUTHEASTERN MICHIGAN HEALTH ASSOCIATION</v>
      </c>
      <c r="U62" s="1" t="s">
        <v>210</v>
      </c>
      <c r="V62" s="1" t="s">
        <v>211</v>
      </c>
      <c r="W62" s="1" t="s">
        <v>44</v>
      </c>
      <c r="X62" s="1" t="s">
        <v>45</v>
      </c>
      <c r="Y62" s="1">
        <v>4.82023068E8</v>
      </c>
      <c r="AA62" s="1" t="s">
        <v>46</v>
      </c>
      <c r="AB62" s="1" t="s">
        <v>45</v>
      </c>
      <c r="AC62" s="1">
        <v>4.82023068E8</v>
      </c>
      <c r="AD62" s="1">
        <v>3.8775243E7</v>
      </c>
      <c r="AE62" s="1" t="s">
        <v>209</v>
      </c>
      <c r="AF62" s="1">
        <v>0.0</v>
      </c>
      <c r="AG62" s="2">
        <v>41183.0</v>
      </c>
      <c r="AH62" s="1">
        <v>7500.0</v>
      </c>
      <c r="AI62" s="1" t="s">
        <v>40</v>
      </c>
      <c r="AJ62" s="1">
        <v>2.0131087E7</v>
      </c>
      <c r="AK62" s="1" t="s">
        <v>212</v>
      </c>
      <c r="AL62" s="1">
        <v>11.0</v>
      </c>
      <c r="AM62" s="1">
        <v>2012.0</v>
      </c>
      <c r="AN62" s="1">
        <v>2013.0</v>
      </c>
      <c r="AO62" s="1" t="s">
        <v>213</v>
      </c>
    </row>
    <row r="63">
      <c r="A63" s="5">
        <v>1.0</v>
      </c>
      <c r="B63" s="1">
        <f t="shared" si="1"/>
        <v>63</v>
      </c>
      <c r="C63" s="1" t="s">
        <v>206</v>
      </c>
      <c r="D63" s="1" t="s">
        <v>206</v>
      </c>
      <c r="E63" s="1" t="s">
        <v>207</v>
      </c>
      <c r="G63" s="1">
        <v>3060000.0</v>
      </c>
      <c r="H63" s="2">
        <v>41183.0</v>
      </c>
      <c r="I63" s="1" t="s">
        <v>208</v>
      </c>
      <c r="K63" s="1" t="s">
        <v>208</v>
      </c>
      <c r="N63" s="1" t="s">
        <v>40</v>
      </c>
      <c r="O63" s="1">
        <v>7500.0</v>
      </c>
      <c r="P63" s="1" t="s">
        <v>40</v>
      </c>
      <c r="Q63" s="1" t="str">
        <f>IF(ISERROR(VLOOKUP(P63,'unique fed agency names'!A:C,3,FALSE)),P63,VLOOKUP(P63,'unique fed agency names'!A:C,3,FALSE))
</f>
        <v>U.S. Department of Health and Human Services (DHHS)</v>
      </c>
      <c r="R63" s="1">
        <v>3.8775243E7</v>
      </c>
      <c r="S63" s="1" t="s">
        <v>209</v>
      </c>
      <c r="T63" s="1" t="str">
        <f>IF(ISERROR(VLOOKUP(S63,'unique org names'!A:C,3,FALSE)),S63,VLOOKUP(S63,'unique org names'!A:C,3,FALSE))
</f>
        <v>SOUTHEASTERN MICHIGAN HEALTH ASSOCIATION</v>
      </c>
      <c r="U63" s="1" t="s">
        <v>210</v>
      </c>
      <c r="V63" s="1" t="s">
        <v>211</v>
      </c>
      <c r="W63" s="1" t="s">
        <v>44</v>
      </c>
      <c r="X63" s="1" t="s">
        <v>45</v>
      </c>
      <c r="Y63" s="1">
        <v>4.82023068E8</v>
      </c>
      <c r="AA63" s="1" t="s">
        <v>46</v>
      </c>
      <c r="AB63" s="1" t="s">
        <v>45</v>
      </c>
      <c r="AC63" s="1">
        <v>4.82023068E8</v>
      </c>
      <c r="AD63" s="1">
        <v>3.8775243E7</v>
      </c>
      <c r="AE63" s="1" t="s">
        <v>209</v>
      </c>
      <c r="AF63" s="1">
        <v>0.0</v>
      </c>
      <c r="AG63" s="2">
        <v>41183.0</v>
      </c>
      <c r="AH63" s="1">
        <v>7500.0</v>
      </c>
      <c r="AI63" s="1" t="s">
        <v>40</v>
      </c>
      <c r="AJ63" s="1">
        <v>2.0131083E7</v>
      </c>
      <c r="AK63" s="1" t="s">
        <v>212</v>
      </c>
      <c r="AL63" s="1">
        <v>11.0</v>
      </c>
      <c r="AM63" s="1">
        <v>2012.0</v>
      </c>
      <c r="AN63" s="1">
        <v>2013.0</v>
      </c>
      <c r="AO63" s="1" t="s">
        <v>213</v>
      </c>
    </row>
    <row r="64">
      <c r="A64" s="5">
        <v>1.0</v>
      </c>
      <c r="B64" s="1">
        <f t="shared" si="1"/>
        <v>64</v>
      </c>
      <c r="C64" s="1" t="s">
        <v>206</v>
      </c>
      <c r="D64" s="1" t="s">
        <v>206</v>
      </c>
      <c r="E64" s="1" t="s">
        <v>207</v>
      </c>
      <c r="G64" s="1">
        <v>3060000.0</v>
      </c>
      <c r="H64" s="2">
        <v>41183.0</v>
      </c>
      <c r="I64" s="1" t="s">
        <v>208</v>
      </c>
      <c r="K64" s="1" t="s">
        <v>208</v>
      </c>
      <c r="N64" s="1" t="s">
        <v>40</v>
      </c>
      <c r="O64" s="1">
        <v>7500.0</v>
      </c>
      <c r="P64" s="1" t="s">
        <v>40</v>
      </c>
      <c r="Q64" s="1" t="str">
        <f>IF(ISERROR(VLOOKUP(P64,'unique fed agency names'!A:C,3,FALSE)),P64,VLOOKUP(P64,'unique fed agency names'!A:C,3,FALSE))
</f>
        <v>U.S. Department of Health and Human Services (DHHS)</v>
      </c>
      <c r="R64" s="1">
        <v>3.8775243E7</v>
      </c>
      <c r="S64" s="1" t="s">
        <v>209</v>
      </c>
      <c r="T64" s="1" t="str">
        <f>IF(ISERROR(VLOOKUP(S64,'unique org names'!A:C,3,FALSE)),S64,VLOOKUP(S64,'unique org names'!A:C,3,FALSE))
</f>
        <v>SOUTHEASTERN MICHIGAN HEALTH ASSOCIATION</v>
      </c>
      <c r="U64" s="1" t="s">
        <v>210</v>
      </c>
      <c r="V64" s="1" t="s">
        <v>211</v>
      </c>
      <c r="W64" s="1" t="s">
        <v>44</v>
      </c>
      <c r="X64" s="1" t="s">
        <v>45</v>
      </c>
      <c r="Y64" s="1">
        <v>4.82023068E8</v>
      </c>
      <c r="AA64" s="1" t="s">
        <v>46</v>
      </c>
      <c r="AB64" s="1" t="s">
        <v>45</v>
      </c>
      <c r="AC64" s="1">
        <v>4.82023068E8</v>
      </c>
      <c r="AD64" s="1">
        <v>3.8775243E7</v>
      </c>
      <c r="AE64" s="1" t="s">
        <v>209</v>
      </c>
      <c r="AF64" s="1">
        <v>0.0</v>
      </c>
      <c r="AG64" s="2">
        <v>41183.0</v>
      </c>
      <c r="AH64" s="1">
        <v>7500.0</v>
      </c>
      <c r="AI64" s="1" t="s">
        <v>40</v>
      </c>
      <c r="AJ64" s="1">
        <v>2.013108E7</v>
      </c>
      <c r="AK64" s="1" t="s">
        <v>212</v>
      </c>
      <c r="AL64" s="1">
        <v>11.0</v>
      </c>
      <c r="AM64" s="1">
        <v>2012.0</v>
      </c>
      <c r="AN64" s="1">
        <v>2013.0</v>
      </c>
      <c r="AO64" s="1" t="s">
        <v>213</v>
      </c>
    </row>
    <row r="65">
      <c r="A65" s="5">
        <v>1.0</v>
      </c>
      <c r="B65" s="1">
        <f t="shared" si="1"/>
        <v>65</v>
      </c>
      <c r="C65" s="1" t="s">
        <v>206</v>
      </c>
      <c r="D65" s="1" t="s">
        <v>206</v>
      </c>
      <c r="E65" s="1" t="s">
        <v>207</v>
      </c>
      <c r="G65" s="1">
        <v>3060000.0</v>
      </c>
      <c r="H65" s="2">
        <v>41183.0</v>
      </c>
      <c r="I65" s="1" t="s">
        <v>208</v>
      </c>
      <c r="K65" s="1" t="s">
        <v>208</v>
      </c>
      <c r="N65" s="1" t="s">
        <v>40</v>
      </c>
      <c r="O65" s="1">
        <v>7500.0</v>
      </c>
      <c r="P65" s="1" t="s">
        <v>40</v>
      </c>
      <c r="Q65" s="1" t="str">
        <f>IF(ISERROR(VLOOKUP(P65,'unique fed agency names'!A:C,3,FALSE)),P65,VLOOKUP(P65,'unique fed agency names'!A:C,3,FALSE))
</f>
        <v>U.S. Department of Health and Human Services (DHHS)</v>
      </c>
      <c r="R65" s="1">
        <v>3.8775243E7</v>
      </c>
      <c r="S65" s="1" t="s">
        <v>209</v>
      </c>
      <c r="T65" s="1" t="str">
        <f>IF(ISERROR(VLOOKUP(S65,'unique org names'!A:C,3,FALSE)),S65,VLOOKUP(S65,'unique org names'!A:C,3,FALSE))
</f>
        <v>SOUTHEASTERN MICHIGAN HEALTH ASSOCIATION</v>
      </c>
      <c r="U65" s="1" t="s">
        <v>210</v>
      </c>
      <c r="V65" s="1" t="s">
        <v>211</v>
      </c>
      <c r="W65" s="1" t="s">
        <v>44</v>
      </c>
      <c r="X65" s="1" t="s">
        <v>45</v>
      </c>
      <c r="Y65" s="1">
        <v>4.82023068E8</v>
      </c>
      <c r="AA65" s="1" t="s">
        <v>46</v>
      </c>
      <c r="AB65" s="1" t="s">
        <v>45</v>
      </c>
      <c r="AC65" s="1">
        <v>4.82023068E8</v>
      </c>
      <c r="AD65" s="1">
        <v>3.8775243E7</v>
      </c>
      <c r="AE65" s="1" t="s">
        <v>209</v>
      </c>
      <c r="AF65" s="1">
        <v>0.0</v>
      </c>
      <c r="AG65" s="2">
        <v>41183.0</v>
      </c>
      <c r="AH65" s="1">
        <v>7500.0</v>
      </c>
      <c r="AI65" s="1" t="s">
        <v>40</v>
      </c>
      <c r="AJ65" s="1">
        <v>2.0131081E7</v>
      </c>
      <c r="AK65" s="1" t="s">
        <v>212</v>
      </c>
      <c r="AL65" s="1">
        <v>11.0</v>
      </c>
      <c r="AM65" s="1">
        <v>2012.0</v>
      </c>
      <c r="AN65" s="1">
        <v>2013.0</v>
      </c>
      <c r="AO65" s="1" t="s">
        <v>213</v>
      </c>
    </row>
    <row r="66">
      <c r="A66" s="5">
        <v>1.0</v>
      </c>
      <c r="B66" s="1">
        <f t="shared" si="1"/>
        <v>66</v>
      </c>
      <c r="C66" s="1" t="s">
        <v>206</v>
      </c>
      <c r="D66" s="1" t="s">
        <v>206</v>
      </c>
      <c r="E66" s="1" t="s">
        <v>207</v>
      </c>
      <c r="G66" s="1">
        <v>3060000.0</v>
      </c>
      <c r="H66" s="2">
        <v>41183.0</v>
      </c>
      <c r="I66" s="1" t="s">
        <v>208</v>
      </c>
      <c r="K66" s="1" t="s">
        <v>208</v>
      </c>
      <c r="N66" s="1" t="s">
        <v>40</v>
      </c>
      <c r="O66" s="1">
        <v>7500.0</v>
      </c>
      <c r="P66" s="1" t="s">
        <v>40</v>
      </c>
      <c r="Q66" s="1" t="str">
        <f>IF(ISERROR(VLOOKUP(P66,'unique fed agency names'!A:C,3,FALSE)),P66,VLOOKUP(P66,'unique fed agency names'!A:C,3,FALSE))
</f>
        <v>U.S. Department of Health and Human Services (DHHS)</v>
      </c>
      <c r="R66" s="1">
        <v>3.8775243E7</v>
      </c>
      <c r="S66" s="1" t="s">
        <v>209</v>
      </c>
      <c r="T66" s="1" t="str">
        <f>IF(ISERROR(VLOOKUP(S66,'unique org names'!A:C,3,FALSE)),S66,VLOOKUP(S66,'unique org names'!A:C,3,FALSE))
</f>
        <v>SOUTHEASTERN MICHIGAN HEALTH ASSOCIATION</v>
      </c>
      <c r="U66" s="1" t="s">
        <v>210</v>
      </c>
      <c r="V66" s="1" t="s">
        <v>211</v>
      </c>
      <c r="W66" s="1" t="s">
        <v>44</v>
      </c>
      <c r="X66" s="1" t="s">
        <v>45</v>
      </c>
      <c r="Y66" s="1">
        <v>4.82023068E8</v>
      </c>
      <c r="AA66" s="1" t="s">
        <v>46</v>
      </c>
      <c r="AB66" s="1" t="s">
        <v>45</v>
      </c>
      <c r="AC66" s="1">
        <v>4.82023068E8</v>
      </c>
      <c r="AD66" s="1">
        <v>3.8775243E7</v>
      </c>
      <c r="AE66" s="1" t="s">
        <v>209</v>
      </c>
      <c r="AF66" s="1">
        <v>0.0</v>
      </c>
      <c r="AG66" s="2">
        <v>41183.0</v>
      </c>
      <c r="AH66" s="1">
        <v>7500.0</v>
      </c>
      <c r="AI66" s="1" t="s">
        <v>40</v>
      </c>
      <c r="AJ66" s="1">
        <v>2.0131257E7</v>
      </c>
      <c r="AK66" s="1" t="s">
        <v>212</v>
      </c>
      <c r="AL66" s="1">
        <v>11.0</v>
      </c>
      <c r="AM66" s="1">
        <v>2012.0</v>
      </c>
      <c r="AN66" s="1">
        <v>2013.0</v>
      </c>
      <c r="AO66" s="1" t="s">
        <v>213</v>
      </c>
    </row>
    <row r="67">
      <c r="A67" s="5">
        <v>1.0</v>
      </c>
      <c r="B67" s="1">
        <f t="shared" si="1"/>
        <v>67</v>
      </c>
      <c r="C67" s="1" t="s">
        <v>206</v>
      </c>
      <c r="D67" s="1" t="s">
        <v>206</v>
      </c>
      <c r="E67" s="1" t="s">
        <v>207</v>
      </c>
      <c r="G67" s="1">
        <v>3060000.0</v>
      </c>
      <c r="H67" s="2">
        <v>41183.0</v>
      </c>
      <c r="I67" s="1" t="s">
        <v>208</v>
      </c>
      <c r="K67" s="1" t="s">
        <v>208</v>
      </c>
      <c r="N67" s="1" t="s">
        <v>40</v>
      </c>
      <c r="O67" s="1">
        <v>7500.0</v>
      </c>
      <c r="P67" s="1" t="s">
        <v>40</v>
      </c>
      <c r="Q67" s="1" t="str">
        <f>IF(ISERROR(VLOOKUP(P67,'unique fed agency names'!A:C,3,FALSE)),P67,VLOOKUP(P67,'unique fed agency names'!A:C,3,FALSE))
</f>
        <v>U.S. Department of Health and Human Services (DHHS)</v>
      </c>
      <c r="R67" s="1">
        <v>7.3134884E7</v>
      </c>
      <c r="S67" s="1" t="s">
        <v>259</v>
      </c>
      <c r="T67" s="1" t="str">
        <f>IF(ISERROR(VLOOKUP(S67,'unique org names'!A:C,3,FALSE)),S67,VLOOKUP(S67,'unique org names'!A:C,3,FALSE))
</f>
        <v>Wayne County</v>
      </c>
      <c r="V67" s="1" t="s">
        <v>286</v>
      </c>
      <c r="W67" s="1" t="s">
        <v>44</v>
      </c>
      <c r="X67" s="1" t="s">
        <v>45</v>
      </c>
      <c r="Y67" s="1">
        <v>4.82262841E8</v>
      </c>
      <c r="AA67" s="1" t="s">
        <v>46</v>
      </c>
      <c r="AB67" s="1" t="s">
        <v>45</v>
      </c>
      <c r="AC67" s="1">
        <v>4.8226348E8</v>
      </c>
      <c r="AD67" s="1">
        <v>7.3134884E7</v>
      </c>
      <c r="AE67" s="1" t="s">
        <v>261</v>
      </c>
      <c r="AF67" s="1">
        <v>0.0</v>
      </c>
      <c r="AG67" s="2">
        <v>41183.0</v>
      </c>
      <c r="AH67" s="1">
        <v>7500.0</v>
      </c>
      <c r="AI67" s="1" t="s">
        <v>40</v>
      </c>
      <c r="AJ67" s="1">
        <v>2.0131302E7</v>
      </c>
      <c r="AK67" s="1" t="s">
        <v>212</v>
      </c>
      <c r="AL67" s="1">
        <v>11.0</v>
      </c>
      <c r="AM67" s="1">
        <v>2012.0</v>
      </c>
      <c r="AN67" s="1">
        <v>2013.0</v>
      </c>
      <c r="AO67" s="1" t="s">
        <v>213</v>
      </c>
    </row>
    <row r="68">
      <c r="A68" s="5">
        <v>1.0</v>
      </c>
      <c r="B68" s="1">
        <f t="shared" si="1"/>
        <v>68</v>
      </c>
      <c r="C68" s="1" t="s">
        <v>206</v>
      </c>
      <c r="D68" s="1" t="s">
        <v>206</v>
      </c>
      <c r="E68" s="1" t="s">
        <v>207</v>
      </c>
      <c r="G68" s="1">
        <v>3060000.0</v>
      </c>
      <c r="H68" s="2">
        <v>41183.0</v>
      </c>
      <c r="I68" s="1" t="s">
        <v>208</v>
      </c>
      <c r="K68" s="1" t="s">
        <v>208</v>
      </c>
      <c r="N68" s="1" t="s">
        <v>40</v>
      </c>
      <c r="O68" s="1">
        <v>7500.0</v>
      </c>
      <c r="P68" s="1" t="s">
        <v>40</v>
      </c>
      <c r="Q68" s="1" t="str">
        <f>IF(ISERROR(VLOOKUP(P68,'unique fed agency names'!A:C,3,FALSE)),P68,VLOOKUP(P68,'unique fed agency names'!A:C,3,FALSE))
</f>
        <v>U.S. Department of Health and Human Services (DHHS)</v>
      </c>
      <c r="R68" s="1">
        <v>3.8775243E7</v>
      </c>
      <c r="S68" s="1" t="s">
        <v>209</v>
      </c>
      <c r="T68" s="1" t="str">
        <f>IF(ISERROR(VLOOKUP(S68,'unique org names'!A:C,3,FALSE)),S68,VLOOKUP(S68,'unique org names'!A:C,3,FALSE))
</f>
        <v>SOUTHEASTERN MICHIGAN HEALTH ASSOCIATION</v>
      </c>
      <c r="U68" s="1" t="s">
        <v>210</v>
      </c>
      <c r="V68" s="1" t="s">
        <v>211</v>
      </c>
      <c r="W68" s="1" t="s">
        <v>44</v>
      </c>
      <c r="X68" s="1" t="s">
        <v>45</v>
      </c>
      <c r="Y68" s="1">
        <v>4.82023068E8</v>
      </c>
      <c r="AA68" s="1" t="s">
        <v>46</v>
      </c>
      <c r="AB68" s="1" t="s">
        <v>45</v>
      </c>
      <c r="AC68" s="1">
        <v>4.82023068E8</v>
      </c>
      <c r="AD68" s="1">
        <v>3.8775243E7</v>
      </c>
      <c r="AE68" s="1" t="s">
        <v>209</v>
      </c>
      <c r="AF68" s="1">
        <v>0.0</v>
      </c>
      <c r="AG68" s="2">
        <v>41183.0</v>
      </c>
      <c r="AH68" s="1">
        <v>7500.0</v>
      </c>
      <c r="AI68" s="1" t="s">
        <v>40</v>
      </c>
      <c r="AJ68" s="1">
        <v>2.0131083E7</v>
      </c>
      <c r="AK68" s="1" t="s">
        <v>212</v>
      </c>
      <c r="AL68" s="1">
        <v>11.0</v>
      </c>
      <c r="AM68" s="1">
        <v>2012.0</v>
      </c>
      <c r="AN68" s="1">
        <v>2013.0</v>
      </c>
      <c r="AO68" s="1" t="s">
        <v>213</v>
      </c>
    </row>
    <row r="69">
      <c r="A69" s="5">
        <v>1.0</v>
      </c>
      <c r="B69" s="1">
        <f t="shared" si="1"/>
        <v>69</v>
      </c>
      <c r="C69" s="1" t="s">
        <v>335</v>
      </c>
      <c r="D69" s="1" t="s">
        <v>335</v>
      </c>
      <c r="E69" s="1" t="s">
        <v>38</v>
      </c>
      <c r="G69" s="1">
        <v>1372244.0</v>
      </c>
      <c r="H69" s="2">
        <v>41416.0</v>
      </c>
      <c r="I69" s="1" t="s">
        <v>336</v>
      </c>
      <c r="K69" s="1" t="s">
        <v>336</v>
      </c>
      <c r="N69" s="1" t="s">
        <v>40</v>
      </c>
      <c r="O69" s="1">
        <v>7500.0</v>
      </c>
      <c r="P69" s="1" t="s">
        <v>40</v>
      </c>
      <c r="Q69" s="1" t="str">
        <f>IF(ISERROR(VLOOKUP(P69,'unique fed agency names'!A:C,3,FALSE)),P69,VLOOKUP(P69,'unique fed agency names'!A:C,3,FALSE))
</f>
        <v>U.S. Department of Health and Human Services (DHHS)</v>
      </c>
      <c r="R69" s="1">
        <v>7.3134603E7</v>
      </c>
      <c r="S69" s="1" t="s">
        <v>41</v>
      </c>
      <c r="T69" s="1" t="str">
        <f>IF(ISERROR(VLOOKUP(S69,'unique org names'!A:C,3,FALSE)),S69,VLOOKUP(S69,'unique org names'!A:C,3,FALSE))
</f>
        <v>Henry Ford Health System</v>
      </c>
      <c r="U69" s="1" t="s">
        <v>252</v>
      </c>
      <c r="V69" s="1" t="s">
        <v>253</v>
      </c>
      <c r="W69" s="1" t="s">
        <v>44</v>
      </c>
      <c r="X69" s="1" t="s">
        <v>45</v>
      </c>
      <c r="Y69" s="1">
        <v>4.8202345E8</v>
      </c>
      <c r="AA69" s="1" t="s">
        <v>46</v>
      </c>
      <c r="AB69" s="1" t="s">
        <v>45</v>
      </c>
      <c r="AC69" s="1">
        <v>4.82022689E8</v>
      </c>
      <c r="AD69" s="1">
        <v>7.3134603E7</v>
      </c>
      <c r="AE69" s="1" t="s">
        <v>41</v>
      </c>
      <c r="AF69" s="1">
        <v>14284.0</v>
      </c>
      <c r="AG69" s="2">
        <v>41416.0</v>
      </c>
      <c r="AH69" s="1">
        <v>7500.0</v>
      </c>
      <c r="AI69" s="1" t="s">
        <v>40</v>
      </c>
      <c r="AJ69" s="1">
        <v>1025970.0</v>
      </c>
      <c r="AK69" s="1" t="s">
        <v>337</v>
      </c>
      <c r="AL69" s="1">
        <v>5.0</v>
      </c>
      <c r="AM69" s="1">
        <v>2013.0</v>
      </c>
      <c r="AN69" s="1">
        <v>2013.0</v>
      </c>
      <c r="AO69" s="1" t="s">
        <v>338</v>
      </c>
    </row>
    <row r="70">
      <c r="A70" s="5">
        <v>1.0</v>
      </c>
      <c r="B70" s="1">
        <f t="shared" si="1"/>
        <v>70</v>
      </c>
      <c r="C70" s="1" t="s">
        <v>339</v>
      </c>
      <c r="D70" s="1" t="s">
        <v>339</v>
      </c>
      <c r="E70" s="1" t="s">
        <v>63</v>
      </c>
      <c r="G70" s="1">
        <v>1097698.0</v>
      </c>
      <c r="H70" s="2">
        <v>41183.0</v>
      </c>
      <c r="I70" s="1" t="s">
        <v>340</v>
      </c>
      <c r="K70" s="1" t="s">
        <v>340</v>
      </c>
      <c r="N70" s="1" t="s">
        <v>40</v>
      </c>
      <c r="O70" s="1">
        <v>7500.0</v>
      </c>
      <c r="P70" s="1" t="s">
        <v>40</v>
      </c>
      <c r="Q70" s="1" t="str">
        <f>IF(ISERROR(VLOOKUP(P70,'unique fed agency names'!A:C,3,FALSE)),P70,VLOOKUP(P70,'unique fed agency names'!A:C,3,FALSE))
</f>
        <v>U.S. Department of Health and Human Services (DHHS)</v>
      </c>
      <c r="R70" s="1">
        <v>3.8775243E7</v>
      </c>
      <c r="S70" s="1" t="s">
        <v>209</v>
      </c>
      <c r="T70" s="1" t="str">
        <f>IF(ISERROR(VLOOKUP(S70,'unique org names'!A:C,3,FALSE)),S70,VLOOKUP(S70,'unique org names'!A:C,3,FALSE))
</f>
        <v>SOUTHEASTERN MICHIGAN HEALTH ASSOCIATION</v>
      </c>
      <c r="U70" s="1" t="s">
        <v>210</v>
      </c>
      <c r="V70" s="1" t="s">
        <v>211</v>
      </c>
      <c r="W70" s="1" t="s">
        <v>44</v>
      </c>
      <c r="X70" s="1" t="s">
        <v>45</v>
      </c>
      <c r="Y70" s="1">
        <v>4.82023068E8</v>
      </c>
      <c r="AA70" s="1" t="s">
        <v>46</v>
      </c>
      <c r="AB70" s="1" t="s">
        <v>45</v>
      </c>
      <c r="AC70" s="1">
        <v>4.82023068E8</v>
      </c>
      <c r="AD70" s="1">
        <v>3.8775243E7</v>
      </c>
      <c r="AE70" s="1" t="s">
        <v>209</v>
      </c>
      <c r="AF70" s="1">
        <v>9295.0</v>
      </c>
      <c r="AG70" s="2">
        <v>41183.0</v>
      </c>
      <c r="AH70" s="1">
        <v>7500.0</v>
      </c>
      <c r="AI70" s="1" t="s">
        <v>40</v>
      </c>
      <c r="AJ70" s="1">
        <v>2.0131247E7</v>
      </c>
      <c r="AK70" s="1" t="s">
        <v>341</v>
      </c>
      <c r="AL70" s="1">
        <v>10.0</v>
      </c>
      <c r="AM70" s="1">
        <v>2010.0</v>
      </c>
      <c r="AN70" s="1">
        <v>2013.0</v>
      </c>
      <c r="AO70" s="1" t="s">
        <v>342</v>
      </c>
    </row>
    <row r="71">
      <c r="A71" s="5">
        <v>1.0</v>
      </c>
      <c r="B71" s="1">
        <f t="shared" si="1"/>
        <v>71</v>
      </c>
      <c r="C71" s="1" t="s">
        <v>339</v>
      </c>
      <c r="D71" s="1" t="s">
        <v>339</v>
      </c>
      <c r="E71" s="1" t="s">
        <v>63</v>
      </c>
      <c r="G71" s="1">
        <v>1097698.0</v>
      </c>
      <c r="H71" s="2">
        <v>41183.0</v>
      </c>
      <c r="I71" s="1" t="s">
        <v>340</v>
      </c>
      <c r="K71" s="1" t="s">
        <v>340</v>
      </c>
      <c r="N71" s="1" t="s">
        <v>40</v>
      </c>
      <c r="O71" s="1">
        <v>7500.0</v>
      </c>
      <c r="P71" s="1" t="s">
        <v>40</v>
      </c>
      <c r="Q71" s="1" t="str">
        <f>IF(ISERROR(VLOOKUP(P71,'unique fed agency names'!A:C,3,FALSE)),P71,VLOOKUP(P71,'unique fed agency names'!A:C,3,FALSE))
</f>
        <v>U.S. Department of Health and Human Services (DHHS)</v>
      </c>
      <c r="R71" s="1">
        <v>1962224.0</v>
      </c>
      <c r="S71" s="1" t="s">
        <v>52</v>
      </c>
      <c r="T71" s="1" t="str">
        <f>IF(ISERROR(VLOOKUP(S71,'unique org names'!A:C,3,FALSE)),S71,VLOOKUP(S71,'unique org names'!A:C,3,FALSE))
</f>
        <v>WAYNE STATE UNIVERSITY</v>
      </c>
      <c r="V71" s="1" t="s">
        <v>53</v>
      </c>
      <c r="W71" s="1" t="s">
        <v>44</v>
      </c>
      <c r="X71" s="1" t="s">
        <v>45</v>
      </c>
      <c r="Y71" s="1">
        <v>4.82023692E8</v>
      </c>
      <c r="AA71" s="1" t="s">
        <v>46</v>
      </c>
      <c r="AB71" s="1" t="s">
        <v>45</v>
      </c>
      <c r="AC71" s="1">
        <v>4.82023692E8</v>
      </c>
      <c r="AD71" s="1">
        <v>1962224.0</v>
      </c>
      <c r="AE71" s="1" t="s">
        <v>52</v>
      </c>
      <c r="AF71" s="1">
        <v>0.0</v>
      </c>
      <c r="AG71" s="2">
        <v>41183.0</v>
      </c>
      <c r="AH71" s="1">
        <v>7500.0</v>
      </c>
      <c r="AI71" s="1" t="s">
        <v>40</v>
      </c>
      <c r="AJ71" s="1">
        <v>2.0131983E7</v>
      </c>
      <c r="AK71" s="1" t="s">
        <v>341</v>
      </c>
      <c r="AL71" s="1">
        <v>10.0</v>
      </c>
      <c r="AM71" s="1">
        <v>2010.0</v>
      </c>
      <c r="AN71" s="1">
        <v>2013.0</v>
      </c>
      <c r="AO71" s="1" t="s">
        <v>342</v>
      </c>
    </row>
    <row r="72">
      <c r="A72" s="5">
        <v>1.0</v>
      </c>
      <c r="B72" s="1">
        <f t="shared" si="1"/>
        <v>72</v>
      </c>
      <c r="C72" s="1" t="s">
        <v>339</v>
      </c>
      <c r="D72" s="1" t="s">
        <v>339</v>
      </c>
      <c r="E72" s="1" t="s">
        <v>63</v>
      </c>
      <c r="G72" s="1">
        <v>1097698.0</v>
      </c>
      <c r="H72" s="2">
        <v>41183.0</v>
      </c>
      <c r="I72" s="1" t="s">
        <v>340</v>
      </c>
      <c r="K72" s="1" t="s">
        <v>340</v>
      </c>
      <c r="N72" s="1" t="s">
        <v>40</v>
      </c>
      <c r="O72" s="1">
        <v>7500.0</v>
      </c>
      <c r="P72" s="1" t="s">
        <v>40</v>
      </c>
      <c r="Q72" s="1" t="str">
        <f>IF(ISERROR(VLOOKUP(P72,'unique fed agency names'!A:C,3,FALSE)),P72,VLOOKUP(P72,'unique fed agency names'!A:C,3,FALSE))
</f>
        <v>U.S. Department of Health and Human Services (DHHS)</v>
      </c>
      <c r="R72" s="1">
        <v>3.8775243E7</v>
      </c>
      <c r="S72" s="1" t="s">
        <v>209</v>
      </c>
      <c r="T72" s="1" t="str">
        <f>IF(ISERROR(VLOOKUP(S72,'unique org names'!A:C,3,FALSE)),S72,VLOOKUP(S72,'unique org names'!A:C,3,FALSE))
</f>
        <v>SOUTHEASTERN MICHIGAN HEALTH ASSOCIATION</v>
      </c>
      <c r="U72" s="1" t="s">
        <v>210</v>
      </c>
      <c r="V72" s="1" t="s">
        <v>211</v>
      </c>
      <c r="W72" s="1" t="s">
        <v>44</v>
      </c>
      <c r="X72" s="1" t="s">
        <v>45</v>
      </c>
      <c r="Y72" s="1">
        <v>4.82023068E8</v>
      </c>
      <c r="AA72" s="1" t="s">
        <v>46</v>
      </c>
      <c r="AB72" s="1" t="s">
        <v>45</v>
      </c>
      <c r="AC72" s="1">
        <v>4.82023068E8</v>
      </c>
      <c r="AD72" s="1">
        <v>3.8775243E7</v>
      </c>
      <c r="AE72" s="1" t="s">
        <v>209</v>
      </c>
      <c r="AF72" s="1">
        <v>12615.0</v>
      </c>
      <c r="AG72" s="2">
        <v>41183.0</v>
      </c>
      <c r="AH72" s="1">
        <v>7500.0</v>
      </c>
      <c r="AI72" s="1" t="s">
        <v>40</v>
      </c>
      <c r="AJ72" s="1">
        <v>2.0131224E7</v>
      </c>
      <c r="AK72" s="1" t="s">
        <v>341</v>
      </c>
      <c r="AL72" s="1">
        <v>10.0</v>
      </c>
      <c r="AM72" s="1">
        <v>2010.0</v>
      </c>
      <c r="AN72" s="1">
        <v>2013.0</v>
      </c>
      <c r="AO72" s="1" t="s">
        <v>342</v>
      </c>
    </row>
    <row r="73">
      <c r="A73" s="5">
        <v>1.0</v>
      </c>
      <c r="B73" s="1">
        <f t="shared" si="1"/>
        <v>73</v>
      </c>
      <c r="C73" s="1" t="s">
        <v>343</v>
      </c>
      <c r="D73" s="1" t="s">
        <v>343</v>
      </c>
      <c r="E73" s="1" t="s">
        <v>70</v>
      </c>
      <c r="G73" s="1">
        <v>50000.0</v>
      </c>
      <c r="H73" s="2">
        <v>41395.0</v>
      </c>
      <c r="I73" s="1" t="s">
        <v>344</v>
      </c>
      <c r="K73" s="1" t="s">
        <v>344</v>
      </c>
      <c r="N73" s="1" t="s">
        <v>72</v>
      </c>
      <c r="O73" s="1">
        <v>1500.0</v>
      </c>
      <c r="P73" s="1" t="s">
        <v>72</v>
      </c>
      <c r="Q73" s="1" t="str">
        <f>IF(ISERROR(VLOOKUP(P73,'unique fed agency names'!A:C,3,FALSE)),P73,VLOOKUP(P73,'unique fed agency names'!A:C,3,FALSE))
</f>
        <v>U.S. Department of Justice (DOJ)</v>
      </c>
      <c r="R73" s="1">
        <v>7.3134884E7</v>
      </c>
      <c r="S73" s="1" t="s">
        <v>259</v>
      </c>
      <c r="T73" s="1" t="str">
        <f>IF(ISERROR(VLOOKUP(S73,'unique org names'!A:C,3,FALSE)),S73,VLOOKUP(S73,'unique org names'!A:C,3,FALSE))
</f>
        <v>Wayne County</v>
      </c>
      <c r="V73" s="1" t="s">
        <v>286</v>
      </c>
      <c r="W73" s="1" t="s">
        <v>44</v>
      </c>
      <c r="X73" s="1" t="s">
        <v>45</v>
      </c>
      <c r="Y73" s="1">
        <v>4.82262841E8</v>
      </c>
      <c r="AA73" s="1" t="s">
        <v>46</v>
      </c>
      <c r="AB73" s="1" t="s">
        <v>45</v>
      </c>
      <c r="AC73" s="1">
        <v>4.82325555E8</v>
      </c>
      <c r="AD73" s="1">
        <v>7.3134884E7</v>
      </c>
      <c r="AE73" s="1" t="s">
        <v>261</v>
      </c>
      <c r="AF73" s="1">
        <v>112074.0</v>
      </c>
      <c r="AG73" s="2">
        <v>41395.0</v>
      </c>
      <c r="AH73" s="1">
        <v>1500.0</v>
      </c>
      <c r="AI73" s="1" t="s">
        <v>72</v>
      </c>
      <c r="AJ73" s="1" t="s">
        <v>345</v>
      </c>
      <c r="AK73" s="1" t="s">
        <v>346</v>
      </c>
      <c r="AL73" s="1">
        <v>6.0</v>
      </c>
      <c r="AM73" s="1">
        <v>2013.0</v>
      </c>
      <c r="AN73" s="1">
        <v>2013.0</v>
      </c>
      <c r="AO73" s="1" t="s">
        <v>347</v>
      </c>
    </row>
    <row r="74">
      <c r="A74" s="5">
        <v>1.0</v>
      </c>
      <c r="B74" s="1">
        <f t="shared" si="1"/>
        <v>74</v>
      </c>
      <c r="C74" s="1" t="s">
        <v>348</v>
      </c>
      <c r="D74" s="1" t="s">
        <v>348</v>
      </c>
      <c r="E74" s="1" t="s">
        <v>38</v>
      </c>
      <c r="G74" s="1">
        <v>838162.0</v>
      </c>
      <c r="H74" s="2">
        <v>41243.0</v>
      </c>
      <c r="I74" s="1" t="s">
        <v>349</v>
      </c>
      <c r="K74" s="1" t="s">
        <v>349</v>
      </c>
      <c r="N74" s="1" t="s">
        <v>40</v>
      </c>
      <c r="O74" s="1">
        <v>7500.0</v>
      </c>
      <c r="P74" s="1" t="s">
        <v>40</v>
      </c>
      <c r="Q74" s="1" t="str">
        <f>IF(ISERROR(VLOOKUP(P74,'unique fed agency names'!A:C,3,FALSE)),P74,VLOOKUP(P74,'unique fed agency names'!A:C,3,FALSE))
</f>
        <v>U.S. Department of Health and Human Services (DHHS)</v>
      </c>
      <c r="R74" s="1">
        <v>7.3134603E7</v>
      </c>
      <c r="S74" s="1" t="s">
        <v>41</v>
      </c>
      <c r="T74" s="1" t="str">
        <f>IF(ISERROR(VLOOKUP(S74,'unique org names'!A:C,3,FALSE)),S74,VLOOKUP(S74,'unique org names'!A:C,3,FALSE))
</f>
        <v>Henry Ford Health System</v>
      </c>
      <c r="U74" s="1" t="s">
        <v>42</v>
      </c>
      <c r="V74" s="1" t="s">
        <v>43</v>
      </c>
      <c r="W74" s="1" t="s">
        <v>44</v>
      </c>
      <c r="X74" s="1" t="s">
        <v>45</v>
      </c>
      <c r="Y74" s="1">
        <v>4.8202345E8</v>
      </c>
      <c r="AA74" s="1" t="s">
        <v>350</v>
      </c>
      <c r="AB74" s="1" t="s">
        <v>45</v>
      </c>
      <c r="AC74" s="1">
        <v>4.82022689E8</v>
      </c>
      <c r="AD74" s="1">
        <v>7.3134603E7</v>
      </c>
      <c r="AE74" s="1" t="s">
        <v>41</v>
      </c>
      <c r="AF74" s="1">
        <v>87900.0</v>
      </c>
      <c r="AG74" s="2">
        <v>41243.0</v>
      </c>
      <c r="AH74" s="1">
        <v>7500.0</v>
      </c>
      <c r="AI74" s="1" t="s">
        <v>40</v>
      </c>
      <c r="AJ74" s="1">
        <v>746347.0</v>
      </c>
      <c r="AK74" s="1" t="s">
        <v>351</v>
      </c>
      <c r="AL74" s="1">
        <v>11.0</v>
      </c>
      <c r="AM74" s="1">
        <v>2012.0</v>
      </c>
      <c r="AN74" s="1">
        <v>2013.0</v>
      </c>
      <c r="AO74" s="1" t="s">
        <v>352</v>
      </c>
    </row>
    <row r="75">
      <c r="A75" s="5">
        <v>1.0</v>
      </c>
      <c r="B75" s="1">
        <f t="shared" si="1"/>
        <v>75</v>
      </c>
      <c r="C75" s="1" t="s">
        <v>121</v>
      </c>
      <c r="D75" s="1" t="s">
        <v>121</v>
      </c>
      <c r="E75" s="1" t="s">
        <v>100</v>
      </c>
      <c r="G75" s="1">
        <v>3.8521788E7</v>
      </c>
      <c r="H75" s="2">
        <v>41242.0</v>
      </c>
      <c r="I75" s="1" t="s">
        <v>122</v>
      </c>
      <c r="K75" s="1" t="s">
        <v>122</v>
      </c>
      <c r="N75" s="1" t="s">
        <v>102</v>
      </c>
      <c r="O75" s="1">
        <v>8600.0</v>
      </c>
      <c r="P75" s="1" t="s">
        <v>102</v>
      </c>
      <c r="Q75" s="1" t="str">
        <f>IF(ISERROR(VLOOKUP(P75,'unique fed agency names'!A:C,3,FALSE)),P75,VLOOKUP(P75,'unique fed agency names'!A:C,3,FALSE))
</f>
        <v>U.S. Department of Housing and Urban Development (HUD)</v>
      </c>
      <c r="R75" s="1">
        <v>9.65680176E8</v>
      </c>
      <c r="S75" s="1" t="s">
        <v>353</v>
      </c>
      <c r="T75" s="1" t="str">
        <f>IF(ISERROR(VLOOKUP(S75,'unique org names'!A:C,3,FALSE)),S75,VLOOKUP(S75,'unique org names'!A:C,3,FALSE))
</f>
        <v>Urban Neighborhood Initiatives, Inc</v>
      </c>
      <c r="U75" s="1" t="s">
        <v>354</v>
      </c>
      <c r="V75" s="1" t="s">
        <v>355</v>
      </c>
      <c r="W75" s="1" t="s">
        <v>44</v>
      </c>
      <c r="X75" s="1" t="s">
        <v>45</v>
      </c>
      <c r="Y75" s="1">
        <v>4.8209344E8</v>
      </c>
      <c r="AA75" s="1" t="s">
        <v>46</v>
      </c>
      <c r="AB75" s="1" t="s">
        <v>45</v>
      </c>
      <c r="AC75" s="1">
        <v>4.8209344E8</v>
      </c>
      <c r="AF75" s="1">
        <v>40000.0</v>
      </c>
      <c r="AG75" s="2">
        <v>41242.0</v>
      </c>
      <c r="AH75" s="1">
        <v>8600.0</v>
      </c>
      <c r="AI75" s="1" t="s">
        <v>102</v>
      </c>
      <c r="AJ75" s="1" t="s">
        <v>356</v>
      </c>
      <c r="AK75" s="1" t="s">
        <v>357</v>
      </c>
      <c r="AL75" s="1">
        <v>11.0</v>
      </c>
      <c r="AM75" s="1">
        <v>2012.0</v>
      </c>
      <c r="AN75" s="1">
        <v>2013.0</v>
      </c>
      <c r="AO75" s="1" t="s">
        <v>127</v>
      </c>
    </row>
    <row r="76">
      <c r="A76" s="5">
        <v>1.0</v>
      </c>
      <c r="B76" s="1">
        <f t="shared" si="1"/>
        <v>76</v>
      </c>
      <c r="C76" s="1" t="s">
        <v>203</v>
      </c>
      <c r="D76" s="1" t="s">
        <v>203</v>
      </c>
      <c r="E76" s="1" t="s">
        <v>100</v>
      </c>
      <c r="G76" s="1">
        <v>2.2173386E7</v>
      </c>
      <c r="H76" s="2">
        <v>41242.0</v>
      </c>
      <c r="I76" s="1" t="s">
        <v>122</v>
      </c>
      <c r="K76" s="1" t="s">
        <v>122</v>
      </c>
      <c r="N76" s="1" t="s">
        <v>102</v>
      </c>
      <c r="O76" s="1">
        <v>8600.0</v>
      </c>
      <c r="P76" s="1" t="s">
        <v>102</v>
      </c>
      <c r="Q76" s="1" t="str">
        <f>IF(ISERROR(VLOOKUP(P76,'unique fed agency names'!A:C,3,FALSE)),P76,VLOOKUP(P76,'unique fed agency names'!A:C,3,FALSE))
</f>
        <v>U.S. Department of Housing and Urban Development (HUD)</v>
      </c>
      <c r="R76" s="1">
        <v>9.65680176E8</v>
      </c>
      <c r="S76" s="1" t="s">
        <v>353</v>
      </c>
      <c r="T76" s="1" t="str">
        <f>IF(ISERROR(VLOOKUP(S76,'unique org names'!A:C,3,FALSE)),S76,VLOOKUP(S76,'unique org names'!A:C,3,FALSE))
</f>
        <v>Urban Neighborhood Initiatives, Inc</v>
      </c>
      <c r="U76" s="1" t="s">
        <v>354</v>
      </c>
      <c r="V76" s="1" t="s">
        <v>355</v>
      </c>
      <c r="W76" s="1" t="s">
        <v>44</v>
      </c>
      <c r="X76" s="1" t="s">
        <v>45</v>
      </c>
      <c r="Y76" s="1">
        <v>4.8209344E8</v>
      </c>
      <c r="AA76" s="1" t="s">
        <v>46</v>
      </c>
      <c r="AB76" s="1" t="s">
        <v>45</v>
      </c>
      <c r="AC76" s="1">
        <v>4.8209344E8</v>
      </c>
      <c r="AF76" s="1">
        <v>90000.0</v>
      </c>
      <c r="AG76" s="2">
        <v>41242.0</v>
      </c>
      <c r="AH76" s="1">
        <v>8600.0</v>
      </c>
      <c r="AI76" s="1" t="s">
        <v>102</v>
      </c>
      <c r="AJ76" s="1" t="s">
        <v>358</v>
      </c>
      <c r="AK76" s="1" t="s">
        <v>359</v>
      </c>
      <c r="AL76" s="1">
        <v>11.0</v>
      </c>
      <c r="AM76" s="1">
        <v>2012.0</v>
      </c>
      <c r="AN76" s="1">
        <v>2013.0</v>
      </c>
      <c r="AO76" s="1" t="s">
        <v>127</v>
      </c>
    </row>
    <row r="77">
      <c r="A77" s="5">
        <v>1.0</v>
      </c>
      <c r="B77" s="1">
        <f t="shared" si="1"/>
        <v>77</v>
      </c>
      <c r="C77" s="1" t="s">
        <v>360</v>
      </c>
      <c r="D77" s="1" t="s">
        <v>360</v>
      </c>
      <c r="E77" s="1" t="s">
        <v>100</v>
      </c>
      <c r="G77" s="1">
        <v>5199118.0</v>
      </c>
      <c r="H77" s="2">
        <v>41206.0</v>
      </c>
      <c r="I77" s="1" t="s">
        <v>361</v>
      </c>
      <c r="K77" s="1" t="s">
        <v>361</v>
      </c>
      <c r="N77" s="1" t="s">
        <v>102</v>
      </c>
      <c r="O77" s="1">
        <v>8600.0</v>
      </c>
      <c r="P77" s="1" t="s">
        <v>102</v>
      </c>
      <c r="Q77" s="1" t="str">
        <f>IF(ISERROR(VLOOKUP(P77,'unique fed agency names'!A:C,3,FALSE)),P77,VLOOKUP(P77,'unique fed agency names'!A:C,3,FALSE))
</f>
        <v>U.S. Department of Housing and Urban Development (HUD)</v>
      </c>
      <c r="R77" s="1">
        <v>1.54693043E8</v>
      </c>
      <c r="S77" s="1" t="s">
        <v>362</v>
      </c>
      <c r="T77" s="1" t="str">
        <f>IF(ISERROR(VLOOKUP(S77,'unique org names'!A:C,3,FALSE)),S77,VLOOKUP(S77,'unique org names'!A:C,3,FALSE))
</f>
        <v>Homeless Action Network of Detroit (HAND)</v>
      </c>
      <c r="U77" s="1" t="s">
        <v>363</v>
      </c>
      <c r="V77" s="1" t="s">
        <v>364</v>
      </c>
      <c r="W77" s="1" t="s">
        <v>44</v>
      </c>
      <c r="X77" s="1" t="s">
        <v>45</v>
      </c>
      <c r="Y77" s="1">
        <v>4.82161936E8</v>
      </c>
      <c r="AA77" s="1" t="s">
        <v>46</v>
      </c>
      <c r="AB77" s="1" t="s">
        <v>45</v>
      </c>
      <c r="AC77" s="1">
        <v>4.82161936E8</v>
      </c>
      <c r="AF77" s="1">
        <v>416169.0</v>
      </c>
      <c r="AG77" s="2">
        <v>41206.0</v>
      </c>
      <c r="AH77" s="1">
        <v>8600.0</v>
      </c>
      <c r="AI77" s="1" t="s">
        <v>102</v>
      </c>
      <c r="AJ77" s="1" t="s">
        <v>365</v>
      </c>
      <c r="AK77" s="1" t="s">
        <v>366</v>
      </c>
      <c r="AL77" s="1">
        <v>1.0</v>
      </c>
      <c r="AM77" s="1">
        <v>2013.0</v>
      </c>
      <c r="AN77" s="1">
        <v>2013.0</v>
      </c>
      <c r="AO77" s="1" t="s">
        <v>367</v>
      </c>
    </row>
    <row r="78">
      <c r="A78" s="5">
        <v>1.0</v>
      </c>
      <c r="B78" s="1">
        <f t="shared" si="1"/>
        <v>78</v>
      </c>
      <c r="C78" s="1" t="s">
        <v>368</v>
      </c>
      <c r="D78" s="1" t="s">
        <v>368</v>
      </c>
      <c r="E78" s="1" t="s">
        <v>38</v>
      </c>
      <c r="G78" s="1">
        <v>691298.0</v>
      </c>
      <c r="H78" s="2">
        <v>41198.0</v>
      </c>
      <c r="I78" s="1" t="s">
        <v>369</v>
      </c>
      <c r="K78" s="1" t="s">
        <v>369</v>
      </c>
      <c r="N78" s="1" t="s">
        <v>40</v>
      </c>
      <c r="O78" s="1">
        <v>7500.0</v>
      </c>
      <c r="P78" s="1" t="s">
        <v>40</v>
      </c>
      <c r="Q78" s="1" t="str">
        <f>IF(ISERROR(VLOOKUP(P78,'unique fed agency names'!A:C,3,FALSE)),P78,VLOOKUP(P78,'unique fed agency names'!A:C,3,FALSE))
</f>
        <v>U.S. Department of Health and Human Services (DHHS)</v>
      </c>
      <c r="R78" s="1">
        <v>7.3134603E7</v>
      </c>
      <c r="S78" s="1" t="s">
        <v>41</v>
      </c>
      <c r="T78" s="1" t="str">
        <f>IF(ISERROR(VLOOKUP(S78,'unique org names'!A:C,3,FALSE)),S78,VLOOKUP(S78,'unique org names'!A:C,3,FALSE))
</f>
        <v>Henry Ford Health System</v>
      </c>
      <c r="U78" s="1" t="s">
        <v>42</v>
      </c>
      <c r="V78" s="1" t="s">
        <v>43</v>
      </c>
      <c r="W78" s="1" t="s">
        <v>44</v>
      </c>
      <c r="X78" s="1" t="s">
        <v>45</v>
      </c>
      <c r="Y78" s="1">
        <v>4.8202345E8</v>
      </c>
      <c r="AA78" s="1" t="s">
        <v>46</v>
      </c>
      <c r="AB78" s="1" t="s">
        <v>45</v>
      </c>
      <c r="AC78" s="1">
        <v>4.8202345E8</v>
      </c>
      <c r="AD78" s="1">
        <v>7.3134603E7</v>
      </c>
      <c r="AE78" s="1" t="s">
        <v>41</v>
      </c>
      <c r="AF78" s="1">
        <v>45564.0</v>
      </c>
      <c r="AG78" s="2">
        <v>41198.0</v>
      </c>
      <c r="AH78" s="1">
        <v>7500.0</v>
      </c>
      <c r="AI78" s="1" t="s">
        <v>40</v>
      </c>
      <c r="AJ78" s="1" t="s">
        <v>370</v>
      </c>
      <c r="AK78" s="1" t="s">
        <v>371</v>
      </c>
      <c r="AL78" s="1">
        <v>10.0</v>
      </c>
      <c r="AM78" s="1">
        <v>2012.0</v>
      </c>
      <c r="AN78" s="1">
        <v>2013.0</v>
      </c>
      <c r="AO78" s="1" t="s">
        <v>372</v>
      </c>
    </row>
    <row r="79">
      <c r="A79" s="5">
        <v>1.0</v>
      </c>
      <c r="B79" s="1">
        <f t="shared" si="1"/>
        <v>79</v>
      </c>
      <c r="C79" s="1" t="s">
        <v>373</v>
      </c>
      <c r="D79" s="1" t="s">
        <v>373</v>
      </c>
      <c r="E79" s="1" t="s">
        <v>63</v>
      </c>
      <c r="G79" s="1">
        <v>2.6863552E7</v>
      </c>
      <c r="H79" s="2">
        <v>41183.0</v>
      </c>
      <c r="I79" s="1" t="s">
        <v>374</v>
      </c>
      <c r="K79" s="1" t="s">
        <v>374</v>
      </c>
      <c r="N79" s="1" t="s">
        <v>40</v>
      </c>
      <c r="O79" s="1">
        <v>7500.0</v>
      </c>
      <c r="P79" s="1" t="s">
        <v>40</v>
      </c>
      <c r="Q79" s="1" t="str">
        <f>IF(ISERROR(VLOOKUP(P79,'unique fed agency names'!A:C,3,FALSE)),P79,VLOOKUP(P79,'unique fed agency names'!A:C,3,FALSE))
</f>
        <v>U.S. Department of Health and Human Services (DHHS)</v>
      </c>
      <c r="R79" s="1">
        <v>7.8583404E7</v>
      </c>
      <c r="S79" s="1" t="s">
        <v>65</v>
      </c>
      <c r="T79" s="1" t="str">
        <f>IF(ISERROR(VLOOKUP(S79,'unique org names'!A:C,3,FALSE)),S79,VLOOKUP(S79,'unique org names'!A:C,3,FALSE))
</f>
        <v>Institute for Population Health Inc.</v>
      </c>
      <c r="V79" s="1" t="s">
        <v>66</v>
      </c>
      <c r="W79" s="1" t="s">
        <v>44</v>
      </c>
      <c r="X79" s="1" t="s">
        <v>45</v>
      </c>
      <c r="Y79" s="1">
        <v>4.82021732E8</v>
      </c>
      <c r="AA79" s="1" t="s">
        <v>46</v>
      </c>
      <c r="AB79" s="1" t="s">
        <v>45</v>
      </c>
      <c r="AC79" s="1">
        <v>4.82021732E8</v>
      </c>
      <c r="AF79" s="1">
        <v>83041.0</v>
      </c>
      <c r="AG79" s="2">
        <v>41183.0</v>
      </c>
      <c r="AH79" s="1">
        <v>7500.0</v>
      </c>
      <c r="AI79" s="1" t="s">
        <v>40</v>
      </c>
      <c r="AJ79" s="1">
        <v>2.01304E7</v>
      </c>
      <c r="AK79" s="1" t="s">
        <v>375</v>
      </c>
      <c r="AL79" s="1">
        <v>10.0</v>
      </c>
      <c r="AM79" s="1">
        <v>2010.0</v>
      </c>
      <c r="AN79" s="1">
        <v>2013.0</v>
      </c>
      <c r="AO79" s="1" t="s">
        <v>376</v>
      </c>
    </row>
    <row r="80">
      <c r="A80" s="5">
        <v>1.0</v>
      </c>
      <c r="B80" s="1">
        <f t="shared" si="1"/>
        <v>80</v>
      </c>
      <c r="C80" s="1" t="s">
        <v>377</v>
      </c>
      <c r="D80" s="1" t="s">
        <v>377</v>
      </c>
      <c r="E80" s="1" t="s">
        <v>224</v>
      </c>
      <c r="G80" s="1">
        <v>1180714.0</v>
      </c>
      <c r="H80" s="2">
        <v>41255.0</v>
      </c>
      <c r="I80" s="1" t="s">
        <v>294</v>
      </c>
      <c r="K80" s="1" t="s">
        <v>294</v>
      </c>
      <c r="N80" s="1" t="s">
        <v>151</v>
      </c>
      <c r="O80" s="1">
        <v>6900.0</v>
      </c>
      <c r="P80" s="1" t="s">
        <v>151</v>
      </c>
      <c r="Q80" s="1" t="str">
        <f>IF(ISERROR(VLOOKUP(P80,'unique fed agency names'!A:C,3,FALSE)),P80,VLOOKUP(P80,'unique fed agency names'!A:C,3,FALSE))
</f>
        <v>U.S. Department of Transportation (DOT)</v>
      </c>
      <c r="R80" s="1">
        <v>9.63886101E8</v>
      </c>
      <c r="S80" s="1" t="s">
        <v>259</v>
      </c>
      <c r="T80" s="1" t="str">
        <f>IF(ISERROR(VLOOKUP(S80,'unique org names'!A:C,3,FALSE)),S80,VLOOKUP(S80,'unique org names'!A:C,3,FALSE))
</f>
        <v>Wayne County</v>
      </c>
      <c r="V80" s="1" t="s">
        <v>260</v>
      </c>
      <c r="W80" s="1" t="s">
        <v>44</v>
      </c>
      <c r="X80" s="1" t="s">
        <v>45</v>
      </c>
      <c r="Y80" s="1">
        <v>4.8226348E8</v>
      </c>
      <c r="AA80" s="1" t="s">
        <v>46</v>
      </c>
      <c r="AB80" s="1" t="s">
        <v>45</v>
      </c>
      <c r="AC80" s="1">
        <v>4.8226348E8</v>
      </c>
      <c r="AD80" s="1">
        <v>7.3134884E7</v>
      </c>
      <c r="AE80" s="1" t="s">
        <v>261</v>
      </c>
      <c r="AF80" s="1">
        <v>1180714.0</v>
      </c>
      <c r="AG80" s="2">
        <v>41255.0</v>
      </c>
      <c r="AH80" s="1">
        <v>6900.0</v>
      </c>
      <c r="AI80" s="1" t="s">
        <v>151</v>
      </c>
      <c r="AJ80" s="1">
        <v>1.0</v>
      </c>
      <c r="AK80" s="1" t="s">
        <v>295</v>
      </c>
      <c r="AL80" s="1">
        <v>5.0</v>
      </c>
      <c r="AM80" s="1">
        <v>2013.0</v>
      </c>
      <c r="AN80" s="1">
        <v>2013.0</v>
      </c>
      <c r="AO80" s="1" t="s">
        <v>229</v>
      </c>
    </row>
    <row r="81">
      <c r="A81" s="5">
        <v>1.0</v>
      </c>
      <c r="B81" s="1">
        <f t="shared" si="1"/>
        <v>81</v>
      </c>
      <c r="C81" s="1" t="s">
        <v>378</v>
      </c>
      <c r="D81" s="1" t="s">
        <v>378</v>
      </c>
      <c r="E81" s="1" t="s">
        <v>129</v>
      </c>
      <c r="G81" s="1">
        <v>6.6218445E8</v>
      </c>
      <c r="H81" s="2">
        <v>41365.0</v>
      </c>
      <c r="I81" s="1" t="s">
        <v>379</v>
      </c>
      <c r="K81" s="1" t="s">
        <v>379</v>
      </c>
      <c r="N81" s="1" t="s">
        <v>40</v>
      </c>
      <c r="O81" s="1">
        <v>7500.0</v>
      </c>
      <c r="P81" s="1" t="s">
        <v>40</v>
      </c>
      <c r="Q81" s="1" t="str">
        <f>IF(ISERROR(VLOOKUP(P81,'unique fed agency names'!A:C,3,FALSE)),P81,VLOOKUP(P81,'unique fed agency names'!A:C,3,FALSE))
</f>
        <v>U.S. Department of Health and Human Services (DHHS)</v>
      </c>
      <c r="R81" s="1">
        <v>1.21516199E8</v>
      </c>
      <c r="S81" s="1" t="s">
        <v>380</v>
      </c>
      <c r="T81" s="1" t="str">
        <f>IF(ISERROR(VLOOKUP(S81,'unique org names'!A:C,3,FALSE)),S81,VLOOKUP(S81,'unique org names'!A:C,3,FALSE))
</f>
        <v>YWCA of Metropolitan Detroit</v>
      </c>
      <c r="U81" s="1" t="s">
        <v>381</v>
      </c>
      <c r="V81" s="1" t="s">
        <v>382</v>
      </c>
      <c r="W81" s="1" t="s">
        <v>44</v>
      </c>
      <c r="X81" s="1" t="s">
        <v>45</v>
      </c>
      <c r="Y81" s="1">
        <v>4.82073156E8</v>
      </c>
      <c r="AA81" s="1" t="s">
        <v>46</v>
      </c>
      <c r="AB81" s="1" t="s">
        <v>45</v>
      </c>
      <c r="AC81" s="1">
        <v>4.82073156E8</v>
      </c>
      <c r="AD81" s="1">
        <v>1.21516199E8</v>
      </c>
      <c r="AE81" s="1" t="s">
        <v>380</v>
      </c>
      <c r="AF81" s="1">
        <v>122330.0</v>
      </c>
      <c r="AG81" s="2">
        <v>41365.0</v>
      </c>
      <c r="AH81" s="1">
        <v>7500.0</v>
      </c>
      <c r="AI81" s="1" t="s">
        <v>40</v>
      </c>
      <c r="AJ81" s="1" t="s">
        <v>383</v>
      </c>
      <c r="AK81" s="1" t="s">
        <v>384</v>
      </c>
      <c r="AL81" s="1">
        <v>1.0</v>
      </c>
      <c r="AM81" s="1">
        <v>2013.0</v>
      </c>
      <c r="AN81" s="1">
        <v>2013.0</v>
      </c>
      <c r="AO81" s="1" t="s">
        <v>385</v>
      </c>
    </row>
    <row r="82">
      <c r="A82" s="5">
        <v>1.0</v>
      </c>
      <c r="B82" s="1">
        <f t="shared" si="1"/>
        <v>82</v>
      </c>
      <c r="C82" s="1" t="s">
        <v>386</v>
      </c>
      <c r="D82" s="1" t="s">
        <v>386</v>
      </c>
      <c r="E82" s="1" t="s">
        <v>224</v>
      </c>
      <c r="G82" s="1">
        <v>2483750.0</v>
      </c>
      <c r="H82" s="2">
        <v>41255.0</v>
      </c>
      <c r="I82" s="1" t="s">
        <v>294</v>
      </c>
      <c r="K82" s="1" t="s">
        <v>294</v>
      </c>
      <c r="N82" s="1" t="s">
        <v>151</v>
      </c>
      <c r="O82" s="1">
        <v>6900.0</v>
      </c>
      <c r="P82" s="1" t="s">
        <v>151</v>
      </c>
      <c r="Q82" s="1" t="str">
        <f>IF(ISERROR(VLOOKUP(P82,'unique fed agency names'!A:C,3,FALSE)),P82,VLOOKUP(P82,'unique fed agency names'!A:C,3,FALSE))
</f>
        <v>U.S. Department of Transportation (DOT)</v>
      </c>
      <c r="R82" s="1">
        <v>9.63886101E8</v>
      </c>
      <c r="S82" s="1" t="s">
        <v>259</v>
      </c>
      <c r="T82" s="1" t="str">
        <f>IF(ISERROR(VLOOKUP(S82,'unique org names'!A:C,3,FALSE)),S82,VLOOKUP(S82,'unique org names'!A:C,3,FALSE))
</f>
        <v>Wayne County</v>
      </c>
      <c r="V82" s="1" t="s">
        <v>260</v>
      </c>
      <c r="W82" s="1" t="s">
        <v>44</v>
      </c>
      <c r="X82" s="1" t="s">
        <v>45</v>
      </c>
      <c r="Y82" s="1">
        <v>4.8226348E8</v>
      </c>
      <c r="AA82" s="1" t="s">
        <v>46</v>
      </c>
      <c r="AB82" s="1" t="s">
        <v>45</v>
      </c>
      <c r="AC82" s="1">
        <v>4.8226348E8</v>
      </c>
      <c r="AD82" s="1">
        <v>7.3134884E7</v>
      </c>
      <c r="AE82" s="1" t="s">
        <v>261</v>
      </c>
      <c r="AF82" s="1">
        <v>2483750.0</v>
      </c>
      <c r="AG82" s="2">
        <v>41255.0</v>
      </c>
      <c r="AH82" s="1">
        <v>6900.0</v>
      </c>
      <c r="AI82" s="1" t="s">
        <v>151</v>
      </c>
      <c r="AJ82" s="1">
        <v>1.0</v>
      </c>
      <c r="AK82" s="1" t="s">
        <v>295</v>
      </c>
      <c r="AL82" s="1">
        <v>5.0</v>
      </c>
      <c r="AM82" s="1">
        <v>2013.0</v>
      </c>
      <c r="AN82" s="1">
        <v>2013.0</v>
      </c>
      <c r="AO82" s="1" t="s">
        <v>229</v>
      </c>
    </row>
    <row r="83">
      <c r="A83" s="5">
        <v>1.0</v>
      </c>
      <c r="B83" s="1">
        <f t="shared" si="1"/>
        <v>83</v>
      </c>
      <c r="C83" s="1" t="s">
        <v>387</v>
      </c>
      <c r="D83" s="1" t="s">
        <v>387</v>
      </c>
      <c r="E83" s="1" t="s">
        <v>224</v>
      </c>
      <c r="G83" s="1">
        <v>206572.0</v>
      </c>
      <c r="H83" s="2">
        <v>41256.0</v>
      </c>
      <c r="I83" s="1" t="s">
        <v>294</v>
      </c>
      <c r="K83" s="1" t="s">
        <v>294</v>
      </c>
      <c r="N83" s="1" t="s">
        <v>151</v>
      </c>
      <c r="O83" s="1">
        <v>6900.0</v>
      </c>
      <c r="P83" s="1" t="s">
        <v>151</v>
      </c>
      <c r="Q83" s="1" t="str">
        <f>IF(ISERROR(VLOOKUP(P83,'unique fed agency names'!A:C,3,FALSE)),P83,VLOOKUP(P83,'unique fed agency names'!A:C,3,FALSE))
</f>
        <v>U.S. Department of Transportation (DOT)</v>
      </c>
      <c r="R83" s="1">
        <v>9.63886101E8</v>
      </c>
      <c r="S83" s="1" t="s">
        <v>259</v>
      </c>
      <c r="T83" s="1" t="str">
        <f>IF(ISERROR(VLOOKUP(S83,'unique org names'!A:C,3,FALSE)),S83,VLOOKUP(S83,'unique org names'!A:C,3,FALSE))
</f>
        <v>Wayne County</v>
      </c>
      <c r="V83" s="1" t="s">
        <v>260</v>
      </c>
      <c r="W83" s="1" t="s">
        <v>44</v>
      </c>
      <c r="X83" s="1" t="s">
        <v>45</v>
      </c>
      <c r="Y83" s="1">
        <v>4.8226348E8</v>
      </c>
      <c r="AA83" s="1" t="s">
        <v>46</v>
      </c>
      <c r="AB83" s="1" t="s">
        <v>45</v>
      </c>
      <c r="AC83" s="1">
        <v>4.8226348E8</v>
      </c>
      <c r="AD83" s="1">
        <v>7.3134884E7</v>
      </c>
      <c r="AE83" s="1" t="s">
        <v>261</v>
      </c>
      <c r="AF83" s="1">
        <v>206572.48</v>
      </c>
      <c r="AG83" s="2">
        <v>41256.0</v>
      </c>
      <c r="AH83" s="1">
        <v>6900.0</v>
      </c>
      <c r="AI83" s="1" t="s">
        <v>151</v>
      </c>
      <c r="AJ83" s="1">
        <v>1.0</v>
      </c>
      <c r="AK83" s="1" t="s">
        <v>295</v>
      </c>
      <c r="AL83" s="1">
        <v>5.0</v>
      </c>
      <c r="AM83" s="1">
        <v>2013.0</v>
      </c>
      <c r="AN83" s="1">
        <v>2013.0</v>
      </c>
      <c r="AO83" s="1" t="s">
        <v>229</v>
      </c>
    </row>
    <row r="84">
      <c r="A84" s="5">
        <v>1.0</v>
      </c>
      <c r="B84" s="1">
        <f t="shared" si="1"/>
        <v>84</v>
      </c>
      <c r="C84" s="1" t="s">
        <v>388</v>
      </c>
      <c r="D84" s="1" t="s">
        <v>388</v>
      </c>
      <c r="E84" s="1" t="s">
        <v>389</v>
      </c>
      <c r="G84" s="1">
        <v>2961529.0</v>
      </c>
      <c r="H84" s="2">
        <v>41183.0</v>
      </c>
      <c r="I84" s="1" t="s">
        <v>390</v>
      </c>
      <c r="K84" s="1" t="s">
        <v>390</v>
      </c>
      <c r="N84" s="1" t="s">
        <v>391</v>
      </c>
      <c r="O84" s="1">
        <v>1600.0</v>
      </c>
      <c r="P84" s="1" t="s">
        <v>391</v>
      </c>
      <c r="Q84" s="1" t="str">
        <f>IF(ISERROR(VLOOKUP(P84,'unique fed agency names'!A:C,3,FALSE)),P84,VLOOKUP(P84,'unique fed agency names'!A:C,3,FALSE))
</f>
        <v>U.S. Department of Labor (DOL)</v>
      </c>
      <c r="R84" s="1">
        <v>4.6842605E7</v>
      </c>
      <c r="S84" s="1" t="s">
        <v>165</v>
      </c>
      <c r="T84" s="1" t="str">
        <f>IF(ISERROR(VLOOKUP(S84,'unique org names'!A:C,3,FALSE)),S84,VLOOKUP(S84,'unique org names'!A:C,3,FALSE))
</f>
        <v>DETROIT AREA AGENCY ON AGING</v>
      </c>
      <c r="U84" s="1" t="s">
        <v>166</v>
      </c>
      <c r="V84" s="1" t="s">
        <v>167</v>
      </c>
      <c r="W84" s="1" t="s">
        <v>44</v>
      </c>
      <c r="X84" s="1" t="s">
        <v>45</v>
      </c>
      <c r="Y84" s="1">
        <v>4.82074544E8</v>
      </c>
      <c r="AA84" s="1" t="s">
        <v>46</v>
      </c>
      <c r="AB84" s="1" t="s">
        <v>45</v>
      </c>
      <c r="AC84" s="1">
        <v>4.82074544E8</v>
      </c>
      <c r="AF84" s="1">
        <v>787684.0</v>
      </c>
      <c r="AG84" s="2">
        <v>41183.0</v>
      </c>
      <c r="AH84" s="1">
        <v>1600.0</v>
      </c>
      <c r="AI84" s="1" t="s">
        <v>391</v>
      </c>
      <c r="AJ84" s="1">
        <v>2.0131585E7</v>
      </c>
      <c r="AK84" s="1" t="s">
        <v>392</v>
      </c>
      <c r="AL84" s="1">
        <v>10.0</v>
      </c>
      <c r="AM84" s="1">
        <v>2012.0</v>
      </c>
      <c r="AN84" s="1">
        <v>2013.0</v>
      </c>
      <c r="AO84" s="1" t="s">
        <v>393</v>
      </c>
    </row>
    <row r="85">
      <c r="A85" s="5">
        <v>1.0</v>
      </c>
      <c r="B85" s="1">
        <f t="shared" si="1"/>
        <v>85</v>
      </c>
      <c r="C85" s="1" t="s">
        <v>394</v>
      </c>
      <c r="D85" s="1" t="s">
        <v>394</v>
      </c>
      <c r="E85" s="1" t="s">
        <v>129</v>
      </c>
      <c r="G85" s="1">
        <v>2824235.0</v>
      </c>
      <c r="H85" s="2">
        <v>41249.0</v>
      </c>
      <c r="I85" s="1" t="s">
        <v>395</v>
      </c>
      <c r="K85" s="1" t="s">
        <v>395</v>
      </c>
      <c r="N85" s="1" t="s">
        <v>40</v>
      </c>
      <c r="O85" s="1">
        <v>7500.0</v>
      </c>
      <c r="P85" s="1" t="s">
        <v>40</v>
      </c>
      <c r="Q85" s="1" t="str">
        <f>IF(ISERROR(VLOOKUP(P85,'unique fed agency names'!A:C,3,FALSE)),P85,VLOOKUP(P85,'unique fed agency names'!A:C,3,FALSE))
</f>
        <v>U.S. Department of Health and Human Services (DHHS)</v>
      </c>
      <c r="R85" s="1">
        <v>6.9840817E7</v>
      </c>
      <c r="S85" s="1" t="s">
        <v>131</v>
      </c>
      <c r="T85" s="1" t="str">
        <f>IF(ISERROR(VLOOKUP(S85,'unique org names'!A:C,3,FALSE)),S85,VLOOKUP(S85,'unique org names'!A:C,3,FALSE))
</f>
        <v>LUTHERAN SOCIAL SERVICES OF MICHIGAN</v>
      </c>
      <c r="V85" s="1" t="s">
        <v>132</v>
      </c>
      <c r="W85" s="1" t="s">
        <v>44</v>
      </c>
      <c r="X85" s="1" t="s">
        <v>45</v>
      </c>
      <c r="Y85" s="1">
        <v>4.8214261E8</v>
      </c>
      <c r="AA85" s="1" t="s">
        <v>46</v>
      </c>
      <c r="AB85" s="1" t="s">
        <v>45</v>
      </c>
      <c r="AC85" s="1">
        <v>4.8214261E8</v>
      </c>
      <c r="AD85" s="1">
        <v>6.9840817E7</v>
      </c>
      <c r="AE85" s="1" t="s">
        <v>131</v>
      </c>
      <c r="AF85" s="1">
        <v>625100.0</v>
      </c>
      <c r="AG85" s="2">
        <v>41249.0</v>
      </c>
      <c r="AH85" s="1">
        <v>7500.0</v>
      </c>
      <c r="AI85" s="1" t="s">
        <v>40</v>
      </c>
      <c r="AJ85" s="1" t="s">
        <v>396</v>
      </c>
      <c r="AK85" s="1" t="s">
        <v>397</v>
      </c>
      <c r="AL85" s="1">
        <v>12.0</v>
      </c>
      <c r="AM85" s="1">
        <v>2012.0</v>
      </c>
      <c r="AN85" s="1">
        <v>2013.0</v>
      </c>
      <c r="AO85" s="1" t="s">
        <v>398</v>
      </c>
    </row>
    <row r="86">
      <c r="A86" s="5">
        <v>1.0</v>
      </c>
      <c r="B86" s="1">
        <f t="shared" si="1"/>
        <v>86</v>
      </c>
      <c r="C86" s="1" t="s">
        <v>394</v>
      </c>
      <c r="D86" s="1" t="s">
        <v>394</v>
      </c>
      <c r="E86" s="1" t="s">
        <v>129</v>
      </c>
      <c r="G86" s="1">
        <v>2824235.0</v>
      </c>
      <c r="H86" s="2">
        <v>41249.0</v>
      </c>
      <c r="I86" s="1" t="s">
        <v>395</v>
      </c>
      <c r="K86" s="1" t="s">
        <v>395</v>
      </c>
      <c r="N86" s="1" t="s">
        <v>40</v>
      </c>
      <c r="O86" s="1">
        <v>7500.0</v>
      </c>
      <c r="P86" s="1" t="s">
        <v>40</v>
      </c>
      <c r="Q86" s="1" t="str">
        <f>IF(ISERROR(VLOOKUP(P86,'unique fed agency names'!A:C,3,FALSE)),P86,VLOOKUP(P86,'unique fed agency names'!A:C,3,FALSE))
</f>
        <v>U.S. Department of Health and Human Services (DHHS)</v>
      </c>
      <c r="R86" s="1">
        <v>6.9840817E7</v>
      </c>
      <c r="S86" s="1" t="s">
        <v>131</v>
      </c>
      <c r="T86" s="1" t="str">
        <f>IF(ISERROR(VLOOKUP(S86,'unique org names'!A:C,3,FALSE)),S86,VLOOKUP(S86,'unique org names'!A:C,3,FALSE))
</f>
        <v>LUTHERAN SOCIAL SERVICES OF MICHIGAN</v>
      </c>
      <c r="V86" s="1" t="s">
        <v>132</v>
      </c>
      <c r="W86" s="1" t="s">
        <v>44</v>
      </c>
      <c r="X86" s="1" t="s">
        <v>45</v>
      </c>
      <c r="Y86" s="1">
        <v>4.8214261E8</v>
      </c>
      <c r="AA86" s="1" t="s">
        <v>46</v>
      </c>
      <c r="AB86" s="1" t="s">
        <v>45</v>
      </c>
      <c r="AC86" s="1">
        <v>4.8214261E8</v>
      </c>
      <c r="AD86" s="1">
        <v>6.9840817E7</v>
      </c>
      <c r="AE86" s="1" t="s">
        <v>131</v>
      </c>
      <c r="AF86" s="1">
        <v>574513.0</v>
      </c>
      <c r="AG86" s="2">
        <v>41249.0</v>
      </c>
      <c r="AH86" s="1">
        <v>7500.0</v>
      </c>
      <c r="AI86" s="1" t="s">
        <v>40</v>
      </c>
      <c r="AJ86" s="1" t="s">
        <v>399</v>
      </c>
      <c r="AK86" s="1" t="s">
        <v>400</v>
      </c>
      <c r="AL86" s="1">
        <v>12.0</v>
      </c>
      <c r="AM86" s="1">
        <v>2012.0</v>
      </c>
      <c r="AN86" s="1">
        <v>2013.0</v>
      </c>
      <c r="AO86" s="1" t="s">
        <v>398</v>
      </c>
    </row>
    <row r="87">
      <c r="A87" s="5">
        <v>1.0</v>
      </c>
      <c r="B87" s="1">
        <f t="shared" si="1"/>
        <v>87</v>
      </c>
      <c r="C87" s="1" t="s">
        <v>394</v>
      </c>
      <c r="D87" s="1" t="s">
        <v>394</v>
      </c>
      <c r="E87" s="1" t="s">
        <v>129</v>
      </c>
      <c r="G87" s="1">
        <v>2824235.0</v>
      </c>
      <c r="H87" s="2">
        <v>41249.0</v>
      </c>
      <c r="I87" s="1" t="s">
        <v>395</v>
      </c>
      <c r="K87" s="1" t="s">
        <v>395</v>
      </c>
      <c r="N87" s="1" t="s">
        <v>40</v>
      </c>
      <c r="O87" s="1">
        <v>7500.0</v>
      </c>
      <c r="P87" s="1" t="s">
        <v>40</v>
      </c>
      <c r="Q87" s="1" t="str">
        <f>IF(ISERROR(VLOOKUP(P87,'unique fed agency names'!A:C,3,FALSE)),P87,VLOOKUP(P87,'unique fed agency names'!A:C,3,FALSE))
</f>
        <v>U.S. Department of Health and Human Services (DHHS)</v>
      </c>
      <c r="R87" s="1">
        <v>6.9840817E7</v>
      </c>
      <c r="S87" s="1" t="s">
        <v>131</v>
      </c>
      <c r="T87" s="1" t="str">
        <f>IF(ISERROR(VLOOKUP(S87,'unique org names'!A:C,3,FALSE)),S87,VLOOKUP(S87,'unique org names'!A:C,3,FALSE))
</f>
        <v>LUTHERAN SOCIAL SERVICES OF MICHIGAN</v>
      </c>
      <c r="V87" s="1" t="s">
        <v>132</v>
      </c>
      <c r="W87" s="1" t="s">
        <v>44</v>
      </c>
      <c r="X87" s="1" t="s">
        <v>45</v>
      </c>
      <c r="Y87" s="1">
        <v>4.8214261E8</v>
      </c>
      <c r="AA87" s="1" t="s">
        <v>46</v>
      </c>
      <c r="AB87" s="1" t="s">
        <v>45</v>
      </c>
      <c r="AC87" s="1">
        <v>4.8214261E8</v>
      </c>
      <c r="AD87" s="1">
        <v>6.9840817E7</v>
      </c>
      <c r="AE87" s="1" t="s">
        <v>131</v>
      </c>
      <c r="AF87" s="1">
        <v>106142.0</v>
      </c>
      <c r="AG87" s="2">
        <v>41249.0</v>
      </c>
      <c r="AH87" s="1">
        <v>7500.0</v>
      </c>
      <c r="AI87" s="1" t="s">
        <v>40</v>
      </c>
      <c r="AJ87" s="1" t="s">
        <v>401</v>
      </c>
      <c r="AK87" s="1" t="s">
        <v>402</v>
      </c>
      <c r="AL87" s="1">
        <v>12.0</v>
      </c>
      <c r="AM87" s="1">
        <v>2012.0</v>
      </c>
      <c r="AN87" s="1">
        <v>2013.0</v>
      </c>
      <c r="AO87" s="1" t="s">
        <v>398</v>
      </c>
    </row>
    <row r="88">
      <c r="A88" s="5">
        <v>1.0</v>
      </c>
      <c r="B88" s="1">
        <f t="shared" si="1"/>
        <v>88</v>
      </c>
      <c r="C88" s="1" t="s">
        <v>403</v>
      </c>
      <c r="D88" s="1" t="s">
        <v>403</v>
      </c>
      <c r="E88" s="1" t="s">
        <v>70</v>
      </c>
      <c r="G88" s="1">
        <v>605277.0</v>
      </c>
      <c r="H88" s="2">
        <v>41365.0</v>
      </c>
      <c r="I88" s="1" t="s">
        <v>404</v>
      </c>
      <c r="K88" s="1" t="s">
        <v>404</v>
      </c>
      <c r="N88" s="1" t="s">
        <v>72</v>
      </c>
      <c r="O88" s="1">
        <v>1500.0</v>
      </c>
      <c r="P88" s="1" t="s">
        <v>72</v>
      </c>
      <c r="Q88" s="1" t="str">
        <f>IF(ISERROR(VLOOKUP(P88,'unique fed agency names'!A:C,3,FALSE)),P88,VLOOKUP(P88,'unique fed agency names'!A:C,3,FALSE))
</f>
        <v>U.S. Department of Justice (DOJ)</v>
      </c>
      <c r="R88" s="1">
        <v>7.3134884E7</v>
      </c>
      <c r="S88" s="1" t="s">
        <v>259</v>
      </c>
      <c r="T88" s="1" t="str">
        <f>IF(ISERROR(VLOOKUP(S88,'unique org names'!A:C,3,FALSE)),S88,VLOOKUP(S88,'unique org names'!A:C,3,FALSE))
</f>
        <v>Wayne County</v>
      </c>
      <c r="V88" s="1" t="s">
        <v>286</v>
      </c>
      <c r="W88" s="1" t="s">
        <v>44</v>
      </c>
      <c r="X88" s="1" t="s">
        <v>45</v>
      </c>
      <c r="Y88" s="1">
        <v>4.82262841E8</v>
      </c>
      <c r="AA88" s="1" t="s">
        <v>46</v>
      </c>
      <c r="AB88" s="1" t="s">
        <v>45</v>
      </c>
      <c r="AC88" s="1">
        <v>4.82325555E8</v>
      </c>
      <c r="AD88" s="1">
        <v>7.3134884E7</v>
      </c>
      <c r="AE88" s="1" t="s">
        <v>261</v>
      </c>
      <c r="AF88" s="1">
        <v>112074.0</v>
      </c>
      <c r="AG88" s="2">
        <v>41365.0</v>
      </c>
      <c r="AH88" s="1">
        <v>1500.0</v>
      </c>
      <c r="AI88" s="1" t="s">
        <v>72</v>
      </c>
      <c r="AJ88" s="1" t="s">
        <v>405</v>
      </c>
      <c r="AK88" s="1" t="s">
        <v>406</v>
      </c>
      <c r="AL88" s="1">
        <v>4.0</v>
      </c>
      <c r="AM88" s="1">
        <v>2013.0</v>
      </c>
      <c r="AN88" s="1">
        <v>2013.0</v>
      </c>
      <c r="AO88" s="1" t="s">
        <v>407</v>
      </c>
    </row>
    <row r="89">
      <c r="A89" s="5">
        <v>1.0</v>
      </c>
      <c r="B89" s="1">
        <f t="shared" si="1"/>
        <v>89</v>
      </c>
      <c r="C89" s="1" t="s">
        <v>408</v>
      </c>
      <c r="D89" s="1" t="s">
        <v>408</v>
      </c>
      <c r="E89" s="1" t="s">
        <v>224</v>
      </c>
      <c r="G89" s="1">
        <v>647375.0</v>
      </c>
      <c r="H89" s="2">
        <v>41368.0</v>
      </c>
      <c r="I89" s="1" t="s">
        <v>409</v>
      </c>
      <c r="K89" s="1" t="s">
        <v>409</v>
      </c>
      <c r="N89" s="1" t="s">
        <v>151</v>
      </c>
      <c r="O89" s="1">
        <v>6900.0</v>
      </c>
      <c r="P89" s="1" t="s">
        <v>151</v>
      </c>
      <c r="Q89" s="1" t="str">
        <f>IF(ISERROR(VLOOKUP(P89,'unique fed agency names'!A:C,3,FALSE)),P89,VLOOKUP(P89,'unique fed agency names'!A:C,3,FALSE))
</f>
        <v>U.S. Department of Transportation (DOT)</v>
      </c>
      <c r="R89" s="1">
        <v>1.1855476E8</v>
      </c>
      <c r="S89" s="1" t="s">
        <v>73</v>
      </c>
      <c r="T89" s="1" t="str">
        <f>IF(ISERROR(VLOOKUP(S89,'unique org names'!A:C,3,FALSE)),S89,VLOOKUP(S89,'unique org names'!A:C,3,FALSE))
</f>
        <v>City Of Detroit</v>
      </c>
      <c r="U89" s="1" t="s">
        <v>226</v>
      </c>
      <c r="V89" s="1" t="s">
        <v>227</v>
      </c>
      <c r="W89" s="1" t="s">
        <v>44</v>
      </c>
      <c r="X89" s="1" t="s">
        <v>45</v>
      </c>
      <c r="Y89" s="1">
        <v>4.82262886E8</v>
      </c>
      <c r="AA89" s="1" t="s">
        <v>46</v>
      </c>
      <c r="AB89" s="1" t="s">
        <v>45</v>
      </c>
      <c r="AC89" s="1">
        <v>4.82262886E8</v>
      </c>
      <c r="AD89" s="1">
        <v>6530661.0</v>
      </c>
      <c r="AE89" s="1" t="s">
        <v>76</v>
      </c>
      <c r="AF89" s="1">
        <v>647375.0</v>
      </c>
      <c r="AG89" s="2">
        <v>41368.0</v>
      </c>
      <c r="AH89" s="1">
        <v>6900.0</v>
      </c>
      <c r="AI89" s="1" t="s">
        <v>151</v>
      </c>
      <c r="AJ89" s="1">
        <v>1.0</v>
      </c>
      <c r="AK89" s="1" t="s">
        <v>410</v>
      </c>
      <c r="AL89" s="1">
        <v>5.0</v>
      </c>
      <c r="AM89" s="1">
        <v>2013.0</v>
      </c>
      <c r="AN89" s="1">
        <v>2013.0</v>
      </c>
      <c r="AO89" s="1" t="s">
        <v>229</v>
      </c>
    </row>
    <row r="90">
      <c r="A90" s="5">
        <v>1.0</v>
      </c>
      <c r="B90" s="1">
        <f t="shared" si="1"/>
        <v>90</v>
      </c>
      <c r="C90" s="1" t="s">
        <v>411</v>
      </c>
      <c r="D90" s="1" t="s">
        <v>411</v>
      </c>
      <c r="E90" s="1" t="s">
        <v>38</v>
      </c>
      <c r="G90" s="1">
        <v>1700306.0</v>
      </c>
      <c r="H90" s="2">
        <v>41407.0</v>
      </c>
      <c r="I90" s="1" t="s">
        <v>412</v>
      </c>
      <c r="K90" s="1" t="s">
        <v>412</v>
      </c>
      <c r="N90" s="1" t="s">
        <v>40</v>
      </c>
      <c r="O90" s="1">
        <v>7500.0</v>
      </c>
      <c r="P90" s="1" t="s">
        <v>40</v>
      </c>
      <c r="Q90" s="1" t="str">
        <f>IF(ISERROR(VLOOKUP(P90,'unique fed agency names'!A:C,3,FALSE)),P90,VLOOKUP(P90,'unique fed agency names'!A:C,3,FALSE))
</f>
        <v>U.S. Department of Health and Human Services (DHHS)</v>
      </c>
      <c r="R90" s="1">
        <v>7.3134603E7</v>
      </c>
      <c r="S90" s="1" t="s">
        <v>41</v>
      </c>
      <c r="T90" s="1" t="str">
        <f>IF(ISERROR(VLOOKUP(S90,'unique org names'!A:C,3,FALSE)),S90,VLOOKUP(S90,'unique org names'!A:C,3,FALSE))
</f>
        <v>Henry Ford Health System</v>
      </c>
      <c r="U90" s="1" t="s">
        <v>252</v>
      </c>
      <c r="V90" s="1" t="s">
        <v>253</v>
      </c>
      <c r="W90" s="1" t="s">
        <v>44</v>
      </c>
      <c r="X90" s="1" t="s">
        <v>45</v>
      </c>
      <c r="Y90" s="1">
        <v>4.8202345E8</v>
      </c>
      <c r="AA90" s="1" t="s">
        <v>46</v>
      </c>
      <c r="AB90" s="1" t="s">
        <v>45</v>
      </c>
      <c r="AC90" s="1">
        <v>4.82022608E8</v>
      </c>
      <c r="AD90" s="1">
        <v>7.3134603E7</v>
      </c>
      <c r="AE90" s="1" t="s">
        <v>41</v>
      </c>
      <c r="AF90" s="1">
        <v>113318.0</v>
      </c>
      <c r="AG90" s="2">
        <v>41407.0</v>
      </c>
      <c r="AH90" s="1">
        <v>7500.0</v>
      </c>
      <c r="AI90" s="1" t="s">
        <v>40</v>
      </c>
      <c r="AJ90" s="1" t="s">
        <v>413</v>
      </c>
      <c r="AK90" s="1" t="s">
        <v>414</v>
      </c>
      <c r="AL90" s="1">
        <v>2.0</v>
      </c>
      <c r="AM90" s="1">
        <v>2013.0</v>
      </c>
      <c r="AN90" s="1">
        <v>2013.0</v>
      </c>
      <c r="AO90" s="1" t="s">
        <v>415</v>
      </c>
    </row>
    <row r="91">
      <c r="A91" s="5">
        <v>1.0</v>
      </c>
      <c r="B91" s="1">
        <f t="shared" si="1"/>
        <v>91</v>
      </c>
      <c r="C91" s="1" t="s">
        <v>378</v>
      </c>
      <c r="D91" s="1" t="s">
        <v>378</v>
      </c>
      <c r="E91" s="1" t="s">
        <v>129</v>
      </c>
      <c r="G91" s="1">
        <v>6.6218445E8</v>
      </c>
      <c r="H91" s="2">
        <v>41365.0</v>
      </c>
      <c r="I91" s="1" t="s">
        <v>379</v>
      </c>
      <c r="K91" s="1" t="s">
        <v>379</v>
      </c>
      <c r="N91" s="1" t="s">
        <v>40</v>
      </c>
      <c r="O91" s="1">
        <v>7500.0</v>
      </c>
      <c r="P91" s="1" t="s">
        <v>40</v>
      </c>
      <c r="Q91" s="1" t="str">
        <f>IF(ISERROR(VLOOKUP(P91,'unique fed agency names'!A:C,3,FALSE)),P91,VLOOKUP(P91,'unique fed agency names'!A:C,3,FALSE))
</f>
        <v>U.S. Department of Health and Human Services (DHHS)</v>
      </c>
      <c r="R91" s="1">
        <v>7.89629859E8</v>
      </c>
      <c r="S91" s="1" t="s">
        <v>416</v>
      </c>
      <c r="T91" s="1" t="str">
        <f>IF(ISERROR(VLOOKUP(S91,'unique org names'!A:C,3,FALSE)),S91,VLOOKUP(S91,'unique org names'!A:C,3,FALSE))
</f>
        <v>Wayne County SAFE Program</v>
      </c>
      <c r="V91" s="1" t="s">
        <v>417</v>
      </c>
      <c r="W91" s="1" t="s">
        <v>44</v>
      </c>
      <c r="X91" s="1" t="s">
        <v>45</v>
      </c>
      <c r="Y91" s="1">
        <v>4.82343241E8</v>
      </c>
      <c r="AA91" s="1" t="s">
        <v>46</v>
      </c>
      <c r="AB91" s="1" t="s">
        <v>45</v>
      </c>
      <c r="AC91" s="1">
        <v>4.80673241E8</v>
      </c>
      <c r="AF91" s="1">
        <v>350870.0</v>
      </c>
      <c r="AG91" s="2">
        <v>41365.0</v>
      </c>
      <c r="AH91" s="1">
        <v>7500.0</v>
      </c>
      <c r="AI91" s="1" t="s">
        <v>40</v>
      </c>
      <c r="AJ91" s="1" t="s">
        <v>418</v>
      </c>
      <c r="AK91" s="1" t="s">
        <v>384</v>
      </c>
      <c r="AL91" s="1">
        <v>1.0</v>
      </c>
      <c r="AM91" s="1">
        <v>2013.0</v>
      </c>
      <c r="AN91" s="1">
        <v>2013.0</v>
      </c>
      <c r="AO91" s="1" t="s">
        <v>385</v>
      </c>
    </row>
    <row r="92">
      <c r="A92" s="5">
        <v>1.0</v>
      </c>
      <c r="B92" s="1">
        <f t="shared" si="1"/>
        <v>92</v>
      </c>
      <c r="C92" s="1" t="s">
        <v>378</v>
      </c>
      <c r="D92" s="1" t="s">
        <v>378</v>
      </c>
      <c r="E92" s="1" t="s">
        <v>129</v>
      </c>
      <c r="G92" s="1">
        <v>6.6218445E8</v>
      </c>
      <c r="H92" s="2">
        <v>41276.0</v>
      </c>
      <c r="I92" s="1" t="s">
        <v>379</v>
      </c>
      <c r="K92" s="1" t="s">
        <v>379</v>
      </c>
      <c r="N92" s="1" t="s">
        <v>40</v>
      </c>
      <c r="O92" s="1">
        <v>7500.0</v>
      </c>
      <c r="P92" s="1" t="s">
        <v>40</v>
      </c>
      <c r="Q92" s="1" t="str">
        <f>IF(ISERROR(VLOOKUP(P92,'unique fed agency names'!A:C,3,FALSE)),P92,VLOOKUP(P92,'unique fed agency names'!A:C,3,FALSE))
</f>
        <v>U.S. Department of Health and Human Services (DHHS)</v>
      </c>
      <c r="R92" s="1">
        <v>7.8074923E8</v>
      </c>
      <c r="S92" s="1" t="s">
        <v>419</v>
      </c>
      <c r="T92" s="1" t="str">
        <f>IF(ISERROR(VLOOKUP(S92,'unique org names'!A:C,3,FALSE)),S92,VLOOKUP(S92,'unique org names'!A:C,3,FALSE))
</f>
        <v>ALTERNATIVES FOR GIRLS</v>
      </c>
      <c r="V92" s="1" t="s">
        <v>420</v>
      </c>
      <c r="W92" s="1" t="s">
        <v>44</v>
      </c>
      <c r="X92" s="1" t="s">
        <v>45</v>
      </c>
      <c r="Y92" s="1">
        <v>4.82082365E8</v>
      </c>
      <c r="AA92" s="1" t="s">
        <v>421</v>
      </c>
      <c r="AB92" s="1" t="s">
        <v>45</v>
      </c>
      <c r="AC92" s="1">
        <v>4.82012002E8</v>
      </c>
      <c r="AF92" s="1">
        <v>41186.4</v>
      </c>
      <c r="AG92" s="2">
        <v>41276.0</v>
      </c>
      <c r="AH92" s="1">
        <v>7500.0</v>
      </c>
      <c r="AI92" s="1" t="s">
        <v>40</v>
      </c>
      <c r="AJ92" s="1" t="s">
        <v>422</v>
      </c>
      <c r="AK92" s="1" t="s">
        <v>423</v>
      </c>
      <c r="AL92" s="1">
        <v>2.0</v>
      </c>
      <c r="AM92" s="1">
        <v>2013.0</v>
      </c>
      <c r="AN92" s="1">
        <v>2013.0</v>
      </c>
      <c r="AO92" s="1" t="s">
        <v>385</v>
      </c>
    </row>
    <row r="93">
      <c r="A93" s="5">
        <v>1.0</v>
      </c>
      <c r="B93" s="1">
        <f t="shared" si="1"/>
        <v>93</v>
      </c>
      <c r="C93" s="1" t="s">
        <v>378</v>
      </c>
      <c r="D93" s="1" t="s">
        <v>378</v>
      </c>
      <c r="E93" s="1" t="s">
        <v>129</v>
      </c>
      <c r="G93" s="1">
        <v>6.6218445E8</v>
      </c>
      <c r="H93" s="2">
        <v>41276.0</v>
      </c>
      <c r="I93" s="1" t="s">
        <v>379</v>
      </c>
      <c r="K93" s="1" t="s">
        <v>379</v>
      </c>
      <c r="N93" s="1" t="s">
        <v>40</v>
      </c>
      <c r="O93" s="1">
        <v>7500.0</v>
      </c>
      <c r="P93" s="1" t="s">
        <v>40</v>
      </c>
      <c r="Q93" s="1" t="str">
        <f>IF(ISERROR(VLOOKUP(P93,'unique fed agency names'!A:C,3,FALSE)),P93,VLOOKUP(P93,'unique fed agency names'!A:C,3,FALSE))
</f>
        <v>U.S. Department of Health and Human Services (DHHS)</v>
      </c>
      <c r="R93" s="1">
        <v>2.0830303E7</v>
      </c>
      <c r="S93" s="1" t="s">
        <v>424</v>
      </c>
      <c r="T93" s="1" t="str">
        <f>IF(ISERROR(VLOOKUP(S93,'unique org names'!A:C,3,FALSE)),S93,VLOOKUP(S93,'unique org names'!A:C,3,FALSE))
</f>
        <v>MATRIX HUMAN SERVICES</v>
      </c>
      <c r="U93" s="1" t="s">
        <v>425</v>
      </c>
      <c r="V93" s="1" t="s">
        <v>426</v>
      </c>
      <c r="W93" s="1" t="s">
        <v>44</v>
      </c>
      <c r="X93" s="1" t="s">
        <v>45</v>
      </c>
      <c r="Y93" s="1">
        <v>4.82012002E8</v>
      </c>
      <c r="AA93" s="1" t="s">
        <v>46</v>
      </c>
      <c r="AB93" s="1" t="s">
        <v>45</v>
      </c>
      <c r="AC93" s="1">
        <v>4.82012002E8</v>
      </c>
      <c r="AD93" s="1">
        <v>2.0830303E7</v>
      </c>
      <c r="AE93" s="1" t="s">
        <v>424</v>
      </c>
      <c r="AF93" s="1">
        <v>86216.0</v>
      </c>
      <c r="AG93" s="2">
        <v>41276.0</v>
      </c>
      <c r="AH93" s="1">
        <v>7500.0</v>
      </c>
      <c r="AI93" s="1" t="s">
        <v>40</v>
      </c>
      <c r="AJ93" s="1" t="s">
        <v>427</v>
      </c>
      <c r="AK93" s="1" t="s">
        <v>428</v>
      </c>
      <c r="AL93" s="1">
        <v>2.0</v>
      </c>
      <c r="AM93" s="1">
        <v>2013.0</v>
      </c>
      <c r="AN93" s="1">
        <v>2013.0</v>
      </c>
      <c r="AO93" s="1" t="s">
        <v>385</v>
      </c>
    </row>
    <row r="94">
      <c r="A94" s="5">
        <v>1.0</v>
      </c>
      <c r="B94" s="1">
        <f t="shared" si="1"/>
        <v>94</v>
      </c>
      <c r="C94" s="1" t="s">
        <v>394</v>
      </c>
      <c r="D94" s="1" t="s">
        <v>394</v>
      </c>
      <c r="E94" s="1" t="s">
        <v>129</v>
      </c>
      <c r="G94" s="1">
        <v>2824235.0</v>
      </c>
      <c r="H94" s="2">
        <v>41249.0</v>
      </c>
      <c r="I94" s="1" t="s">
        <v>395</v>
      </c>
      <c r="K94" s="1" t="s">
        <v>395</v>
      </c>
      <c r="N94" s="1" t="s">
        <v>40</v>
      </c>
      <c r="O94" s="1">
        <v>7500.0</v>
      </c>
      <c r="P94" s="1" t="s">
        <v>40</v>
      </c>
      <c r="Q94" s="1" t="str">
        <f>IF(ISERROR(VLOOKUP(P94,'unique fed agency names'!A:C,3,FALSE)),P94,VLOOKUP(P94,'unique fed agency names'!A:C,3,FALSE))
</f>
        <v>U.S. Department of Health and Human Services (DHHS)</v>
      </c>
      <c r="R94" s="1">
        <v>6.9840817E7</v>
      </c>
      <c r="S94" s="1" t="s">
        <v>131</v>
      </c>
      <c r="T94" s="1" t="str">
        <f>IF(ISERROR(VLOOKUP(S94,'unique org names'!A:C,3,FALSE)),S94,VLOOKUP(S94,'unique org names'!A:C,3,FALSE))
</f>
        <v>LUTHERAN SOCIAL SERVICES OF MICHIGAN</v>
      </c>
      <c r="V94" s="1" t="s">
        <v>132</v>
      </c>
      <c r="W94" s="1" t="s">
        <v>44</v>
      </c>
      <c r="X94" s="1" t="s">
        <v>45</v>
      </c>
      <c r="Y94" s="1">
        <v>4.8214261E8</v>
      </c>
      <c r="AA94" s="1" t="s">
        <v>46</v>
      </c>
      <c r="AB94" s="1" t="s">
        <v>45</v>
      </c>
      <c r="AC94" s="1">
        <v>4.8214261E8</v>
      </c>
      <c r="AD94" s="1">
        <v>6.9840817E7</v>
      </c>
      <c r="AE94" s="1" t="s">
        <v>131</v>
      </c>
      <c r="AF94" s="1">
        <v>103783.0</v>
      </c>
      <c r="AG94" s="2">
        <v>41249.0</v>
      </c>
      <c r="AH94" s="1">
        <v>7500.0</v>
      </c>
      <c r="AI94" s="1" t="s">
        <v>40</v>
      </c>
      <c r="AJ94" s="1" t="s">
        <v>429</v>
      </c>
      <c r="AK94" s="1" t="s">
        <v>402</v>
      </c>
      <c r="AL94" s="1">
        <v>12.0</v>
      </c>
      <c r="AM94" s="1">
        <v>2012.0</v>
      </c>
      <c r="AN94" s="1">
        <v>2013.0</v>
      </c>
      <c r="AO94" s="1" t="s">
        <v>398</v>
      </c>
    </row>
    <row r="95">
      <c r="A95" s="5">
        <v>1.0</v>
      </c>
      <c r="B95" s="1">
        <f t="shared" si="1"/>
        <v>95</v>
      </c>
      <c r="C95" s="1" t="s">
        <v>430</v>
      </c>
      <c r="D95" s="1" t="s">
        <v>430</v>
      </c>
      <c r="E95" s="1" t="s">
        <v>431</v>
      </c>
      <c r="G95" s="1">
        <v>698218.0</v>
      </c>
      <c r="H95" s="2">
        <v>41365.0</v>
      </c>
      <c r="I95" s="1" t="s">
        <v>432</v>
      </c>
      <c r="K95" s="1" t="s">
        <v>432</v>
      </c>
      <c r="N95" s="1" t="s">
        <v>431</v>
      </c>
      <c r="O95" s="1">
        <v>9700.0</v>
      </c>
      <c r="P95" s="1" t="s">
        <v>431</v>
      </c>
      <c r="Q95" s="1" t="str">
        <f>IF(ISERROR(VLOOKUP(P95,'unique fed agency names'!A:C,3,FALSE)),P95,VLOOKUP(P95,'unique fed agency names'!A:C,3,FALSE))
</f>
        <v>U.S. Department of Defense (DOD)</v>
      </c>
      <c r="R95" s="1">
        <v>7.3134603E7</v>
      </c>
      <c r="S95" s="1" t="s">
        <v>41</v>
      </c>
      <c r="T95" s="1" t="str">
        <f>IF(ISERROR(VLOOKUP(S95,'unique org names'!A:C,3,FALSE)),S95,VLOOKUP(S95,'unique org names'!A:C,3,FALSE))
</f>
        <v>Henry Ford Health System</v>
      </c>
      <c r="U95" s="1" t="s">
        <v>252</v>
      </c>
      <c r="V95" s="1" t="s">
        <v>253</v>
      </c>
      <c r="W95" s="1" t="s">
        <v>44</v>
      </c>
      <c r="X95" s="1" t="s">
        <v>45</v>
      </c>
      <c r="Y95" s="1">
        <v>4.8202345E8</v>
      </c>
      <c r="AA95" s="1" t="s">
        <v>46</v>
      </c>
      <c r="AB95" s="1" t="s">
        <v>45</v>
      </c>
      <c r="AC95" s="1">
        <v>4.82022689E8</v>
      </c>
      <c r="AD95" s="1">
        <v>7.3134603E7</v>
      </c>
      <c r="AE95" s="1" t="s">
        <v>41</v>
      </c>
      <c r="AF95" s="1">
        <v>80543.0</v>
      </c>
      <c r="AG95" s="2">
        <v>41365.0</v>
      </c>
      <c r="AH95" s="1">
        <v>9700.0</v>
      </c>
      <c r="AI95" s="1" t="s">
        <v>431</v>
      </c>
      <c r="AJ95" s="1" t="s">
        <v>433</v>
      </c>
      <c r="AK95" s="1" t="s">
        <v>434</v>
      </c>
      <c r="AL95" s="1">
        <v>5.0</v>
      </c>
      <c r="AM95" s="1">
        <v>2013.0</v>
      </c>
      <c r="AN95" s="1">
        <v>2013.0</v>
      </c>
      <c r="AO95" s="1" t="s">
        <v>435</v>
      </c>
    </row>
    <row r="96">
      <c r="A96" s="5">
        <v>1.0</v>
      </c>
      <c r="B96" s="1">
        <f t="shared" si="1"/>
        <v>96</v>
      </c>
      <c r="C96" s="1" t="s">
        <v>173</v>
      </c>
      <c r="D96" s="1" t="s">
        <v>173</v>
      </c>
      <c r="E96" s="1" t="s">
        <v>159</v>
      </c>
      <c r="G96" s="1">
        <v>1310940.0</v>
      </c>
      <c r="H96" s="2">
        <v>41386.0</v>
      </c>
      <c r="I96" s="1" t="s">
        <v>174</v>
      </c>
      <c r="K96" s="1" t="s">
        <v>174</v>
      </c>
      <c r="N96" s="1" t="s">
        <v>40</v>
      </c>
      <c r="O96" s="1">
        <v>7500.0</v>
      </c>
      <c r="P96" s="1" t="s">
        <v>40</v>
      </c>
      <c r="Q96" s="1" t="str">
        <f>IF(ISERROR(VLOOKUP(P96,'unique fed agency names'!A:C,3,FALSE)),P96,VLOOKUP(P96,'unique fed agency names'!A:C,3,FALSE))
</f>
        <v>U.S. Department of Health and Human Services (DHHS)</v>
      </c>
      <c r="R96" s="1">
        <v>1.1523031E8</v>
      </c>
      <c r="S96" s="1" t="s">
        <v>436</v>
      </c>
      <c r="T96" s="1" t="str">
        <f>IF(ISERROR(VLOOKUP(S96,'unique org names'!A:C,3,FALSE)),S96,VLOOKUP(S96,'unique org names'!A:C,3,FALSE))
</f>
        <v>Greater Detroit Area Health Council</v>
      </c>
      <c r="U96" s="1" t="s">
        <v>437</v>
      </c>
      <c r="V96" s="1" t="s">
        <v>438</v>
      </c>
      <c r="W96" s="1" t="s">
        <v>44</v>
      </c>
      <c r="X96" s="1" t="s">
        <v>45</v>
      </c>
      <c r="Y96" s="1">
        <v>4.8226315E8</v>
      </c>
      <c r="AA96" s="1" t="s">
        <v>46</v>
      </c>
      <c r="AB96" s="1" t="s">
        <v>45</v>
      </c>
      <c r="AC96" s="1">
        <v>4.8226315E8</v>
      </c>
      <c r="AF96" s="1">
        <v>240087.0</v>
      </c>
      <c r="AG96" s="2">
        <v>41386.0</v>
      </c>
      <c r="AH96" s="1">
        <v>7500.0</v>
      </c>
      <c r="AI96" s="1" t="s">
        <v>40</v>
      </c>
      <c r="AJ96" s="1" t="s">
        <v>439</v>
      </c>
      <c r="AK96" s="1" t="s">
        <v>440</v>
      </c>
      <c r="AL96" s="1">
        <v>5.0</v>
      </c>
      <c r="AM96" s="1">
        <v>2013.0</v>
      </c>
      <c r="AN96" s="1">
        <v>2013.0</v>
      </c>
      <c r="AO96" s="1" t="s">
        <v>179</v>
      </c>
    </row>
    <row r="97">
      <c r="A97" s="5">
        <v>1.0</v>
      </c>
      <c r="B97" s="1">
        <f t="shared" si="1"/>
        <v>97</v>
      </c>
      <c r="C97" s="1" t="s">
        <v>441</v>
      </c>
      <c r="D97" s="1" t="s">
        <v>441</v>
      </c>
      <c r="E97" s="1" t="s">
        <v>224</v>
      </c>
      <c r="G97" s="1">
        <v>331226.0</v>
      </c>
      <c r="H97" s="2">
        <v>41368.0</v>
      </c>
      <c r="I97" s="1" t="s">
        <v>442</v>
      </c>
      <c r="K97" s="1" t="s">
        <v>442</v>
      </c>
      <c r="N97" s="1" t="s">
        <v>151</v>
      </c>
      <c r="O97" s="1">
        <v>6900.0</v>
      </c>
      <c r="P97" s="1" t="s">
        <v>151</v>
      </c>
      <c r="Q97" s="1" t="str">
        <f>IF(ISERROR(VLOOKUP(P97,'unique fed agency names'!A:C,3,FALSE)),P97,VLOOKUP(P97,'unique fed agency names'!A:C,3,FALSE))
</f>
        <v>U.S. Department of Transportation (DOT)</v>
      </c>
      <c r="R97" s="1">
        <v>1.1855476E8</v>
      </c>
      <c r="S97" s="1" t="s">
        <v>73</v>
      </c>
      <c r="T97" s="1" t="str">
        <f>IF(ISERROR(VLOOKUP(S97,'unique org names'!A:C,3,FALSE)),S97,VLOOKUP(S97,'unique org names'!A:C,3,FALSE))
</f>
        <v>City Of Detroit</v>
      </c>
      <c r="U97" s="1" t="s">
        <v>226</v>
      </c>
      <c r="V97" s="1" t="s">
        <v>227</v>
      </c>
      <c r="W97" s="1" t="s">
        <v>44</v>
      </c>
      <c r="X97" s="1" t="s">
        <v>45</v>
      </c>
      <c r="Y97" s="1">
        <v>4.82262886E8</v>
      </c>
      <c r="AA97" s="1" t="s">
        <v>46</v>
      </c>
      <c r="AB97" s="1" t="s">
        <v>45</v>
      </c>
      <c r="AC97" s="1">
        <v>4.82262886E8</v>
      </c>
      <c r="AD97" s="1">
        <v>6530661.0</v>
      </c>
      <c r="AE97" s="1" t="s">
        <v>76</v>
      </c>
      <c r="AF97" s="1">
        <v>331226.48</v>
      </c>
      <c r="AG97" s="2">
        <v>41368.0</v>
      </c>
      <c r="AH97" s="1">
        <v>6900.0</v>
      </c>
      <c r="AI97" s="1" t="s">
        <v>151</v>
      </c>
      <c r="AJ97" s="1">
        <v>1.0</v>
      </c>
      <c r="AK97" s="1" t="s">
        <v>443</v>
      </c>
      <c r="AL97" s="1">
        <v>5.0</v>
      </c>
      <c r="AM97" s="1">
        <v>2013.0</v>
      </c>
      <c r="AN97" s="1">
        <v>2013.0</v>
      </c>
      <c r="AO97" s="1" t="s">
        <v>229</v>
      </c>
    </row>
    <row r="98">
      <c r="A98" s="5">
        <v>1.0</v>
      </c>
      <c r="B98" s="1">
        <f t="shared" si="1"/>
        <v>98</v>
      </c>
      <c r="C98" s="1" t="s">
        <v>444</v>
      </c>
      <c r="D98" s="1" t="s">
        <v>444</v>
      </c>
      <c r="E98" s="1" t="s">
        <v>224</v>
      </c>
      <c r="G98" s="1">
        <v>2205857.0</v>
      </c>
      <c r="H98" s="2">
        <v>41368.0</v>
      </c>
      <c r="I98" s="1" t="s">
        <v>442</v>
      </c>
      <c r="K98" s="1" t="s">
        <v>442</v>
      </c>
      <c r="N98" s="1" t="s">
        <v>151</v>
      </c>
      <c r="O98" s="1">
        <v>6900.0</v>
      </c>
      <c r="P98" s="1" t="s">
        <v>151</v>
      </c>
      <c r="Q98" s="1" t="str">
        <f>IF(ISERROR(VLOOKUP(P98,'unique fed agency names'!A:C,3,FALSE)),P98,VLOOKUP(P98,'unique fed agency names'!A:C,3,FALSE))
</f>
        <v>U.S. Department of Transportation (DOT)</v>
      </c>
      <c r="R98" s="1">
        <v>1.1855476E8</v>
      </c>
      <c r="S98" s="1" t="s">
        <v>73</v>
      </c>
      <c r="T98" s="1" t="str">
        <f>IF(ISERROR(VLOOKUP(S98,'unique org names'!A:C,3,FALSE)),S98,VLOOKUP(S98,'unique org names'!A:C,3,FALSE))
</f>
        <v>City Of Detroit</v>
      </c>
      <c r="U98" s="1" t="s">
        <v>226</v>
      </c>
      <c r="V98" s="1" t="s">
        <v>227</v>
      </c>
      <c r="W98" s="1" t="s">
        <v>44</v>
      </c>
      <c r="X98" s="1" t="s">
        <v>45</v>
      </c>
      <c r="Y98" s="1">
        <v>4.82262886E8</v>
      </c>
      <c r="AA98" s="1" t="s">
        <v>46</v>
      </c>
      <c r="AB98" s="1" t="s">
        <v>45</v>
      </c>
      <c r="AC98" s="1">
        <v>4.82262886E8</v>
      </c>
      <c r="AD98" s="1">
        <v>6530661.0</v>
      </c>
      <c r="AE98" s="1" t="s">
        <v>76</v>
      </c>
      <c r="AF98" s="1">
        <v>2205857.5</v>
      </c>
      <c r="AG98" s="2">
        <v>41368.0</v>
      </c>
      <c r="AH98" s="1">
        <v>6900.0</v>
      </c>
      <c r="AI98" s="1" t="s">
        <v>151</v>
      </c>
      <c r="AJ98" s="1">
        <v>1.0</v>
      </c>
      <c r="AK98" s="1" t="s">
        <v>443</v>
      </c>
      <c r="AL98" s="1">
        <v>5.0</v>
      </c>
      <c r="AM98" s="1">
        <v>2013.0</v>
      </c>
      <c r="AN98" s="1">
        <v>2013.0</v>
      </c>
      <c r="AO98" s="1" t="s">
        <v>229</v>
      </c>
    </row>
    <row r="99">
      <c r="A99" s="5">
        <v>1.0</v>
      </c>
      <c r="B99" s="1">
        <f t="shared" si="1"/>
        <v>99</v>
      </c>
      <c r="C99" s="1" t="s">
        <v>445</v>
      </c>
      <c r="D99" s="1" t="s">
        <v>445</v>
      </c>
      <c r="E99" s="1" t="s">
        <v>70</v>
      </c>
      <c r="G99" s="1">
        <v>549859.0</v>
      </c>
      <c r="H99" s="2">
        <v>41375.0</v>
      </c>
      <c r="I99" s="1" t="s">
        <v>446</v>
      </c>
      <c r="K99" s="1" t="s">
        <v>446</v>
      </c>
      <c r="N99" s="1" t="s">
        <v>72</v>
      </c>
      <c r="O99" s="1">
        <v>1500.0</v>
      </c>
      <c r="P99" s="1" t="s">
        <v>72</v>
      </c>
      <c r="Q99" s="1" t="str">
        <f>IF(ISERROR(VLOOKUP(P99,'unique fed agency names'!A:C,3,FALSE)),P99,VLOOKUP(P99,'unique fed agency names'!A:C,3,FALSE))
</f>
        <v>U.S. Department of Justice (DOJ)</v>
      </c>
      <c r="R99" s="1">
        <v>1962224.0</v>
      </c>
      <c r="S99" s="1" t="s">
        <v>52</v>
      </c>
      <c r="T99" s="1" t="str">
        <f>IF(ISERROR(VLOOKUP(S99,'unique org names'!A:C,3,FALSE)),S99,VLOOKUP(S99,'unique org names'!A:C,3,FALSE))
</f>
        <v>WAYNE STATE UNIVERSITY</v>
      </c>
      <c r="V99" s="1" t="s">
        <v>53</v>
      </c>
      <c r="W99" s="1" t="s">
        <v>44</v>
      </c>
      <c r="X99" s="1" t="s">
        <v>45</v>
      </c>
      <c r="Y99" s="1">
        <v>4.82023692E8</v>
      </c>
      <c r="AA99" s="1" t="s">
        <v>44</v>
      </c>
      <c r="AB99" s="1" t="s">
        <v>45</v>
      </c>
      <c r="AC99" s="1">
        <v>4.82023692E8</v>
      </c>
      <c r="AD99" s="1">
        <v>1962224.0</v>
      </c>
      <c r="AE99" s="1" t="s">
        <v>52</v>
      </c>
      <c r="AF99" s="1">
        <v>62918.0</v>
      </c>
      <c r="AG99" s="2">
        <v>41375.0</v>
      </c>
      <c r="AH99" s="1">
        <v>1500.0</v>
      </c>
      <c r="AI99" s="1" t="s">
        <v>72</v>
      </c>
      <c r="AJ99" s="1">
        <v>3.002596793E9</v>
      </c>
      <c r="AK99" s="1" t="s">
        <v>447</v>
      </c>
      <c r="AL99" s="1">
        <v>4.0</v>
      </c>
      <c r="AM99" s="1">
        <v>2013.0</v>
      </c>
      <c r="AN99" s="1">
        <v>2013.0</v>
      </c>
      <c r="AO99" s="1" t="s">
        <v>448</v>
      </c>
    </row>
    <row r="100">
      <c r="A100" s="5">
        <v>1.0</v>
      </c>
      <c r="B100" s="1">
        <f t="shared" si="1"/>
        <v>100</v>
      </c>
      <c r="C100" s="1" t="s">
        <v>378</v>
      </c>
      <c r="D100" s="1" t="s">
        <v>378</v>
      </c>
      <c r="E100" s="1" t="s">
        <v>129</v>
      </c>
      <c r="G100" s="1">
        <v>6.6218445E8</v>
      </c>
      <c r="H100" s="2">
        <v>41276.0</v>
      </c>
      <c r="I100" s="1" t="s">
        <v>379</v>
      </c>
      <c r="K100" s="1" t="s">
        <v>379</v>
      </c>
      <c r="N100" s="1" t="s">
        <v>40</v>
      </c>
      <c r="O100" s="1">
        <v>7500.0</v>
      </c>
      <c r="P100" s="1" t="s">
        <v>40</v>
      </c>
      <c r="Q100" s="1" t="str">
        <f>IF(ISERROR(VLOOKUP(P100,'unique fed agency names'!A:C,3,FALSE)),P100,VLOOKUP(P100,'unique fed agency names'!A:C,3,FALSE))
</f>
        <v>U.S. Department of Health and Human Services (DHHS)</v>
      </c>
      <c r="R100" s="1">
        <v>7.8074923E8</v>
      </c>
      <c r="S100" s="1" t="s">
        <v>419</v>
      </c>
      <c r="T100" s="1" t="str">
        <f>IF(ISERROR(VLOOKUP(S100,'unique org names'!A:C,3,FALSE)),S100,VLOOKUP(S100,'unique org names'!A:C,3,FALSE))
</f>
        <v>ALTERNATIVES FOR GIRLS</v>
      </c>
      <c r="V100" s="1" t="s">
        <v>420</v>
      </c>
      <c r="W100" s="1" t="s">
        <v>44</v>
      </c>
      <c r="X100" s="1" t="s">
        <v>45</v>
      </c>
      <c r="Y100" s="1">
        <v>4.82082365E8</v>
      </c>
      <c r="AA100" s="1" t="s">
        <v>46</v>
      </c>
      <c r="AB100" s="1" t="s">
        <v>45</v>
      </c>
      <c r="AC100" s="1">
        <v>4.82082365E8</v>
      </c>
      <c r="AF100" s="1">
        <v>103431.66</v>
      </c>
      <c r="AG100" s="2">
        <v>41276.0</v>
      </c>
      <c r="AH100" s="1">
        <v>7500.0</v>
      </c>
      <c r="AI100" s="1" t="s">
        <v>40</v>
      </c>
      <c r="AJ100" s="1" t="s">
        <v>449</v>
      </c>
      <c r="AK100" s="1" t="s">
        <v>450</v>
      </c>
      <c r="AL100" s="1">
        <v>2.0</v>
      </c>
      <c r="AM100" s="1">
        <v>2013.0</v>
      </c>
      <c r="AN100" s="1">
        <v>2013.0</v>
      </c>
      <c r="AO100" s="1" t="s">
        <v>385</v>
      </c>
    </row>
    <row r="101">
      <c r="A101" s="5">
        <v>1.0</v>
      </c>
      <c r="B101" s="1">
        <f t="shared" si="1"/>
        <v>101</v>
      </c>
      <c r="C101" s="1" t="s">
        <v>451</v>
      </c>
      <c r="D101" s="1" t="s">
        <v>451</v>
      </c>
      <c r="E101" s="1" t="s">
        <v>129</v>
      </c>
      <c r="G101" s="1">
        <v>600000.0</v>
      </c>
      <c r="H101" s="2">
        <v>41353.0</v>
      </c>
      <c r="I101" s="1" t="s">
        <v>452</v>
      </c>
      <c r="K101" s="1" t="s">
        <v>452</v>
      </c>
      <c r="N101" s="1" t="s">
        <v>40</v>
      </c>
      <c r="O101" s="1">
        <v>7500.0</v>
      </c>
      <c r="P101" s="1" t="s">
        <v>40</v>
      </c>
      <c r="Q101" s="1" t="str">
        <f>IF(ISERROR(VLOOKUP(P101,'unique fed agency names'!A:C,3,FALSE)),P101,VLOOKUP(P101,'unique fed agency names'!A:C,3,FALSE))
</f>
        <v>U.S. Department of Health and Human Services (DHHS)</v>
      </c>
      <c r="R101" s="1">
        <v>6.9840817E7</v>
      </c>
      <c r="S101" s="1" t="s">
        <v>131</v>
      </c>
      <c r="T101" s="1" t="str">
        <f>IF(ISERROR(VLOOKUP(S101,'unique org names'!A:C,3,FALSE)),S101,VLOOKUP(S101,'unique org names'!A:C,3,FALSE))
</f>
        <v>LUTHERAN SOCIAL SERVICES OF MICHIGAN</v>
      </c>
      <c r="V101" s="1" t="s">
        <v>132</v>
      </c>
      <c r="W101" s="1" t="s">
        <v>44</v>
      </c>
      <c r="X101" s="1" t="s">
        <v>45</v>
      </c>
      <c r="Y101" s="1">
        <v>4.8214261E8</v>
      </c>
      <c r="AA101" s="1" t="s">
        <v>46</v>
      </c>
      <c r="AB101" s="1" t="s">
        <v>45</v>
      </c>
      <c r="AC101" s="1">
        <v>4.8214261E8</v>
      </c>
      <c r="AD101" s="1">
        <v>6.9840817E7</v>
      </c>
      <c r="AE101" s="1" t="s">
        <v>131</v>
      </c>
      <c r="AF101" s="1">
        <v>116000.0</v>
      </c>
      <c r="AG101" s="2">
        <v>41353.0</v>
      </c>
      <c r="AH101" s="1">
        <v>7500.0</v>
      </c>
      <c r="AI101" s="1" t="s">
        <v>40</v>
      </c>
      <c r="AJ101" s="1" t="s">
        <v>453</v>
      </c>
      <c r="AK101" s="1" t="s">
        <v>454</v>
      </c>
      <c r="AL101" s="1">
        <v>3.0</v>
      </c>
      <c r="AM101" s="1">
        <v>2013.0</v>
      </c>
      <c r="AN101" s="1">
        <v>2013.0</v>
      </c>
      <c r="AO101" s="1" t="s">
        <v>455</v>
      </c>
    </row>
    <row r="102">
      <c r="A102" s="5">
        <v>1.0</v>
      </c>
      <c r="B102" s="1">
        <f t="shared" si="1"/>
        <v>102</v>
      </c>
      <c r="C102" s="1" t="s">
        <v>378</v>
      </c>
      <c r="D102" s="1" t="s">
        <v>378</v>
      </c>
      <c r="E102" s="1" t="s">
        <v>129</v>
      </c>
      <c r="G102" s="1">
        <v>6.6218445E8</v>
      </c>
      <c r="H102" s="2">
        <v>41276.0</v>
      </c>
      <c r="I102" s="1" t="s">
        <v>379</v>
      </c>
      <c r="K102" s="1" t="s">
        <v>379</v>
      </c>
      <c r="N102" s="1" t="s">
        <v>40</v>
      </c>
      <c r="O102" s="1">
        <v>7500.0</v>
      </c>
      <c r="P102" s="1" t="s">
        <v>40</v>
      </c>
      <c r="Q102" s="1" t="str">
        <f>IF(ISERROR(VLOOKUP(P102,'unique fed agency names'!A:C,3,FALSE)),P102,VLOOKUP(P102,'unique fed agency names'!A:C,3,FALSE))
</f>
        <v>U.S. Department of Health and Human Services (DHHS)</v>
      </c>
      <c r="R102" s="1">
        <v>2.0830303E7</v>
      </c>
      <c r="S102" s="1" t="s">
        <v>424</v>
      </c>
      <c r="T102" s="1" t="str">
        <f>IF(ISERROR(VLOOKUP(S102,'unique org names'!A:C,3,FALSE)),S102,VLOOKUP(S102,'unique org names'!A:C,3,FALSE))
</f>
        <v>MATRIX HUMAN SERVICES</v>
      </c>
      <c r="U102" s="1" t="s">
        <v>425</v>
      </c>
      <c r="V102" s="1" t="s">
        <v>426</v>
      </c>
      <c r="W102" s="1" t="s">
        <v>44</v>
      </c>
      <c r="X102" s="1" t="s">
        <v>45</v>
      </c>
      <c r="Y102" s="1">
        <v>4.82012002E8</v>
      </c>
      <c r="AA102" s="1" t="s">
        <v>46</v>
      </c>
      <c r="AB102" s="1" t="s">
        <v>45</v>
      </c>
      <c r="AC102" s="1">
        <v>4.82012002E8</v>
      </c>
      <c r="AD102" s="1">
        <v>2.0830303E7</v>
      </c>
      <c r="AE102" s="1" t="s">
        <v>424</v>
      </c>
      <c r="AF102" s="1">
        <v>337101.74</v>
      </c>
      <c r="AG102" s="2">
        <v>41276.0</v>
      </c>
      <c r="AH102" s="1">
        <v>7500.0</v>
      </c>
      <c r="AI102" s="1" t="s">
        <v>40</v>
      </c>
      <c r="AJ102" s="1" t="s">
        <v>456</v>
      </c>
      <c r="AK102" s="1" t="s">
        <v>450</v>
      </c>
      <c r="AL102" s="1">
        <v>2.0</v>
      </c>
      <c r="AM102" s="1">
        <v>2013.0</v>
      </c>
      <c r="AN102" s="1">
        <v>2013.0</v>
      </c>
      <c r="AO102" s="1" t="s">
        <v>385</v>
      </c>
    </row>
    <row r="103">
      <c r="A103" s="5">
        <v>1.0</v>
      </c>
      <c r="B103" s="1">
        <f t="shared" si="1"/>
        <v>103</v>
      </c>
      <c r="C103" s="1" t="s">
        <v>457</v>
      </c>
      <c r="D103" s="1" t="s">
        <v>457</v>
      </c>
      <c r="E103" s="1" t="s">
        <v>194</v>
      </c>
      <c r="G103" s="1">
        <v>3.2156174E7</v>
      </c>
      <c r="H103" s="2">
        <v>41409.0</v>
      </c>
      <c r="I103" s="1" t="s">
        <v>458</v>
      </c>
      <c r="K103" s="1" t="s">
        <v>458</v>
      </c>
      <c r="N103" s="1" t="s">
        <v>194</v>
      </c>
      <c r="O103" s="1">
        <v>9100.0</v>
      </c>
      <c r="P103" s="1" t="s">
        <v>194</v>
      </c>
      <c r="Q103" s="1" t="str">
        <f>IF(ISERROR(VLOOKUP(P103,'unique fed agency names'!A:C,3,FALSE)),P103,VLOOKUP(P103,'unique fed agency names'!A:C,3,FALSE))
</f>
        <v>U.S. Department of Education (ED)</v>
      </c>
      <c r="R103" s="1">
        <v>7.93697942E8</v>
      </c>
      <c r="S103" s="1" t="s">
        <v>459</v>
      </c>
      <c r="T103" s="1" t="str">
        <f>IF(ISERROR(VLOOKUP(S103,'unique org names'!A:C,3,FALSE)),S103,VLOOKUP(S103,'unique org names'!A:C,3,FALSE))
</f>
        <v>DETROIT PUBLIC SCHOOLS</v>
      </c>
      <c r="V103" s="1" t="s">
        <v>460</v>
      </c>
      <c r="W103" s="1" t="s">
        <v>44</v>
      </c>
      <c r="X103" s="1" t="s">
        <v>45</v>
      </c>
      <c r="Y103" s="1">
        <v>4.82141601E8</v>
      </c>
      <c r="AA103" s="1" t="s">
        <v>44</v>
      </c>
      <c r="AB103" s="1" t="s">
        <v>45</v>
      </c>
      <c r="AC103" s="1">
        <v>4.82141601E8</v>
      </c>
      <c r="AD103" s="1">
        <v>7.6340843E7</v>
      </c>
      <c r="AE103" s="1" t="s">
        <v>461</v>
      </c>
      <c r="AF103" s="1">
        <v>27427.0</v>
      </c>
      <c r="AG103" s="2">
        <v>41409.0</v>
      </c>
      <c r="AH103" s="1">
        <v>9100.0</v>
      </c>
      <c r="AI103" s="1" t="s">
        <v>194</v>
      </c>
      <c r="AJ103" s="1" t="s">
        <v>462</v>
      </c>
      <c r="AK103" s="1" t="s">
        <v>463</v>
      </c>
      <c r="AL103" s="1">
        <v>9.0</v>
      </c>
      <c r="AM103" s="1">
        <v>2013.0</v>
      </c>
      <c r="AN103" s="1">
        <v>2013.0</v>
      </c>
      <c r="AO103" s="1" t="s">
        <v>277</v>
      </c>
    </row>
    <row r="104">
      <c r="A104" s="5">
        <v>1.0</v>
      </c>
      <c r="B104" s="1">
        <f t="shared" si="1"/>
        <v>104</v>
      </c>
      <c r="C104" s="1" t="s">
        <v>457</v>
      </c>
      <c r="D104" s="1" t="s">
        <v>457</v>
      </c>
      <c r="E104" s="1" t="s">
        <v>194</v>
      </c>
      <c r="G104" s="1">
        <v>3.2156174E7</v>
      </c>
      <c r="H104" s="2">
        <v>41409.0</v>
      </c>
      <c r="I104" s="1" t="s">
        <v>458</v>
      </c>
      <c r="K104" s="1" t="s">
        <v>458</v>
      </c>
      <c r="N104" s="1" t="s">
        <v>194</v>
      </c>
      <c r="O104" s="1">
        <v>9100.0</v>
      </c>
      <c r="P104" s="1" t="s">
        <v>194</v>
      </c>
      <c r="Q104" s="1" t="str">
        <f>IF(ISERROR(VLOOKUP(P104,'unique fed agency names'!A:C,3,FALSE)),P104,VLOOKUP(P104,'unique fed agency names'!A:C,3,FALSE))
</f>
        <v>U.S. Department of Education (ED)</v>
      </c>
      <c r="R104" s="1">
        <v>7.93697942E8</v>
      </c>
      <c r="S104" s="1" t="s">
        <v>459</v>
      </c>
      <c r="T104" s="1" t="str">
        <f>IF(ISERROR(VLOOKUP(S104,'unique org names'!A:C,3,FALSE)),S104,VLOOKUP(S104,'unique org names'!A:C,3,FALSE))
</f>
        <v>DETROIT PUBLIC SCHOOLS</v>
      </c>
      <c r="U104" s="1" t="s">
        <v>464</v>
      </c>
      <c r="V104" s="1" t="s">
        <v>460</v>
      </c>
      <c r="W104" s="1" t="s">
        <v>44</v>
      </c>
      <c r="X104" s="1" t="s">
        <v>45</v>
      </c>
      <c r="Y104" s="1">
        <v>4.82141601E8</v>
      </c>
      <c r="AA104" s="1" t="s">
        <v>44</v>
      </c>
      <c r="AB104" s="1" t="s">
        <v>45</v>
      </c>
      <c r="AC104" s="1">
        <v>4.82141601E8</v>
      </c>
      <c r="AD104" s="1">
        <v>7.6340843E7</v>
      </c>
      <c r="AE104" s="1" t="s">
        <v>461</v>
      </c>
      <c r="AF104" s="1">
        <v>27427.0</v>
      </c>
      <c r="AG104" s="2">
        <v>41409.0</v>
      </c>
      <c r="AH104" s="1">
        <v>9100.0</v>
      </c>
      <c r="AI104" s="1" t="s">
        <v>194</v>
      </c>
      <c r="AJ104" s="1" t="s">
        <v>462</v>
      </c>
      <c r="AK104" s="1" t="s">
        <v>463</v>
      </c>
      <c r="AL104" s="1">
        <v>9.0</v>
      </c>
      <c r="AM104" s="1">
        <v>2013.0</v>
      </c>
      <c r="AN104" s="1">
        <v>2013.0</v>
      </c>
      <c r="AO104" s="1" t="s">
        <v>277</v>
      </c>
    </row>
    <row r="105">
      <c r="A105" s="5">
        <v>1.0</v>
      </c>
      <c r="B105" s="1">
        <f t="shared" si="1"/>
        <v>105</v>
      </c>
      <c r="C105" s="1" t="s">
        <v>457</v>
      </c>
      <c r="D105" s="1" t="s">
        <v>457</v>
      </c>
      <c r="E105" s="1" t="s">
        <v>194</v>
      </c>
      <c r="G105" s="1">
        <v>3.2156174E7</v>
      </c>
      <c r="H105" s="2">
        <v>41388.0</v>
      </c>
      <c r="I105" s="1" t="s">
        <v>458</v>
      </c>
      <c r="K105" s="1" t="s">
        <v>458</v>
      </c>
      <c r="N105" s="1" t="s">
        <v>194</v>
      </c>
      <c r="O105" s="1">
        <v>9100.0</v>
      </c>
      <c r="P105" s="1" t="s">
        <v>194</v>
      </c>
      <c r="Q105" s="1" t="str">
        <f>IF(ISERROR(VLOOKUP(P105,'unique fed agency names'!A:C,3,FALSE)),P105,VLOOKUP(P105,'unique fed agency names'!A:C,3,FALSE))
</f>
        <v>U.S. Department of Education (ED)</v>
      </c>
      <c r="R105" s="1">
        <v>9.65349769E8</v>
      </c>
      <c r="S105" s="1" t="s">
        <v>465</v>
      </c>
      <c r="T105" s="1" t="str">
        <f>IF(ISERROR(VLOOKUP(S105,'unique org names'!A:C,3,FALSE)),S105,VLOOKUP(S105,'unique org names'!A:C,3,FALSE))
</f>
        <v>Public School Academies of Detroit</v>
      </c>
      <c r="U105" s="1" t="s">
        <v>466</v>
      </c>
      <c r="V105" s="1" t="s">
        <v>467</v>
      </c>
      <c r="W105" s="1" t="s">
        <v>44</v>
      </c>
      <c r="X105" s="1" t="s">
        <v>45</v>
      </c>
      <c r="Y105" s="1">
        <v>4.8202322E8</v>
      </c>
      <c r="AA105" s="1" t="s">
        <v>44</v>
      </c>
      <c r="AB105" s="1" t="s">
        <v>45</v>
      </c>
      <c r="AC105" s="1">
        <v>4.8202322E8</v>
      </c>
      <c r="AD105" s="1">
        <v>1.6338926E8</v>
      </c>
      <c r="AE105" s="1" t="s">
        <v>465</v>
      </c>
      <c r="AF105" s="1">
        <v>141218.0</v>
      </c>
      <c r="AG105" s="2">
        <v>41388.0</v>
      </c>
      <c r="AH105" s="1">
        <v>9100.0</v>
      </c>
      <c r="AI105" s="1" t="s">
        <v>194</v>
      </c>
      <c r="AJ105" s="1" t="s">
        <v>468</v>
      </c>
      <c r="AK105" s="1" t="s">
        <v>463</v>
      </c>
      <c r="AL105" s="1">
        <v>9.0</v>
      </c>
      <c r="AM105" s="1">
        <v>2013.0</v>
      </c>
      <c r="AN105" s="1">
        <v>2013.0</v>
      </c>
      <c r="AO105" s="1" t="s">
        <v>277</v>
      </c>
    </row>
    <row r="106">
      <c r="A106" s="5">
        <v>1.0</v>
      </c>
      <c r="B106" s="1">
        <f t="shared" si="1"/>
        <v>106</v>
      </c>
      <c r="C106" s="1" t="s">
        <v>457</v>
      </c>
      <c r="D106" s="1" t="s">
        <v>457</v>
      </c>
      <c r="E106" s="1" t="s">
        <v>194</v>
      </c>
      <c r="G106" s="1">
        <v>3.2156174E7</v>
      </c>
      <c r="H106" s="2">
        <v>41366.0</v>
      </c>
      <c r="I106" s="1" t="s">
        <v>458</v>
      </c>
      <c r="K106" s="1" t="s">
        <v>458</v>
      </c>
      <c r="N106" s="1" t="s">
        <v>194</v>
      </c>
      <c r="O106" s="1">
        <v>9100.0</v>
      </c>
      <c r="P106" s="1" t="s">
        <v>194</v>
      </c>
      <c r="Q106" s="1" t="str">
        <f>IF(ISERROR(VLOOKUP(P106,'unique fed agency names'!A:C,3,FALSE)),P106,VLOOKUP(P106,'unique fed agency names'!A:C,3,FALSE))
</f>
        <v>U.S. Department of Education (ED)</v>
      </c>
      <c r="R106" s="1">
        <v>7.8359653E7</v>
      </c>
      <c r="S106" s="1" t="s">
        <v>469</v>
      </c>
      <c r="T106" s="1" t="str">
        <f>IF(ISERROR(VLOOKUP(S106,'unique org names'!A:C,3,FALSE)),S106,VLOOKUP(S106,'unique org names'!A:C,3,FALSE))
</f>
        <v>GEE WHITE ACADEMY</v>
      </c>
      <c r="V106" s="1" t="s">
        <v>470</v>
      </c>
      <c r="W106" s="1" t="s">
        <v>44</v>
      </c>
      <c r="X106" s="1" t="s">
        <v>45</v>
      </c>
      <c r="Y106" s="1">
        <v>4.82122462E8</v>
      </c>
      <c r="AA106" s="1" t="s">
        <v>46</v>
      </c>
      <c r="AB106" s="1" t="s">
        <v>45</v>
      </c>
      <c r="AC106" s="1">
        <v>4.82122462E8</v>
      </c>
      <c r="AD106" s="1">
        <v>1.00036375E8</v>
      </c>
      <c r="AE106" s="1" t="s">
        <v>471</v>
      </c>
      <c r="AF106" s="1">
        <v>116277.0</v>
      </c>
      <c r="AG106" s="2">
        <v>41366.0</v>
      </c>
      <c r="AH106" s="1">
        <v>9100.0</v>
      </c>
      <c r="AI106" s="1" t="s">
        <v>194</v>
      </c>
      <c r="AJ106" s="1" t="s">
        <v>472</v>
      </c>
      <c r="AK106" s="1" t="s">
        <v>463</v>
      </c>
      <c r="AL106" s="1">
        <v>9.0</v>
      </c>
      <c r="AM106" s="1">
        <v>2013.0</v>
      </c>
      <c r="AN106" s="1">
        <v>2013.0</v>
      </c>
      <c r="AO106" s="1" t="s">
        <v>277</v>
      </c>
    </row>
    <row r="107">
      <c r="A107" s="5">
        <v>1.0</v>
      </c>
      <c r="B107" s="1">
        <f t="shared" si="1"/>
        <v>107</v>
      </c>
      <c r="C107" s="1" t="s">
        <v>457</v>
      </c>
      <c r="D107" s="1" t="s">
        <v>457</v>
      </c>
      <c r="E107" s="1" t="s">
        <v>194</v>
      </c>
      <c r="G107" s="1">
        <v>3.2156174E7</v>
      </c>
      <c r="H107" s="2">
        <v>41358.0</v>
      </c>
      <c r="I107" s="1" t="s">
        <v>458</v>
      </c>
      <c r="K107" s="1" t="s">
        <v>458</v>
      </c>
      <c r="N107" s="1" t="s">
        <v>194</v>
      </c>
      <c r="O107" s="1">
        <v>9100.0</v>
      </c>
      <c r="P107" s="1" t="s">
        <v>194</v>
      </c>
      <c r="Q107" s="1" t="str">
        <f>IF(ISERROR(VLOOKUP(P107,'unique fed agency names'!A:C,3,FALSE)),P107,VLOOKUP(P107,'unique fed agency names'!A:C,3,FALSE))
</f>
        <v>U.S. Department of Education (ED)</v>
      </c>
      <c r="R107" s="1">
        <v>7.8634042E7</v>
      </c>
      <c r="S107" s="1" t="s">
        <v>473</v>
      </c>
      <c r="T107" s="1" t="str">
        <f>IF(ISERROR(VLOOKUP(S107,'unique org names'!A:C,3,FALSE)),S107,VLOOKUP(S107,'unique org names'!A:C,3,FALSE))
</f>
        <v>Hamilton Eman Academy</v>
      </c>
      <c r="U107" s="1" t="s">
        <v>474</v>
      </c>
      <c r="V107" s="1" t="s">
        <v>475</v>
      </c>
      <c r="W107" s="1" t="s">
        <v>44</v>
      </c>
      <c r="X107" s="1" t="s">
        <v>45</v>
      </c>
      <c r="Y107" s="1">
        <v>4.82133744E8</v>
      </c>
      <c r="AA107" s="1" t="s">
        <v>46</v>
      </c>
      <c r="AB107" s="1" t="s">
        <v>45</v>
      </c>
      <c r="AC107" s="1">
        <v>4.82133744E8</v>
      </c>
      <c r="AD107" s="1">
        <v>7.4319591E7</v>
      </c>
      <c r="AE107" s="1" t="s">
        <v>476</v>
      </c>
      <c r="AF107" s="1">
        <v>115867.0</v>
      </c>
      <c r="AG107" s="2">
        <v>41358.0</v>
      </c>
      <c r="AH107" s="1">
        <v>9100.0</v>
      </c>
      <c r="AI107" s="1" t="s">
        <v>194</v>
      </c>
      <c r="AJ107" s="1" t="s">
        <v>477</v>
      </c>
      <c r="AK107" s="1" t="s">
        <v>463</v>
      </c>
      <c r="AL107" s="1">
        <v>9.0</v>
      </c>
      <c r="AM107" s="1">
        <v>2013.0</v>
      </c>
      <c r="AN107" s="1">
        <v>2013.0</v>
      </c>
      <c r="AO107" s="1" t="s">
        <v>277</v>
      </c>
    </row>
    <row r="108">
      <c r="A108" s="5">
        <v>1.0</v>
      </c>
      <c r="B108" s="1">
        <f t="shared" si="1"/>
        <v>108</v>
      </c>
      <c r="C108" s="1" t="s">
        <v>457</v>
      </c>
      <c r="D108" s="1" t="s">
        <v>457</v>
      </c>
      <c r="E108" s="1" t="s">
        <v>194</v>
      </c>
      <c r="G108" s="1">
        <v>3.2156174E7</v>
      </c>
      <c r="H108" s="2">
        <v>41373.0</v>
      </c>
      <c r="I108" s="1" t="s">
        <v>458</v>
      </c>
      <c r="K108" s="1" t="s">
        <v>458</v>
      </c>
      <c r="N108" s="1" t="s">
        <v>194</v>
      </c>
      <c r="O108" s="1">
        <v>9100.0</v>
      </c>
      <c r="P108" s="1" t="s">
        <v>194</v>
      </c>
      <c r="Q108" s="1" t="str">
        <f>IF(ISERROR(VLOOKUP(P108,'unique fed agency names'!A:C,3,FALSE)),P108,VLOOKUP(P108,'unique fed agency names'!A:C,3,FALSE))
</f>
        <v>U.S. Department of Education (ED)</v>
      </c>
      <c r="R108" s="1">
        <v>9.62378779E8</v>
      </c>
      <c r="S108" s="1" t="s">
        <v>478</v>
      </c>
      <c r="T108" s="1" t="str">
        <f>IF(ISERROR(VLOOKUP(S108,'unique org names'!A:C,3,FALSE)),S108,VLOOKUP(S108,'unique org names'!A:C,3,FALSE))
</f>
        <v>LEGACY CHARTER ACADEMY</v>
      </c>
      <c r="V108" s="1" t="s">
        <v>479</v>
      </c>
      <c r="W108" s="1" t="s">
        <v>44</v>
      </c>
      <c r="X108" s="1" t="s">
        <v>45</v>
      </c>
      <c r="Y108" s="1">
        <v>4.82342225E8</v>
      </c>
      <c r="AA108" s="1" t="s">
        <v>44</v>
      </c>
      <c r="AB108" s="1" t="s">
        <v>45</v>
      </c>
      <c r="AC108" s="1">
        <v>4.82342225E8</v>
      </c>
      <c r="AD108" s="1">
        <v>6.0187978E7</v>
      </c>
      <c r="AE108" s="1" t="s">
        <v>480</v>
      </c>
      <c r="AF108" s="1">
        <v>115460.0</v>
      </c>
      <c r="AG108" s="2">
        <v>41373.0</v>
      </c>
      <c r="AH108" s="1">
        <v>9100.0</v>
      </c>
      <c r="AI108" s="1" t="s">
        <v>194</v>
      </c>
      <c r="AJ108" s="1" t="s">
        <v>481</v>
      </c>
      <c r="AK108" s="1" t="s">
        <v>463</v>
      </c>
      <c r="AL108" s="1">
        <v>9.0</v>
      </c>
      <c r="AM108" s="1">
        <v>2013.0</v>
      </c>
      <c r="AN108" s="1">
        <v>2013.0</v>
      </c>
      <c r="AO108" s="1" t="s">
        <v>277</v>
      </c>
    </row>
    <row r="109">
      <c r="A109" s="5">
        <v>1.0</v>
      </c>
      <c r="B109" s="1">
        <f t="shared" si="1"/>
        <v>109</v>
      </c>
      <c r="C109" s="1" t="s">
        <v>457</v>
      </c>
      <c r="D109" s="1" t="s">
        <v>457</v>
      </c>
      <c r="E109" s="1" t="s">
        <v>194</v>
      </c>
      <c r="G109" s="1">
        <v>3.2156174E7</v>
      </c>
      <c r="H109" s="2">
        <v>41390.0</v>
      </c>
      <c r="I109" s="1" t="s">
        <v>458</v>
      </c>
      <c r="K109" s="1" t="s">
        <v>458</v>
      </c>
      <c r="N109" s="1" t="s">
        <v>194</v>
      </c>
      <c r="O109" s="1">
        <v>9100.0</v>
      </c>
      <c r="P109" s="1" t="s">
        <v>194</v>
      </c>
      <c r="Q109" s="1" t="str">
        <f>IF(ISERROR(VLOOKUP(P109,'unique fed agency names'!A:C,3,FALSE)),P109,VLOOKUP(P109,'unique fed agency names'!A:C,3,FALSE))
</f>
        <v>U.S. Department of Education (ED)</v>
      </c>
      <c r="R109" s="1">
        <v>7.3832607E7</v>
      </c>
      <c r="S109" s="1" t="s">
        <v>482</v>
      </c>
      <c r="T109" s="1" t="str">
        <f>IF(ISERROR(VLOOKUP(S109,'unique org names'!A:C,3,FALSE)),S109,VLOOKUP(S109,'unique org names'!A:C,3,FALSE))
</f>
        <v>DETROIT ACADEMY OF ARTS AND SCIENCES</v>
      </c>
      <c r="V109" s="1" t="s">
        <v>483</v>
      </c>
      <c r="W109" s="1" t="s">
        <v>44</v>
      </c>
      <c r="X109" s="1" t="s">
        <v>45</v>
      </c>
      <c r="Y109" s="1">
        <v>4.82074288E8</v>
      </c>
      <c r="AA109" s="1" t="s">
        <v>44</v>
      </c>
      <c r="AB109" s="1" t="s">
        <v>45</v>
      </c>
      <c r="AC109" s="1">
        <v>4.82074288E8</v>
      </c>
      <c r="AD109" s="1">
        <v>3.9347836E7</v>
      </c>
      <c r="AE109" s="1" t="s">
        <v>484</v>
      </c>
      <c r="AF109" s="1">
        <v>83210.0</v>
      </c>
      <c r="AG109" s="2">
        <v>41390.0</v>
      </c>
      <c r="AH109" s="1">
        <v>9100.0</v>
      </c>
      <c r="AI109" s="1" t="s">
        <v>194</v>
      </c>
      <c r="AJ109" s="1" t="s">
        <v>485</v>
      </c>
      <c r="AK109" s="1" t="s">
        <v>463</v>
      </c>
      <c r="AL109" s="1">
        <v>9.0</v>
      </c>
      <c r="AM109" s="1">
        <v>2013.0</v>
      </c>
      <c r="AN109" s="1">
        <v>2013.0</v>
      </c>
      <c r="AO109" s="1" t="s">
        <v>277</v>
      </c>
    </row>
    <row r="110">
      <c r="A110" s="5">
        <v>1.0</v>
      </c>
      <c r="B110" s="1">
        <f t="shared" si="1"/>
        <v>110</v>
      </c>
      <c r="C110" s="1" t="s">
        <v>457</v>
      </c>
      <c r="D110" s="1" t="s">
        <v>457</v>
      </c>
      <c r="E110" s="1" t="s">
        <v>194</v>
      </c>
      <c r="G110" s="1">
        <v>3.2156174E7</v>
      </c>
      <c r="H110" s="2">
        <v>41358.0</v>
      </c>
      <c r="I110" s="1" t="s">
        <v>458</v>
      </c>
      <c r="K110" s="1" t="s">
        <v>458</v>
      </c>
      <c r="N110" s="1" t="s">
        <v>194</v>
      </c>
      <c r="O110" s="1">
        <v>9100.0</v>
      </c>
      <c r="P110" s="1" t="s">
        <v>194</v>
      </c>
      <c r="Q110" s="1" t="str">
        <f>IF(ISERROR(VLOOKUP(P110,'unique fed agency names'!A:C,3,FALSE)),P110,VLOOKUP(P110,'unique fed agency names'!A:C,3,FALSE))
</f>
        <v>U.S. Department of Education (ED)</v>
      </c>
      <c r="R110" s="1">
        <v>7.8359005E7</v>
      </c>
      <c r="S110" s="1" t="s">
        <v>486</v>
      </c>
      <c r="T110" s="1" t="str">
        <f>IF(ISERROR(VLOOKUP(S110,'unique org names'!A:C,3,FALSE)),S110,VLOOKUP(S110,'unique org names'!A:C,3,FALSE))
</f>
        <v>GEE EDMONSON ACADEMY</v>
      </c>
      <c r="V110" s="1" t="s">
        <v>487</v>
      </c>
      <c r="W110" s="1" t="s">
        <v>44</v>
      </c>
      <c r="X110" s="1" t="s">
        <v>45</v>
      </c>
      <c r="Y110" s="1">
        <v>4.82011006E8</v>
      </c>
      <c r="AA110" s="1" t="s">
        <v>46</v>
      </c>
      <c r="AB110" s="1" t="s">
        <v>45</v>
      </c>
      <c r="AC110" s="1">
        <v>4.82011006E8</v>
      </c>
      <c r="AD110" s="1">
        <v>7496979.0</v>
      </c>
      <c r="AE110" s="1" t="s">
        <v>488</v>
      </c>
      <c r="AF110" s="1">
        <v>68345.0</v>
      </c>
      <c r="AG110" s="2">
        <v>41358.0</v>
      </c>
      <c r="AH110" s="1">
        <v>9100.0</v>
      </c>
      <c r="AI110" s="1" t="s">
        <v>194</v>
      </c>
      <c r="AJ110" s="1" t="s">
        <v>489</v>
      </c>
      <c r="AK110" s="1" t="s">
        <v>463</v>
      </c>
      <c r="AL110" s="1">
        <v>9.0</v>
      </c>
      <c r="AM110" s="1">
        <v>2013.0</v>
      </c>
      <c r="AN110" s="1">
        <v>2013.0</v>
      </c>
      <c r="AO110" s="1" t="s">
        <v>277</v>
      </c>
    </row>
    <row r="111">
      <c r="A111" s="5">
        <v>1.0</v>
      </c>
      <c r="B111" s="1">
        <f t="shared" si="1"/>
        <v>111</v>
      </c>
      <c r="C111" s="1" t="s">
        <v>457</v>
      </c>
      <c r="D111" s="1" t="s">
        <v>457</v>
      </c>
      <c r="E111" s="1" t="s">
        <v>194</v>
      </c>
      <c r="G111" s="1">
        <v>3.2156174E7</v>
      </c>
      <c r="H111" s="2">
        <v>41326.0</v>
      </c>
      <c r="I111" s="1" t="s">
        <v>458</v>
      </c>
      <c r="K111" s="1" t="s">
        <v>458</v>
      </c>
      <c r="N111" s="1" t="s">
        <v>194</v>
      </c>
      <c r="O111" s="1">
        <v>9100.0</v>
      </c>
      <c r="P111" s="1" t="s">
        <v>194</v>
      </c>
      <c r="Q111" s="1" t="str">
        <f>IF(ISERROR(VLOOKUP(P111,'unique fed agency names'!A:C,3,FALSE)),P111,VLOOKUP(P111,'unique fed agency names'!A:C,3,FALSE))
</f>
        <v>U.S. Department of Education (ED)</v>
      </c>
      <c r="R111" s="1">
        <v>9.63121426E8</v>
      </c>
      <c r="S111" s="1" t="s">
        <v>490</v>
      </c>
      <c r="T111" s="1" t="str">
        <f>IF(ISERROR(VLOOKUP(S111,'unique org names'!A:C,3,FALSE)),S111,VLOOKUP(S111,'unique org names'!A:C,3,FALSE))
</f>
        <v>DETROIT LEADERSHIP ACADEMY</v>
      </c>
      <c r="V111" s="1" t="s">
        <v>491</v>
      </c>
      <c r="W111" s="1" t="s">
        <v>44</v>
      </c>
      <c r="X111" s="1" t="s">
        <v>45</v>
      </c>
      <c r="Y111" s="1">
        <v>4.82233051E8</v>
      </c>
      <c r="AA111" s="1" t="s">
        <v>46</v>
      </c>
      <c r="AB111" s="1" t="s">
        <v>45</v>
      </c>
      <c r="AC111" s="1">
        <v>4.82233051E8</v>
      </c>
      <c r="AF111" s="1">
        <v>68374.0</v>
      </c>
      <c r="AG111" s="2">
        <v>41326.0</v>
      </c>
      <c r="AH111" s="1">
        <v>9100.0</v>
      </c>
      <c r="AI111" s="1" t="s">
        <v>194</v>
      </c>
      <c r="AJ111" s="1" t="s">
        <v>492</v>
      </c>
      <c r="AK111" s="1" t="s">
        <v>463</v>
      </c>
      <c r="AL111" s="1">
        <v>9.0</v>
      </c>
      <c r="AM111" s="1">
        <v>2013.0</v>
      </c>
      <c r="AN111" s="1">
        <v>2013.0</v>
      </c>
      <c r="AO111" s="1" t="s">
        <v>277</v>
      </c>
    </row>
    <row r="112">
      <c r="A112" s="5">
        <v>1.0</v>
      </c>
      <c r="B112" s="1">
        <f t="shared" si="1"/>
        <v>112</v>
      </c>
      <c r="C112" s="1" t="s">
        <v>457</v>
      </c>
      <c r="D112" s="1" t="s">
        <v>457</v>
      </c>
      <c r="E112" s="1" t="s">
        <v>194</v>
      </c>
      <c r="G112" s="1">
        <v>3.2156174E7</v>
      </c>
      <c r="H112" s="2">
        <v>41256.0</v>
      </c>
      <c r="I112" s="1" t="s">
        <v>458</v>
      </c>
      <c r="K112" s="1" t="s">
        <v>458</v>
      </c>
      <c r="N112" s="1" t="s">
        <v>194</v>
      </c>
      <c r="O112" s="1">
        <v>9100.0</v>
      </c>
      <c r="P112" s="1" t="s">
        <v>194</v>
      </c>
      <c r="Q112" s="1" t="str">
        <f>IF(ISERROR(VLOOKUP(P112,'unique fed agency names'!A:C,3,FALSE)),P112,VLOOKUP(P112,'unique fed agency names'!A:C,3,FALSE))
</f>
        <v>U.S. Department of Education (ED)</v>
      </c>
      <c r="R112" s="1">
        <v>9.65778702E8</v>
      </c>
      <c r="S112" s="1" t="s">
        <v>493</v>
      </c>
      <c r="T112" s="1" t="str">
        <f>IF(ISERROR(VLOOKUP(S112,'unique org names'!A:C,3,FALSE)),S112,VLOOKUP(S112,'unique org names'!A:C,3,FALSE))
</f>
        <v>COVENANT HOUSE ACADEMY CENTRAL</v>
      </c>
      <c r="V112" s="1" t="s">
        <v>494</v>
      </c>
      <c r="W112" s="1" t="s">
        <v>44</v>
      </c>
      <c r="X112" s="1" t="s">
        <v>45</v>
      </c>
      <c r="Y112" s="1">
        <v>4.82082475E8</v>
      </c>
      <c r="AA112" s="1" t="s">
        <v>44</v>
      </c>
      <c r="AB112" s="1" t="s">
        <v>45</v>
      </c>
      <c r="AC112" s="1">
        <v>4.82082475E8</v>
      </c>
      <c r="AF112" s="1">
        <v>56104.0</v>
      </c>
      <c r="AG112" s="2">
        <v>41256.0</v>
      </c>
      <c r="AH112" s="1">
        <v>9100.0</v>
      </c>
      <c r="AI112" s="1" t="s">
        <v>194</v>
      </c>
      <c r="AJ112" s="1" t="s">
        <v>495</v>
      </c>
      <c r="AK112" s="1" t="s">
        <v>463</v>
      </c>
      <c r="AL112" s="1">
        <v>9.0</v>
      </c>
      <c r="AM112" s="1">
        <v>2013.0</v>
      </c>
      <c r="AN112" s="1">
        <v>2013.0</v>
      </c>
      <c r="AO112" s="1" t="s">
        <v>277</v>
      </c>
    </row>
    <row r="113">
      <c r="A113" s="5">
        <v>1.0</v>
      </c>
      <c r="B113" s="1">
        <f t="shared" si="1"/>
        <v>113</v>
      </c>
      <c r="C113" s="1" t="s">
        <v>457</v>
      </c>
      <c r="D113" s="1" t="s">
        <v>457</v>
      </c>
      <c r="E113" s="1" t="s">
        <v>194</v>
      </c>
      <c r="G113" s="1">
        <v>3.2156174E7</v>
      </c>
      <c r="H113" s="2">
        <v>41367.0</v>
      </c>
      <c r="I113" s="1" t="s">
        <v>458</v>
      </c>
      <c r="K113" s="1" t="s">
        <v>458</v>
      </c>
      <c r="N113" s="1" t="s">
        <v>194</v>
      </c>
      <c r="O113" s="1">
        <v>9100.0</v>
      </c>
      <c r="P113" s="1" t="s">
        <v>194</v>
      </c>
      <c r="Q113" s="1" t="str">
        <f>IF(ISERROR(VLOOKUP(P113,'unique fed agency names'!A:C,3,FALSE)),P113,VLOOKUP(P113,'unique fed agency names'!A:C,3,FALSE))
</f>
        <v>U.S. Department of Education (ED)</v>
      </c>
      <c r="R113" s="1">
        <v>7.97531279E8</v>
      </c>
      <c r="S113" s="1" t="s">
        <v>496</v>
      </c>
      <c r="T113" s="1" t="str">
        <f>IF(ISERROR(VLOOKUP(S113,'unique org names'!A:C,3,FALSE)),S113,VLOOKUP(S113,'unique org names'!A:C,3,FALSE))
</f>
        <v>BRIDGE ACADEMY</v>
      </c>
      <c r="V113" s="1" t="s">
        <v>497</v>
      </c>
      <c r="W113" s="1" t="s">
        <v>44</v>
      </c>
      <c r="X113" s="1" t="s">
        <v>45</v>
      </c>
      <c r="Y113" s="1">
        <v>4.82123323E8</v>
      </c>
      <c r="AA113" s="1" t="s">
        <v>498</v>
      </c>
      <c r="AB113" s="1" t="s">
        <v>45</v>
      </c>
      <c r="AC113" s="1">
        <v>4.82123323E8</v>
      </c>
      <c r="AD113" s="1">
        <v>8.0492697E7</v>
      </c>
      <c r="AE113" s="1" t="s">
        <v>499</v>
      </c>
      <c r="AF113" s="1">
        <v>51111.0</v>
      </c>
      <c r="AG113" s="2">
        <v>41367.0</v>
      </c>
      <c r="AH113" s="1">
        <v>9100.0</v>
      </c>
      <c r="AI113" s="1" t="s">
        <v>194</v>
      </c>
      <c r="AJ113" s="1" t="s">
        <v>500</v>
      </c>
      <c r="AK113" s="1" t="s">
        <v>463</v>
      </c>
      <c r="AL113" s="1">
        <v>9.0</v>
      </c>
      <c r="AM113" s="1">
        <v>2013.0</v>
      </c>
      <c r="AN113" s="1">
        <v>2013.0</v>
      </c>
      <c r="AO113" s="1" t="s">
        <v>277</v>
      </c>
    </row>
    <row r="114">
      <c r="A114" s="5">
        <v>1.0</v>
      </c>
      <c r="B114" s="1">
        <f t="shared" si="1"/>
        <v>114</v>
      </c>
      <c r="C114" s="1" t="s">
        <v>457</v>
      </c>
      <c r="D114" s="1" t="s">
        <v>457</v>
      </c>
      <c r="E114" s="1" t="s">
        <v>194</v>
      </c>
      <c r="G114" s="1">
        <v>3.2156174E7</v>
      </c>
      <c r="H114" s="2">
        <v>41388.0</v>
      </c>
      <c r="I114" s="1" t="s">
        <v>458</v>
      </c>
      <c r="K114" s="1" t="s">
        <v>458</v>
      </c>
      <c r="N114" s="1" t="s">
        <v>194</v>
      </c>
      <c r="O114" s="1">
        <v>9100.0</v>
      </c>
      <c r="P114" s="1" t="s">
        <v>194</v>
      </c>
      <c r="Q114" s="1" t="str">
        <f>IF(ISERROR(VLOOKUP(P114,'unique fed agency names'!A:C,3,FALSE)),P114,VLOOKUP(P114,'unique fed agency names'!A:C,3,FALSE))
</f>
        <v>U.S. Department of Education (ED)</v>
      </c>
      <c r="R114" s="1">
        <v>9.48021373E8</v>
      </c>
      <c r="S114" s="1" t="s">
        <v>501</v>
      </c>
      <c r="T114" s="1" t="str">
        <f>IF(ISERROR(VLOOKUP(S114,'unique org names'!A:C,3,FALSE)),S114,VLOOKUP(S114,'unique org names'!A:C,3,FALSE))
</f>
        <v>WOODWARD ACADEMY</v>
      </c>
      <c r="V114" s="1" t="s">
        <v>502</v>
      </c>
      <c r="W114" s="1" t="s">
        <v>44</v>
      </c>
      <c r="X114" s="1" t="s">
        <v>45</v>
      </c>
      <c r="Y114" s="1">
        <v>4.82072901E8</v>
      </c>
      <c r="AA114" s="1" t="s">
        <v>44</v>
      </c>
      <c r="AB114" s="1" t="s">
        <v>45</v>
      </c>
      <c r="AC114" s="1">
        <v>4.82072901E8</v>
      </c>
      <c r="AD114" s="1">
        <v>5.2825536E7</v>
      </c>
      <c r="AE114" s="1" t="s">
        <v>503</v>
      </c>
      <c r="AF114" s="1">
        <v>49595.0</v>
      </c>
      <c r="AG114" s="2">
        <v>41388.0</v>
      </c>
      <c r="AH114" s="1">
        <v>9100.0</v>
      </c>
      <c r="AI114" s="1" t="s">
        <v>194</v>
      </c>
      <c r="AJ114" s="1" t="s">
        <v>504</v>
      </c>
      <c r="AK114" s="1" t="s">
        <v>463</v>
      </c>
      <c r="AL114" s="1">
        <v>9.0</v>
      </c>
      <c r="AM114" s="1">
        <v>2013.0</v>
      </c>
      <c r="AN114" s="1">
        <v>2013.0</v>
      </c>
      <c r="AO114" s="1" t="s">
        <v>277</v>
      </c>
    </row>
    <row r="115">
      <c r="A115" s="5">
        <v>1.0</v>
      </c>
      <c r="B115" s="1">
        <f t="shared" si="1"/>
        <v>115</v>
      </c>
      <c r="C115" s="1" t="s">
        <v>457</v>
      </c>
      <c r="D115" s="1" t="s">
        <v>457</v>
      </c>
      <c r="E115" s="1" t="s">
        <v>194</v>
      </c>
      <c r="G115" s="1">
        <v>3.2156174E7</v>
      </c>
      <c r="H115" s="2">
        <v>41351.0</v>
      </c>
      <c r="I115" s="1" t="s">
        <v>458</v>
      </c>
      <c r="K115" s="1" t="s">
        <v>458</v>
      </c>
      <c r="N115" s="1" t="s">
        <v>194</v>
      </c>
      <c r="O115" s="1">
        <v>9100.0</v>
      </c>
      <c r="P115" s="1" t="s">
        <v>194</v>
      </c>
      <c r="Q115" s="1" t="str">
        <f>IF(ISERROR(VLOOKUP(P115,'unique fed agency names'!A:C,3,FALSE)),P115,VLOOKUP(P115,'unique fed agency names'!A:C,3,FALSE))
</f>
        <v>U.S. Department of Education (ED)</v>
      </c>
      <c r="R115" s="1">
        <v>1.98438892E8</v>
      </c>
      <c r="S115" s="1" t="s">
        <v>505</v>
      </c>
      <c r="T115" s="1" t="str">
        <f>IF(ISERROR(VLOOKUP(S115,'unique org names'!A:C,3,FALSE)),S115,VLOOKUP(S115,'unique org names'!A:C,3,FALSE))
</f>
        <v>HANLEY INTERNATIONAL ACADEMY, INC</v>
      </c>
      <c r="V115" s="1" t="s">
        <v>506</v>
      </c>
      <c r="W115" s="1" t="s">
        <v>44</v>
      </c>
      <c r="X115" s="1" t="s">
        <v>45</v>
      </c>
      <c r="Y115" s="1">
        <v>4.82123572E8</v>
      </c>
      <c r="AA115" s="1" t="s">
        <v>498</v>
      </c>
      <c r="AB115" s="1" t="s">
        <v>45</v>
      </c>
      <c r="AC115" s="1">
        <v>4.82123572E8</v>
      </c>
      <c r="AD115" s="1">
        <v>1.98438892E8</v>
      </c>
      <c r="AE115" s="1" t="s">
        <v>505</v>
      </c>
      <c r="AF115" s="1">
        <v>46344.0</v>
      </c>
      <c r="AG115" s="2">
        <v>41351.0</v>
      </c>
      <c r="AH115" s="1">
        <v>9100.0</v>
      </c>
      <c r="AI115" s="1" t="s">
        <v>194</v>
      </c>
      <c r="AJ115" s="1" t="s">
        <v>507</v>
      </c>
      <c r="AK115" s="1" t="s">
        <v>463</v>
      </c>
      <c r="AL115" s="1">
        <v>9.0</v>
      </c>
      <c r="AM115" s="1">
        <v>2013.0</v>
      </c>
      <c r="AN115" s="1">
        <v>2013.0</v>
      </c>
      <c r="AO115" s="1" t="s">
        <v>277</v>
      </c>
    </row>
    <row r="116">
      <c r="A116" s="5">
        <v>1.0</v>
      </c>
      <c r="B116" s="1">
        <f t="shared" si="1"/>
        <v>116</v>
      </c>
      <c r="C116" s="1" t="s">
        <v>457</v>
      </c>
      <c r="D116" s="1" t="s">
        <v>457</v>
      </c>
      <c r="E116" s="1" t="s">
        <v>194</v>
      </c>
      <c r="G116" s="1">
        <v>3.2156174E7</v>
      </c>
      <c r="H116" s="2">
        <v>41326.0</v>
      </c>
      <c r="I116" s="1" t="s">
        <v>458</v>
      </c>
      <c r="K116" s="1" t="s">
        <v>458</v>
      </c>
      <c r="N116" s="1" t="s">
        <v>194</v>
      </c>
      <c r="O116" s="1">
        <v>9100.0</v>
      </c>
      <c r="P116" s="1" t="s">
        <v>194</v>
      </c>
      <c r="Q116" s="1" t="str">
        <f>IF(ISERROR(VLOOKUP(P116,'unique fed agency names'!A:C,3,FALSE)),P116,VLOOKUP(P116,'unique fed agency names'!A:C,3,FALSE))
</f>
        <v>U.S. Department of Education (ED)</v>
      </c>
      <c r="R116" s="1">
        <v>1.80070547E8</v>
      </c>
      <c r="S116" s="1" t="s">
        <v>508</v>
      </c>
      <c r="T116" s="1" t="str">
        <f>IF(ISERROR(VLOOKUP(S116,'unique org names'!A:C,3,FALSE)),S116,VLOOKUP(S116,'unique org names'!A:C,3,FALSE))
</f>
        <v>BLANCHE KELSO BRUCE ACADEMY</v>
      </c>
      <c r="V116" s="1" t="s">
        <v>509</v>
      </c>
      <c r="W116" s="1" t="s">
        <v>44</v>
      </c>
      <c r="X116" s="1" t="s">
        <v>45</v>
      </c>
      <c r="Y116" s="1">
        <v>4.82133487E8</v>
      </c>
      <c r="AA116" s="1" t="s">
        <v>44</v>
      </c>
      <c r="AB116" s="1" t="s">
        <v>45</v>
      </c>
      <c r="AC116" s="1">
        <v>4.82133448E8</v>
      </c>
      <c r="AD116" s="1">
        <v>4.9338049E7</v>
      </c>
      <c r="AE116" s="1" t="s">
        <v>510</v>
      </c>
      <c r="AF116" s="1">
        <v>43286.0</v>
      </c>
      <c r="AG116" s="2">
        <v>41326.0</v>
      </c>
      <c r="AH116" s="1">
        <v>9100.0</v>
      </c>
      <c r="AI116" s="1" t="s">
        <v>194</v>
      </c>
      <c r="AJ116" s="1" t="s">
        <v>511</v>
      </c>
      <c r="AK116" s="1" t="s">
        <v>463</v>
      </c>
      <c r="AL116" s="1">
        <v>9.0</v>
      </c>
      <c r="AM116" s="1">
        <v>2013.0</v>
      </c>
      <c r="AN116" s="1">
        <v>2013.0</v>
      </c>
      <c r="AO116" s="1" t="s">
        <v>277</v>
      </c>
    </row>
    <row r="117">
      <c r="A117" s="5">
        <v>1.0</v>
      </c>
      <c r="B117" s="1">
        <f t="shared" si="1"/>
        <v>117</v>
      </c>
      <c r="C117" s="1" t="s">
        <v>457</v>
      </c>
      <c r="D117" s="1" t="s">
        <v>457</v>
      </c>
      <c r="E117" s="1" t="s">
        <v>194</v>
      </c>
      <c r="G117" s="1">
        <v>3.2156174E7</v>
      </c>
      <c r="H117" s="2">
        <v>41373.0</v>
      </c>
      <c r="I117" s="1" t="s">
        <v>458</v>
      </c>
      <c r="K117" s="1" t="s">
        <v>458</v>
      </c>
      <c r="N117" s="1" t="s">
        <v>194</v>
      </c>
      <c r="O117" s="1">
        <v>9100.0</v>
      </c>
      <c r="P117" s="1" t="s">
        <v>194</v>
      </c>
      <c r="Q117" s="1" t="str">
        <f>IF(ISERROR(VLOOKUP(P117,'unique fed agency names'!A:C,3,FALSE)),P117,VLOOKUP(P117,'unique fed agency names'!A:C,3,FALSE))
</f>
        <v>U.S. Department of Education (ED)</v>
      </c>
      <c r="R117" s="1">
        <v>1.17726252E8</v>
      </c>
      <c r="S117" s="1" t="s">
        <v>512</v>
      </c>
      <c r="T117" s="1" t="str">
        <f>IF(ISERROR(VLOOKUP(S117,'unique org names'!A:C,3,FALSE)),S117,VLOOKUP(S117,'unique org names'!A:C,3,FALSE))
</f>
        <v>OLD REDFORD ACADEMY</v>
      </c>
      <c r="V117" s="1" t="s">
        <v>513</v>
      </c>
      <c r="W117" s="1" t="s">
        <v>44</v>
      </c>
      <c r="X117" s="1" t="s">
        <v>45</v>
      </c>
      <c r="Y117" s="1">
        <v>4.82193259E8</v>
      </c>
      <c r="AA117" s="1" t="s">
        <v>44</v>
      </c>
      <c r="AB117" s="1" t="s">
        <v>45</v>
      </c>
      <c r="AC117" s="1">
        <v>4.82193259E8</v>
      </c>
      <c r="AF117" s="1">
        <v>36877.0</v>
      </c>
      <c r="AG117" s="2">
        <v>41373.0</v>
      </c>
      <c r="AH117" s="1">
        <v>9100.0</v>
      </c>
      <c r="AI117" s="1" t="s">
        <v>194</v>
      </c>
      <c r="AJ117" s="1" t="s">
        <v>514</v>
      </c>
      <c r="AK117" s="1" t="s">
        <v>463</v>
      </c>
      <c r="AL117" s="1">
        <v>9.0</v>
      </c>
      <c r="AM117" s="1">
        <v>2013.0</v>
      </c>
      <c r="AN117" s="1">
        <v>2013.0</v>
      </c>
      <c r="AO117" s="1" t="s">
        <v>277</v>
      </c>
    </row>
    <row r="118">
      <c r="A118" s="5">
        <v>1.0</v>
      </c>
      <c r="B118" s="1">
        <f t="shared" si="1"/>
        <v>118</v>
      </c>
      <c r="C118" s="1" t="s">
        <v>457</v>
      </c>
      <c r="D118" s="1" t="s">
        <v>457</v>
      </c>
      <c r="E118" s="1" t="s">
        <v>194</v>
      </c>
      <c r="G118" s="1">
        <v>3.2156174E7</v>
      </c>
      <c r="H118" s="2">
        <v>41302.0</v>
      </c>
      <c r="I118" s="1" t="s">
        <v>458</v>
      </c>
      <c r="K118" s="1" t="s">
        <v>458</v>
      </c>
      <c r="N118" s="1" t="s">
        <v>194</v>
      </c>
      <c r="O118" s="1">
        <v>9100.0</v>
      </c>
      <c r="P118" s="1" t="s">
        <v>194</v>
      </c>
      <c r="Q118" s="1" t="str">
        <f>IF(ISERROR(VLOOKUP(P118,'unique fed agency names'!A:C,3,FALSE)),P118,VLOOKUP(P118,'unique fed agency names'!A:C,3,FALSE))
</f>
        <v>U.S. Department of Education (ED)</v>
      </c>
      <c r="R118" s="1">
        <v>8.31014068E8</v>
      </c>
      <c r="S118" s="1" t="s">
        <v>515</v>
      </c>
      <c r="T118" s="1" t="str">
        <f>IF(ISERROR(VLOOKUP(S118,'unique org names'!A:C,3,FALSE)),S118,VLOOKUP(S118,'unique org names'!A:C,3,FALSE))
</f>
        <v>DETROIT PREMIER ACADEMY</v>
      </c>
      <c r="V118" s="1" t="s">
        <v>516</v>
      </c>
      <c r="W118" s="1" t="s">
        <v>44</v>
      </c>
      <c r="X118" s="1" t="s">
        <v>45</v>
      </c>
      <c r="Y118" s="1">
        <v>4.82283685E8</v>
      </c>
      <c r="AA118" s="1" t="s">
        <v>46</v>
      </c>
      <c r="AB118" s="1" t="s">
        <v>45</v>
      </c>
      <c r="AC118" s="1">
        <v>4.82283685E8</v>
      </c>
      <c r="AD118" s="1">
        <v>9.60742484E8</v>
      </c>
      <c r="AF118" s="1">
        <v>34442.0</v>
      </c>
      <c r="AG118" s="2">
        <v>41302.0</v>
      </c>
      <c r="AH118" s="1">
        <v>9100.0</v>
      </c>
      <c r="AI118" s="1" t="s">
        <v>194</v>
      </c>
      <c r="AJ118" s="1" t="s">
        <v>517</v>
      </c>
      <c r="AK118" s="1" t="s">
        <v>463</v>
      </c>
      <c r="AL118" s="1">
        <v>9.0</v>
      </c>
      <c r="AM118" s="1">
        <v>2013.0</v>
      </c>
      <c r="AN118" s="1">
        <v>2013.0</v>
      </c>
      <c r="AO118" s="1" t="s">
        <v>277</v>
      </c>
    </row>
    <row r="119">
      <c r="A119" s="5">
        <v>1.0</v>
      </c>
      <c r="B119" s="1">
        <f t="shared" si="1"/>
        <v>119</v>
      </c>
      <c r="C119" s="1" t="s">
        <v>457</v>
      </c>
      <c r="D119" s="1" t="s">
        <v>457</v>
      </c>
      <c r="E119" s="1" t="s">
        <v>194</v>
      </c>
      <c r="G119" s="1">
        <v>3.2156174E7</v>
      </c>
      <c r="H119" s="2">
        <v>41351.0</v>
      </c>
      <c r="I119" s="1" t="s">
        <v>458</v>
      </c>
      <c r="K119" s="1" t="s">
        <v>458</v>
      </c>
      <c r="N119" s="1" t="s">
        <v>194</v>
      </c>
      <c r="O119" s="1">
        <v>9100.0</v>
      </c>
      <c r="P119" s="1" t="s">
        <v>194</v>
      </c>
      <c r="Q119" s="1" t="str">
        <f>IF(ISERROR(VLOOKUP(P119,'unique fed agency names'!A:C,3,FALSE)),P119,VLOOKUP(P119,'unique fed agency names'!A:C,3,FALSE))
</f>
        <v>U.S. Department of Education (ED)</v>
      </c>
      <c r="R119" s="1">
        <v>8.0463354E7</v>
      </c>
      <c r="S119" s="1" t="s">
        <v>518</v>
      </c>
      <c r="T119" s="1" t="str">
        <f>IF(ISERROR(VLOOKUP(S119,'unique org names'!A:C,3,FALSE)),S119,VLOOKUP(S119,'unique org names'!A:C,3,FALSE))
</f>
        <v>UNIVERSAL ACADEMY</v>
      </c>
      <c r="V119" s="1" t="s">
        <v>519</v>
      </c>
      <c r="W119" s="1" t="s">
        <v>44</v>
      </c>
      <c r="X119" s="1" t="s">
        <v>45</v>
      </c>
      <c r="Y119" s="1">
        <v>4.82102105E8</v>
      </c>
      <c r="AA119" s="1" t="s">
        <v>44</v>
      </c>
      <c r="AB119" s="1" t="s">
        <v>45</v>
      </c>
      <c r="AC119" s="1">
        <v>4.82102105E8</v>
      </c>
      <c r="AF119" s="1">
        <v>33561.0</v>
      </c>
      <c r="AG119" s="2">
        <v>41351.0</v>
      </c>
      <c r="AH119" s="1">
        <v>9100.0</v>
      </c>
      <c r="AI119" s="1" t="s">
        <v>194</v>
      </c>
      <c r="AJ119" s="1" t="s">
        <v>520</v>
      </c>
      <c r="AK119" s="1" t="s">
        <v>463</v>
      </c>
      <c r="AL119" s="1">
        <v>9.0</v>
      </c>
      <c r="AM119" s="1">
        <v>2013.0</v>
      </c>
      <c r="AN119" s="1">
        <v>2013.0</v>
      </c>
      <c r="AO119" s="1" t="s">
        <v>277</v>
      </c>
    </row>
    <row r="120">
      <c r="A120" s="5">
        <v>1.0</v>
      </c>
      <c r="B120" s="1">
        <f t="shared" si="1"/>
        <v>120</v>
      </c>
      <c r="C120" s="1" t="s">
        <v>457</v>
      </c>
      <c r="D120" s="1" t="s">
        <v>457</v>
      </c>
      <c r="E120" s="1" t="s">
        <v>194</v>
      </c>
      <c r="G120" s="1">
        <v>3.2156174E7</v>
      </c>
      <c r="H120" s="2">
        <v>41367.0</v>
      </c>
      <c r="I120" s="1" t="s">
        <v>458</v>
      </c>
      <c r="K120" s="1" t="s">
        <v>458</v>
      </c>
      <c r="N120" s="1" t="s">
        <v>194</v>
      </c>
      <c r="O120" s="1">
        <v>9100.0</v>
      </c>
      <c r="P120" s="1" t="s">
        <v>194</v>
      </c>
      <c r="Q120" s="1" t="str">
        <f>IF(ISERROR(VLOOKUP(P120,'unique fed agency names'!A:C,3,FALSE)),P120,VLOOKUP(P120,'unique fed agency names'!A:C,3,FALSE))
</f>
        <v>U.S. Department of Education (ED)</v>
      </c>
      <c r="R120" s="1">
        <v>9.0912429E7</v>
      </c>
      <c r="S120" s="1" t="s">
        <v>521</v>
      </c>
      <c r="T120" s="1" t="str">
        <f>IF(ISERROR(VLOOKUP(S120,'unique org names'!A:C,3,FALSE)),S120,VLOOKUP(S120,'unique org names'!A:C,3,FALSE))
</f>
        <v>DETROIT COMMUNITY SCHOOLS</v>
      </c>
      <c r="V120" s="1" t="s">
        <v>522</v>
      </c>
      <c r="W120" s="1" t="s">
        <v>44</v>
      </c>
      <c r="X120" s="1" t="s">
        <v>45</v>
      </c>
      <c r="Y120" s="1">
        <v>4.82233314E8</v>
      </c>
      <c r="AA120" s="1" t="s">
        <v>44</v>
      </c>
      <c r="AB120" s="1" t="s">
        <v>45</v>
      </c>
      <c r="AC120" s="1">
        <v>4.82233314E8</v>
      </c>
      <c r="AF120" s="1">
        <v>30085.0</v>
      </c>
      <c r="AG120" s="2">
        <v>41367.0</v>
      </c>
      <c r="AH120" s="1">
        <v>9100.0</v>
      </c>
      <c r="AI120" s="1" t="s">
        <v>194</v>
      </c>
      <c r="AJ120" s="1" t="s">
        <v>523</v>
      </c>
      <c r="AK120" s="1" t="s">
        <v>463</v>
      </c>
      <c r="AL120" s="1">
        <v>9.0</v>
      </c>
      <c r="AM120" s="1">
        <v>2013.0</v>
      </c>
      <c r="AN120" s="1">
        <v>2013.0</v>
      </c>
      <c r="AO120" s="1" t="s">
        <v>277</v>
      </c>
    </row>
    <row r="121">
      <c r="A121" s="5">
        <v>1.0</v>
      </c>
      <c r="B121" s="1">
        <f t="shared" si="1"/>
        <v>121</v>
      </c>
      <c r="C121" s="1" t="s">
        <v>457</v>
      </c>
      <c r="D121" s="1" t="s">
        <v>457</v>
      </c>
      <c r="E121" s="1" t="s">
        <v>194</v>
      </c>
      <c r="G121" s="1">
        <v>3.2156174E7</v>
      </c>
      <c r="H121" s="2">
        <v>41414.0</v>
      </c>
      <c r="I121" s="1" t="s">
        <v>458</v>
      </c>
      <c r="K121" s="1" t="s">
        <v>458</v>
      </c>
      <c r="N121" s="1" t="s">
        <v>194</v>
      </c>
      <c r="O121" s="1">
        <v>9100.0</v>
      </c>
      <c r="P121" s="1" t="s">
        <v>194</v>
      </c>
      <c r="Q121" s="1" t="str">
        <f>IF(ISERROR(VLOOKUP(P121,'unique fed agency names'!A:C,3,FALSE)),P121,VLOOKUP(P121,'unique fed agency names'!A:C,3,FALSE))
</f>
        <v>U.S. Department of Education (ED)</v>
      </c>
      <c r="R121" s="1">
        <v>7.6340843E7</v>
      </c>
      <c r="S121" s="1" t="s">
        <v>461</v>
      </c>
      <c r="T121" s="1" t="str">
        <f>IF(ISERROR(VLOOKUP(S121,'unique org names'!A:C,3,FALSE)),S121,VLOOKUP(S121,'unique org names'!A:C,3,FALSE))
</f>
        <v>BOARD OF EDUCATION OF THE CITY OF DETROIT</v>
      </c>
      <c r="U121" s="1" t="s">
        <v>459</v>
      </c>
      <c r="V121" s="1" t="s">
        <v>524</v>
      </c>
      <c r="W121" s="1" t="s">
        <v>44</v>
      </c>
      <c r="X121" s="1" t="s">
        <v>45</v>
      </c>
      <c r="Y121" s="1">
        <v>4.82023046E8</v>
      </c>
      <c r="AA121" s="1" t="s">
        <v>44</v>
      </c>
      <c r="AB121" s="1" t="s">
        <v>45</v>
      </c>
      <c r="AC121" s="1">
        <v>4.82023096E8</v>
      </c>
      <c r="AD121" s="1">
        <v>7.6340843E7</v>
      </c>
      <c r="AE121" s="1" t="s">
        <v>461</v>
      </c>
      <c r="AF121" s="1">
        <v>3.2603816E7</v>
      </c>
      <c r="AG121" s="2">
        <v>41414.0</v>
      </c>
      <c r="AH121" s="1">
        <v>9100.0</v>
      </c>
      <c r="AI121" s="1" t="s">
        <v>194</v>
      </c>
      <c r="AJ121" s="1" t="s">
        <v>525</v>
      </c>
      <c r="AK121" s="1" t="s">
        <v>463</v>
      </c>
      <c r="AL121" s="1">
        <v>9.0</v>
      </c>
      <c r="AM121" s="1">
        <v>2013.0</v>
      </c>
      <c r="AN121" s="1">
        <v>2013.0</v>
      </c>
      <c r="AO121" s="1" t="s">
        <v>277</v>
      </c>
    </row>
    <row r="122">
      <c r="A122" s="5">
        <v>1.0</v>
      </c>
      <c r="B122" s="1">
        <f t="shared" si="1"/>
        <v>122</v>
      </c>
      <c r="C122" s="1" t="s">
        <v>457</v>
      </c>
      <c r="D122" s="1" t="s">
        <v>457</v>
      </c>
      <c r="E122" s="1" t="s">
        <v>194</v>
      </c>
      <c r="G122" s="1">
        <v>3.2156174E7</v>
      </c>
      <c r="H122" s="2">
        <v>41395.0</v>
      </c>
      <c r="I122" s="1" t="s">
        <v>458</v>
      </c>
      <c r="K122" s="1" t="s">
        <v>458</v>
      </c>
      <c r="N122" s="1" t="s">
        <v>194</v>
      </c>
      <c r="O122" s="1">
        <v>9100.0</v>
      </c>
      <c r="P122" s="1" t="s">
        <v>194</v>
      </c>
      <c r="Q122" s="1" t="str">
        <f>IF(ISERROR(VLOOKUP(P122,'unique fed agency names'!A:C,3,FALSE)),P122,VLOOKUP(P122,'unique fed agency names'!A:C,3,FALSE))
</f>
        <v>U.S. Department of Education (ED)</v>
      </c>
      <c r="R122" s="1">
        <v>7.8583963E7</v>
      </c>
      <c r="S122" s="1" t="s">
        <v>526</v>
      </c>
      <c r="T122" s="1" t="str">
        <f>IF(ISERROR(VLOOKUP(S122,'unique org names'!A:C,3,FALSE)),S122,VLOOKUP(S122,'unique org names'!A:C,3,FALSE))
</f>
        <v>WAY ACADEMY</v>
      </c>
      <c r="U122" s="1" t="s">
        <v>527</v>
      </c>
      <c r="V122" s="1" t="s">
        <v>528</v>
      </c>
      <c r="W122" s="1" t="s">
        <v>44</v>
      </c>
      <c r="X122" s="1" t="s">
        <v>45</v>
      </c>
      <c r="Y122" s="1">
        <v>4.82091434E8</v>
      </c>
      <c r="AA122" s="1" t="s">
        <v>46</v>
      </c>
      <c r="AB122" s="1" t="s">
        <v>45</v>
      </c>
      <c r="AC122" s="1">
        <v>4.82091434E8</v>
      </c>
      <c r="AD122" s="1">
        <v>7.6373687E7</v>
      </c>
      <c r="AE122" s="1" t="s">
        <v>529</v>
      </c>
      <c r="AF122" s="1">
        <v>28561.0</v>
      </c>
      <c r="AG122" s="2">
        <v>41395.0</v>
      </c>
      <c r="AH122" s="1">
        <v>9100.0</v>
      </c>
      <c r="AI122" s="1" t="s">
        <v>194</v>
      </c>
      <c r="AJ122" s="1" t="s">
        <v>530</v>
      </c>
      <c r="AK122" s="1" t="s">
        <v>463</v>
      </c>
      <c r="AL122" s="1">
        <v>9.0</v>
      </c>
      <c r="AM122" s="1">
        <v>2013.0</v>
      </c>
      <c r="AN122" s="1">
        <v>2013.0</v>
      </c>
      <c r="AO122" s="1" t="s">
        <v>277</v>
      </c>
    </row>
    <row r="123">
      <c r="A123" s="5">
        <v>1.0</v>
      </c>
      <c r="B123" s="1">
        <f t="shared" si="1"/>
        <v>123</v>
      </c>
      <c r="C123" s="1" t="s">
        <v>457</v>
      </c>
      <c r="D123" s="1" t="s">
        <v>457</v>
      </c>
      <c r="E123" s="1" t="s">
        <v>194</v>
      </c>
      <c r="G123" s="1">
        <v>3.2156174E7</v>
      </c>
      <c r="H123" s="2">
        <v>41393.0</v>
      </c>
      <c r="I123" s="1" t="s">
        <v>458</v>
      </c>
      <c r="K123" s="1" t="s">
        <v>458</v>
      </c>
      <c r="N123" s="1" t="s">
        <v>194</v>
      </c>
      <c r="O123" s="1">
        <v>9100.0</v>
      </c>
      <c r="P123" s="1" t="s">
        <v>194</v>
      </c>
      <c r="Q123" s="1" t="str">
        <f>IF(ISERROR(VLOOKUP(P123,'unique fed agency names'!A:C,3,FALSE)),P123,VLOOKUP(P123,'unique fed agency names'!A:C,3,FALSE))
</f>
        <v>U.S. Department of Education (ED)</v>
      </c>
      <c r="R123" s="1">
        <v>8.29630537E8</v>
      </c>
      <c r="S123" s="1" t="s">
        <v>531</v>
      </c>
      <c r="T123" s="1" t="str">
        <f>IF(ISERROR(VLOOKUP(S123,'unique org names'!A:C,3,FALSE)),S123,VLOOKUP(S123,'unique org names'!A:C,3,FALSE))
</f>
        <v>DETROIT SERVICE LEARNING ACADEMY</v>
      </c>
      <c r="U123" s="1" t="s">
        <v>532</v>
      </c>
      <c r="V123" s="1" t="s">
        <v>533</v>
      </c>
      <c r="W123" s="1" t="s">
        <v>44</v>
      </c>
      <c r="X123" s="1" t="s">
        <v>45</v>
      </c>
      <c r="Y123" s="1">
        <v>4.8219181E8</v>
      </c>
      <c r="AA123" s="1" t="s">
        <v>44</v>
      </c>
      <c r="AB123" s="1" t="s">
        <v>45</v>
      </c>
      <c r="AC123" s="1">
        <v>4.8219181E8</v>
      </c>
      <c r="AF123" s="1">
        <v>80765.0</v>
      </c>
      <c r="AG123" s="2">
        <v>41393.0</v>
      </c>
      <c r="AH123" s="1">
        <v>9100.0</v>
      </c>
      <c r="AI123" s="1" t="s">
        <v>194</v>
      </c>
      <c r="AJ123" s="1" t="s">
        <v>534</v>
      </c>
      <c r="AK123" s="1" t="s">
        <v>463</v>
      </c>
      <c r="AL123" s="1">
        <v>9.0</v>
      </c>
      <c r="AM123" s="1">
        <v>2013.0</v>
      </c>
      <c r="AN123" s="1">
        <v>2013.0</v>
      </c>
      <c r="AO123" s="1" t="s">
        <v>277</v>
      </c>
    </row>
    <row r="124">
      <c r="A124" s="5">
        <v>1.0</v>
      </c>
      <c r="B124" s="1">
        <f t="shared" si="1"/>
        <v>124</v>
      </c>
      <c r="C124" s="1" t="s">
        <v>457</v>
      </c>
      <c r="D124" s="1" t="s">
        <v>457</v>
      </c>
      <c r="E124" s="1" t="s">
        <v>194</v>
      </c>
      <c r="G124" s="1">
        <v>3.2156174E7</v>
      </c>
      <c r="H124" s="2">
        <v>41313.0</v>
      </c>
      <c r="I124" s="1" t="s">
        <v>458</v>
      </c>
      <c r="K124" s="1" t="s">
        <v>458</v>
      </c>
      <c r="N124" s="1" t="s">
        <v>194</v>
      </c>
      <c r="O124" s="1">
        <v>9100.0</v>
      </c>
      <c r="P124" s="1" t="s">
        <v>194</v>
      </c>
      <c r="Q124" s="1" t="str">
        <f>IF(ISERROR(VLOOKUP(P124,'unique fed agency names'!A:C,3,FALSE)),P124,VLOOKUP(P124,'unique fed agency names'!A:C,3,FALSE))
</f>
        <v>U.S. Department of Education (ED)</v>
      </c>
      <c r="R124" s="1">
        <v>3.7602699E7</v>
      </c>
      <c r="S124" s="1" t="s">
        <v>535</v>
      </c>
      <c r="T124" s="1" t="str">
        <f>IF(ISERROR(VLOOKUP(S124,'unique org names'!A:C,3,FALSE)),S124,VLOOKUP(S124,'unique org names'!A:C,3,FALSE))
</f>
        <v>REGENT PARK SCHOLARS CHARTER ACADEMY</v>
      </c>
      <c r="V124" s="1" t="s">
        <v>536</v>
      </c>
      <c r="W124" s="1" t="s">
        <v>44</v>
      </c>
      <c r="X124" s="1" t="s">
        <v>45</v>
      </c>
      <c r="Y124" s="1">
        <v>4.82052545E8</v>
      </c>
      <c r="AA124" s="1" t="s">
        <v>46</v>
      </c>
      <c r="AB124" s="1" t="s">
        <v>45</v>
      </c>
      <c r="AC124" s="1">
        <v>4.82052545E8</v>
      </c>
      <c r="AF124" s="1">
        <v>116233.0</v>
      </c>
      <c r="AG124" s="2">
        <v>41313.0</v>
      </c>
      <c r="AH124" s="1">
        <v>9100.0</v>
      </c>
      <c r="AI124" s="1" t="s">
        <v>194</v>
      </c>
      <c r="AJ124" s="1" t="s">
        <v>537</v>
      </c>
      <c r="AK124" s="1" t="s">
        <v>463</v>
      </c>
      <c r="AL124" s="1">
        <v>9.0</v>
      </c>
      <c r="AM124" s="1">
        <v>2013.0</v>
      </c>
      <c r="AN124" s="1">
        <v>2013.0</v>
      </c>
      <c r="AO124" s="1" t="s">
        <v>277</v>
      </c>
    </row>
    <row r="125">
      <c r="A125" s="5">
        <v>1.0</v>
      </c>
      <c r="B125" s="1">
        <f t="shared" si="1"/>
        <v>125</v>
      </c>
      <c r="C125" s="1" t="s">
        <v>457</v>
      </c>
      <c r="D125" s="1" t="s">
        <v>457</v>
      </c>
      <c r="E125" s="1" t="s">
        <v>194</v>
      </c>
      <c r="G125" s="1">
        <v>3.2156174E7</v>
      </c>
      <c r="H125" s="2">
        <v>41351.0</v>
      </c>
      <c r="I125" s="1" t="s">
        <v>458</v>
      </c>
      <c r="K125" s="1" t="s">
        <v>458</v>
      </c>
      <c r="N125" s="1" t="s">
        <v>194</v>
      </c>
      <c r="O125" s="1">
        <v>9100.0</v>
      </c>
      <c r="P125" s="1" t="s">
        <v>194</v>
      </c>
      <c r="Q125" s="1" t="str">
        <f>IF(ISERROR(VLOOKUP(P125,'unique fed agency names'!A:C,3,FALSE)),P125,VLOOKUP(P125,'unique fed agency names'!A:C,3,FALSE))
</f>
        <v>U.S. Department of Education (ED)</v>
      </c>
      <c r="R125" s="1">
        <v>5.2874042E7</v>
      </c>
      <c r="S125" s="1" t="s">
        <v>538</v>
      </c>
      <c r="T125" s="1" t="str">
        <f>IF(ISERROR(VLOOKUP(S125,'unique org names'!A:C,3,FALSE)),S125,VLOOKUP(S125,'unique org names'!A:C,3,FALSE))
</f>
        <v>CESAR CHAVEZ ACADEMY</v>
      </c>
      <c r="V125" s="1" t="s">
        <v>539</v>
      </c>
      <c r="W125" s="1" t="s">
        <v>44</v>
      </c>
      <c r="X125" s="1" t="s">
        <v>45</v>
      </c>
      <c r="Y125" s="1">
        <v>4.82091524E8</v>
      </c>
      <c r="AA125" s="1" t="s">
        <v>44</v>
      </c>
      <c r="AB125" s="1" t="s">
        <v>45</v>
      </c>
      <c r="AC125" s="1">
        <v>4.82091524E8</v>
      </c>
      <c r="AF125" s="1">
        <v>116024.0</v>
      </c>
      <c r="AG125" s="2">
        <v>41351.0</v>
      </c>
      <c r="AH125" s="1">
        <v>9100.0</v>
      </c>
      <c r="AI125" s="1" t="s">
        <v>194</v>
      </c>
      <c r="AJ125" s="1" t="s">
        <v>540</v>
      </c>
      <c r="AK125" s="1" t="s">
        <v>463</v>
      </c>
      <c r="AL125" s="1">
        <v>9.0</v>
      </c>
      <c r="AM125" s="1">
        <v>2013.0</v>
      </c>
      <c r="AN125" s="1">
        <v>2013.0</v>
      </c>
      <c r="AO125" s="1" t="s">
        <v>277</v>
      </c>
    </row>
    <row r="126">
      <c r="A126" s="5">
        <v>1.0</v>
      </c>
      <c r="B126" s="1">
        <f t="shared" si="1"/>
        <v>126</v>
      </c>
      <c r="C126" s="1" t="s">
        <v>457</v>
      </c>
      <c r="D126" s="1" t="s">
        <v>457</v>
      </c>
      <c r="E126" s="1" t="s">
        <v>194</v>
      </c>
      <c r="G126" s="1">
        <v>3.2156174E7</v>
      </c>
      <c r="H126" s="2">
        <v>41326.0</v>
      </c>
      <c r="I126" s="1" t="s">
        <v>458</v>
      </c>
      <c r="K126" s="1" t="s">
        <v>458</v>
      </c>
      <c r="N126" s="1" t="s">
        <v>194</v>
      </c>
      <c r="O126" s="1">
        <v>9100.0</v>
      </c>
      <c r="P126" s="1" t="s">
        <v>194</v>
      </c>
      <c r="Q126" s="1" t="str">
        <f>IF(ISERROR(VLOOKUP(P126,'unique fed agency names'!A:C,3,FALSE)),P126,VLOOKUP(P126,'unique fed agency names'!A:C,3,FALSE))
</f>
        <v>U.S. Department of Education (ED)</v>
      </c>
      <c r="R126" s="1">
        <v>6.6707493E7</v>
      </c>
      <c r="S126" s="1" t="s">
        <v>541</v>
      </c>
      <c r="T126" s="1" t="str">
        <f>IF(ISERROR(VLOOKUP(S126,'unique org names'!A:C,3,FALSE)),S126,VLOOKUP(S126,'unique org names'!A:C,3,FALSE))
</f>
        <v>HOPE OF DETROIT ACADEMY</v>
      </c>
      <c r="V126" s="1" t="s">
        <v>542</v>
      </c>
      <c r="W126" s="1" t="s">
        <v>44</v>
      </c>
      <c r="X126" s="1" t="s">
        <v>45</v>
      </c>
      <c r="Y126" s="1">
        <v>4.8210252E8</v>
      </c>
      <c r="AA126" s="1" t="s">
        <v>44</v>
      </c>
      <c r="AB126" s="1" t="s">
        <v>45</v>
      </c>
      <c r="AC126" s="1">
        <v>4.8210252E8</v>
      </c>
      <c r="AD126" s="1">
        <v>2.0840815E7</v>
      </c>
      <c r="AE126" s="1" t="s">
        <v>543</v>
      </c>
      <c r="AF126" s="1">
        <v>94421.0</v>
      </c>
      <c r="AG126" s="2">
        <v>41326.0</v>
      </c>
      <c r="AH126" s="1">
        <v>9100.0</v>
      </c>
      <c r="AI126" s="1" t="s">
        <v>194</v>
      </c>
      <c r="AJ126" s="1" t="s">
        <v>544</v>
      </c>
      <c r="AK126" s="1" t="s">
        <v>463</v>
      </c>
      <c r="AL126" s="1">
        <v>9.0</v>
      </c>
      <c r="AM126" s="1">
        <v>2013.0</v>
      </c>
      <c r="AN126" s="1">
        <v>2013.0</v>
      </c>
      <c r="AO126" s="1" t="s">
        <v>277</v>
      </c>
    </row>
    <row r="127">
      <c r="A127" s="5">
        <v>1.0</v>
      </c>
      <c r="B127" s="1">
        <f t="shared" si="1"/>
        <v>127</v>
      </c>
      <c r="C127" s="1" t="s">
        <v>457</v>
      </c>
      <c r="D127" s="1" t="s">
        <v>457</v>
      </c>
      <c r="E127" s="1" t="s">
        <v>194</v>
      </c>
      <c r="G127" s="1">
        <v>3.2156174E7</v>
      </c>
      <c r="H127" s="2">
        <v>41351.0</v>
      </c>
      <c r="I127" s="1" t="s">
        <v>458</v>
      </c>
      <c r="K127" s="1" t="s">
        <v>458</v>
      </c>
      <c r="N127" s="1" t="s">
        <v>194</v>
      </c>
      <c r="O127" s="1">
        <v>9100.0</v>
      </c>
      <c r="P127" s="1" t="s">
        <v>194</v>
      </c>
      <c r="Q127" s="1" t="str">
        <f>IF(ISERROR(VLOOKUP(P127,'unique fed agency names'!A:C,3,FALSE)),P127,VLOOKUP(P127,'unique fed agency names'!A:C,3,FALSE))
</f>
        <v>U.S. Department of Education (ED)</v>
      </c>
      <c r="R127" s="1">
        <v>8.30649195E8</v>
      </c>
      <c r="S127" s="1" t="s">
        <v>545</v>
      </c>
      <c r="T127" s="1" t="str">
        <f>IF(ISERROR(VLOOKUP(S127,'unique org names'!A:C,3,FALSE)),S127,VLOOKUP(S127,'unique org names'!A:C,3,FALSE))
</f>
        <v>PLYMOUTH EDUCATIONAL CENTER CHARTER SCHOOL</v>
      </c>
      <c r="U127" s="1" t="s">
        <v>546</v>
      </c>
      <c r="V127" s="1" t="s">
        <v>547</v>
      </c>
      <c r="W127" s="1" t="s">
        <v>44</v>
      </c>
      <c r="X127" s="1" t="s">
        <v>45</v>
      </c>
      <c r="Y127" s="1">
        <v>4.82071E8</v>
      </c>
      <c r="AA127" s="1" t="s">
        <v>44</v>
      </c>
      <c r="AB127" s="1" t="s">
        <v>45</v>
      </c>
      <c r="AC127" s="1">
        <v>4.82071E8</v>
      </c>
      <c r="AD127" s="1">
        <v>7.4213323E7</v>
      </c>
      <c r="AE127" s="1" t="s">
        <v>548</v>
      </c>
      <c r="AF127" s="1">
        <v>91803.0</v>
      </c>
      <c r="AG127" s="2">
        <v>41351.0</v>
      </c>
      <c r="AH127" s="1">
        <v>9100.0</v>
      </c>
      <c r="AI127" s="1" t="s">
        <v>194</v>
      </c>
      <c r="AJ127" s="1" t="s">
        <v>549</v>
      </c>
      <c r="AK127" s="1" t="s">
        <v>463</v>
      </c>
      <c r="AL127" s="1">
        <v>9.0</v>
      </c>
      <c r="AM127" s="1">
        <v>2013.0</v>
      </c>
      <c r="AN127" s="1">
        <v>2013.0</v>
      </c>
      <c r="AO127" s="1" t="s">
        <v>277</v>
      </c>
    </row>
    <row r="128">
      <c r="A128" s="5">
        <v>1.0</v>
      </c>
      <c r="B128" s="1">
        <f t="shared" si="1"/>
        <v>128</v>
      </c>
      <c r="C128" s="1" t="s">
        <v>457</v>
      </c>
      <c r="D128" s="1" t="s">
        <v>457</v>
      </c>
      <c r="E128" s="1" t="s">
        <v>194</v>
      </c>
      <c r="G128" s="1">
        <v>3.2156174E7</v>
      </c>
      <c r="H128" s="2">
        <v>41311.0</v>
      </c>
      <c r="I128" s="1" t="s">
        <v>458</v>
      </c>
      <c r="K128" s="1" t="s">
        <v>458</v>
      </c>
      <c r="N128" s="1" t="s">
        <v>194</v>
      </c>
      <c r="O128" s="1">
        <v>9100.0</v>
      </c>
      <c r="P128" s="1" t="s">
        <v>194</v>
      </c>
      <c r="Q128" s="1" t="str">
        <f>IF(ISERROR(VLOOKUP(P128,'unique fed agency names'!A:C,3,FALSE)),P128,VLOOKUP(P128,'unique fed agency names'!A:C,3,FALSE))
</f>
        <v>U.S. Department of Education (ED)</v>
      </c>
      <c r="R128" s="1">
        <v>8.76992343E8</v>
      </c>
      <c r="S128" s="1" t="s">
        <v>550</v>
      </c>
      <c r="T128" s="1" t="str">
        <f>IF(ISERROR(VLOOKUP(S128,'unique org names'!A:C,3,FALSE)),S128,VLOOKUP(S128,'unique org names'!A:C,3,FALSE))
</f>
        <v>VOYAGEUR ACADEMY</v>
      </c>
      <c r="V128" s="1" t="s">
        <v>551</v>
      </c>
      <c r="W128" s="1" t="s">
        <v>44</v>
      </c>
      <c r="X128" s="1" t="s">
        <v>45</v>
      </c>
      <c r="Y128" s="1">
        <v>4.82102451E8</v>
      </c>
      <c r="AA128" s="1" t="s">
        <v>44</v>
      </c>
      <c r="AB128" s="1" t="s">
        <v>45</v>
      </c>
      <c r="AC128" s="1">
        <v>4.82102451E8</v>
      </c>
      <c r="AD128" s="1">
        <v>8.69062901E8</v>
      </c>
      <c r="AE128" s="1" t="s">
        <v>552</v>
      </c>
      <c r="AF128" s="1">
        <v>73528.0</v>
      </c>
      <c r="AG128" s="2">
        <v>41311.0</v>
      </c>
      <c r="AH128" s="1">
        <v>9100.0</v>
      </c>
      <c r="AI128" s="1" t="s">
        <v>194</v>
      </c>
      <c r="AJ128" s="1" t="s">
        <v>553</v>
      </c>
      <c r="AK128" s="1" t="s">
        <v>463</v>
      </c>
      <c r="AL128" s="1">
        <v>9.0</v>
      </c>
      <c r="AM128" s="1">
        <v>2013.0</v>
      </c>
      <c r="AN128" s="1">
        <v>2013.0</v>
      </c>
      <c r="AO128" s="1" t="s">
        <v>277</v>
      </c>
    </row>
    <row r="129">
      <c r="A129" s="5">
        <v>1.0</v>
      </c>
      <c r="B129" s="1">
        <f t="shared" si="1"/>
        <v>129</v>
      </c>
      <c r="C129" s="1" t="s">
        <v>457</v>
      </c>
      <c r="D129" s="1" t="s">
        <v>457</v>
      </c>
      <c r="E129" s="1" t="s">
        <v>194</v>
      </c>
      <c r="G129" s="1">
        <v>3.2156174E7</v>
      </c>
      <c r="H129" s="2">
        <v>41297.0</v>
      </c>
      <c r="I129" s="1" t="s">
        <v>458</v>
      </c>
      <c r="K129" s="1" t="s">
        <v>458</v>
      </c>
      <c r="N129" s="1" t="s">
        <v>194</v>
      </c>
      <c r="O129" s="1">
        <v>9100.0</v>
      </c>
      <c r="P129" s="1" t="s">
        <v>194</v>
      </c>
      <c r="Q129" s="1" t="str">
        <f>IF(ISERROR(VLOOKUP(P129,'unique fed agency names'!A:C,3,FALSE)),P129,VLOOKUP(P129,'unique fed agency names'!A:C,3,FALSE))
</f>
        <v>U.S. Department of Education (ED)</v>
      </c>
      <c r="R129" s="1">
        <v>8.3082572E8</v>
      </c>
      <c r="S129" s="1" t="s">
        <v>465</v>
      </c>
      <c r="T129" s="1" t="str">
        <f>IF(ISERROR(VLOOKUP(S129,'unique org names'!A:C,3,FALSE)),S129,VLOOKUP(S129,'unique org names'!A:C,3,FALSE))
</f>
        <v>Public School Academies of Detroit</v>
      </c>
      <c r="U129" s="1" t="s">
        <v>554</v>
      </c>
      <c r="V129" s="1" t="s">
        <v>555</v>
      </c>
      <c r="W129" s="1" t="s">
        <v>44</v>
      </c>
      <c r="X129" s="1" t="s">
        <v>45</v>
      </c>
      <c r="Y129" s="1">
        <v>4.82024061E8</v>
      </c>
      <c r="AA129" s="1" t="s">
        <v>44</v>
      </c>
      <c r="AB129" s="1" t="s">
        <v>45</v>
      </c>
      <c r="AC129" s="1">
        <v>4.82023457E8</v>
      </c>
      <c r="AD129" s="1">
        <v>1.6338926E8</v>
      </c>
      <c r="AE129" s="1" t="s">
        <v>465</v>
      </c>
      <c r="AF129" s="1">
        <v>67299.0</v>
      </c>
      <c r="AG129" s="2">
        <v>41297.0</v>
      </c>
      <c r="AH129" s="1">
        <v>9100.0</v>
      </c>
      <c r="AI129" s="1" t="s">
        <v>194</v>
      </c>
      <c r="AJ129" s="1" t="s">
        <v>556</v>
      </c>
      <c r="AK129" s="1" t="s">
        <v>463</v>
      </c>
      <c r="AL129" s="1">
        <v>9.0</v>
      </c>
      <c r="AM129" s="1">
        <v>2013.0</v>
      </c>
      <c r="AN129" s="1">
        <v>2013.0</v>
      </c>
      <c r="AO129" s="1" t="s">
        <v>277</v>
      </c>
    </row>
    <row r="130">
      <c r="A130" s="5">
        <v>1.0</v>
      </c>
      <c r="B130" s="1">
        <f t="shared" si="1"/>
        <v>130</v>
      </c>
      <c r="C130" s="1" t="s">
        <v>457</v>
      </c>
      <c r="D130" s="1" t="s">
        <v>457</v>
      </c>
      <c r="E130" s="1" t="s">
        <v>194</v>
      </c>
      <c r="G130" s="1">
        <v>3.2156174E7</v>
      </c>
      <c r="H130" s="2">
        <v>41298.0</v>
      </c>
      <c r="I130" s="1" t="s">
        <v>458</v>
      </c>
      <c r="K130" s="1" t="s">
        <v>458</v>
      </c>
      <c r="N130" s="1" t="s">
        <v>194</v>
      </c>
      <c r="O130" s="1">
        <v>9100.0</v>
      </c>
      <c r="P130" s="1" t="s">
        <v>194</v>
      </c>
      <c r="Q130" s="1" t="str">
        <f>IF(ISERROR(VLOOKUP(P130,'unique fed agency names'!A:C,3,FALSE)),P130,VLOOKUP(P130,'unique fed agency names'!A:C,3,FALSE))
</f>
        <v>U.S. Department of Education (ED)</v>
      </c>
      <c r="R130" s="1">
        <v>4.2136734E7</v>
      </c>
      <c r="S130" s="1" t="s">
        <v>557</v>
      </c>
      <c r="T130" s="1" t="str">
        <f>IF(ISERROR(VLOOKUP(S130,'unique org names'!A:C,3,FALSE)),S130,VLOOKUP(S130,'unique org names'!A:C,3,FALSE))
</f>
        <v>GEORGE CROCKETT ACADEMY</v>
      </c>
      <c r="V130" s="1" t="s">
        <v>558</v>
      </c>
      <c r="W130" s="1" t="s">
        <v>44</v>
      </c>
      <c r="X130" s="1" t="s">
        <v>45</v>
      </c>
      <c r="Y130" s="1">
        <v>4.82082204E8</v>
      </c>
      <c r="AA130" s="1" t="s">
        <v>44</v>
      </c>
      <c r="AB130" s="1" t="s">
        <v>45</v>
      </c>
      <c r="AC130" s="1">
        <v>4.82082204E8</v>
      </c>
      <c r="AF130" s="1">
        <v>62470.0</v>
      </c>
      <c r="AG130" s="2">
        <v>41298.0</v>
      </c>
      <c r="AH130" s="1">
        <v>9100.0</v>
      </c>
      <c r="AI130" s="1" t="s">
        <v>194</v>
      </c>
      <c r="AJ130" s="1" t="s">
        <v>559</v>
      </c>
      <c r="AK130" s="1" t="s">
        <v>463</v>
      </c>
      <c r="AL130" s="1">
        <v>9.0</v>
      </c>
      <c r="AM130" s="1">
        <v>2013.0</v>
      </c>
      <c r="AN130" s="1">
        <v>2013.0</v>
      </c>
      <c r="AO130" s="1" t="s">
        <v>277</v>
      </c>
    </row>
    <row r="131">
      <c r="A131" s="5">
        <v>1.0</v>
      </c>
      <c r="B131" s="1">
        <f t="shared" si="1"/>
        <v>131</v>
      </c>
      <c r="C131" s="1" t="s">
        <v>457</v>
      </c>
      <c r="D131" s="1" t="s">
        <v>457</v>
      </c>
      <c r="E131" s="1" t="s">
        <v>194</v>
      </c>
      <c r="G131" s="1">
        <v>3.2156174E7</v>
      </c>
      <c r="H131" s="2">
        <v>41351.0</v>
      </c>
      <c r="I131" s="1" t="s">
        <v>458</v>
      </c>
      <c r="K131" s="1" t="s">
        <v>458</v>
      </c>
      <c r="N131" s="1" t="s">
        <v>194</v>
      </c>
      <c r="O131" s="1">
        <v>9100.0</v>
      </c>
      <c r="P131" s="1" t="s">
        <v>194</v>
      </c>
      <c r="Q131" s="1" t="str">
        <f>IF(ISERROR(VLOOKUP(P131,'unique fed agency names'!A:C,3,FALSE)),P131,VLOOKUP(P131,'unique fed agency names'!A:C,3,FALSE))
</f>
        <v>U.S. Department of Education (ED)</v>
      </c>
      <c r="R131" s="1">
        <v>3537326.0</v>
      </c>
      <c r="S131" s="1" t="s">
        <v>560</v>
      </c>
      <c r="T131" s="1" t="str">
        <f>IF(ISERROR(VLOOKUP(S131,'unique org names'!A:C,3,FALSE)),S131,VLOOKUP(S131,'unique org names'!A:C,3,FALSE))
</f>
        <v>COMMONWEALTH COMMUNITY DEVELOPMENT ACADEMY</v>
      </c>
      <c r="V131" s="1" t="s">
        <v>561</v>
      </c>
      <c r="W131" s="1" t="s">
        <v>44</v>
      </c>
      <c r="X131" s="1" t="s">
        <v>45</v>
      </c>
      <c r="Y131" s="1">
        <v>4.8212177E8</v>
      </c>
      <c r="AA131" s="1" t="s">
        <v>498</v>
      </c>
      <c r="AB131" s="1" t="s">
        <v>45</v>
      </c>
      <c r="AC131" s="1">
        <v>4.82121754E8</v>
      </c>
      <c r="AD131" s="1">
        <v>3537326.0</v>
      </c>
      <c r="AE131" s="1" t="s">
        <v>560</v>
      </c>
      <c r="AF131" s="1">
        <v>66640.0</v>
      </c>
      <c r="AG131" s="2">
        <v>41351.0</v>
      </c>
      <c r="AH131" s="1">
        <v>9100.0</v>
      </c>
      <c r="AI131" s="1" t="s">
        <v>194</v>
      </c>
      <c r="AJ131" s="1" t="s">
        <v>562</v>
      </c>
      <c r="AK131" s="1" t="s">
        <v>463</v>
      </c>
      <c r="AL131" s="1">
        <v>9.0</v>
      </c>
      <c r="AM131" s="1">
        <v>2013.0</v>
      </c>
      <c r="AN131" s="1">
        <v>2013.0</v>
      </c>
      <c r="AO131" s="1" t="s">
        <v>277</v>
      </c>
    </row>
    <row r="132">
      <c r="A132" s="5">
        <v>1.0</v>
      </c>
      <c r="B132" s="1">
        <f t="shared" si="1"/>
        <v>132</v>
      </c>
      <c r="C132" s="1" t="s">
        <v>457</v>
      </c>
      <c r="D132" s="1" t="s">
        <v>457</v>
      </c>
      <c r="E132" s="1" t="s">
        <v>194</v>
      </c>
      <c r="G132" s="1">
        <v>3.2156174E7</v>
      </c>
      <c r="H132" s="2">
        <v>41304.0</v>
      </c>
      <c r="I132" s="1" t="s">
        <v>458</v>
      </c>
      <c r="K132" s="1" t="s">
        <v>458</v>
      </c>
      <c r="N132" s="1" t="s">
        <v>194</v>
      </c>
      <c r="O132" s="1">
        <v>9100.0</v>
      </c>
      <c r="P132" s="1" t="s">
        <v>194</v>
      </c>
      <c r="Q132" s="1" t="str">
        <f>IF(ISERROR(VLOOKUP(P132,'unique fed agency names'!A:C,3,FALSE)),P132,VLOOKUP(P132,'unique fed agency names'!A:C,3,FALSE))
</f>
        <v>U.S. Department of Education (ED)</v>
      </c>
      <c r="R132" s="1">
        <v>1.23577707E8</v>
      </c>
      <c r="S132" s="1" t="s">
        <v>563</v>
      </c>
      <c r="T132" s="1" t="str">
        <f>IF(ISERROR(VLOOKUP(S132,'unique org names'!A:C,3,FALSE)),S132,VLOOKUP(S132,'unique org names'!A:C,3,FALSE))
</f>
        <v>WARRENDALE CHARTER ACADEMY</v>
      </c>
      <c r="U132" s="1" t="s">
        <v>564</v>
      </c>
      <c r="V132" s="1" t="s">
        <v>565</v>
      </c>
      <c r="W132" s="1" t="s">
        <v>44</v>
      </c>
      <c r="X132" s="1" t="s">
        <v>45</v>
      </c>
      <c r="Y132" s="1">
        <v>4.8228333E8</v>
      </c>
      <c r="AA132" s="1" t="s">
        <v>44</v>
      </c>
      <c r="AB132" s="1" t="s">
        <v>45</v>
      </c>
      <c r="AC132" s="1">
        <v>4.82283396E8</v>
      </c>
      <c r="AD132" s="1">
        <v>9.60742484E8</v>
      </c>
      <c r="AF132" s="1">
        <v>46333.0</v>
      </c>
      <c r="AG132" s="2">
        <v>41304.0</v>
      </c>
      <c r="AH132" s="1">
        <v>9100.0</v>
      </c>
      <c r="AI132" s="1" t="s">
        <v>194</v>
      </c>
      <c r="AJ132" s="1" t="s">
        <v>566</v>
      </c>
      <c r="AK132" s="1" t="s">
        <v>463</v>
      </c>
      <c r="AL132" s="1">
        <v>9.0</v>
      </c>
      <c r="AM132" s="1">
        <v>2013.0</v>
      </c>
      <c r="AN132" s="1">
        <v>2013.0</v>
      </c>
      <c r="AO132" s="1" t="s">
        <v>277</v>
      </c>
    </row>
    <row r="133">
      <c r="A133" s="5">
        <v>1.0</v>
      </c>
      <c r="B133" s="1">
        <f t="shared" si="1"/>
        <v>133</v>
      </c>
      <c r="C133" s="1" t="s">
        <v>457</v>
      </c>
      <c r="D133" s="1" t="s">
        <v>457</v>
      </c>
      <c r="E133" s="1" t="s">
        <v>194</v>
      </c>
      <c r="G133" s="1">
        <v>3.2156174E7</v>
      </c>
      <c r="H133" s="2">
        <v>41367.0</v>
      </c>
      <c r="I133" s="1" t="s">
        <v>458</v>
      </c>
      <c r="K133" s="1" t="s">
        <v>458</v>
      </c>
      <c r="N133" s="1" t="s">
        <v>194</v>
      </c>
      <c r="O133" s="1">
        <v>9100.0</v>
      </c>
      <c r="P133" s="1" t="s">
        <v>194</v>
      </c>
      <c r="Q133" s="1" t="str">
        <f>IF(ISERROR(VLOOKUP(P133,'unique fed agency names'!A:C,3,FALSE)),P133,VLOOKUP(P133,'unique fed agency names'!A:C,3,FALSE))
</f>
        <v>U.S. Department of Education (ED)</v>
      </c>
      <c r="R133" s="1">
        <v>7.97527715E8</v>
      </c>
      <c r="S133" s="1" t="s">
        <v>567</v>
      </c>
      <c r="T133" s="1" t="str">
        <f>IF(ISERROR(VLOOKUP(S133,'unique org names'!A:C,3,FALSE)),S133,VLOOKUP(S133,'unique org names'!A:C,3,FALSE))
</f>
        <v>HAMTRAMCK ACADEMY</v>
      </c>
      <c r="V133" s="1" t="s">
        <v>568</v>
      </c>
      <c r="W133" s="1" t="s">
        <v>44</v>
      </c>
      <c r="X133" s="1" t="s">
        <v>45</v>
      </c>
      <c r="Y133" s="1">
        <v>4.82123134E8</v>
      </c>
      <c r="AA133" s="1" t="s">
        <v>498</v>
      </c>
      <c r="AB133" s="1" t="s">
        <v>45</v>
      </c>
      <c r="AC133" s="1">
        <v>4.82123134E8</v>
      </c>
      <c r="AD133" s="1">
        <v>9.60742484E8</v>
      </c>
      <c r="AF133" s="1">
        <v>44369.0</v>
      </c>
      <c r="AG133" s="2">
        <v>41367.0</v>
      </c>
      <c r="AH133" s="1">
        <v>9100.0</v>
      </c>
      <c r="AI133" s="1" t="s">
        <v>194</v>
      </c>
      <c r="AJ133" s="1" t="s">
        <v>569</v>
      </c>
      <c r="AK133" s="1" t="s">
        <v>463</v>
      </c>
      <c r="AL133" s="1">
        <v>9.0</v>
      </c>
      <c r="AM133" s="1">
        <v>2013.0</v>
      </c>
      <c r="AN133" s="1">
        <v>2013.0</v>
      </c>
      <c r="AO133" s="1" t="s">
        <v>277</v>
      </c>
    </row>
    <row r="134">
      <c r="A134" s="5">
        <v>1.0</v>
      </c>
      <c r="B134" s="1">
        <f t="shared" si="1"/>
        <v>134</v>
      </c>
      <c r="C134" s="1" t="s">
        <v>457</v>
      </c>
      <c r="D134" s="1" t="s">
        <v>457</v>
      </c>
      <c r="E134" s="1" t="s">
        <v>194</v>
      </c>
      <c r="G134" s="1">
        <v>3.2156174E7</v>
      </c>
      <c r="H134" s="2">
        <v>41358.0</v>
      </c>
      <c r="I134" s="1" t="s">
        <v>458</v>
      </c>
      <c r="K134" s="1" t="s">
        <v>458</v>
      </c>
      <c r="N134" s="1" t="s">
        <v>194</v>
      </c>
      <c r="O134" s="1">
        <v>9100.0</v>
      </c>
      <c r="P134" s="1" t="s">
        <v>194</v>
      </c>
      <c r="Q134" s="1" t="str">
        <f>IF(ISERROR(VLOOKUP(P134,'unique fed agency names'!A:C,3,FALSE)),P134,VLOOKUP(P134,'unique fed agency names'!A:C,3,FALSE))
</f>
        <v>U.S. Department of Education (ED)</v>
      </c>
      <c r="R134" s="1">
        <v>1.0030049E8</v>
      </c>
      <c r="S134" s="1" t="s">
        <v>459</v>
      </c>
      <c r="T134" s="1" t="str">
        <f>IF(ISERROR(VLOOKUP(S134,'unique org names'!A:C,3,FALSE)),S134,VLOOKUP(S134,'unique org names'!A:C,3,FALSE))
</f>
        <v>DETROIT PUBLIC SCHOOLS</v>
      </c>
      <c r="U134" s="1" t="s">
        <v>570</v>
      </c>
      <c r="V134" s="1" t="s">
        <v>571</v>
      </c>
      <c r="W134" s="1" t="s">
        <v>44</v>
      </c>
      <c r="X134" s="1" t="s">
        <v>45</v>
      </c>
      <c r="Y134" s="1">
        <v>4.82382941E8</v>
      </c>
      <c r="AA134" s="1" t="s">
        <v>44</v>
      </c>
      <c r="AB134" s="1" t="s">
        <v>45</v>
      </c>
      <c r="AC134" s="1">
        <v>4.82382941E8</v>
      </c>
      <c r="AD134" s="1">
        <v>7.6340843E7</v>
      </c>
      <c r="AE134" s="1" t="s">
        <v>461</v>
      </c>
      <c r="AF134" s="1">
        <v>36181.0</v>
      </c>
      <c r="AG134" s="2">
        <v>41358.0</v>
      </c>
      <c r="AH134" s="1">
        <v>9100.0</v>
      </c>
      <c r="AI134" s="1" t="s">
        <v>194</v>
      </c>
      <c r="AJ134" s="1" t="s">
        <v>572</v>
      </c>
      <c r="AK134" s="1" t="s">
        <v>463</v>
      </c>
      <c r="AL134" s="1">
        <v>9.0</v>
      </c>
      <c r="AM134" s="1">
        <v>2013.0</v>
      </c>
      <c r="AN134" s="1">
        <v>2013.0</v>
      </c>
      <c r="AO134" s="1" t="s">
        <v>277</v>
      </c>
    </row>
    <row r="135">
      <c r="A135" s="5">
        <v>1.0</v>
      </c>
      <c r="B135" s="1">
        <f t="shared" si="1"/>
        <v>135</v>
      </c>
      <c r="C135" s="1" t="s">
        <v>457</v>
      </c>
      <c r="D135" s="1" t="s">
        <v>457</v>
      </c>
      <c r="E135" s="1" t="s">
        <v>194</v>
      </c>
      <c r="G135" s="1">
        <v>3.2156174E7</v>
      </c>
      <c r="H135" s="2">
        <v>41256.0</v>
      </c>
      <c r="I135" s="1" t="s">
        <v>458</v>
      </c>
      <c r="K135" s="1" t="s">
        <v>458</v>
      </c>
      <c r="N135" s="1" t="s">
        <v>194</v>
      </c>
      <c r="O135" s="1">
        <v>9100.0</v>
      </c>
      <c r="P135" s="1" t="s">
        <v>194</v>
      </c>
      <c r="Q135" s="1" t="str">
        <f>IF(ISERROR(VLOOKUP(P135,'unique fed agency names'!A:C,3,FALSE)),P135,VLOOKUP(P135,'unique fed agency names'!A:C,3,FALSE))
</f>
        <v>U.S. Department of Education (ED)</v>
      </c>
      <c r="R135" s="1">
        <v>9.65783199E8</v>
      </c>
      <c r="S135" s="1" t="s">
        <v>573</v>
      </c>
      <c r="T135" s="1" t="str">
        <f>IF(ISERROR(VLOOKUP(S135,'unique org names'!A:C,3,FALSE)),S135,VLOOKUP(S135,'unique org names'!A:C,3,FALSE))
</f>
        <v>COVENANT HOUSE ACADEMY SOUTHWEST</v>
      </c>
      <c r="V135" s="1" t="s">
        <v>574</v>
      </c>
      <c r="W135" s="1" t="s">
        <v>44</v>
      </c>
      <c r="X135" s="1" t="s">
        <v>45</v>
      </c>
      <c r="Y135" s="1">
        <v>4.82092169E8</v>
      </c>
      <c r="AA135" s="1" t="s">
        <v>44</v>
      </c>
      <c r="AB135" s="1" t="s">
        <v>45</v>
      </c>
      <c r="AC135" s="1">
        <v>4.82092169E8</v>
      </c>
      <c r="AF135" s="1">
        <v>35435.0</v>
      </c>
      <c r="AG135" s="2">
        <v>41256.0</v>
      </c>
      <c r="AH135" s="1">
        <v>9100.0</v>
      </c>
      <c r="AI135" s="1" t="s">
        <v>194</v>
      </c>
      <c r="AJ135" s="1" t="s">
        <v>575</v>
      </c>
      <c r="AK135" s="1" t="s">
        <v>463</v>
      </c>
      <c r="AL135" s="1">
        <v>9.0</v>
      </c>
      <c r="AM135" s="1">
        <v>2013.0</v>
      </c>
      <c r="AN135" s="1">
        <v>2013.0</v>
      </c>
      <c r="AO135" s="1" t="s">
        <v>277</v>
      </c>
    </row>
    <row r="136">
      <c r="A136" s="5">
        <v>1.0</v>
      </c>
      <c r="B136" s="1">
        <f t="shared" si="1"/>
        <v>136</v>
      </c>
      <c r="C136" s="1" t="s">
        <v>457</v>
      </c>
      <c r="D136" s="1" t="s">
        <v>457</v>
      </c>
      <c r="E136" s="1" t="s">
        <v>194</v>
      </c>
      <c r="G136" s="1">
        <v>3.2156174E7</v>
      </c>
      <c r="H136" s="2">
        <v>41277.0</v>
      </c>
      <c r="I136" s="1" t="s">
        <v>458</v>
      </c>
      <c r="K136" s="1" t="s">
        <v>458</v>
      </c>
      <c r="N136" s="1" t="s">
        <v>194</v>
      </c>
      <c r="O136" s="1">
        <v>9100.0</v>
      </c>
      <c r="P136" s="1" t="s">
        <v>194</v>
      </c>
      <c r="Q136" s="1" t="str">
        <f>IF(ISERROR(VLOOKUP(P136,'unique fed agency names'!A:C,3,FALSE)),P136,VLOOKUP(P136,'unique fed agency names'!A:C,3,FALSE))
</f>
        <v>U.S. Department of Education (ED)</v>
      </c>
      <c r="R136" s="1">
        <v>3790107.0</v>
      </c>
      <c r="S136" s="1" t="s">
        <v>576</v>
      </c>
      <c r="T136" s="1" t="str">
        <f>IF(ISERROR(VLOOKUP(S136,'unique org names'!A:C,3,FALSE)),S136,VLOOKUP(S136,'unique org names'!A:C,3,FALSE))
</f>
        <v>MARVIN L. WINANS ACADEMY OF PERFORMING ARTS</v>
      </c>
      <c r="V136" s="1" t="s">
        <v>577</v>
      </c>
      <c r="W136" s="1" t="s">
        <v>44</v>
      </c>
      <c r="X136" s="1" t="s">
        <v>45</v>
      </c>
      <c r="Y136" s="1">
        <v>4.82343284E8</v>
      </c>
      <c r="AA136" s="1" t="s">
        <v>44</v>
      </c>
      <c r="AB136" s="1" t="s">
        <v>45</v>
      </c>
      <c r="AC136" s="1">
        <v>4.82343284E8</v>
      </c>
      <c r="AF136" s="1">
        <v>35050.0</v>
      </c>
      <c r="AG136" s="2">
        <v>41277.0</v>
      </c>
      <c r="AH136" s="1">
        <v>9100.0</v>
      </c>
      <c r="AI136" s="1" t="s">
        <v>194</v>
      </c>
      <c r="AJ136" s="1" t="s">
        <v>578</v>
      </c>
      <c r="AK136" s="1" t="s">
        <v>463</v>
      </c>
      <c r="AL136" s="1">
        <v>9.0</v>
      </c>
      <c r="AM136" s="1">
        <v>2013.0</v>
      </c>
      <c r="AN136" s="1">
        <v>2013.0</v>
      </c>
      <c r="AO136" s="1" t="s">
        <v>277</v>
      </c>
    </row>
    <row r="137">
      <c r="A137" s="5">
        <v>1.0</v>
      </c>
      <c r="B137" s="1">
        <f t="shared" si="1"/>
        <v>137</v>
      </c>
      <c r="C137" s="1" t="s">
        <v>457</v>
      </c>
      <c r="D137" s="1" t="s">
        <v>457</v>
      </c>
      <c r="E137" s="1" t="s">
        <v>194</v>
      </c>
      <c r="G137" s="1">
        <v>3.2156174E7</v>
      </c>
      <c r="H137" s="2">
        <v>41327.0</v>
      </c>
      <c r="I137" s="1" t="s">
        <v>458</v>
      </c>
      <c r="K137" s="1" t="s">
        <v>458</v>
      </c>
      <c r="N137" s="1" t="s">
        <v>194</v>
      </c>
      <c r="O137" s="1">
        <v>9100.0</v>
      </c>
      <c r="P137" s="1" t="s">
        <v>194</v>
      </c>
      <c r="Q137" s="1" t="str">
        <f>IF(ISERROR(VLOOKUP(P137,'unique fed agency names'!A:C,3,FALSE)),P137,VLOOKUP(P137,'unique fed agency names'!A:C,3,FALSE))
</f>
        <v>U.S. Department of Education (ED)</v>
      </c>
      <c r="R137" s="1">
        <v>9.6910162E8</v>
      </c>
      <c r="S137" s="1" t="s">
        <v>579</v>
      </c>
      <c r="T137" s="1" t="str">
        <f>IF(ISERROR(VLOOKUP(S137,'unique org names'!A:C,3,FALSE)),S137,VLOOKUP(S137,'unique org names'!A:C,3,FALSE))
</f>
        <v>AMERICAN INTERNATIONAL ACADEMY, INC.</v>
      </c>
      <c r="V137" s="1" t="s">
        <v>580</v>
      </c>
      <c r="W137" s="1" t="s">
        <v>44</v>
      </c>
      <c r="X137" s="1" t="s">
        <v>45</v>
      </c>
      <c r="Y137" s="1">
        <v>4.82283905E8</v>
      </c>
      <c r="AA137" s="1" t="s">
        <v>287</v>
      </c>
      <c r="AB137" s="1" t="s">
        <v>45</v>
      </c>
      <c r="AC137" s="1">
        <v>4.82283905E8</v>
      </c>
      <c r="AF137" s="1">
        <v>31609.0</v>
      </c>
      <c r="AG137" s="2">
        <v>41327.0</v>
      </c>
      <c r="AH137" s="1">
        <v>9100.0</v>
      </c>
      <c r="AI137" s="1" t="s">
        <v>194</v>
      </c>
      <c r="AJ137" s="1" t="s">
        <v>581</v>
      </c>
      <c r="AK137" s="1" t="s">
        <v>463</v>
      </c>
      <c r="AL137" s="1">
        <v>9.0</v>
      </c>
      <c r="AM137" s="1">
        <v>2013.0</v>
      </c>
      <c r="AN137" s="1">
        <v>2013.0</v>
      </c>
      <c r="AO137" s="1" t="s">
        <v>277</v>
      </c>
    </row>
    <row r="138">
      <c r="A138" s="5">
        <v>1.0</v>
      </c>
      <c r="B138" s="1">
        <f t="shared" si="1"/>
        <v>138</v>
      </c>
      <c r="C138" s="1" t="s">
        <v>457</v>
      </c>
      <c r="D138" s="1" t="s">
        <v>457</v>
      </c>
      <c r="E138" s="1" t="s">
        <v>194</v>
      </c>
      <c r="G138" s="1">
        <v>3.2156174E7</v>
      </c>
      <c r="H138" s="2">
        <v>41360.0</v>
      </c>
      <c r="I138" s="1" t="s">
        <v>458</v>
      </c>
      <c r="K138" s="1" t="s">
        <v>458</v>
      </c>
      <c r="N138" s="1" t="s">
        <v>194</v>
      </c>
      <c r="O138" s="1">
        <v>9100.0</v>
      </c>
      <c r="P138" s="1" t="s">
        <v>194</v>
      </c>
      <c r="Q138" s="1" t="str">
        <f>IF(ISERROR(VLOOKUP(P138,'unique fed agency names'!A:C,3,FALSE)),P138,VLOOKUP(P138,'unique fed agency names'!A:C,3,FALSE))
</f>
        <v>U.S. Department of Education (ED)</v>
      </c>
      <c r="R138" s="1">
        <v>7.97531295E8</v>
      </c>
      <c r="S138" s="1" t="s">
        <v>582</v>
      </c>
      <c r="T138" s="1" t="str">
        <f>IF(ISERROR(VLOOKUP(S138,'unique org names'!A:C,3,FALSE)),S138,VLOOKUP(S138,'unique org names'!A:C,3,FALSE))
</f>
        <v>FRONTIER INTERNATIONAL ACADEMY, THE</v>
      </c>
      <c r="V138" s="1" t="s">
        <v>583</v>
      </c>
      <c r="W138" s="1" t="s">
        <v>44</v>
      </c>
      <c r="X138" s="1" t="s">
        <v>45</v>
      </c>
      <c r="Y138" s="1">
        <v>4.82123452E8</v>
      </c>
      <c r="AA138" s="1" t="s">
        <v>498</v>
      </c>
      <c r="AB138" s="1" t="s">
        <v>45</v>
      </c>
      <c r="AC138" s="1">
        <v>4.82123452E8</v>
      </c>
      <c r="AF138" s="1">
        <v>32281.0</v>
      </c>
      <c r="AG138" s="2">
        <v>41360.0</v>
      </c>
      <c r="AH138" s="1">
        <v>9100.0</v>
      </c>
      <c r="AI138" s="1" t="s">
        <v>194</v>
      </c>
      <c r="AJ138" s="1" t="s">
        <v>584</v>
      </c>
      <c r="AK138" s="1" t="s">
        <v>463</v>
      </c>
      <c r="AL138" s="1">
        <v>9.0</v>
      </c>
      <c r="AM138" s="1">
        <v>2013.0</v>
      </c>
      <c r="AN138" s="1">
        <v>2013.0</v>
      </c>
      <c r="AO138" s="1" t="s">
        <v>277</v>
      </c>
    </row>
    <row r="139">
      <c r="A139" s="5">
        <v>1.0</v>
      </c>
      <c r="B139" s="1">
        <f t="shared" si="1"/>
        <v>139</v>
      </c>
      <c r="C139" s="1" t="s">
        <v>457</v>
      </c>
      <c r="D139" s="1" t="s">
        <v>457</v>
      </c>
      <c r="E139" s="1" t="s">
        <v>194</v>
      </c>
      <c r="G139" s="1">
        <v>3.2156174E7</v>
      </c>
      <c r="H139" s="2">
        <v>41306.0</v>
      </c>
      <c r="I139" s="1" t="s">
        <v>458</v>
      </c>
      <c r="K139" s="1" t="s">
        <v>458</v>
      </c>
      <c r="N139" s="1" t="s">
        <v>194</v>
      </c>
      <c r="O139" s="1">
        <v>9100.0</v>
      </c>
      <c r="P139" s="1" t="s">
        <v>194</v>
      </c>
      <c r="Q139" s="1" t="str">
        <f>IF(ISERROR(VLOOKUP(P139,'unique fed agency names'!A:C,3,FALSE)),P139,VLOOKUP(P139,'unique fed agency names'!A:C,3,FALSE))
</f>
        <v>U.S. Department of Education (ED)</v>
      </c>
      <c r="R139" s="1">
        <v>1.38064923E8</v>
      </c>
      <c r="S139" s="1" t="s">
        <v>585</v>
      </c>
      <c r="T139" s="1" t="str">
        <f>IF(ISERROR(VLOOKUP(S139,'unique org names'!A:C,3,FALSE)),S139,VLOOKUP(S139,'unique org names'!A:C,3,FALSE))
</f>
        <v>DETROIT MERIT CHARTER ACADEMY</v>
      </c>
      <c r="V139" s="1" t="s">
        <v>586</v>
      </c>
      <c r="W139" s="1" t="s">
        <v>44</v>
      </c>
      <c r="X139" s="1" t="s">
        <v>45</v>
      </c>
      <c r="Y139" s="1">
        <v>4.82152861E8</v>
      </c>
      <c r="AA139" s="1" t="s">
        <v>44</v>
      </c>
      <c r="AB139" s="1" t="s">
        <v>45</v>
      </c>
      <c r="AC139" s="1">
        <v>4.82152861E8</v>
      </c>
      <c r="AD139" s="1">
        <v>9.60742484E8</v>
      </c>
      <c r="AF139" s="1">
        <v>31964.0</v>
      </c>
      <c r="AG139" s="2">
        <v>41306.0</v>
      </c>
      <c r="AH139" s="1">
        <v>9100.0</v>
      </c>
      <c r="AI139" s="1" t="s">
        <v>194</v>
      </c>
      <c r="AJ139" s="1" t="s">
        <v>587</v>
      </c>
      <c r="AK139" s="1" t="s">
        <v>463</v>
      </c>
      <c r="AL139" s="1">
        <v>9.0</v>
      </c>
      <c r="AM139" s="1">
        <v>2013.0</v>
      </c>
      <c r="AN139" s="1">
        <v>2013.0</v>
      </c>
      <c r="AO139" s="1" t="s">
        <v>277</v>
      </c>
    </row>
    <row r="140">
      <c r="A140" s="5">
        <v>1.0</v>
      </c>
      <c r="B140" s="1">
        <f t="shared" si="1"/>
        <v>140</v>
      </c>
      <c r="C140" s="1" t="s">
        <v>457</v>
      </c>
      <c r="D140" s="1" t="s">
        <v>457</v>
      </c>
      <c r="E140" s="1" t="s">
        <v>194</v>
      </c>
      <c r="G140" s="1">
        <v>3.2156174E7</v>
      </c>
      <c r="H140" s="2">
        <v>41304.0</v>
      </c>
      <c r="I140" s="1" t="s">
        <v>458</v>
      </c>
      <c r="K140" s="1" t="s">
        <v>458</v>
      </c>
      <c r="N140" s="1" t="s">
        <v>194</v>
      </c>
      <c r="O140" s="1">
        <v>9100.0</v>
      </c>
      <c r="P140" s="1" t="s">
        <v>194</v>
      </c>
      <c r="Q140" s="1" t="str">
        <f>IF(ISERROR(VLOOKUP(P140,'unique fed agency names'!A:C,3,FALSE)),P140,VLOOKUP(P140,'unique fed agency names'!A:C,3,FALSE))
</f>
        <v>U.S. Department of Education (ED)</v>
      </c>
      <c r="R140" s="1">
        <v>1.68568132E8</v>
      </c>
      <c r="S140" s="1" t="s">
        <v>588</v>
      </c>
      <c r="T140" s="1" t="str">
        <f>IF(ISERROR(VLOOKUP(S140,'unique org names'!A:C,3,FALSE)),S140,VLOOKUP(S140,'unique org names'!A:C,3,FALSE))
</f>
        <v>DETROIT ENTERPRISE ACADEMY</v>
      </c>
      <c r="V140" s="1" t="s">
        <v>589</v>
      </c>
      <c r="W140" s="1" t="s">
        <v>44</v>
      </c>
      <c r="X140" s="1" t="s">
        <v>45</v>
      </c>
      <c r="Y140" s="1">
        <v>4.82143323E8</v>
      </c>
      <c r="AA140" s="1" t="s">
        <v>44</v>
      </c>
      <c r="AB140" s="1" t="s">
        <v>45</v>
      </c>
      <c r="AC140" s="1">
        <v>4.82143323E8</v>
      </c>
      <c r="AD140" s="1">
        <v>9.60742484E8</v>
      </c>
      <c r="AF140" s="1">
        <v>29886.0</v>
      </c>
      <c r="AG140" s="2">
        <v>41304.0</v>
      </c>
      <c r="AH140" s="1">
        <v>9100.0</v>
      </c>
      <c r="AI140" s="1" t="s">
        <v>194</v>
      </c>
      <c r="AJ140" s="1" t="s">
        <v>590</v>
      </c>
      <c r="AK140" s="1" t="s">
        <v>463</v>
      </c>
      <c r="AL140" s="1">
        <v>9.0</v>
      </c>
      <c r="AM140" s="1">
        <v>2013.0</v>
      </c>
      <c r="AN140" s="1">
        <v>2013.0</v>
      </c>
      <c r="AO140" s="1" t="s">
        <v>277</v>
      </c>
    </row>
    <row r="141">
      <c r="A141" s="5">
        <v>1.0</v>
      </c>
      <c r="B141" s="1">
        <f t="shared" si="1"/>
        <v>141</v>
      </c>
      <c r="C141" s="1" t="s">
        <v>457</v>
      </c>
      <c r="D141" s="1" t="s">
        <v>457</v>
      </c>
      <c r="E141" s="1" t="s">
        <v>194</v>
      </c>
      <c r="G141" s="1">
        <v>3.2156174E7</v>
      </c>
      <c r="H141" s="2">
        <v>41325.0</v>
      </c>
      <c r="I141" s="1" t="s">
        <v>458</v>
      </c>
      <c r="K141" s="1" t="s">
        <v>458</v>
      </c>
      <c r="N141" s="1" t="s">
        <v>194</v>
      </c>
      <c r="O141" s="1">
        <v>9100.0</v>
      </c>
      <c r="P141" s="1" t="s">
        <v>194</v>
      </c>
      <c r="Q141" s="1" t="str">
        <f>IF(ISERROR(VLOOKUP(P141,'unique fed agency names'!A:C,3,FALSE)),P141,VLOOKUP(P141,'unique fed agency names'!A:C,3,FALSE))
</f>
        <v>U.S. Department of Education (ED)</v>
      </c>
      <c r="R141" s="1">
        <v>1.52807538E8</v>
      </c>
      <c r="S141" s="1" t="s">
        <v>591</v>
      </c>
      <c r="T141" s="1" t="str">
        <f>IF(ISERROR(VLOOKUP(S141,'unique org names'!A:C,3,FALSE)),S141,VLOOKUP(S141,'unique org names'!A:C,3,FALSE))
</f>
        <v>WESTON TECHNICAL ACADEMY</v>
      </c>
      <c r="V141" s="1" t="s">
        <v>592</v>
      </c>
      <c r="W141" s="1" t="s">
        <v>44</v>
      </c>
      <c r="X141" s="1" t="s">
        <v>45</v>
      </c>
      <c r="Y141" s="1">
        <v>4.82191161E8</v>
      </c>
      <c r="AA141" s="1" t="s">
        <v>44</v>
      </c>
      <c r="AB141" s="1" t="s">
        <v>45</v>
      </c>
      <c r="AC141" s="1">
        <v>4.82191161E8</v>
      </c>
      <c r="AF141" s="1">
        <v>29349.0</v>
      </c>
      <c r="AG141" s="2">
        <v>41325.0</v>
      </c>
      <c r="AH141" s="1">
        <v>9100.0</v>
      </c>
      <c r="AI141" s="1" t="s">
        <v>194</v>
      </c>
      <c r="AJ141" s="1" t="s">
        <v>593</v>
      </c>
      <c r="AK141" s="1" t="s">
        <v>463</v>
      </c>
      <c r="AL141" s="1">
        <v>9.0</v>
      </c>
      <c r="AM141" s="1">
        <v>2013.0</v>
      </c>
      <c r="AN141" s="1">
        <v>2013.0</v>
      </c>
      <c r="AO141" s="1" t="s">
        <v>277</v>
      </c>
    </row>
    <row r="142">
      <c r="A142" s="5">
        <v>1.0</v>
      </c>
      <c r="B142" s="1">
        <f t="shared" si="1"/>
        <v>142</v>
      </c>
      <c r="C142" s="1" t="s">
        <v>457</v>
      </c>
      <c r="D142" s="1" t="s">
        <v>457</v>
      </c>
      <c r="E142" s="1" t="s">
        <v>194</v>
      </c>
      <c r="G142" s="1">
        <v>3.2156174E7</v>
      </c>
      <c r="H142" s="2">
        <v>41306.0</v>
      </c>
      <c r="I142" s="1" t="s">
        <v>458</v>
      </c>
      <c r="K142" s="1" t="s">
        <v>458</v>
      </c>
      <c r="N142" s="1" t="s">
        <v>194</v>
      </c>
      <c r="O142" s="1">
        <v>9100.0</v>
      </c>
      <c r="P142" s="1" t="s">
        <v>194</v>
      </c>
      <c r="Q142" s="1" t="str">
        <f>IF(ISERROR(VLOOKUP(P142,'unique fed agency names'!A:C,3,FALSE)),P142,VLOOKUP(P142,'unique fed agency names'!A:C,3,FALSE))
</f>
        <v>U.S. Department of Education (ED)</v>
      </c>
      <c r="R142" s="1">
        <v>8.30792151E8</v>
      </c>
      <c r="S142" s="1" t="s">
        <v>594</v>
      </c>
      <c r="T142" s="1" t="str">
        <f>IF(ISERROR(VLOOKUP(S142,'unique org names'!A:C,3,FALSE)),S142,VLOOKUP(S142,'unique org names'!A:C,3,FALSE))
</f>
        <v>FLAGSHIP CHARTER ACADEMY</v>
      </c>
      <c r="U142" s="1" t="s">
        <v>595</v>
      </c>
      <c r="V142" s="1" t="s">
        <v>596</v>
      </c>
      <c r="W142" s="1" t="s">
        <v>44</v>
      </c>
      <c r="X142" s="1" t="s">
        <v>45</v>
      </c>
      <c r="Y142" s="1">
        <v>4.82382356E8</v>
      </c>
      <c r="AA142" s="1" t="s">
        <v>44</v>
      </c>
      <c r="AB142" s="1" t="s">
        <v>45</v>
      </c>
      <c r="AC142" s="1">
        <v>4.82382356E8</v>
      </c>
      <c r="AD142" s="1">
        <v>9.60742484E8</v>
      </c>
      <c r="AF142" s="1">
        <v>46649.0</v>
      </c>
      <c r="AG142" s="2">
        <v>41306.0</v>
      </c>
      <c r="AH142" s="1">
        <v>9100.0</v>
      </c>
      <c r="AI142" s="1" t="s">
        <v>194</v>
      </c>
      <c r="AJ142" s="1" t="s">
        <v>597</v>
      </c>
      <c r="AK142" s="1" t="s">
        <v>463</v>
      </c>
      <c r="AL142" s="1">
        <v>9.0</v>
      </c>
      <c r="AM142" s="1">
        <v>2013.0</v>
      </c>
      <c r="AN142" s="1">
        <v>2013.0</v>
      </c>
      <c r="AO142" s="1" t="s">
        <v>277</v>
      </c>
    </row>
    <row r="143">
      <c r="A143" s="5">
        <v>1.0</v>
      </c>
      <c r="B143" s="1">
        <f t="shared" si="1"/>
        <v>143</v>
      </c>
      <c r="C143" s="1" t="s">
        <v>457</v>
      </c>
      <c r="D143" s="1" t="s">
        <v>457</v>
      </c>
      <c r="E143" s="1" t="s">
        <v>194</v>
      </c>
      <c r="G143" s="1">
        <v>3.2156174E7</v>
      </c>
      <c r="H143" s="2">
        <v>41383.0</v>
      </c>
      <c r="I143" s="1" t="s">
        <v>458</v>
      </c>
      <c r="K143" s="1" t="s">
        <v>458</v>
      </c>
      <c r="N143" s="1" t="s">
        <v>194</v>
      </c>
      <c r="O143" s="1">
        <v>9100.0</v>
      </c>
      <c r="P143" s="1" t="s">
        <v>194</v>
      </c>
      <c r="Q143" s="1" t="str">
        <f>IF(ISERROR(VLOOKUP(P143,'unique fed agency names'!A:C,3,FALSE)),P143,VLOOKUP(P143,'unique fed agency names'!A:C,3,FALSE))
</f>
        <v>U.S. Department of Education (ED)</v>
      </c>
      <c r="R143" s="1">
        <v>1.6338926E8</v>
      </c>
      <c r="S143" s="1" t="s">
        <v>465</v>
      </c>
      <c r="T143" s="1" t="str">
        <f>IF(ISERROR(VLOOKUP(S143,'unique org names'!A:C,3,FALSE)),S143,VLOOKUP(S143,'unique org names'!A:C,3,FALSE))
</f>
        <v>Public School Academies of Detroit</v>
      </c>
      <c r="U143" s="1" t="s">
        <v>598</v>
      </c>
      <c r="V143" s="1" t="s">
        <v>599</v>
      </c>
      <c r="W143" s="1" t="s">
        <v>44</v>
      </c>
      <c r="X143" s="1" t="s">
        <v>45</v>
      </c>
      <c r="Y143" s="1">
        <v>4.82023457E8</v>
      </c>
      <c r="AA143" s="1" t="s">
        <v>44</v>
      </c>
      <c r="AB143" s="1" t="s">
        <v>45</v>
      </c>
      <c r="AC143" s="1">
        <v>4.82023457E8</v>
      </c>
      <c r="AD143" s="1">
        <v>1.6338926E8</v>
      </c>
      <c r="AE143" s="1" t="s">
        <v>465</v>
      </c>
      <c r="AF143" s="1">
        <v>27360.0</v>
      </c>
      <c r="AG143" s="2">
        <v>41383.0</v>
      </c>
      <c r="AH143" s="1">
        <v>9100.0</v>
      </c>
      <c r="AI143" s="1" t="s">
        <v>194</v>
      </c>
      <c r="AJ143" s="1" t="s">
        <v>600</v>
      </c>
      <c r="AK143" s="1" t="s">
        <v>463</v>
      </c>
      <c r="AL143" s="1">
        <v>9.0</v>
      </c>
      <c r="AM143" s="1">
        <v>2013.0</v>
      </c>
      <c r="AN143" s="1">
        <v>2013.0</v>
      </c>
      <c r="AO143" s="1" t="s">
        <v>277</v>
      </c>
    </row>
    <row r="144">
      <c r="A144" s="5">
        <v>1.0</v>
      </c>
      <c r="B144" s="1">
        <f t="shared" si="1"/>
        <v>144</v>
      </c>
      <c r="C144" s="1" t="s">
        <v>457</v>
      </c>
      <c r="D144" s="1" t="s">
        <v>457</v>
      </c>
      <c r="E144" s="1" t="s">
        <v>194</v>
      </c>
      <c r="G144" s="1">
        <v>3.2156174E7</v>
      </c>
      <c r="H144" s="2">
        <v>41290.0</v>
      </c>
      <c r="I144" s="1" t="s">
        <v>458</v>
      </c>
      <c r="K144" s="1" t="s">
        <v>458</v>
      </c>
      <c r="N144" s="1" t="s">
        <v>194</v>
      </c>
      <c r="O144" s="1">
        <v>9100.0</v>
      </c>
      <c r="P144" s="1" t="s">
        <v>194</v>
      </c>
      <c r="Q144" s="1" t="str">
        <f>IF(ISERROR(VLOOKUP(P144,'unique fed agency names'!A:C,3,FALSE)),P144,VLOOKUP(P144,'unique fed agency names'!A:C,3,FALSE))
</f>
        <v>U.S. Department of Education (ED)</v>
      </c>
      <c r="R144" s="1">
        <v>7.94990296E8</v>
      </c>
      <c r="S144" s="1" t="s">
        <v>601</v>
      </c>
      <c r="T144" s="1" t="str">
        <f>IF(ISERROR(VLOOKUP(S144,'unique org names'!A:C,3,FALSE)),S144,VLOOKUP(S144,'unique org names'!A:C,3,FALSE))
</f>
        <v>NORTHPOINTE ACADEMY</v>
      </c>
      <c r="V144" s="1" t="s">
        <v>602</v>
      </c>
      <c r="W144" s="1" t="s">
        <v>44</v>
      </c>
      <c r="X144" s="1" t="s">
        <v>45</v>
      </c>
      <c r="Y144" s="1">
        <v>4.82032827E8</v>
      </c>
      <c r="AA144" s="1" t="s">
        <v>603</v>
      </c>
      <c r="AB144" s="1" t="s">
        <v>45</v>
      </c>
      <c r="AC144" s="1">
        <v>4.82032827E8</v>
      </c>
      <c r="AF144" s="1">
        <v>28887.0</v>
      </c>
      <c r="AG144" s="2">
        <v>41290.0</v>
      </c>
      <c r="AH144" s="1">
        <v>9100.0</v>
      </c>
      <c r="AI144" s="1" t="s">
        <v>194</v>
      </c>
      <c r="AJ144" s="1" t="s">
        <v>604</v>
      </c>
      <c r="AK144" s="1" t="s">
        <v>463</v>
      </c>
      <c r="AL144" s="1">
        <v>9.0</v>
      </c>
      <c r="AM144" s="1">
        <v>2013.0</v>
      </c>
      <c r="AN144" s="1">
        <v>2013.0</v>
      </c>
      <c r="AO144" s="1" t="s">
        <v>277</v>
      </c>
    </row>
    <row r="145">
      <c r="A145" s="5">
        <v>1.0</v>
      </c>
      <c r="B145" s="1">
        <f t="shared" si="1"/>
        <v>145</v>
      </c>
      <c r="C145" s="1" t="s">
        <v>457</v>
      </c>
      <c r="D145" s="1" t="s">
        <v>457</v>
      </c>
      <c r="E145" s="1" t="s">
        <v>194</v>
      </c>
      <c r="G145" s="1">
        <v>3.2156174E7</v>
      </c>
      <c r="H145" s="2">
        <v>41390.0</v>
      </c>
      <c r="I145" s="1" t="s">
        <v>458</v>
      </c>
      <c r="K145" s="1" t="s">
        <v>458</v>
      </c>
      <c r="N145" s="1" t="s">
        <v>194</v>
      </c>
      <c r="O145" s="1">
        <v>9100.0</v>
      </c>
      <c r="P145" s="1" t="s">
        <v>194</v>
      </c>
      <c r="Q145" s="1" t="str">
        <f>IF(ISERROR(VLOOKUP(P145,'unique fed agency names'!A:C,3,FALSE)),P145,VLOOKUP(P145,'unique fed agency names'!A:C,3,FALSE))
</f>
        <v>U.S. Department of Education (ED)</v>
      </c>
      <c r="R145" s="1">
        <v>7.0381949E7</v>
      </c>
      <c r="S145" s="1" t="s">
        <v>605</v>
      </c>
      <c r="T145" s="1" t="str">
        <f>IF(ISERROR(VLOOKUP(S145,'unique org names'!A:C,3,FALSE)),S145,VLOOKUP(S145,'unique org names'!A:C,3,FALSE))
</f>
        <v>Liberty Caniff Academy</v>
      </c>
      <c r="V145" s="1" t="s">
        <v>606</v>
      </c>
      <c r="W145" s="1" t="s">
        <v>44</v>
      </c>
      <c r="X145" s="1" t="s">
        <v>45</v>
      </c>
      <c r="Y145" s="1">
        <v>4.82123033E8</v>
      </c>
      <c r="AA145" s="1" t="s">
        <v>607</v>
      </c>
      <c r="AB145" s="1" t="s">
        <v>45</v>
      </c>
      <c r="AC145" s="1">
        <v>4.82123033E8</v>
      </c>
      <c r="AF145" s="1">
        <v>36671.0</v>
      </c>
      <c r="AG145" s="2">
        <v>41390.0</v>
      </c>
      <c r="AH145" s="1">
        <v>9100.0</v>
      </c>
      <c r="AI145" s="1" t="s">
        <v>194</v>
      </c>
      <c r="AJ145" s="1" t="s">
        <v>608</v>
      </c>
      <c r="AK145" s="1" t="s">
        <v>463</v>
      </c>
      <c r="AL145" s="1">
        <v>9.0</v>
      </c>
      <c r="AM145" s="1">
        <v>2013.0</v>
      </c>
      <c r="AN145" s="1">
        <v>2013.0</v>
      </c>
      <c r="AO145" s="1" t="s">
        <v>277</v>
      </c>
    </row>
    <row r="146">
      <c r="A146" s="5">
        <v>1.0</v>
      </c>
      <c r="B146" s="1">
        <f t="shared" si="1"/>
        <v>146</v>
      </c>
      <c r="C146" s="1" t="s">
        <v>457</v>
      </c>
      <c r="D146" s="1" t="s">
        <v>457</v>
      </c>
      <c r="E146" s="1" t="s">
        <v>194</v>
      </c>
      <c r="G146" s="1">
        <v>3.2156174E7</v>
      </c>
      <c r="H146" s="2">
        <v>41367.0</v>
      </c>
      <c r="I146" s="1" t="s">
        <v>458</v>
      </c>
      <c r="K146" s="1" t="s">
        <v>458</v>
      </c>
      <c r="N146" s="1" t="s">
        <v>194</v>
      </c>
      <c r="O146" s="1">
        <v>9100.0</v>
      </c>
      <c r="P146" s="1" t="s">
        <v>194</v>
      </c>
      <c r="Q146" s="1" t="str">
        <f>IF(ISERROR(VLOOKUP(P146,'unique fed agency names'!A:C,3,FALSE)),P146,VLOOKUP(P146,'unique fed agency names'!A:C,3,FALSE))
</f>
        <v>U.S. Department of Education (ED)</v>
      </c>
      <c r="R146" s="1">
        <v>2.496865E7</v>
      </c>
      <c r="S146" s="1" t="s">
        <v>609</v>
      </c>
      <c r="T146" s="1" t="str">
        <f>IF(ISERROR(VLOOKUP(S146,'unique org names'!A:C,3,FALSE)),S146,VLOOKUP(S146,'unique org names'!A:C,3,FALSE))
</f>
        <v>Jalen Rose Leadership Academy</v>
      </c>
      <c r="V146" s="1" t="s">
        <v>610</v>
      </c>
      <c r="W146" s="1" t="s">
        <v>44</v>
      </c>
      <c r="X146" s="1" t="s">
        <v>45</v>
      </c>
      <c r="Y146" s="1">
        <v>4.8235168E8</v>
      </c>
      <c r="AA146" s="1" t="s">
        <v>46</v>
      </c>
      <c r="AB146" s="1" t="s">
        <v>45</v>
      </c>
      <c r="AC146" s="1">
        <v>4.82352474E8</v>
      </c>
      <c r="AF146" s="1">
        <v>28524.0</v>
      </c>
      <c r="AG146" s="2">
        <v>41367.0</v>
      </c>
      <c r="AH146" s="1">
        <v>9100.0</v>
      </c>
      <c r="AI146" s="1" t="s">
        <v>194</v>
      </c>
      <c r="AJ146" s="1" t="s">
        <v>611</v>
      </c>
      <c r="AK146" s="1" t="s">
        <v>463</v>
      </c>
      <c r="AL146" s="1">
        <v>9.0</v>
      </c>
      <c r="AM146" s="1">
        <v>2013.0</v>
      </c>
      <c r="AN146" s="1">
        <v>2013.0</v>
      </c>
      <c r="AO146" s="1" t="s">
        <v>277</v>
      </c>
    </row>
    <row r="147">
      <c r="A147" s="5">
        <v>1.0</v>
      </c>
      <c r="B147" s="1">
        <f t="shared" si="1"/>
        <v>147</v>
      </c>
      <c r="C147" s="1" t="s">
        <v>457</v>
      </c>
      <c r="D147" s="1" t="s">
        <v>457</v>
      </c>
      <c r="E147" s="1" t="s">
        <v>194</v>
      </c>
      <c r="G147" s="1">
        <v>3.2156174E7</v>
      </c>
      <c r="H147" s="2">
        <v>41395.0</v>
      </c>
      <c r="I147" s="1" t="s">
        <v>458</v>
      </c>
      <c r="K147" s="1" t="s">
        <v>458</v>
      </c>
      <c r="N147" s="1" t="s">
        <v>194</v>
      </c>
      <c r="O147" s="1">
        <v>9100.0</v>
      </c>
      <c r="P147" s="1" t="s">
        <v>194</v>
      </c>
      <c r="Q147" s="1" t="str">
        <f>IF(ISERROR(VLOOKUP(P147,'unique fed agency names'!A:C,3,FALSE)),P147,VLOOKUP(P147,'unique fed agency names'!A:C,3,FALSE))
</f>
        <v>U.S. Department of Education (ED)</v>
      </c>
      <c r="R147" s="1">
        <v>3.9866801E7</v>
      </c>
      <c r="S147" s="1" t="s">
        <v>612</v>
      </c>
      <c r="T147" s="1" t="str">
        <f>IF(ISERROR(VLOOKUP(S147,'unique org names'!A:C,3,FALSE)),S147,VLOOKUP(S147,'unique org names'!A:C,3,FALSE))
</f>
        <v>HAMTRAMCK PUBLIC SCHOOLS</v>
      </c>
      <c r="V147" s="1" t="s">
        <v>613</v>
      </c>
      <c r="W147" s="1" t="s">
        <v>44</v>
      </c>
      <c r="X147" s="1" t="s">
        <v>45</v>
      </c>
      <c r="Y147" s="1">
        <v>4.82123753E8</v>
      </c>
      <c r="AA147" s="1" t="s">
        <v>607</v>
      </c>
      <c r="AB147" s="1" t="s">
        <v>45</v>
      </c>
      <c r="AC147" s="1">
        <v>4.82120012E8</v>
      </c>
      <c r="AD147" s="1">
        <v>3.9866801E7</v>
      </c>
      <c r="AE147" s="1" t="s">
        <v>612</v>
      </c>
      <c r="AF147" s="1">
        <v>383466.0</v>
      </c>
      <c r="AG147" s="2">
        <v>41395.0</v>
      </c>
      <c r="AH147" s="1">
        <v>9100.0</v>
      </c>
      <c r="AI147" s="1" t="s">
        <v>194</v>
      </c>
      <c r="AJ147" s="1" t="s">
        <v>614</v>
      </c>
      <c r="AK147" s="1" t="s">
        <v>463</v>
      </c>
      <c r="AL147" s="1">
        <v>9.0</v>
      </c>
      <c r="AM147" s="1">
        <v>2013.0</v>
      </c>
      <c r="AN147" s="1">
        <v>2013.0</v>
      </c>
      <c r="AO147" s="1" t="s">
        <v>277</v>
      </c>
    </row>
    <row r="148">
      <c r="A148" s="5">
        <v>1.0</v>
      </c>
      <c r="B148" s="1">
        <f t="shared" si="1"/>
        <v>148</v>
      </c>
      <c r="C148" s="1" t="s">
        <v>457</v>
      </c>
      <c r="D148" s="1" t="s">
        <v>457</v>
      </c>
      <c r="E148" s="1" t="s">
        <v>194</v>
      </c>
      <c r="G148" s="1">
        <v>3.2156174E7</v>
      </c>
      <c r="H148" s="2">
        <v>41240.0</v>
      </c>
      <c r="I148" s="1" t="s">
        <v>458</v>
      </c>
      <c r="K148" s="1" t="s">
        <v>458</v>
      </c>
      <c r="N148" s="1" t="s">
        <v>194</v>
      </c>
      <c r="O148" s="1">
        <v>9100.0</v>
      </c>
      <c r="P148" s="1" t="s">
        <v>194</v>
      </c>
      <c r="Q148" s="1" t="str">
        <f>IF(ISERROR(VLOOKUP(P148,'unique fed agency names'!A:C,3,FALSE)),P148,VLOOKUP(P148,'unique fed agency names'!A:C,3,FALSE))
</f>
        <v>U.S. Department of Education (ED)</v>
      </c>
      <c r="R148" s="1">
        <v>7.8346351E7</v>
      </c>
      <c r="S148" s="1" t="s">
        <v>615</v>
      </c>
      <c r="T148" s="1" t="str">
        <f>IF(ISERROR(VLOOKUP(S148,'unique org names'!A:C,3,FALSE)),S148,VLOOKUP(S148,'unique org names'!A:C,3,FALSE))
</f>
        <v>Education Achievement Authority</v>
      </c>
      <c r="V148" s="1" t="s">
        <v>616</v>
      </c>
      <c r="W148" s="1" t="s">
        <v>44</v>
      </c>
      <c r="X148" s="1" t="s">
        <v>45</v>
      </c>
      <c r="Y148" s="1">
        <v>4.82026022E8</v>
      </c>
      <c r="AA148" s="1" t="s">
        <v>46</v>
      </c>
      <c r="AB148" s="1" t="s">
        <v>45</v>
      </c>
      <c r="AC148" s="1">
        <v>4.82023037E8</v>
      </c>
      <c r="AD148" s="1">
        <v>7.4258047E7</v>
      </c>
      <c r="AE148" s="1" t="s">
        <v>617</v>
      </c>
      <c r="AF148" s="1">
        <v>1016239.0</v>
      </c>
      <c r="AG148" s="2">
        <v>41240.0</v>
      </c>
      <c r="AH148" s="1">
        <v>9100.0</v>
      </c>
      <c r="AI148" s="1" t="s">
        <v>194</v>
      </c>
      <c r="AJ148" s="1" t="s">
        <v>618</v>
      </c>
      <c r="AK148" s="1" t="s">
        <v>463</v>
      </c>
      <c r="AL148" s="1">
        <v>9.0</v>
      </c>
      <c r="AM148" s="1">
        <v>2013.0</v>
      </c>
      <c r="AN148" s="1">
        <v>2013.0</v>
      </c>
      <c r="AO148" s="1" t="s">
        <v>277</v>
      </c>
    </row>
    <row r="149">
      <c r="A149" s="5">
        <v>1.0</v>
      </c>
      <c r="B149" s="1">
        <f t="shared" si="1"/>
        <v>149</v>
      </c>
      <c r="C149" s="1" t="s">
        <v>457</v>
      </c>
      <c r="D149" s="1" t="s">
        <v>457</v>
      </c>
      <c r="E149" s="1" t="s">
        <v>194</v>
      </c>
      <c r="G149" s="1">
        <v>3.2156174E7</v>
      </c>
      <c r="H149" s="2">
        <v>41282.0</v>
      </c>
      <c r="I149" s="1" t="s">
        <v>458</v>
      </c>
      <c r="K149" s="1" t="s">
        <v>458</v>
      </c>
      <c r="N149" s="1" t="s">
        <v>194</v>
      </c>
      <c r="O149" s="1">
        <v>9100.0</v>
      </c>
      <c r="P149" s="1" t="s">
        <v>194</v>
      </c>
      <c r="Q149" s="1" t="str">
        <f>IF(ISERROR(VLOOKUP(P149,'unique fed agency names'!A:C,3,FALSE)),P149,VLOOKUP(P149,'unique fed agency names'!A:C,3,FALSE))
</f>
        <v>U.S. Department of Education (ED)</v>
      </c>
      <c r="R149" s="1">
        <v>9.62949843E8</v>
      </c>
      <c r="S149" s="1" t="s">
        <v>619</v>
      </c>
      <c r="T149" s="1" t="str">
        <f>IF(ISERROR(VLOOKUP(S149,'unique org names'!A:C,3,FALSE)),S149,VLOOKUP(S149,'unique org names'!A:C,3,FALSE))
</f>
        <v>ALLEN ACADEMY</v>
      </c>
      <c r="V149" s="1" t="s">
        <v>620</v>
      </c>
      <c r="W149" s="1" t="s">
        <v>44</v>
      </c>
      <c r="X149" s="1" t="s">
        <v>45</v>
      </c>
      <c r="Y149" s="1">
        <v>4.82042306E8</v>
      </c>
      <c r="AA149" s="1" t="s">
        <v>44</v>
      </c>
      <c r="AB149" s="1" t="s">
        <v>45</v>
      </c>
      <c r="AC149" s="1">
        <v>4.82042306E8</v>
      </c>
      <c r="AF149" s="1">
        <v>92000.0</v>
      </c>
      <c r="AG149" s="2">
        <v>41282.0</v>
      </c>
      <c r="AH149" s="1">
        <v>9100.0</v>
      </c>
      <c r="AI149" s="1" t="s">
        <v>194</v>
      </c>
      <c r="AJ149" s="1" t="s">
        <v>621</v>
      </c>
      <c r="AK149" s="1" t="s">
        <v>463</v>
      </c>
      <c r="AL149" s="1">
        <v>9.0</v>
      </c>
      <c r="AM149" s="1">
        <v>2013.0</v>
      </c>
      <c r="AN149" s="1">
        <v>2013.0</v>
      </c>
      <c r="AO149" s="1" t="s">
        <v>277</v>
      </c>
    </row>
    <row r="150">
      <c r="A150" s="5">
        <v>1.0</v>
      </c>
      <c r="B150" s="1">
        <f t="shared" si="1"/>
        <v>150</v>
      </c>
      <c r="C150" s="1" t="s">
        <v>457</v>
      </c>
      <c r="D150" s="1" t="s">
        <v>457</v>
      </c>
      <c r="E150" s="1" t="s">
        <v>194</v>
      </c>
      <c r="G150" s="1">
        <v>3.2156174E7</v>
      </c>
      <c r="H150" s="2">
        <v>41367.0</v>
      </c>
      <c r="I150" s="1" t="s">
        <v>458</v>
      </c>
      <c r="K150" s="1" t="s">
        <v>458</v>
      </c>
      <c r="N150" s="1" t="s">
        <v>194</v>
      </c>
      <c r="O150" s="1">
        <v>9100.0</v>
      </c>
      <c r="P150" s="1" t="s">
        <v>194</v>
      </c>
      <c r="Q150" s="1" t="str">
        <f>IF(ISERROR(VLOOKUP(P150,'unique fed agency names'!A:C,3,FALSE)),P150,VLOOKUP(P150,'unique fed agency names'!A:C,3,FALSE))
</f>
        <v>U.S. Department of Education (ED)</v>
      </c>
      <c r="R150" s="1">
        <v>8.29503312E8</v>
      </c>
      <c r="S150" s="1" t="s">
        <v>622</v>
      </c>
      <c r="T150" s="1" t="str">
        <f>IF(ISERROR(VLOOKUP(S150,'unique org names'!A:C,3,FALSE)),S150,VLOOKUP(S150,'unique org names'!A:C,3,FALSE))
</f>
        <v>GEORGE WASHINGTON CARVER ACADEMY</v>
      </c>
      <c r="V150" s="1" t="s">
        <v>623</v>
      </c>
      <c r="W150" s="1" t="s">
        <v>44</v>
      </c>
      <c r="X150" s="1" t="s">
        <v>45</v>
      </c>
      <c r="Y150" s="1">
        <v>4.82035715E8</v>
      </c>
      <c r="AA150" s="1" t="s">
        <v>603</v>
      </c>
      <c r="AB150" s="1" t="s">
        <v>45</v>
      </c>
      <c r="AC150" s="1">
        <v>4.82035715E8</v>
      </c>
      <c r="AD150" s="1">
        <v>6.9828267E7</v>
      </c>
      <c r="AE150" s="1" t="s">
        <v>624</v>
      </c>
      <c r="AF150" s="1">
        <v>91088.0</v>
      </c>
      <c r="AG150" s="2">
        <v>41367.0</v>
      </c>
      <c r="AH150" s="1">
        <v>9100.0</v>
      </c>
      <c r="AI150" s="1" t="s">
        <v>194</v>
      </c>
      <c r="AJ150" s="1" t="s">
        <v>625</v>
      </c>
      <c r="AK150" s="1" t="s">
        <v>463</v>
      </c>
      <c r="AL150" s="1">
        <v>9.0</v>
      </c>
      <c r="AM150" s="1">
        <v>2013.0</v>
      </c>
      <c r="AN150" s="1">
        <v>2013.0</v>
      </c>
      <c r="AO150" s="1" t="s">
        <v>277</v>
      </c>
    </row>
    <row r="151">
      <c r="A151" s="5">
        <v>1.0</v>
      </c>
      <c r="B151" s="1">
        <f t="shared" si="1"/>
        <v>151</v>
      </c>
      <c r="C151" s="1" t="s">
        <v>457</v>
      </c>
      <c r="D151" s="1" t="s">
        <v>457</v>
      </c>
      <c r="E151" s="1" t="s">
        <v>194</v>
      </c>
      <c r="G151" s="1">
        <v>3.2156174E7</v>
      </c>
      <c r="H151" s="2">
        <v>41353.0</v>
      </c>
      <c r="I151" s="1" t="s">
        <v>458</v>
      </c>
      <c r="K151" s="1" t="s">
        <v>458</v>
      </c>
      <c r="N151" s="1" t="s">
        <v>194</v>
      </c>
      <c r="O151" s="1">
        <v>9100.0</v>
      </c>
      <c r="P151" s="1" t="s">
        <v>194</v>
      </c>
      <c r="Q151" s="1" t="str">
        <f>IF(ISERROR(VLOOKUP(P151,'unique fed agency names'!A:C,3,FALSE)),P151,VLOOKUP(P151,'unique fed agency names'!A:C,3,FALSE))
</f>
        <v>U.S. Department of Education (ED)</v>
      </c>
      <c r="R151" s="1">
        <v>1.47777952E8</v>
      </c>
      <c r="S151" s="1" t="s">
        <v>459</v>
      </c>
      <c r="T151" s="1" t="str">
        <f>IF(ISERROR(VLOOKUP(S151,'unique org names'!A:C,3,FALSE)),S151,VLOOKUP(S151,'unique org names'!A:C,3,FALSE))
</f>
        <v>DETROIT PUBLIC SCHOOLS</v>
      </c>
      <c r="U151" s="1" t="s">
        <v>626</v>
      </c>
      <c r="V151" s="1" t="s">
        <v>627</v>
      </c>
      <c r="W151" s="1" t="s">
        <v>44</v>
      </c>
      <c r="X151" s="1" t="s">
        <v>45</v>
      </c>
      <c r="Y151" s="1">
        <v>4.82072112E8</v>
      </c>
      <c r="AA151" s="1" t="s">
        <v>44</v>
      </c>
      <c r="AB151" s="1" t="s">
        <v>45</v>
      </c>
      <c r="AC151" s="1">
        <v>4.82072112E8</v>
      </c>
      <c r="AD151" s="1">
        <v>7.6340843E7</v>
      </c>
      <c r="AE151" s="1" t="s">
        <v>461</v>
      </c>
      <c r="AF151" s="1">
        <v>65357.0</v>
      </c>
      <c r="AG151" s="2">
        <v>41353.0</v>
      </c>
      <c r="AH151" s="1">
        <v>9100.0</v>
      </c>
      <c r="AI151" s="1" t="s">
        <v>194</v>
      </c>
      <c r="AJ151" s="1" t="s">
        <v>628</v>
      </c>
      <c r="AK151" s="1" t="s">
        <v>463</v>
      </c>
      <c r="AL151" s="1">
        <v>9.0</v>
      </c>
      <c r="AM151" s="1">
        <v>2013.0</v>
      </c>
      <c r="AN151" s="1">
        <v>2013.0</v>
      </c>
      <c r="AO151" s="1" t="s">
        <v>277</v>
      </c>
    </row>
    <row r="152">
      <c r="A152" s="5">
        <v>1.0</v>
      </c>
      <c r="B152" s="1">
        <f t="shared" si="1"/>
        <v>152</v>
      </c>
      <c r="C152" s="1" t="s">
        <v>457</v>
      </c>
      <c r="D152" s="1" t="s">
        <v>457</v>
      </c>
      <c r="E152" s="1" t="s">
        <v>194</v>
      </c>
      <c r="G152" s="1">
        <v>3.2156174E7</v>
      </c>
      <c r="H152" s="2">
        <v>41284.0</v>
      </c>
      <c r="I152" s="1" t="s">
        <v>458</v>
      </c>
      <c r="K152" s="1" t="s">
        <v>458</v>
      </c>
      <c r="N152" s="1" t="s">
        <v>194</v>
      </c>
      <c r="O152" s="1">
        <v>9100.0</v>
      </c>
      <c r="P152" s="1" t="s">
        <v>194</v>
      </c>
      <c r="Q152" s="1" t="str">
        <f>IF(ISERROR(VLOOKUP(P152,'unique fed agency names'!A:C,3,FALSE)),P152,VLOOKUP(P152,'unique fed agency names'!A:C,3,FALSE))
</f>
        <v>U.S. Department of Education (ED)</v>
      </c>
      <c r="R152" s="1">
        <v>5.4074575E7</v>
      </c>
      <c r="S152" s="1" t="s">
        <v>629</v>
      </c>
      <c r="T152" s="1" t="str">
        <f>IF(ISERROR(VLOOKUP(S152,'unique org names'!A:C,3,FALSE)),S152,VLOOKUP(S152,'unique org names'!A:C,3,FALSE))
</f>
        <v>PIERRE TOUSSAINT ACADEMY</v>
      </c>
      <c r="U152" s="1" t="s">
        <v>630</v>
      </c>
      <c r="V152" s="1" t="s">
        <v>631</v>
      </c>
      <c r="W152" s="1" t="s">
        <v>44</v>
      </c>
      <c r="X152" s="1" t="s">
        <v>45</v>
      </c>
      <c r="Y152" s="1">
        <v>4.82171631E8</v>
      </c>
      <c r="AA152" s="1" t="s">
        <v>44</v>
      </c>
      <c r="AB152" s="1" t="s">
        <v>45</v>
      </c>
      <c r="AC152" s="1">
        <v>4.82171631E8</v>
      </c>
      <c r="AD152" s="1">
        <v>3.8627196E7</v>
      </c>
      <c r="AE152" s="1" t="s">
        <v>632</v>
      </c>
      <c r="AF152" s="1">
        <v>54736.0</v>
      </c>
      <c r="AG152" s="2">
        <v>41284.0</v>
      </c>
      <c r="AH152" s="1">
        <v>9100.0</v>
      </c>
      <c r="AI152" s="1" t="s">
        <v>194</v>
      </c>
      <c r="AJ152" s="1" t="s">
        <v>633</v>
      </c>
      <c r="AK152" s="1" t="s">
        <v>463</v>
      </c>
      <c r="AL152" s="1">
        <v>9.0</v>
      </c>
      <c r="AM152" s="1">
        <v>2013.0</v>
      </c>
      <c r="AN152" s="1">
        <v>2013.0</v>
      </c>
      <c r="AO152" s="1" t="s">
        <v>277</v>
      </c>
    </row>
    <row r="153">
      <c r="A153" s="5">
        <v>1.0</v>
      </c>
      <c r="B153" s="1">
        <f t="shared" si="1"/>
        <v>153</v>
      </c>
      <c r="C153" s="1" t="s">
        <v>457</v>
      </c>
      <c r="D153" s="1" t="s">
        <v>457</v>
      </c>
      <c r="E153" s="1" t="s">
        <v>194</v>
      </c>
      <c r="G153" s="1">
        <v>3.2156174E7</v>
      </c>
      <c r="H153" s="2">
        <v>41388.0</v>
      </c>
      <c r="I153" s="1" t="s">
        <v>458</v>
      </c>
      <c r="K153" s="1" t="s">
        <v>458</v>
      </c>
      <c r="N153" s="1" t="s">
        <v>194</v>
      </c>
      <c r="O153" s="1">
        <v>9100.0</v>
      </c>
      <c r="P153" s="1" t="s">
        <v>194</v>
      </c>
      <c r="Q153" s="1" t="str">
        <f>IF(ISERROR(VLOOKUP(P153,'unique fed agency names'!A:C,3,FALSE)),P153,VLOOKUP(P153,'unique fed agency names'!A:C,3,FALSE))
</f>
        <v>U.S. Department of Education (ED)</v>
      </c>
      <c r="R153" s="1">
        <v>9.62104118E8</v>
      </c>
      <c r="S153" s="1" t="s">
        <v>634</v>
      </c>
      <c r="T153" s="1" t="str">
        <f>IF(ISERROR(VLOOKUP(S153,'unique org names'!A:C,3,FALSE)),S153,VLOOKUP(S153,'unique org names'!A:C,3,FALSE))
</f>
        <v>UNIVERSITY YES ACADEMY</v>
      </c>
      <c r="V153" s="1" t="s">
        <v>635</v>
      </c>
      <c r="W153" s="1" t="s">
        <v>44</v>
      </c>
      <c r="X153" s="1" t="s">
        <v>45</v>
      </c>
      <c r="Y153" s="1">
        <v>4.82351111E8</v>
      </c>
      <c r="AA153" s="1" t="s">
        <v>46</v>
      </c>
      <c r="AB153" s="1" t="s">
        <v>45</v>
      </c>
      <c r="AC153" s="1">
        <v>4.82351111E8</v>
      </c>
      <c r="AF153" s="1">
        <v>29333.0</v>
      </c>
      <c r="AG153" s="2">
        <v>41388.0</v>
      </c>
      <c r="AH153" s="1">
        <v>9100.0</v>
      </c>
      <c r="AI153" s="1" t="s">
        <v>194</v>
      </c>
      <c r="AJ153" s="1" t="s">
        <v>636</v>
      </c>
      <c r="AK153" s="1" t="s">
        <v>463</v>
      </c>
      <c r="AL153" s="1">
        <v>9.0</v>
      </c>
      <c r="AM153" s="1">
        <v>2013.0</v>
      </c>
      <c r="AN153" s="1">
        <v>2013.0</v>
      </c>
      <c r="AO153" s="1" t="s">
        <v>277</v>
      </c>
    </row>
    <row r="154">
      <c r="A154" s="5">
        <v>1.0</v>
      </c>
      <c r="B154" s="1">
        <f t="shared" si="1"/>
        <v>154</v>
      </c>
      <c r="C154" s="1" t="s">
        <v>457</v>
      </c>
      <c r="D154" s="1" t="s">
        <v>457</v>
      </c>
      <c r="E154" s="1" t="s">
        <v>194</v>
      </c>
      <c r="G154" s="1">
        <v>3.2156174E7</v>
      </c>
      <c r="H154" s="2">
        <v>41327.0</v>
      </c>
      <c r="I154" s="1" t="s">
        <v>458</v>
      </c>
      <c r="K154" s="1" t="s">
        <v>458</v>
      </c>
      <c r="N154" s="1" t="s">
        <v>194</v>
      </c>
      <c r="O154" s="1">
        <v>9100.0</v>
      </c>
      <c r="P154" s="1" t="s">
        <v>194</v>
      </c>
      <c r="Q154" s="1" t="str">
        <f>IF(ISERROR(VLOOKUP(P154,'unique fed agency names'!A:C,3,FALSE)),P154,VLOOKUP(P154,'unique fed agency names'!A:C,3,FALSE))
</f>
        <v>U.S. Department of Education (ED)</v>
      </c>
      <c r="R154" s="1">
        <v>8.00515244E8</v>
      </c>
      <c r="S154" s="1" t="s">
        <v>637</v>
      </c>
      <c r="T154" s="1" t="str">
        <f>IF(ISERROR(VLOOKUP(S154,'unique org names'!A:C,3,FALSE)),S154,VLOOKUP(S154,'unique org names'!A:C,3,FALSE))
</f>
        <v>EDUCATION, MICHIGAN DEPARTMENT OF</v>
      </c>
      <c r="U154" s="1" t="s">
        <v>638</v>
      </c>
      <c r="V154" s="1" t="s">
        <v>639</v>
      </c>
      <c r="W154" s="1" t="s">
        <v>44</v>
      </c>
      <c r="X154" s="1" t="s">
        <v>45</v>
      </c>
      <c r="Y154" s="1">
        <v>4.82343358E8</v>
      </c>
      <c r="AA154" s="1" t="s">
        <v>44</v>
      </c>
      <c r="AB154" s="1" t="s">
        <v>45</v>
      </c>
      <c r="AC154" s="1">
        <v>4.82343358E8</v>
      </c>
      <c r="AD154" s="1">
        <v>5.4698428E7</v>
      </c>
      <c r="AF154" s="1">
        <v>28515.0</v>
      </c>
      <c r="AG154" s="2">
        <v>41327.0</v>
      </c>
      <c r="AH154" s="1">
        <v>9100.0</v>
      </c>
      <c r="AI154" s="1" t="s">
        <v>194</v>
      </c>
      <c r="AJ154" s="1" t="s">
        <v>640</v>
      </c>
      <c r="AK154" s="1" t="s">
        <v>463</v>
      </c>
      <c r="AL154" s="1">
        <v>9.0</v>
      </c>
      <c r="AM154" s="1">
        <v>2013.0</v>
      </c>
      <c r="AN154" s="1">
        <v>2013.0</v>
      </c>
      <c r="AO154" s="1" t="s">
        <v>277</v>
      </c>
    </row>
    <row r="155">
      <c r="A155" s="5">
        <v>1.0</v>
      </c>
      <c r="B155" s="1">
        <f t="shared" si="1"/>
        <v>155</v>
      </c>
      <c r="C155" s="1" t="s">
        <v>457</v>
      </c>
      <c r="D155" s="1" t="s">
        <v>457</v>
      </c>
      <c r="E155" s="1" t="s">
        <v>194</v>
      </c>
      <c r="G155" s="1">
        <v>3.2156174E7</v>
      </c>
      <c r="H155" s="2">
        <v>41256.0</v>
      </c>
      <c r="I155" s="1" t="s">
        <v>458</v>
      </c>
      <c r="K155" s="1" t="s">
        <v>458</v>
      </c>
      <c r="N155" s="1" t="s">
        <v>194</v>
      </c>
      <c r="O155" s="1">
        <v>9100.0</v>
      </c>
      <c r="P155" s="1" t="s">
        <v>194</v>
      </c>
      <c r="Q155" s="1" t="str">
        <f>IF(ISERROR(VLOOKUP(P155,'unique fed agency names'!A:C,3,FALSE)),P155,VLOOKUP(P155,'unique fed agency names'!A:C,3,FALSE))
</f>
        <v>U.S. Department of Education (ED)</v>
      </c>
      <c r="R155" s="1">
        <v>9.6578333E8</v>
      </c>
      <c r="S155" s="1" t="s">
        <v>641</v>
      </c>
      <c r="T155" s="1" t="str">
        <f>IF(ISERROR(VLOOKUP(S155,'unique org names'!A:C,3,FALSE)),S155,VLOOKUP(S155,'unique org names'!A:C,3,FALSE))
</f>
        <v>COVENANT HOUSE ACADEMY EAST</v>
      </c>
      <c r="V155" s="1" t="s">
        <v>642</v>
      </c>
      <c r="W155" s="1" t="s">
        <v>44</v>
      </c>
      <c r="X155" s="1" t="s">
        <v>45</v>
      </c>
      <c r="Y155" s="1">
        <v>4.82141762E8</v>
      </c>
      <c r="AA155" s="1" t="s">
        <v>44</v>
      </c>
      <c r="AB155" s="1" t="s">
        <v>45</v>
      </c>
      <c r="AC155" s="1">
        <v>4.82141762E8</v>
      </c>
      <c r="AF155" s="1">
        <v>25337.0</v>
      </c>
      <c r="AG155" s="2">
        <v>41256.0</v>
      </c>
      <c r="AH155" s="1">
        <v>9100.0</v>
      </c>
      <c r="AI155" s="1" t="s">
        <v>194</v>
      </c>
      <c r="AJ155" s="1" t="s">
        <v>643</v>
      </c>
      <c r="AK155" s="1" t="s">
        <v>463</v>
      </c>
      <c r="AL155" s="1">
        <v>9.0</v>
      </c>
      <c r="AM155" s="1">
        <v>2013.0</v>
      </c>
      <c r="AN155" s="1">
        <v>2013.0</v>
      </c>
      <c r="AO155" s="1" t="s">
        <v>277</v>
      </c>
    </row>
    <row r="156">
      <c r="A156" s="5">
        <v>1.0</v>
      </c>
      <c r="B156" s="1">
        <f t="shared" si="1"/>
        <v>156</v>
      </c>
      <c r="C156" s="1" t="s">
        <v>644</v>
      </c>
      <c r="D156" s="1" t="s">
        <v>644</v>
      </c>
      <c r="E156" s="1" t="s">
        <v>645</v>
      </c>
      <c r="G156" s="1">
        <v>782902.0</v>
      </c>
      <c r="H156" s="2">
        <v>41207.0</v>
      </c>
      <c r="I156" s="1" t="s">
        <v>646</v>
      </c>
      <c r="K156" s="1" t="s">
        <v>646</v>
      </c>
      <c r="N156" s="1" t="s">
        <v>647</v>
      </c>
      <c r="O156" s="1">
        <v>1200.0</v>
      </c>
      <c r="P156" s="1" t="s">
        <v>647</v>
      </c>
      <c r="Q156" s="1" t="str">
        <f>IF(ISERROR(VLOOKUP(P156,'unique fed agency names'!A:C,3,FALSE)),P156,VLOOKUP(P156,'unique fed agency names'!A:C,3,FALSE))
</f>
        <v>U.S. Department of Agriculture (USDA)</v>
      </c>
      <c r="R156" s="1">
        <v>7.3134884E7</v>
      </c>
      <c r="S156" s="1" t="s">
        <v>259</v>
      </c>
      <c r="T156" s="1" t="str">
        <f>IF(ISERROR(VLOOKUP(S156,'unique org names'!A:C,3,FALSE)),S156,VLOOKUP(S156,'unique org names'!A:C,3,FALSE))
</f>
        <v>Wayne County</v>
      </c>
      <c r="V156" s="1" t="s">
        <v>286</v>
      </c>
      <c r="W156" s="1" t="s">
        <v>44</v>
      </c>
      <c r="X156" s="1" t="s">
        <v>45</v>
      </c>
      <c r="Y156" s="1">
        <v>4.82262841E8</v>
      </c>
      <c r="AA156" s="1" t="s">
        <v>648</v>
      </c>
      <c r="AB156" s="1" t="s">
        <v>45</v>
      </c>
      <c r="AC156" s="1">
        <v>4.81865305E8</v>
      </c>
      <c r="AD156" s="1">
        <v>7.3134884E7</v>
      </c>
      <c r="AE156" s="1" t="s">
        <v>261</v>
      </c>
      <c r="AF156" s="1">
        <v>60611.0</v>
      </c>
      <c r="AG156" s="2">
        <v>41207.0</v>
      </c>
      <c r="AH156" s="1">
        <v>1200.0</v>
      </c>
      <c r="AI156" s="1" t="s">
        <v>647</v>
      </c>
      <c r="AJ156" s="1" t="s">
        <v>649</v>
      </c>
      <c r="AK156" s="1" t="s">
        <v>650</v>
      </c>
      <c r="AL156" s="1">
        <v>8.0</v>
      </c>
      <c r="AM156" s="1">
        <v>2013.0</v>
      </c>
      <c r="AN156" s="1">
        <v>2013.0</v>
      </c>
      <c r="AO156" s="1" t="s">
        <v>651</v>
      </c>
    </row>
    <row r="157">
      <c r="A157" s="5">
        <v>1.0</v>
      </c>
      <c r="B157" s="1">
        <f t="shared" si="1"/>
        <v>157</v>
      </c>
      <c r="C157" s="1" t="s">
        <v>652</v>
      </c>
      <c r="D157" s="1" t="s">
        <v>652</v>
      </c>
      <c r="E157" s="1" t="s">
        <v>645</v>
      </c>
      <c r="G157" s="1">
        <v>1502883.0</v>
      </c>
      <c r="H157" s="2">
        <v>41445.0</v>
      </c>
      <c r="I157" s="1" t="s">
        <v>646</v>
      </c>
      <c r="K157" s="1" t="s">
        <v>646</v>
      </c>
      <c r="N157" s="1" t="s">
        <v>647</v>
      </c>
      <c r="O157" s="1">
        <v>1200.0</v>
      </c>
      <c r="P157" s="1" t="s">
        <v>647</v>
      </c>
      <c r="Q157" s="1" t="str">
        <f>IF(ISERROR(VLOOKUP(P157,'unique fed agency names'!A:C,3,FALSE)),P157,VLOOKUP(P157,'unique fed agency names'!A:C,3,FALSE))
</f>
        <v>U.S. Department of Agriculture (USDA)</v>
      </c>
      <c r="R157" s="1">
        <v>7.3134884E7</v>
      </c>
      <c r="S157" s="1" t="s">
        <v>259</v>
      </c>
      <c r="T157" s="1" t="str">
        <f>IF(ISERROR(VLOOKUP(S157,'unique org names'!A:C,3,FALSE)),S157,VLOOKUP(S157,'unique org names'!A:C,3,FALSE))
</f>
        <v>Wayne County</v>
      </c>
      <c r="V157" s="1" t="s">
        <v>286</v>
      </c>
      <c r="W157" s="1" t="s">
        <v>44</v>
      </c>
      <c r="X157" s="1" t="s">
        <v>45</v>
      </c>
      <c r="Y157" s="1">
        <v>4.82262841E8</v>
      </c>
      <c r="AA157" s="1" t="s">
        <v>648</v>
      </c>
      <c r="AB157" s="1" t="s">
        <v>45</v>
      </c>
      <c r="AC157" s="1">
        <v>4.81865305E8</v>
      </c>
      <c r="AD157" s="1">
        <v>7.3134884E7</v>
      </c>
      <c r="AE157" s="1" t="s">
        <v>261</v>
      </c>
      <c r="AF157" s="1">
        <v>96421.0</v>
      </c>
      <c r="AG157" s="2">
        <v>41445.0</v>
      </c>
      <c r="AH157" s="1">
        <v>1200.0</v>
      </c>
      <c r="AI157" s="1" t="s">
        <v>647</v>
      </c>
      <c r="AJ157" s="1" t="s">
        <v>653</v>
      </c>
      <c r="AK157" s="1" t="s">
        <v>650</v>
      </c>
      <c r="AL157" s="1">
        <v>8.0</v>
      </c>
      <c r="AM157" s="1">
        <v>2013.0</v>
      </c>
      <c r="AN157" s="1">
        <v>2013.0</v>
      </c>
      <c r="AO157" s="1" t="s">
        <v>651</v>
      </c>
    </row>
    <row r="158">
      <c r="A158" s="5">
        <v>1.0</v>
      </c>
      <c r="B158" s="1">
        <f t="shared" si="1"/>
        <v>158</v>
      </c>
      <c r="C158" s="1" t="s">
        <v>654</v>
      </c>
      <c r="D158" s="1" t="s">
        <v>654</v>
      </c>
      <c r="E158" s="1" t="s">
        <v>38</v>
      </c>
      <c r="G158" s="1">
        <v>931200.0</v>
      </c>
      <c r="H158" s="2">
        <v>41492.0</v>
      </c>
      <c r="I158" s="1" t="s">
        <v>655</v>
      </c>
      <c r="K158" s="1" t="s">
        <v>655</v>
      </c>
      <c r="N158" s="1" t="s">
        <v>40</v>
      </c>
      <c r="O158" s="1">
        <v>7500.0</v>
      </c>
      <c r="P158" s="1" t="s">
        <v>40</v>
      </c>
      <c r="Q158" s="1" t="str">
        <f>IF(ISERROR(VLOOKUP(P158,'unique fed agency names'!A:C,3,FALSE)),P158,VLOOKUP(P158,'unique fed agency names'!A:C,3,FALSE))
</f>
        <v>U.S. Department of Health and Human Services (DHHS)</v>
      </c>
      <c r="R158" s="1">
        <v>7.3134603E7</v>
      </c>
      <c r="S158" s="1" t="s">
        <v>41</v>
      </c>
      <c r="T158" s="1" t="str">
        <f>IF(ISERROR(VLOOKUP(S158,'unique org names'!A:C,3,FALSE)),S158,VLOOKUP(S158,'unique org names'!A:C,3,FALSE))
</f>
        <v>Henry Ford Health System</v>
      </c>
      <c r="U158" s="1" t="s">
        <v>252</v>
      </c>
      <c r="V158" s="1" t="s">
        <v>253</v>
      </c>
      <c r="W158" s="1" t="s">
        <v>44</v>
      </c>
      <c r="X158" s="1" t="s">
        <v>45</v>
      </c>
      <c r="Y158" s="1">
        <v>4.8202345E8</v>
      </c>
      <c r="AA158" s="1" t="s">
        <v>46</v>
      </c>
      <c r="AB158" s="1" t="s">
        <v>45</v>
      </c>
      <c r="AC158" s="1">
        <v>4.82022689E8</v>
      </c>
      <c r="AD158" s="1">
        <v>7.3134603E7</v>
      </c>
      <c r="AE158" s="1" t="s">
        <v>41</v>
      </c>
      <c r="AF158" s="1">
        <v>25000.0</v>
      </c>
      <c r="AG158" s="2">
        <v>41492.0</v>
      </c>
      <c r="AH158" s="1">
        <v>7500.0</v>
      </c>
      <c r="AI158" s="1" t="s">
        <v>40</v>
      </c>
      <c r="AJ158" s="1">
        <v>3.002735317E9</v>
      </c>
      <c r="AK158" s="1" t="s">
        <v>656</v>
      </c>
      <c r="AL158" s="1">
        <v>8.0</v>
      </c>
      <c r="AM158" s="1">
        <v>2013.0</v>
      </c>
      <c r="AN158" s="1">
        <v>2013.0</v>
      </c>
      <c r="AO158" s="1" t="s">
        <v>415</v>
      </c>
    </row>
    <row r="159">
      <c r="A159" s="5">
        <v>1.0</v>
      </c>
      <c r="B159" s="1">
        <f t="shared" si="1"/>
        <v>159</v>
      </c>
      <c r="C159" s="1" t="s">
        <v>657</v>
      </c>
      <c r="D159" s="1" t="s">
        <v>657</v>
      </c>
      <c r="E159" s="1" t="s">
        <v>645</v>
      </c>
      <c r="G159" s="1">
        <v>1655295.0</v>
      </c>
      <c r="H159" s="2">
        <v>41214.0</v>
      </c>
      <c r="I159" s="1" t="s">
        <v>646</v>
      </c>
      <c r="K159" s="1" t="s">
        <v>646</v>
      </c>
      <c r="N159" s="1" t="s">
        <v>647</v>
      </c>
      <c r="O159" s="1">
        <v>1200.0</v>
      </c>
      <c r="P159" s="1" t="s">
        <v>647</v>
      </c>
      <c r="Q159" s="1" t="str">
        <f>IF(ISERROR(VLOOKUP(P159,'unique fed agency names'!A:C,3,FALSE)),P159,VLOOKUP(P159,'unique fed agency names'!A:C,3,FALSE))
</f>
        <v>U.S. Department of Agriculture (USDA)</v>
      </c>
      <c r="R159" s="1">
        <v>7.3134884E7</v>
      </c>
      <c r="S159" s="1" t="s">
        <v>259</v>
      </c>
      <c r="T159" s="1" t="str">
        <f>IF(ISERROR(VLOOKUP(S159,'unique org names'!A:C,3,FALSE)),S159,VLOOKUP(S159,'unique org names'!A:C,3,FALSE))
</f>
        <v>Wayne County</v>
      </c>
      <c r="V159" s="1" t="s">
        <v>286</v>
      </c>
      <c r="W159" s="1" t="s">
        <v>44</v>
      </c>
      <c r="X159" s="1" t="s">
        <v>45</v>
      </c>
      <c r="Y159" s="1">
        <v>4.82262841E8</v>
      </c>
      <c r="AA159" s="1" t="s">
        <v>648</v>
      </c>
      <c r="AB159" s="1" t="s">
        <v>45</v>
      </c>
      <c r="AC159" s="1">
        <v>4.81865305E8</v>
      </c>
      <c r="AD159" s="1">
        <v>7.3134884E7</v>
      </c>
      <c r="AE159" s="1" t="s">
        <v>261</v>
      </c>
      <c r="AF159" s="1">
        <v>105672.0</v>
      </c>
      <c r="AG159" s="2">
        <v>41214.0</v>
      </c>
      <c r="AH159" s="1">
        <v>1200.0</v>
      </c>
      <c r="AI159" s="1" t="s">
        <v>647</v>
      </c>
      <c r="AJ159" s="1" t="s">
        <v>658</v>
      </c>
      <c r="AK159" s="1" t="s">
        <v>650</v>
      </c>
      <c r="AL159" s="1">
        <v>8.0</v>
      </c>
      <c r="AM159" s="1">
        <v>2013.0</v>
      </c>
      <c r="AN159" s="1">
        <v>2013.0</v>
      </c>
      <c r="AO159" s="1" t="s">
        <v>651</v>
      </c>
    </row>
    <row r="160">
      <c r="A160" s="5">
        <v>1.0</v>
      </c>
      <c r="B160" s="1">
        <f t="shared" si="1"/>
        <v>160</v>
      </c>
      <c r="C160" s="1" t="s">
        <v>659</v>
      </c>
      <c r="D160" s="1" t="s">
        <v>659</v>
      </c>
      <c r="E160" s="1" t="s">
        <v>224</v>
      </c>
      <c r="G160" s="1">
        <v>4607600.0</v>
      </c>
      <c r="H160" s="2">
        <v>41458.0</v>
      </c>
      <c r="I160" s="1" t="s">
        <v>660</v>
      </c>
      <c r="K160" s="1" t="s">
        <v>660</v>
      </c>
      <c r="N160" s="1" t="s">
        <v>151</v>
      </c>
      <c r="O160" s="1">
        <v>6900.0</v>
      </c>
      <c r="P160" s="1" t="s">
        <v>151</v>
      </c>
      <c r="Q160" s="1" t="str">
        <f>IF(ISERROR(VLOOKUP(P160,'unique fed agency names'!A:C,3,FALSE)),P160,VLOOKUP(P160,'unique fed agency names'!A:C,3,FALSE))
</f>
        <v>U.S. Department of Transportation (DOT)</v>
      </c>
      <c r="R160" s="1">
        <v>4.057865E7</v>
      </c>
      <c r="S160" s="1" t="s">
        <v>661</v>
      </c>
      <c r="T160" s="1" t="str">
        <f>IF(ISERROR(VLOOKUP(S160,'unique org names'!A:C,3,FALSE)),S160,VLOOKUP(S160,'unique org names'!A:C,3,FALSE))
</f>
        <v>SOUTHEAST MICHIGAN COUNCIL OF GOVERNMENTS</v>
      </c>
      <c r="V160" s="1" t="s">
        <v>662</v>
      </c>
      <c r="W160" s="1" t="s">
        <v>44</v>
      </c>
      <c r="X160" s="1" t="s">
        <v>45</v>
      </c>
      <c r="Y160" s="1">
        <v>4.82263602E8</v>
      </c>
      <c r="AA160" s="1" t="s">
        <v>44</v>
      </c>
      <c r="AB160" s="1" t="s">
        <v>45</v>
      </c>
      <c r="AC160" s="1">
        <v>4.82263602E8</v>
      </c>
      <c r="AF160" s="1">
        <v>4607600.87</v>
      </c>
      <c r="AG160" s="2">
        <v>41458.0</v>
      </c>
      <c r="AH160" s="1">
        <v>6900.0</v>
      </c>
      <c r="AI160" s="1" t="s">
        <v>151</v>
      </c>
      <c r="AJ160" s="1">
        <v>1.0</v>
      </c>
      <c r="AK160" s="1" t="s">
        <v>660</v>
      </c>
      <c r="AL160" s="1">
        <v>8.0</v>
      </c>
      <c r="AM160" s="1">
        <v>2013.0</v>
      </c>
      <c r="AN160" s="1">
        <v>2013.0</v>
      </c>
      <c r="AO160" s="1" t="s">
        <v>229</v>
      </c>
    </row>
    <row r="161">
      <c r="A161" s="5">
        <v>1.0</v>
      </c>
      <c r="B161" s="1">
        <f t="shared" si="1"/>
        <v>161</v>
      </c>
      <c r="C161" s="1" t="s">
        <v>663</v>
      </c>
      <c r="D161" s="1" t="s">
        <v>663</v>
      </c>
      <c r="E161" s="1" t="s">
        <v>224</v>
      </c>
      <c r="G161" s="1">
        <v>51358.0</v>
      </c>
      <c r="H161" s="2">
        <v>41466.0</v>
      </c>
      <c r="I161" s="1" t="s">
        <v>664</v>
      </c>
      <c r="K161" s="1" t="s">
        <v>664</v>
      </c>
      <c r="N161" s="1" t="s">
        <v>151</v>
      </c>
      <c r="O161" s="1">
        <v>6900.0</v>
      </c>
      <c r="P161" s="1" t="s">
        <v>151</v>
      </c>
      <c r="Q161" s="1" t="str">
        <f>IF(ISERROR(VLOOKUP(P161,'unique fed agency names'!A:C,3,FALSE)),P161,VLOOKUP(P161,'unique fed agency names'!A:C,3,FALSE))
</f>
        <v>U.S. Department of Transportation (DOT)</v>
      </c>
      <c r="R161" s="1">
        <v>4.057865E7</v>
      </c>
      <c r="S161" s="1" t="s">
        <v>661</v>
      </c>
      <c r="T161" s="1" t="str">
        <f>IF(ISERROR(VLOOKUP(S161,'unique org names'!A:C,3,FALSE)),S161,VLOOKUP(S161,'unique org names'!A:C,3,FALSE))
</f>
        <v>SOUTHEAST MICHIGAN COUNCIL OF GOVERNMENTS</v>
      </c>
      <c r="V161" s="1" t="s">
        <v>662</v>
      </c>
      <c r="W161" s="1" t="s">
        <v>44</v>
      </c>
      <c r="X161" s="1" t="s">
        <v>45</v>
      </c>
      <c r="Y161" s="1">
        <v>4.82263602E8</v>
      </c>
      <c r="AA161" s="1" t="s">
        <v>44</v>
      </c>
      <c r="AB161" s="1" t="s">
        <v>45</v>
      </c>
      <c r="AC161" s="1">
        <v>4.82263602E8</v>
      </c>
      <c r="AF161" s="1">
        <v>51358.02</v>
      </c>
      <c r="AG161" s="2">
        <v>41466.0</v>
      </c>
      <c r="AH161" s="1">
        <v>6900.0</v>
      </c>
      <c r="AI161" s="1" t="s">
        <v>151</v>
      </c>
      <c r="AJ161" s="1">
        <v>1.0</v>
      </c>
      <c r="AK161" s="1" t="s">
        <v>664</v>
      </c>
      <c r="AL161" s="1">
        <v>8.0</v>
      </c>
      <c r="AM161" s="1">
        <v>2013.0</v>
      </c>
      <c r="AN161" s="1">
        <v>2013.0</v>
      </c>
      <c r="AO161" s="1" t="s">
        <v>229</v>
      </c>
    </row>
    <row r="162">
      <c r="A162" s="5">
        <v>1.0</v>
      </c>
      <c r="B162" s="1">
        <f t="shared" si="1"/>
        <v>162</v>
      </c>
      <c r="C162" s="1" t="s">
        <v>665</v>
      </c>
      <c r="D162" s="1" t="s">
        <v>665</v>
      </c>
      <c r="E162" s="1" t="s">
        <v>645</v>
      </c>
      <c r="G162" s="1">
        <v>5502645.0</v>
      </c>
      <c r="H162" s="2">
        <v>41263.0</v>
      </c>
      <c r="I162" s="1" t="s">
        <v>666</v>
      </c>
      <c r="K162" s="1" t="s">
        <v>666</v>
      </c>
      <c r="N162" s="1" t="s">
        <v>647</v>
      </c>
      <c r="O162" s="1">
        <v>1200.0</v>
      </c>
      <c r="P162" s="1" t="s">
        <v>647</v>
      </c>
      <c r="Q162" s="1" t="str">
        <f>IF(ISERROR(VLOOKUP(P162,'unique fed agency names'!A:C,3,FALSE)),P162,VLOOKUP(P162,'unique fed agency names'!A:C,3,FALSE))
</f>
        <v>U.S. Department of Agriculture (USDA)</v>
      </c>
      <c r="R162" s="1">
        <v>7.2761299E7</v>
      </c>
      <c r="S162" s="1" t="s">
        <v>667</v>
      </c>
      <c r="T162" s="1" t="str">
        <f>IF(ISERROR(VLOOKUP(S162,'unique org names'!A:C,3,FALSE)),S162,VLOOKUP(S162,'unique org names'!A:C,3,FALSE))
</f>
        <v>Focus: HOPE</v>
      </c>
      <c r="V162" s="1" t="s">
        <v>668</v>
      </c>
      <c r="W162" s="1" t="s">
        <v>44</v>
      </c>
      <c r="X162" s="1" t="s">
        <v>45</v>
      </c>
      <c r="Y162" s="1">
        <v>4.82382849E8</v>
      </c>
      <c r="AA162" s="1" t="s">
        <v>44</v>
      </c>
      <c r="AB162" s="1" t="s">
        <v>45</v>
      </c>
      <c r="AC162" s="1">
        <v>4.82383518E8</v>
      </c>
      <c r="AD162" s="1">
        <v>7.2761299E7</v>
      </c>
      <c r="AE162" s="1" t="s">
        <v>667</v>
      </c>
      <c r="AF162" s="1">
        <v>2894712.43</v>
      </c>
      <c r="AG162" s="2">
        <v>41263.0</v>
      </c>
      <c r="AH162" s="1">
        <v>1200.0</v>
      </c>
      <c r="AI162" s="1" t="s">
        <v>647</v>
      </c>
      <c r="AJ162" s="1" t="s">
        <v>669</v>
      </c>
      <c r="AK162" s="1" t="s">
        <v>670</v>
      </c>
      <c r="AL162" s="1">
        <v>8.0</v>
      </c>
      <c r="AM162" s="1">
        <v>2013.0</v>
      </c>
      <c r="AN162" s="1">
        <v>2013.0</v>
      </c>
      <c r="AO162" s="1" t="s">
        <v>671</v>
      </c>
    </row>
    <row r="163">
      <c r="A163" s="5">
        <v>1.0</v>
      </c>
      <c r="B163" s="1">
        <f t="shared" si="1"/>
        <v>163</v>
      </c>
      <c r="C163" s="1" t="s">
        <v>672</v>
      </c>
      <c r="D163" s="1" t="s">
        <v>672</v>
      </c>
      <c r="E163" s="1" t="s">
        <v>224</v>
      </c>
      <c r="G163" s="1">
        <v>406043.0</v>
      </c>
      <c r="H163" s="2">
        <v>41460.0</v>
      </c>
      <c r="I163" s="1" t="s">
        <v>673</v>
      </c>
      <c r="K163" s="1" t="s">
        <v>673</v>
      </c>
      <c r="N163" s="1" t="s">
        <v>151</v>
      </c>
      <c r="O163" s="1">
        <v>6900.0</v>
      </c>
      <c r="P163" s="1" t="s">
        <v>151</v>
      </c>
      <c r="Q163" s="1" t="str">
        <f>IF(ISERROR(VLOOKUP(P163,'unique fed agency names'!A:C,3,FALSE)),P163,VLOOKUP(P163,'unique fed agency names'!A:C,3,FALSE))
</f>
        <v>U.S. Department of Transportation (DOT)</v>
      </c>
      <c r="R163" s="1">
        <v>4.057865E7</v>
      </c>
      <c r="S163" s="1" t="s">
        <v>661</v>
      </c>
      <c r="T163" s="1" t="str">
        <f>IF(ISERROR(VLOOKUP(S163,'unique org names'!A:C,3,FALSE)),S163,VLOOKUP(S163,'unique org names'!A:C,3,FALSE))
</f>
        <v>SOUTHEAST MICHIGAN COUNCIL OF GOVERNMENTS</v>
      </c>
      <c r="V163" s="1" t="s">
        <v>662</v>
      </c>
      <c r="W163" s="1" t="s">
        <v>44</v>
      </c>
      <c r="X163" s="1" t="s">
        <v>45</v>
      </c>
      <c r="Y163" s="1">
        <v>4.82263602E8</v>
      </c>
      <c r="AA163" s="1" t="s">
        <v>44</v>
      </c>
      <c r="AB163" s="1" t="s">
        <v>45</v>
      </c>
      <c r="AC163" s="1">
        <v>4.82263602E8</v>
      </c>
      <c r="AF163" s="1">
        <v>406043.11</v>
      </c>
      <c r="AG163" s="2">
        <v>41460.0</v>
      </c>
      <c r="AH163" s="1">
        <v>6900.0</v>
      </c>
      <c r="AI163" s="1" t="s">
        <v>151</v>
      </c>
      <c r="AJ163" s="1">
        <v>1.0</v>
      </c>
      <c r="AK163" s="1" t="s">
        <v>673</v>
      </c>
      <c r="AL163" s="1">
        <v>8.0</v>
      </c>
      <c r="AM163" s="1">
        <v>2013.0</v>
      </c>
      <c r="AN163" s="1">
        <v>2013.0</v>
      </c>
      <c r="AO163" s="1" t="s">
        <v>229</v>
      </c>
    </row>
    <row r="164">
      <c r="A164" s="5">
        <v>1.0</v>
      </c>
      <c r="B164" s="1">
        <f t="shared" si="1"/>
        <v>164</v>
      </c>
      <c r="C164" s="1" t="s">
        <v>674</v>
      </c>
      <c r="D164" s="1" t="s">
        <v>674</v>
      </c>
      <c r="E164" s="1" t="s">
        <v>224</v>
      </c>
      <c r="G164" s="1">
        <v>166365.0</v>
      </c>
      <c r="H164" s="2">
        <v>41460.0</v>
      </c>
      <c r="I164" s="1" t="s">
        <v>675</v>
      </c>
      <c r="K164" s="1" t="s">
        <v>675</v>
      </c>
      <c r="N164" s="1" t="s">
        <v>151</v>
      </c>
      <c r="O164" s="1">
        <v>6900.0</v>
      </c>
      <c r="P164" s="1" t="s">
        <v>151</v>
      </c>
      <c r="Q164" s="1" t="str">
        <f>IF(ISERROR(VLOOKUP(P164,'unique fed agency names'!A:C,3,FALSE)),P164,VLOOKUP(P164,'unique fed agency names'!A:C,3,FALSE))
</f>
        <v>U.S. Department of Transportation (DOT)</v>
      </c>
      <c r="R164" s="1">
        <v>4.057865E7</v>
      </c>
      <c r="S164" s="1" t="s">
        <v>661</v>
      </c>
      <c r="T164" s="1" t="str">
        <f>IF(ISERROR(VLOOKUP(S164,'unique org names'!A:C,3,FALSE)),S164,VLOOKUP(S164,'unique org names'!A:C,3,FALSE))
</f>
        <v>SOUTHEAST MICHIGAN COUNCIL OF GOVERNMENTS</v>
      </c>
      <c r="V164" s="1" t="s">
        <v>662</v>
      </c>
      <c r="W164" s="1" t="s">
        <v>44</v>
      </c>
      <c r="X164" s="1" t="s">
        <v>45</v>
      </c>
      <c r="Y164" s="1">
        <v>4.82263602E8</v>
      </c>
      <c r="AA164" s="1" t="s">
        <v>44</v>
      </c>
      <c r="AB164" s="1" t="s">
        <v>45</v>
      </c>
      <c r="AC164" s="1">
        <v>4.82263602E8</v>
      </c>
      <c r="AF164" s="1">
        <v>166365.85</v>
      </c>
      <c r="AG164" s="2">
        <v>41460.0</v>
      </c>
      <c r="AH164" s="1">
        <v>6900.0</v>
      </c>
      <c r="AI164" s="1" t="s">
        <v>151</v>
      </c>
      <c r="AJ164" s="1">
        <v>1.0</v>
      </c>
      <c r="AK164" s="1" t="s">
        <v>675</v>
      </c>
      <c r="AL164" s="1">
        <v>8.0</v>
      </c>
      <c r="AM164" s="1">
        <v>2013.0</v>
      </c>
      <c r="AN164" s="1">
        <v>2013.0</v>
      </c>
      <c r="AO164" s="1" t="s">
        <v>229</v>
      </c>
    </row>
    <row r="165">
      <c r="A165" s="5">
        <v>1.0</v>
      </c>
      <c r="B165" s="1">
        <f t="shared" si="1"/>
        <v>165</v>
      </c>
      <c r="C165" s="1" t="s">
        <v>676</v>
      </c>
      <c r="D165" s="1" t="s">
        <v>676</v>
      </c>
      <c r="E165" s="1" t="s">
        <v>645</v>
      </c>
      <c r="G165" s="1">
        <v>3126270.0</v>
      </c>
      <c r="H165" s="2">
        <v>41193.0</v>
      </c>
      <c r="I165" s="1" t="s">
        <v>677</v>
      </c>
      <c r="K165" s="1" t="s">
        <v>677</v>
      </c>
      <c r="N165" s="1" t="s">
        <v>647</v>
      </c>
      <c r="O165" s="1">
        <v>1200.0</v>
      </c>
      <c r="P165" s="1" t="s">
        <v>647</v>
      </c>
      <c r="Q165" s="1" t="str">
        <f>IF(ISERROR(VLOOKUP(P165,'unique fed agency names'!A:C,3,FALSE)),P165,VLOOKUP(P165,'unique fed agency names'!A:C,3,FALSE))
</f>
        <v>U.S. Department of Agriculture (USDA)</v>
      </c>
      <c r="R165" s="1">
        <v>7.6340843E7</v>
      </c>
      <c r="S165" s="1" t="s">
        <v>461</v>
      </c>
      <c r="T165" s="1" t="str">
        <f>IF(ISERROR(VLOOKUP(S165,'unique org names'!A:C,3,FALSE)),S165,VLOOKUP(S165,'unique org names'!A:C,3,FALSE))
</f>
        <v>BOARD OF EDUCATION OF THE CITY OF DETROIT</v>
      </c>
      <c r="U165" s="1" t="s">
        <v>459</v>
      </c>
      <c r="V165" s="1" t="s">
        <v>524</v>
      </c>
      <c r="W165" s="1" t="s">
        <v>44</v>
      </c>
      <c r="X165" s="1" t="s">
        <v>45</v>
      </c>
      <c r="Y165" s="1">
        <v>4.82023046E8</v>
      </c>
      <c r="AA165" s="1" t="s">
        <v>44</v>
      </c>
      <c r="AB165" s="1" t="s">
        <v>45</v>
      </c>
      <c r="AC165" s="1">
        <v>4.82023096E8</v>
      </c>
      <c r="AD165" s="1">
        <v>7.6340843E7</v>
      </c>
      <c r="AE165" s="1" t="s">
        <v>461</v>
      </c>
      <c r="AF165" s="1">
        <v>465232.0</v>
      </c>
      <c r="AG165" s="2">
        <v>41193.0</v>
      </c>
      <c r="AH165" s="1">
        <v>1200.0</v>
      </c>
      <c r="AI165" s="1" t="s">
        <v>647</v>
      </c>
      <c r="AJ165" s="1" t="s">
        <v>678</v>
      </c>
      <c r="AK165" s="1" t="s">
        <v>679</v>
      </c>
      <c r="AL165" s="1">
        <v>8.0</v>
      </c>
      <c r="AM165" s="1">
        <v>2013.0</v>
      </c>
      <c r="AN165" s="1">
        <v>2013.0</v>
      </c>
      <c r="AO165" s="1" t="s">
        <v>680</v>
      </c>
    </row>
    <row r="166">
      <c r="A166" s="5">
        <v>1.0</v>
      </c>
      <c r="B166" s="1">
        <f t="shared" si="1"/>
        <v>166</v>
      </c>
      <c r="C166" s="1" t="s">
        <v>681</v>
      </c>
      <c r="D166" s="1" t="s">
        <v>681</v>
      </c>
      <c r="E166" s="1" t="s">
        <v>100</v>
      </c>
      <c r="G166" s="1">
        <v>5.0578088E7</v>
      </c>
      <c r="H166" s="2">
        <v>41275.0</v>
      </c>
      <c r="I166" s="1" t="s">
        <v>122</v>
      </c>
      <c r="K166" s="1" t="s">
        <v>122</v>
      </c>
      <c r="N166" s="1" t="s">
        <v>102</v>
      </c>
      <c r="O166" s="1">
        <v>8600.0</v>
      </c>
      <c r="P166" s="1" t="s">
        <v>102</v>
      </c>
      <c r="Q166" s="1" t="str">
        <f>IF(ISERROR(VLOOKUP(P166,'unique fed agency names'!A:C,3,FALSE)),P166,VLOOKUP(P166,'unique fed agency names'!A:C,3,FALSE))
</f>
        <v>U.S. Department of Housing and Urban Development (HUD)</v>
      </c>
      <c r="R166" s="1">
        <v>9.64523815E8</v>
      </c>
      <c r="S166" s="1" t="s">
        <v>123</v>
      </c>
      <c r="T166" s="1" t="str">
        <f>IF(ISERROR(VLOOKUP(S166,'unique org names'!A:C,3,FALSE)),S166,VLOOKUP(S166,'unique org names'!A:C,3,FALSE))
</f>
        <v>GRANDMONT ROSEDALE DEVELOPMENT CORPORATION</v>
      </c>
      <c r="U166" s="1" t="s">
        <v>124</v>
      </c>
      <c r="V166" s="1" t="s">
        <v>125</v>
      </c>
      <c r="W166" s="1" t="s">
        <v>44</v>
      </c>
      <c r="X166" s="1" t="s">
        <v>45</v>
      </c>
      <c r="Y166" s="1">
        <v>4.82231227E8</v>
      </c>
      <c r="AA166" s="1" t="s">
        <v>44</v>
      </c>
      <c r="AB166" s="1" t="s">
        <v>45</v>
      </c>
      <c r="AC166" s="1">
        <v>4.82231227E8</v>
      </c>
      <c r="AF166" s="1">
        <v>40000.0</v>
      </c>
      <c r="AG166" s="2">
        <v>41275.0</v>
      </c>
      <c r="AH166" s="1">
        <v>8600.0</v>
      </c>
      <c r="AI166" s="1" t="s">
        <v>102</v>
      </c>
      <c r="AJ166" s="1" t="s">
        <v>682</v>
      </c>
      <c r="AK166" s="1" t="s">
        <v>683</v>
      </c>
      <c r="AL166" s="1">
        <v>6.0</v>
      </c>
      <c r="AM166" s="1">
        <v>2013.0</v>
      </c>
      <c r="AN166" s="1">
        <v>2013.0</v>
      </c>
      <c r="AO166" s="1" t="s">
        <v>127</v>
      </c>
    </row>
    <row r="167">
      <c r="A167" s="5">
        <v>1.0</v>
      </c>
      <c r="B167" s="1">
        <f t="shared" si="1"/>
        <v>167</v>
      </c>
      <c r="C167" s="1" t="s">
        <v>684</v>
      </c>
      <c r="D167" s="1" t="s">
        <v>684</v>
      </c>
      <c r="E167" s="1" t="s">
        <v>194</v>
      </c>
      <c r="G167" s="1">
        <v>1.0570367E7</v>
      </c>
      <c r="H167" s="2">
        <v>41395.0</v>
      </c>
      <c r="I167" s="1" t="s">
        <v>685</v>
      </c>
      <c r="K167" s="1" t="s">
        <v>685</v>
      </c>
      <c r="N167" s="1" t="s">
        <v>194</v>
      </c>
      <c r="O167" s="1">
        <v>9100.0</v>
      </c>
      <c r="P167" s="1" t="s">
        <v>194</v>
      </c>
      <c r="Q167" s="1" t="str">
        <f>IF(ISERROR(VLOOKUP(P167,'unique fed agency names'!A:C,3,FALSE)),P167,VLOOKUP(P167,'unique fed agency names'!A:C,3,FALSE))
</f>
        <v>U.S. Department of Education (ED)</v>
      </c>
      <c r="R167" s="1">
        <v>3.9866801E7</v>
      </c>
      <c r="S167" s="1" t="s">
        <v>612</v>
      </c>
      <c r="T167" s="1" t="str">
        <f>IF(ISERROR(VLOOKUP(S167,'unique org names'!A:C,3,FALSE)),S167,VLOOKUP(S167,'unique org names'!A:C,3,FALSE))
</f>
        <v>HAMTRAMCK PUBLIC SCHOOLS</v>
      </c>
      <c r="V167" s="1" t="s">
        <v>613</v>
      </c>
      <c r="W167" s="1" t="s">
        <v>44</v>
      </c>
      <c r="X167" s="1" t="s">
        <v>45</v>
      </c>
      <c r="Y167" s="1">
        <v>4.82123753E8</v>
      </c>
      <c r="AA167" s="1" t="s">
        <v>607</v>
      </c>
      <c r="AB167" s="1" t="s">
        <v>45</v>
      </c>
      <c r="AC167" s="1">
        <v>4.82120012E8</v>
      </c>
      <c r="AD167" s="1">
        <v>3.9866801E7</v>
      </c>
      <c r="AE167" s="1" t="s">
        <v>612</v>
      </c>
      <c r="AF167" s="1">
        <v>244869.0</v>
      </c>
      <c r="AG167" s="2">
        <v>41395.0</v>
      </c>
      <c r="AH167" s="1">
        <v>9100.0</v>
      </c>
      <c r="AI167" s="1" t="s">
        <v>194</v>
      </c>
      <c r="AJ167" s="1" t="s">
        <v>686</v>
      </c>
      <c r="AK167" s="1" t="s">
        <v>687</v>
      </c>
      <c r="AL167" s="1">
        <v>7.0</v>
      </c>
      <c r="AM167" s="1">
        <v>2013.0</v>
      </c>
      <c r="AN167" s="1">
        <v>2013.0</v>
      </c>
      <c r="AO167" s="1" t="s">
        <v>688</v>
      </c>
    </row>
    <row r="168">
      <c r="A168" s="5">
        <v>1.0</v>
      </c>
      <c r="B168" s="1">
        <f t="shared" si="1"/>
        <v>168</v>
      </c>
      <c r="C168" s="1" t="s">
        <v>684</v>
      </c>
      <c r="D168" s="1" t="s">
        <v>684</v>
      </c>
      <c r="E168" s="1" t="s">
        <v>194</v>
      </c>
      <c r="G168" s="1">
        <v>1.0570367E7</v>
      </c>
      <c r="H168" s="2">
        <v>41422.0</v>
      </c>
      <c r="I168" s="1" t="s">
        <v>685</v>
      </c>
      <c r="K168" s="1" t="s">
        <v>685</v>
      </c>
      <c r="N168" s="1" t="s">
        <v>194</v>
      </c>
      <c r="O168" s="1">
        <v>9100.0</v>
      </c>
      <c r="P168" s="1" t="s">
        <v>194</v>
      </c>
      <c r="Q168" s="1" t="str">
        <f>IF(ISERROR(VLOOKUP(P168,'unique fed agency names'!A:C,3,FALSE)),P168,VLOOKUP(P168,'unique fed agency names'!A:C,3,FALSE))
</f>
        <v>U.S. Department of Education (ED)</v>
      </c>
      <c r="R168" s="1">
        <v>7.6340843E7</v>
      </c>
      <c r="S168" s="1" t="s">
        <v>461</v>
      </c>
      <c r="T168" s="1" t="str">
        <f>IF(ISERROR(VLOOKUP(S168,'unique org names'!A:C,3,FALSE)),S168,VLOOKUP(S168,'unique org names'!A:C,3,FALSE))
</f>
        <v>BOARD OF EDUCATION OF THE CITY OF DETROIT</v>
      </c>
      <c r="U168" s="1" t="s">
        <v>459</v>
      </c>
      <c r="V168" s="1" t="s">
        <v>524</v>
      </c>
      <c r="W168" s="1" t="s">
        <v>44</v>
      </c>
      <c r="X168" s="1" t="s">
        <v>45</v>
      </c>
      <c r="Y168" s="1">
        <v>4.82023046E8</v>
      </c>
      <c r="AA168" s="1" t="s">
        <v>44</v>
      </c>
      <c r="AB168" s="1" t="s">
        <v>45</v>
      </c>
      <c r="AC168" s="1">
        <v>4.82023096E8</v>
      </c>
      <c r="AD168" s="1">
        <v>7.6340843E7</v>
      </c>
      <c r="AE168" s="1" t="s">
        <v>461</v>
      </c>
      <c r="AF168" s="1">
        <v>111153.0</v>
      </c>
      <c r="AG168" s="2">
        <v>41422.0</v>
      </c>
      <c r="AH168" s="1">
        <v>9100.0</v>
      </c>
      <c r="AI168" s="1" t="s">
        <v>194</v>
      </c>
      <c r="AJ168" s="1" t="s">
        <v>689</v>
      </c>
      <c r="AK168" s="1" t="s">
        <v>687</v>
      </c>
      <c r="AL168" s="1">
        <v>7.0</v>
      </c>
      <c r="AM168" s="1">
        <v>2013.0</v>
      </c>
      <c r="AN168" s="1">
        <v>2013.0</v>
      </c>
      <c r="AO168" s="1" t="s">
        <v>688</v>
      </c>
    </row>
    <row r="169">
      <c r="A169" s="5">
        <v>1.0</v>
      </c>
      <c r="B169" s="1">
        <f t="shared" si="1"/>
        <v>169</v>
      </c>
      <c r="C169" s="1" t="s">
        <v>684</v>
      </c>
      <c r="D169" s="1" t="s">
        <v>684</v>
      </c>
      <c r="E169" s="1" t="s">
        <v>194</v>
      </c>
      <c r="G169" s="1">
        <v>1.0570367E7</v>
      </c>
      <c r="H169" s="2">
        <v>41367.0</v>
      </c>
      <c r="I169" s="1" t="s">
        <v>685</v>
      </c>
      <c r="K169" s="1" t="s">
        <v>685</v>
      </c>
      <c r="N169" s="1" t="s">
        <v>194</v>
      </c>
      <c r="O169" s="1">
        <v>9100.0</v>
      </c>
      <c r="P169" s="1" t="s">
        <v>194</v>
      </c>
      <c r="Q169" s="1" t="str">
        <f>IF(ISERROR(VLOOKUP(P169,'unique fed agency names'!A:C,3,FALSE)),P169,VLOOKUP(P169,'unique fed agency names'!A:C,3,FALSE))
</f>
        <v>U.S. Department of Education (ED)</v>
      </c>
      <c r="R169" s="1">
        <v>7.97531279E8</v>
      </c>
      <c r="S169" s="1" t="s">
        <v>496</v>
      </c>
      <c r="T169" s="1" t="str">
        <f>IF(ISERROR(VLOOKUP(S169,'unique org names'!A:C,3,FALSE)),S169,VLOOKUP(S169,'unique org names'!A:C,3,FALSE))
</f>
        <v>BRIDGE ACADEMY</v>
      </c>
      <c r="V169" s="1" t="s">
        <v>497</v>
      </c>
      <c r="W169" s="1" t="s">
        <v>44</v>
      </c>
      <c r="X169" s="1" t="s">
        <v>45</v>
      </c>
      <c r="Y169" s="1">
        <v>4.82123323E8</v>
      </c>
      <c r="AA169" s="1" t="s">
        <v>498</v>
      </c>
      <c r="AB169" s="1" t="s">
        <v>45</v>
      </c>
      <c r="AC169" s="1">
        <v>4.82123323E8</v>
      </c>
      <c r="AF169" s="1">
        <v>53869.0</v>
      </c>
      <c r="AG169" s="2">
        <v>41367.0</v>
      </c>
      <c r="AH169" s="1">
        <v>9100.0</v>
      </c>
      <c r="AI169" s="1" t="s">
        <v>194</v>
      </c>
      <c r="AJ169" s="1" t="s">
        <v>690</v>
      </c>
      <c r="AK169" s="1" t="s">
        <v>687</v>
      </c>
      <c r="AL169" s="1">
        <v>7.0</v>
      </c>
      <c r="AM169" s="1">
        <v>2013.0</v>
      </c>
      <c r="AN169" s="1">
        <v>2013.0</v>
      </c>
      <c r="AO169" s="1" t="s">
        <v>688</v>
      </c>
    </row>
    <row r="170">
      <c r="A170" s="5">
        <v>1.0</v>
      </c>
      <c r="B170" s="1">
        <f t="shared" si="1"/>
        <v>170</v>
      </c>
      <c r="C170" s="1" t="s">
        <v>684</v>
      </c>
      <c r="D170" s="1" t="s">
        <v>684</v>
      </c>
      <c r="E170" s="1" t="s">
        <v>194</v>
      </c>
      <c r="G170" s="1">
        <v>1.0570367E7</v>
      </c>
      <c r="H170" s="2">
        <v>41348.0</v>
      </c>
      <c r="I170" s="1" t="s">
        <v>685</v>
      </c>
      <c r="K170" s="1" t="s">
        <v>685</v>
      </c>
      <c r="N170" s="1" t="s">
        <v>194</v>
      </c>
      <c r="O170" s="1">
        <v>9100.0</v>
      </c>
      <c r="P170" s="1" t="s">
        <v>194</v>
      </c>
      <c r="Q170" s="1" t="str">
        <f>IF(ISERROR(VLOOKUP(P170,'unique fed agency names'!A:C,3,FALSE)),P170,VLOOKUP(P170,'unique fed agency names'!A:C,3,FALSE))
</f>
        <v>U.S. Department of Education (ED)</v>
      </c>
      <c r="R170" s="1">
        <v>7.93697355E8</v>
      </c>
      <c r="S170" s="1" t="s">
        <v>691</v>
      </c>
      <c r="T170" s="1" t="str">
        <f>IF(ISERROR(VLOOKUP(S170,'unique org names'!A:C,3,FALSE)),S170,VLOOKUP(S170,'unique org names'!A:C,3,FALSE))
</f>
        <v>OAKLAND INTERNATIONAL ACADEMY</v>
      </c>
      <c r="V170" s="1" t="s">
        <v>692</v>
      </c>
      <c r="W170" s="1" t="s">
        <v>44</v>
      </c>
      <c r="X170" s="1" t="s">
        <v>45</v>
      </c>
      <c r="Y170" s="1">
        <v>4.82111554E8</v>
      </c>
      <c r="AA170" s="1" t="s">
        <v>44</v>
      </c>
      <c r="AB170" s="1" t="s">
        <v>45</v>
      </c>
      <c r="AC170" s="1">
        <v>4.82111552E8</v>
      </c>
      <c r="AF170" s="1">
        <v>115723.0</v>
      </c>
      <c r="AG170" s="2">
        <v>41348.0</v>
      </c>
      <c r="AH170" s="1">
        <v>9100.0</v>
      </c>
      <c r="AI170" s="1" t="s">
        <v>194</v>
      </c>
      <c r="AJ170" s="1" t="s">
        <v>693</v>
      </c>
      <c r="AK170" s="1" t="s">
        <v>687</v>
      </c>
      <c r="AL170" s="1">
        <v>7.0</v>
      </c>
      <c r="AM170" s="1">
        <v>2013.0</v>
      </c>
      <c r="AN170" s="1">
        <v>2013.0</v>
      </c>
      <c r="AO170" s="1" t="s">
        <v>688</v>
      </c>
    </row>
    <row r="171">
      <c r="A171" s="5">
        <v>1.0</v>
      </c>
      <c r="B171" s="1">
        <f t="shared" si="1"/>
        <v>171</v>
      </c>
      <c r="C171" s="1" t="s">
        <v>684</v>
      </c>
      <c r="D171" s="1" t="s">
        <v>684</v>
      </c>
      <c r="E171" s="1" t="s">
        <v>194</v>
      </c>
      <c r="G171" s="1">
        <v>1.0570367E7</v>
      </c>
      <c r="H171" s="2">
        <v>41422.0</v>
      </c>
      <c r="I171" s="1" t="s">
        <v>685</v>
      </c>
      <c r="K171" s="1" t="s">
        <v>685</v>
      </c>
      <c r="N171" s="1" t="s">
        <v>194</v>
      </c>
      <c r="O171" s="1">
        <v>9100.0</v>
      </c>
      <c r="P171" s="1" t="s">
        <v>194</v>
      </c>
      <c r="Q171" s="1" t="str">
        <f>IF(ISERROR(VLOOKUP(P171,'unique fed agency names'!A:C,3,FALSE)),P171,VLOOKUP(P171,'unique fed agency names'!A:C,3,FALSE))
</f>
        <v>U.S. Department of Education (ED)</v>
      </c>
      <c r="R171" s="1">
        <v>7.6340843E7</v>
      </c>
      <c r="S171" s="1" t="s">
        <v>461</v>
      </c>
      <c r="T171" s="1" t="str">
        <f>IF(ISERROR(VLOOKUP(S171,'unique org names'!A:C,3,FALSE)),S171,VLOOKUP(S171,'unique org names'!A:C,3,FALSE))
</f>
        <v>BOARD OF EDUCATION OF THE CITY OF DETROIT</v>
      </c>
      <c r="U171" s="1" t="s">
        <v>459</v>
      </c>
      <c r="V171" s="1" t="s">
        <v>524</v>
      </c>
      <c r="W171" s="1" t="s">
        <v>44</v>
      </c>
      <c r="X171" s="1" t="s">
        <v>45</v>
      </c>
      <c r="Y171" s="1">
        <v>4.82023046E8</v>
      </c>
      <c r="AA171" s="1" t="s">
        <v>44</v>
      </c>
      <c r="AB171" s="1" t="s">
        <v>45</v>
      </c>
      <c r="AC171" s="1">
        <v>4.82023096E8</v>
      </c>
      <c r="AD171" s="1">
        <v>7.6340843E7</v>
      </c>
      <c r="AE171" s="1" t="s">
        <v>461</v>
      </c>
      <c r="AF171" s="1">
        <v>2339537.0</v>
      </c>
      <c r="AG171" s="2">
        <v>41422.0</v>
      </c>
      <c r="AH171" s="1">
        <v>9100.0</v>
      </c>
      <c r="AI171" s="1" t="s">
        <v>194</v>
      </c>
      <c r="AJ171" s="1" t="s">
        <v>694</v>
      </c>
      <c r="AK171" s="1" t="s">
        <v>687</v>
      </c>
      <c r="AL171" s="1">
        <v>7.0</v>
      </c>
      <c r="AM171" s="1">
        <v>2013.0</v>
      </c>
      <c r="AN171" s="1">
        <v>2013.0</v>
      </c>
      <c r="AO171" s="1" t="s">
        <v>688</v>
      </c>
    </row>
    <row r="172">
      <c r="A172" s="5">
        <v>1.0</v>
      </c>
      <c r="B172" s="1">
        <f t="shared" si="1"/>
        <v>172</v>
      </c>
      <c r="C172" s="1" t="s">
        <v>684</v>
      </c>
      <c r="D172" s="1" t="s">
        <v>684</v>
      </c>
      <c r="E172" s="1" t="s">
        <v>194</v>
      </c>
      <c r="G172" s="1">
        <v>1.0570367E7</v>
      </c>
      <c r="H172" s="2">
        <v>41395.0</v>
      </c>
      <c r="I172" s="1" t="s">
        <v>685</v>
      </c>
      <c r="K172" s="1" t="s">
        <v>685</v>
      </c>
      <c r="N172" s="1" t="s">
        <v>194</v>
      </c>
      <c r="O172" s="1">
        <v>9100.0</v>
      </c>
      <c r="P172" s="1" t="s">
        <v>194</v>
      </c>
      <c r="Q172" s="1" t="str">
        <f>IF(ISERROR(VLOOKUP(P172,'unique fed agency names'!A:C,3,FALSE)),P172,VLOOKUP(P172,'unique fed agency names'!A:C,3,FALSE))
</f>
        <v>U.S. Department of Education (ED)</v>
      </c>
      <c r="R172" s="1">
        <v>3.9866801E7</v>
      </c>
      <c r="S172" s="1" t="s">
        <v>612</v>
      </c>
      <c r="T172" s="1" t="str">
        <f>IF(ISERROR(VLOOKUP(S172,'unique org names'!A:C,3,FALSE)),S172,VLOOKUP(S172,'unique org names'!A:C,3,FALSE))
</f>
        <v>HAMTRAMCK PUBLIC SCHOOLS</v>
      </c>
      <c r="V172" s="1" t="s">
        <v>613</v>
      </c>
      <c r="W172" s="1" t="s">
        <v>44</v>
      </c>
      <c r="X172" s="1" t="s">
        <v>45</v>
      </c>
      <c r="Y172" s="1">
        <v>4.82123753E8</v>
      </c>
      <c r="AA172" s="1" t="s">
        <v>607</v>
      </c>
      <c r="AB172" s="1" t="s">
        <v>45</v>
      </c>
      <c r="AC172" s="1">
        <v>4.82120012E8</v>
      </c>
      <c r="AD172" s="1">
        <v>3.9866801E7</v>
      </c>
      <c r="AE172" s="1" t="s">
        <v>612</v>
      </c>
      <c r="AF172" s="1">
        <v>105235.0</v>
      </c>
      <c r="AG172" s="2">
        <v>41395.0</v>
      </c>
      <c r="AH172" s="1">
        <v>9100.0</v>
      </c>
      <c r="AI172" s="1" t="s">
        <v>194</v>
      </c>
      <c r="AJ172" s="1" t="s">
        <v>695</v>
      </c>
      <c r="AK172" s="1" t="s">
        <v>687</v>
      </c>
      <c r="AL172" s="1">
        <v>7.0</v>
      </c>
      <c r="AM172" s="1">
        <v>2013.0</v>
      </c>
      <c r="AN172" s="1">
        <v>2013.0</v>
      </c>
      <c r="AO172" s="1" t="s">
        <v>688</v>
      </c>
    </row>
    <row r="173">
      <c r="A173" s="5">
        <v>1.0</v>
      </c>
      <c r="B173" s="1">
        <f t="shared" si="1"/>
        <v>173</v>
      </c>
      <c r="C173" s="1" t="s">
        <v>684</v>
      </c>
      <c r="D173" s="1" t="s">
        <v>684</v>
      </c>
      <c r="E173" s="1" t="s">
        <v>194</v>
      </c>
      <c r="G173" s="1">
        <v>1.0570367E7</v>
      </c>
      <c r="H173" s="2">
        <v>41382.0</v>
      </c>
      <c r="I173" s="1" t="s">
        <v>685</v>
      </c>
      <c r="K173" s="1" t="s">
        <v>685</v>
      </c>
      <c r="N173" s="1" t="s">
        <v>194</v>
      </c>
      <c r="O173" s="1">
        <v>9100.0</v>
      </c>
      <c r="P173" s="1" t="s">
        <v>194</v>
      </c>
      <c r="Q173" s="1" t="str">
        <f>IF(ISERROR(VLOOKUP(P173,'unique fed agency names'!A:C,3,FALSE)),P173,VLOOKUP(P173,'unique fed agency names'!A:C,3,FALSE))
</f>
        <v>U.S. Department of Education (ED)</v>
      </c>
      <c r="R173" s="1">
        <v>7.97531295E8</v>
      </c>
      <c r="S173" s="1" t="s">
        <v>582</v>
      </c>
      <c r="T173" s="1" t="str">
        <f>IF(ISERROR(VLOOKUP(S173,'unique org names'!A:C,3,FALSE)),S173,VLOOKUP(S173,'unique org names'!A:C,3,FALSE))
</f>
        <v>FRONTIER INTERNATIONAL ACADEMY, THE</v>
      </c>
      <c r="V173" s="1" t="s">
        <v>583</v>
      </c>
      <c r="W173" s="1" t="s">
        <v>44</v>
      </c>
      <c r="X173" s="1" t="s">
        <v>45</v>
      </c>
      <c r="Y173" s="1">
        <v>4.82123452E8</v>
      </c>
      <c r="AA173" s="1" t="s">
        <v>498</v>
      </c>
      <c r="AB173" s="1" t="s">
        <v>45</v>
      </c>
      <c r="AC173" s="1">
        <v>4.82123452E8</v>
      </c>
      <c r="AF173" s="1">
        <v>32229.0</v>
      </c>
      <c r="AG173" s="2">
        <v>41382.0</v>
      </c>
      <c r="AH173" s="1">
        <v>9100.0</v>
      </c>
      <c r="AI173" s="1" t="s">
        <v>194</v>
      </c>
      <c r="AJ173" s="1" t="s">
        <v>696</v>
      </c>
      <c r="AK173" s="1" t="s">
        <v>687</v>
      </c>
      <c r="AL173" s="1">
        <v>7.0</v>
      </c>
      <c r="AM173" s="1">
        <v>2013.0</v>
      </c>
      <c r="AN173" s="1">
        <v>2013.0</v>
      </c>
      <c r="AO173" s="1" t="s">
        <v>688</v>
      </c>
    </row>
    <row r="174">
      <c r="A174" s="5">
        <v>1.0</v>
      </c>
      <c r="B174" s="1">
        <f t="shared" si="1"/>
        <v>174</v>
      </c>
      <c r="C174" s="1" t="s">
        <v>684</v>
      </c>
      <c r="D174" s="1" t="s">
        <v>684</v>
      </c>
      <c r="E174" s="1" t="s">
        <v>194</v>
      </c>
      <c r="G174" s="1">
        <v>1.0570367E7</v>
      </c>
      <c r="H174" s="2">
        <v>41428.0</v>
      </c>
      <c r="I174" s="1" t="s">
        <v>685</v>
      </c>
      <c r="K174" s="1" t="s">
        <v>685</v>
      </c>
      <c r="N174" s="1" t="s">
        <v>194</v>
      </c>
      <c r="O174" s="1">
        <v>9100.0</v>
      </c>
      <c r="P174" s="1" t="s">
        <v>194</v>
      </c>
      <c r="Q174" s="1" t="str">
        <f>IF(ISERROR(VLOOKUP(P174,'unique fed agency names'!A:C,3,FALSE)),P174,VLOOKUP(P174,'unique fed agency names'!A:C,3,FALSE))
</f>
        <v>U.S. Department of Education (ED)</v>
      </c>
      <c r="R174" s="1">
        <v>1.98438892E8</v>
      </c>
      <c r="S174" s="1" t="s">
        <v>505</v>
      </c>
      <c r="T174" s="1" t="str">
        <f>IF(ISERROR(VLOOKUP(S174,'unique org names'!A:C,3,FALSE)),S174,VLOOKUP(S174,'unique org names'!A:C,3,FALSE))
</f>
        <v>HANLEY INTERNATIONAL ACADEMY, INC</v>
      </c>
      <c r="V174" s="1" t="s">
        <v>506</v>
      </c>
      <c r="W174" s="1" t="s">
        <v>44</v>
      </c>
      <c r="X174" s="1" t="s">
        <v>45</v>
      </c>
      <c r="Y174" s="1">
        <v>4.82123572E8</v>
      </c>
      <c r="AA174" s="1" t="s">
        <v>498</v>
      </c>
      <c r="AB174" s="1" t="s">
        <v>45</v>
      </c>
      <c r="AC174" s="1">
        <v>4.82123572E8</v>
      </c>
      <c r="AD174" s="1">
        <v>1.98438892E8</v>
      </c>
      <c r="AE174" s="1" t="s">
        <v>505</v>
      </c>
      <c r="AF174" s="1">
        <v>28039.0</v>
      </c>
      <c r="AG174" s="2">
        <v>41428.0</v>
      </c>
      <c r="AH174" s="1">
        <v>9100.0</v>
      </c>
      <c r="AI174" s="1" t="s">
        <v>194</v>
      </c>
      <c r="AJ174" s="1" t="s">
        <v>697</v>
      </c>
      <c r="AK174" s="1" t="s">
        <v>687</v>
      </c>
      <c r="AL174" s="1">
        <v>7.0</v>
      </c>
      <c r="AM174" s="1">
        <v>2013.0</v>
      </c>
      <c r="AN174" s="1">
        <v>2013.0</v>
      </c>
      <c r="AO174" s="1" t="s">
        <v>688</v>
      </c>
    </row>
    <row r="175">
      <c r="A175" s="5">
        <v>1.0</v>
      </c>
      <c r="B175" s="1">
        <f t="shared" si="1"/>
        <v>175</v>
      </c>
      <c r="C175" s="1" t="s">
        <v>684</v>
      </c>
      <c r="D175" s="1" t="s">
        <v>684</v>
      </c>
      <c r="E175" s="1" t="s">
        <v>194</v>
      </c>
      <c r="G175" s="1">
        <v>1.0570367E7</v>
      </c>
      <c r="H175" s="2">
        <v>41367.0</v>
      </c>
      <c r="I175" s="1" t="s">
        <v>685</v>
      </c>
      <c r="K175" s="1" t="s">
        <v>685</v>
      </c>
      <c r="N175" s="1" t="s">
        <v>194</v>
      </c>
      <c r="O175" s="1">
        <v>9100.0</v>
      </c>
      <c r="P175" s="1" t="s">
        <v>194</v>
      </c>
      <c r="Q175" s="1" t="str">
        <f>IF(ISERROR(VLOOKUP(P175,'unique fed agency names'!A:C,3,FALSE)),P175,VLOOKUP(P175,'unique fed agency names'!A:C,3,FALSE))
</f>
        <v>U.S. Department of Education (ED)</v>
      </c>
      <c r="R175" s="1">
        <v>7.97531279E8</v>
      </c>
      <c r="S175" s="1" t="s">
        <v>496</v>
      </c>
      <c r="T175" s="1" t="str">
        <f>IF(ISERROR(VLOOKUP(S175,'unique org names'!A:C,3,FALSE)),S175,VLOOKUP(S175,'unique org names'!A:C,3,FALSE))
</f>
        <v>BRIDGE ACADEMY</v>
      </c>
      <c r="V175" s="1" t="s">
        <v>497</v>
      </c>
      <c r="W175" s="1" t="s">
        <v>44</v>
      </c>
      <c r="X175" s="1" t="s">
        <v>45</v>
      </c>
      <c r="Y175" s="1">
        <v>4.82123323E8</v>
      </c>
      <c r="AA175" s="1" t="s">
        <v>498</v>
      </c>
      <c r="AB175" s="1" t="s">
        <v>45</v>
      </c>
      <c r="AC175" s="1">
        <v>4.82123323E8</v>
      </c>
      <c r="AF175" s="1">
        <v>46058.0</v>
      </c>
      <c r="AG175" s="2">
        <v>41367.0</v>
      </c>
      <c r="AH175" s="1">
        <v>9100.0</v>
      </c>
      <c r="AI175" s="1" t="s">
        <v>194</v>
      </c>
      <c r="AJ175" s="1" t="s">
        <v>698</v>
      </c>
      <c r="AK175" s="1" t="s">
        <v>687</v>
      </c>
      <c r="AL175" s="1">
        <v>7.0</v>
      </c>
      <c r="AM175" s="1">
        <v>2013.0</v>
      </c>
      <c r="AN175" s="1">
        <v>2013.0</v>
      </c>
      <c r="AO175" s="1" t="s">
        <v>688</v>
      </c>
    </row>
    <row r="176">
      <c r="A176" s="5">
        <v>1.0</v>
      </c>
      <c r="B176" s="1">
        <f t="shared" si="1"/>
        <v>176</v>
      </c>
      <c r="C176" s="1" t="s">
        <v>684</v>
      </c>
      <c r="D176" s="1" t="s">
        <v>684</v>
      </c>
      <c r="E176" s="1" t="s">
        <v>194</v>
      </c>
      <c r="G176" s="1">
        <v>1.0570367E7</v>
      </c>
      <c r="H176" s="2">
        <v>41351.0</v>
      </c>
      <c r="I176" s="1" t="s">
        <v>685</v>
      </c>
      <c r="K176" s="1" t="s">
        <v>685</v>
      </c>
      <c r="N176" s="1" t="s">
        <v>194</v>
      </c>
      <c r="O176" s="1">
        <v>9100.0</v>
      </c>
      <c r="P176" s="1" t="s">
        <v>194</v>
      </c>
      <c r="Q176" s="1" t="str">
        <f>IF(ISERROR(VLOOKUP(P176,'unique fed agency names'!A:C,3,FALSE)),P176,VLOOKUP(P176,'unique fed agency names'!A:C,3,FALSE))
</f>
        <v>U.S. Department of Education (ED)</v>
      </c>
      <c r="R176" s="1">
        <v>5.2874042E7</v>
      </c>
      <c r="S176" s="1" t="s">
        <v>538</v>
      </c>
      <c r="T176" s="1" t="str">
        <f>IF(ISERROR(VLOOKUP(S176,'unique org names'!A:C,3,FALSE)),S176,VLOOKUP(S176,'unique org names'!A:C,3,FALSE))
</f>
        <v>CESAR CHAVEZ ACADEMY</v>
      </c>
      <c r="V176" s="1" t="s">
        <v>539</v>
      </c>
      <c r="W176" s="1" t="s">
        <v>44</v>
      </c>
      <c r="X176" s="1" t="s">
        <v>45</v>
      </c>
      <c r="Y176" s="1">
        <v>4.82091524E8</v>
      </c>
      <c r="AA176" s="1" t="s">
        <v>44</v>
      </c>
      <c r="AB176" s="1" t="s">
        <v>45</v>
      </c>
      <c r="AC176" s="1">
        <v>4.82091524E8</v>
      </c>
      <c r="AF176" s="1">
        <v>260211.0</v>
      </c>
      <c r="AG176" s="2">
        <v>41351.0</v>
      </c>
      <c r="AH176" s="1">
        <v>9100.0</v>
      </c>
      <c r="AI176" s="1" t="s">
        <v>194</v>
      </c>
      <c r="AJ176" s="1" t="s">
        <v>699</v>
      </c>
      <c r="AK176" s="1" t="s">
        <v>687</v>
      </c>
      <c r="AL176" s="1">
        <v>7.0</v>
      </c>
      <c r="AM176" s="1">
        <v>2013.0</v>
      </c>
      <c r="AN176" s="1">
        <v>2013.0</v>
      </c>
      <c r="AO176" s="1" t="s">
        <v>688</v>
      </c>
    </row>
    <row r="177">
      <c r="A177" s="5">
        <v>1.0</v>
      </c>
      <c r="B177" s="1">
        <f t="shared" si="1"/>
        <v>177</v>
      </c>
      <c r="C177" s="1" t="s">
        <v>684</v>
      </c>
      <c r="D177" s="1" t="s">
        <v>684</v>
      </c>
      <c r="E177" s="1" t="s">
        <v>194</v>
      </c>
      <c r="G177" s="1">
        <v>1.0570367E7</v>
      </c>
      <c r="H177" s="2">
        <v>41326.0</v>
      </c>
      <c r="I177" s="1" t="s">
        <v>685</v>
      </c>
      <c r="K177" s="1" t="s">
        <v>685</v>
      </c>
      <c r="N177" s="1" t="s">
        <v>194</v>
      </c>
      <c r="O177" s="1">
        <v>9100.0</v>
      </c>
      <c r="P177" s="1" t="s">
        <v>194</v>
      </c>
      <c r="Q177" s="1" t="str">
        <f>IF(ISERROR(VLOOKUP(P177,'unique fed agency names'!A:C,3,FALSE)),P177,VLOOKUP(P177,'unique fed agency names'!A:C,3,FALSE))
</f>
        <v>U.S. Department of Education (ED)</v>
      </c>
      <c r="R177" s="1">
        <v>6.6707493E7</v>
      </c>
      <c r="S177" s="1" t="s">
        <v>541</v>
      </c>
      <c r="T177" s="1" t="str">
        <f>IF(ISERROR(VLOOKUP(S177,'unique org names'!A:C,3,FALSE)),S177,VLOOKUP(S177,'unique org names'!A:C,3,FALSE))
</f>
        <v>HOPE OF DETROIT ACADEMY</v>
      </c>
      <c r="V177" s="1" t="s">
        <v>542</v>
      </c>
      <c r="W177" s="1" t="s">
        <v>44</v>
      </c>
      <c r="X177" s="1" t="s">
        <v>45</v>
      </c>
      <c r="Y177" s="1">
        <v>4.8210252E8</v>
      </c>
      <c r="AA177" s="1" t="s">
        <v>44</v>
      </c>
      <c r="AB177" s="1" t="s">
        <v>45</v>
      </c>
      <c r="AC177" s="1">
        <v>4.8210252E8</v>
      </c>
      <c r="AF177" s="1">
        <v>89720.0</v>
      </c>
      <c r="AG177" s="2">
        <v>41326.0</v>
      </c>
      <c r="AH177" s="1">
        <v>9100.0</v>
      </c>
      <c r="AI177" s="1" t="s">
        <v>194</v>
      </c>
      <c r="AJ177" s="1" t="s">
        <v>700</v>
      </c>
      <c r="AK177" s="1" t="s">
        <v>687</v>
      </c>
      <c r="AL177" s="1">
        <v>7.0</v>
      </c>
      <c r="AM177" s="1">
        <v>2013.0</v>
      </c>
      <c r="AN177" s="1">
        <v>2013.0</v>
      </c>
      <c r="AO177" s="1" t="s">
        <v>688</v>
      </c>
    </row>
    <row r="178">
      <c r="A178" s="5">
        <v>1.0</v>
      </c>
      <c r="B178" s="1">
        <f t="shared" si="1"/>
        <v>178</v>
      </c>
      <c r="C178" s="1" t="s">
        <v>137</v>
      </c>
      <c r="D178" s="1" t="s">
        <v>137</v>
      </c>
      <c r="E178" s="1" t="s">
        <v>129</v>
      </c>
      <c r="G178" s="1">
        <v>2.7215412E7</v>
      </c>
      <c r="H178" s="2">
        <v>41453.0</v>
      </c>
      <c r="I178" s="1" t="s">
        <v>138</v>
      </c>
      <c r="K178" s="1" t="s">
        <v>138</v>
      </c>
      <c r="N178" s="1" t="s">
        <v>40</v>
      </c>
      <c r="O178" s="1">
        <v>7500.0</v>
      </c>
      <c r="P178" s="1" t="s">
        <v>40</v>
      </c>
      <c r="Q178" s="1" t="str">
        <f>IF(ISERROR(VLOOKUP(P178,'unique fed agency names'!A:C,3,FALSE)),P178,VLOOKUP(P178,'unique fed agency names'!A:C,3,FALSE))
</f>
        <v>U.S. Department of Health and Human Services (DHHS)</v>
      </c>
      <c r="R178" s="1">
        <v>6.9840817E7</v>
      </c>
      <c r="S178" s="1" t="s">
        <v>131</v>
      </c>
      <c r="T178" s="1" t="str">
        <f>IF(ISERROR(VLOOKUP(S178,'unique org names'!A:C,3,FALSE)),S178,VLOOKUP(S178,'unique org names'!A:C,3,FALSE))
</f>
        <v>LUTHERAN SOCIAL SERVICES OF MICHIGAN</v>
      </c>
      <c r="V178" s="1" t="s">
        <v>132</v>
      </c>
      <c r="W178" s="1" t="s">
        <v>44</v>
      </c>
      <c r="X178" s="1" t="s">
        <v>45</v>
      </c>
      <c r="Y178" s="1">
        <v>4.8214261E8</v>
      </c>
      <c r="AA178" s="1" t="s">
        <v>46</v>
      </c>
      <c r="AB178" s="1" t="s">
        <v>45</v>
      </c>
      <c r="AC178" s="1">
        <v>4.8214261E8</v>
      </c>
      <c r="AD178" s="1">
        <v>6.9840817E7</v>
      </c>
      <c r="AE178" s="1" t="s">
        <v>131</v>
      </c>
      <c r="AF178" s="1">
        <v>263475.0</v>
      </c>
      <c r="AG178" s="2">
        <v>41453.0</v>
      </c>
      <c r="AH178" s="1">
        <v>7500.0</v>
      </c>
      <c r="AI178" s="1" t="s">
        <v>40</v>
      </c>
      <c r="AJ178" s="1" t="s">
        <v>701</v>
      </c>
      <c r="AK178" s="1" t="s">
        <v>140</v>
      </c>
      <c r="AL178" s="1">
        <v>6.0</v>
      </c>
      <c r="AM178" s="1">
        <v>2013.0</v>
      </c>
      <c r="AN178" s="1">
        <v>2013.0</v>
      </c>
      <c r="AO178" s="1" t="s">
        <v>141</v>
      </c>
    </row>
    <row r="179">
      <c r="A179" s="5">
        <v>1.0</v>
      </c>
      <c r="B179" s="1">
        <f t="shared" si="1"/>
        <v>179</v>
      </c>
      <c r="C179" s="1" t="s">
        <v>702</v>
      </c>
      <c r="D179" s="1" t="s">
        <v>702</v>
      </c>
      <c r="E179" s="1" t="s">
        <v>129</v>
      </c>
      <c r="G179" s="1">
        <v>4336298.0</v>
      </c>
      <c r="H179" s="2">
        <v>41395.0</v>
      </c>
      <c r="I179" s="1" t="s">
        <v>703</v>
      </c>
      <c r="K179" s="1" t="s">
        <v>703</v>
      </c>
      <c r="N179" s="1" t="s">
        <v>40</v>
      </c>
      <c r="O179" s="1">
        <v>7500.0</v>
      </c>
      <c r="P179" s="1" t="s">
        <v>40</v>
      </c>
      <c r="Q179" s="1" t="str">
        <f>IF(ISERROR(VLOOKUP(P179,'unique fed agency names'!A:C,3,FALSE)),P179,VLOOKUP(P179,'unique fed agency names'!A:C,3,FALSE))
</f>
        <v>U.S. Department of Health and Human Services (DHHS)</v>
      </c>
      <c r="R179" s="1">
        <v>8.5464519E7</v>
      </c>
      <c r="S179" s="1" t="s">
        <v>704</v>
      </c>
      <c r="T179" s="1" t="str">
        <f>IF(ISERROR(VLOOKUP(S179,'unique org names'!A:C,3,FALSE)),S179,VLOOKUP(S179,'unique org names'!A:C,3,FALSE))
</f>
        <v>Children's Center of Wayne County Inc.</v>
      </c>
      <c r="U179" s="1" t="s">
        <v>705</v>
      </c>
      <c r="V179" s="1" t="s">
        <v>706</v>
      </c>
      <c r="W179" s="1" t="s">
        <v>44</v>
      </c>
      <c r="X179" s="1" t="s">
        <v>45</v>
      </c>
      <c r="Y179" s="1">
        <v>4.82012015E8</v>
      </c>
      <c r="AA179" s="1" t="s">
        <v>44</v>
      </c>
      <c r="AB179" s="1" t="s">
        <v>45</v>
      </c>
      <c r="AC179" s="1">
        <v>4.82192044E8</v>
      </c>
      <c r="AF179" s="1">
        <v>2231987.0</v>
      </c>
      <c r="AG179" s="2">
        <v>41395.0</v>
      </c>
      <c r="AH179" s="1">
        <v>7500.0</v>
      </c>
      <c r="AI179" s="1" t="s">
        <v>40</v>
      </c>
      <c r="AJ179" s="1" t="s">
        <v>707</v>
      </c>
      <c r="AK179" s="1" t="s">
        <v>703</v>
      </c>
      <c r="AL179" s="1">
        <v>7.0</v>
      </c>
      <c r="AM179" s="1">
        <v>2013.0</v>
      </c>
      <c r="AN179" s="1">
        <v>2013.0</v>
      </c>
      <c r="AO179" s="1" t="s">
        <v>708</v>
      </c>
    </row>
    <row r="180">
      <c r="A180" s="5">
        <v>1.0</v>
      </c>
      <c r="B180" s="1">
        <f t="shared" si="1"/>
        <v>180</v>
      </c>
      <c r="C180" s="1" t="s">
        <v>709</v>
      </c>
      <c r="D180" s="1" t="s">
        <v>709</v>
      </c>
      <c r="E180" s="1" t="s">
        <v>645</v>
      </c>
      <c r="G180" s="1">
        <v>4.44297088E8</v>
      </c>
      <c r="H180" s="2">
        <v>41242.0</v>
      </c>
      <c r="I180" s="1" t="s">
        <v>710</v>
      </c>
      <c r="K180" s="1" t="s">
        <v>710</v>
      </c>
      <c r="N180" s="1" t="s">
        <v>647</v>
      </c>
      <c r="O180" s="1">
        <v>1200.0</v>
      </c>
      <c r="P180" s="1" t="s">
        <v>647</v>
      </c>
      <c r="Q180" s="1" t="str">
        <f>IF(ISERROR(VLOOKUP(P180,'unique fed agency names'!A:C,3,FALSE)),P180,VLOOKUP(P180,'unique fed agency names'!A:C,3,FALSE))
</f>
        <v>U.S. Department of Agriculture (USDA)</v>
      </c>
      <c r="R180" s="1">
        <v>1.6338926E8</v>
      </c>
      <c r="S180" s="1" t="s">
        <v>465</v>
      </c>
      <c r="T180" s="1" t="str">
        <f>IF(ISERROR(VLOOKUP(S180,'unique org names'!A:C,3,FALSE)),S180,VLOOKUP(S180,'unique org names'!A:C,3,FALSE))
</f>
        <v>Public School Academies of Detroit</v>
      </c>
      <c r="U180" s="1" t="s">
        <v>598</v>
      </c>
      <c r="V180" s="1" t="s">
        <v>599</v>
      </c>
      <c r="W180" s="1" t="s">
        <v>44</v>
      </c>
      <c r="X180" s="1" t="s">
        <v>45</v>
      </c>
      <c r="Y180" s="1">
        <v>4.82023457E8</v>
      </c>
      <c r="AA180" s="1" t="s">
        <v>44</v>
      </c>
      <c r="AB180" s="1" t="s">
        <v>45</v>
      </c>
      <c r="AC180" s="1">
        <v>4.82023457E8</v>
      </c>
      <c r="AD180" s="1">
        <v>1.6338926E8</v>
      </c>
      <c r="AE180" s="1" t="s">
        <v>465</v>
      </c>
      <c r="AF180" s="1">
        <v>36063.82</v>
      </c>
      <c r="AG180" s="2">
        <v>41242.0</v>
      </c>
      <c r="AH180" s="1">
        <v>1200.0</v>
      </c>
      <c r="AI180" s="1" t="s">
        <v>647</v>
      </c>
      <c r="AJ180" s="1" t="s">
        <v>711</v>
      </c>
      <c r="AK180" s="1" t="s">
        <v>712</v>
      </c>
      <c r="AL180" s="1">
        <v>8.0</v>
      </c>
      <c r="AM180" s="1">
        <v>2013.0</v>
      </c>
      <c r="AN180" s="1">
        <v>2013.0</v>
      </c>
      <c r="AO180" s="1" t="s">
        <v>713</v>
      </c>
    </row>
    <row r="181">
      <c r="A181" s="5">
        <v>1.0</v>
      </c>
      <c r="B181" s="1">
        <f t="shared" si="1"/>
        <v>181</v>
      </c>
      <c r="C181" s="1" t="s">
        <v>709</v>
      </c>
      <c r="D181" s="1" t="s">
        <v>709</v>
      </c>
      <c r="E181" s="1" t="s">
        <v>645</v>
      </c>
      <c r="G181" s="1">
        <v>4.44297088E8</v>
      </c>
      <c r="H181" s="2">
        <v>41249.0</v>
      </c>
      <c r="I181" s="1" t="s">
        <v>710</v>
      </c>
      <c r="K181" s="1" t="s">
        <v>710</v>
      </c>
      <c r="N181" s="1" t="s">
        <v>647</v>
      </c>
      <c r="O181" s="1">
        <v>1200.0</v>
      </c>
      <c r="P181" s="1" t="s">
        <v>647</v>
      </c>
      <c r="Q181" s="1" t="str">
        <f>IF(ISERROR(VLOOKUP(P181,'unique fed agency names'!A:C,3,FALSE)),P181,VLOOKUP(P181,'unique fed agency names'!A:C,3,FALSE))
</f>
        <v>U.S. Department of Agriculture (USDA)</v>
      </c>
      <c r="R181" s="1">
        <v>1.17726252E8</v>
      </c>
      <c r="S181" s="1" t="s">
        <v>512</v>
      </c>
      <c r="T181" s="1" t="str">
        <f>IF(ISERROR(VLOOKUP(S181,'unique org names'!A:C,3,FALSE)),S181,VLOOKUP(S181,'unique org names'!A:C,3,FALSE))
</f>
        <v>OLD REDFORD ACADEMY</v>
      </c>
      <c r="V181" s="1" t="s">
        <v>513</v>
      </c>
      <c r="W181" s="1" t="s">
        <v>44</v>
      </c>
      <c r="X181" s="1" t="s">
        <v>45</v>
      </c>
      <c r="Y181" s="1">
        <v>4.82193259E8</v>
      </c>
      <c r="AA181" s="1" t="s">
        <v>44</v>
      </c>
      <c r="AB181" s="1" t="s">
        <v>45</v>
      </c>
      <c r="AC181" s="1">
        <v>4.82193259E8</v>
      </c>
      <c r="AF181" s="1">
        <v>669146.02</v>
      </c>
      <c r="AG181" s="2">
        <v>41249.0</v>
      </c>
      <c r="AH181" s="1">
        <v>1200.0</v>
      </c>
      <c r="AI181" s="1" t="s">
        <v>647</v>
      </c>
      <c r="AJ181" s="1" t="s">
        <v>714</v>
      </c>
      <c r="AK181" s="1" t="s">
        <v>712</v>
      </c>
      <c r="AL181" s="1">
        <v>8.0</v>
      </c>
      <c r="AM181" s="1">
        <v>2013.0</v>
      </c>
      <c r="AN181" s="1">
        <v>2013.0</v>
      </c>
      <c r="AO181" s="1" t="s">
        <v>713</v>
      </c>
    </row>
    <row r="182">
      <c r="A182" s="5">
        <v>1.0</v>
      </c>
      <c r="B182" s="1">
        <f t="shared" si="1"/>
        <v>182</v>
      </c>
      <c r="C182" s="1" t="s">
        <v>709</v>
      </c>
      <c r="D182" s="1" t="s">
        <v>709</v>
      </c>
      <c r="E182" s="1" t="s">
        <v>645</v>
      </c>
      <c r="G182" s="1">
        <v>4.44297088E8</v>
      </c>
      <c r="H182" s="2">
        <v>41193.0</v>
      </c>
      <c r="I182" s="1" t="s">
        <v>710</v>
      </c>
      <c r="K182" s="1" t="s">
        <v>710</v>
      </c>
      <c r="N182" s="1" t="s">
        <v>647</v>
      </c>
      <c r="O182" s="1">
        <v>1200.0</v>
      </c>
      <c r="P182" s="1" t="s">
        <v>647</v>
      </c>
      <c r="Q182" s="1" t="str">
        <f>IF(ISERROR(VLOOKUP(P182,'unique fed agency names'!A:C,3,FALSE)),P182,VLOOKUP(P182,'unique fed agency names'!A:C,3,FALSE))
</f>
        <v>U.S. Department of Agriculture (USDA)</v>
      </c>
      <c r="R182" s="1">
        <v>1.96632496E8</v>
      </c>
      <c r="S182" s="1" t="s">
        <v>715</v>
      </c>
      <c r="T182" s="1" t="str">
        <f>IF(ISERROR(VLOOKUP(S182,'unique org names'!A:C,3,FALSE)),S182,VLOOKUP(S182,'unique org names'!A:C,3,FALSE))
</f>
        <v>CASA RICHARD ACADEMY</v>
      </c>
      <c r="V182" s="1" t="s">
        <v>716</v>
      </c>
      <c r="W182" s="1" t="s">
        <v>44</v>
      </c>
      <c r="X182" s="1" t="s">
        <v>45</v>
      </c>
      <c r="Y182" s="1">
        <v>4.82162058E8</v>
      </c>
      <c r="AA182" s="1" t="s">
        <v>44</v>
      </c>
      <c r="AB182" s="1" t="s">
        <v>45</v>
      </c>
      <c r="AC182" s="1">
        <v>4.82162058E8</v>
      </c>
      <c r="AF182" s="1">
        <v>27969.5</v>
      </c>
      <c r="AG182" s="2">
        <v>41193.0</v>
      </c>
      <c r="AH182" s="1">
        <v>1200.0</v>
      </c>
      <c r="AI182" s="1" t="s">
        <v>647</v>
      </c>
      <c r="AJ182" s="1" t="s">
        <v>717</v>
      </c>
      <c r="AK182" s="1" t="s">
        <v>712</v>
      </c>
      <c r="AL182" s="1">
        <v>8.0</v>
      </c>
      <c r="AM182" s="1">
        <v>2013.0</v>
      </c>
      <c r="AN182" s="1">
        <v>2013.0</v>
      </c>
      <c r="AO182" s="1" t="s">
        <v>713</v>
      </c>
    </row>
    <row r="183">
      <c r="A183" s="5">
        <v>1.0</v>
      </c>
      <c r="B183" s="1">
        <f t="shared" si="1"/>
        <v>183</v>
      </c>
      <c r="C183" s="1" t="s">
        <v>709</v>
      </c>
      <c r="D183" s="1" t="s">
        <v>709</v>
      </c>
      <c r="E183" s="1" t="s">
        <v>645</v>
      </c>
      <c r="G183" s="1">
        <v>4.44297088E8</v>
      </c>
      <c r="H183" s="2">
        <v>41221.0</v>
      </c>
      <c r="I183" s="1" t="s">
        <v>710</v>
      </c>
      <c r="K183" s="1" t="s">
        <v>710</v>
      </c>
      <c r="N183" s="1" t="s">
        <v>647</v>
      </c>
      <c r="O183" s="1">
        <v>1200.0</v>
      </c>
      <c r="P183" s="1" t="s">
        <v>647</v>
      </c>
      <c r="Q183" s="1" t="str">
        <f>IF(ISERROR(VLOOKUP(P183,'unique fed agency names'!A:C,3,FALSE)),P183,VLOOKUP(P183,'unique fed agency names'!A:C,3,FALSE))
</f>
        <v>U.S. Department of Agriculture (USDA)</v>
      </c>
      <c r="R183" s="1">
        <v>5.2874042E7</v>
      </c>
      <c r="S183" s="1" t="s">
        <v>538</v>
      </c>
      <c r="T183" s="1" t="str">
        <f>IF(ISERROR(VLOOKUP(S183,'unique org names'!A:C,3,FALSE)),S183,VLOOKUP(S183,'unique org names'!A:C,3,FALSE))
</f>
        <v>CESAR CHAVEZ ACADEMY</v>
      </c>
      <c r="V183" s="1" t="s">
        <v>539</v>
      </c>
      <c r="W183" s="1" t="s">
        <v>44</v>
      </c>
      <c r="X183" s="1" t="s">
        <v>45</v>
      </c>
      <c r="Y183" s="1">
        <v>4.82091524E8</v>
      </c>
      <c r="AA183" s="1" t="s">
        <v>44</v>
      </c>
      <c r="AB183" s="1" t="s">
        <v>45</v>
      </c>
      <c r="AC183" s="1">
        <v>4.82091524E8</v>
      </c>
      <c r="AF183" s="1">
        <v>717250.35</v>
      </c>
      <c r="AG183" s="2">
        <v>41221.0</v>
      </c>
      <c r="AH183" s="1">
        <v>1200.0</v>
      </c>
      <c r="AI183" s="1" t="s">
        <v>647</v>
      </c>
      <c r="AJ183" s="1" t="s">
        <v>718</v>
      </c>
      <c r="AK183" s="1" t="s">
        <v>712</v>
      </c>
      <c r="AL183" s="1">
        <v>8.0</v>
      </c>
      <c r="AM183" s="1">
        <v>2013.0</v>
      </c>
      <c r="AN183" s="1">
        <v>2013.0</v>
      </c>
      <c r="AO183" s="1" t="s">
        <v>713</v>
      </c>
    </row>
    <row r="184">
      <c r="A184" s="5">
        <v>1.0</v>
      </c>
      <c r="B184" s="1">
        <f t="shared" si="1"/>
        <v>184</v>
      </c>
      <c r="C184" s="1" t="s">
        <v>709</v>
      </c>
      <c r="D184" s="1" t="s">
        <v>709</v>
      </c>
      <c r="E184" s="1" t="s">
        <v>645</v>
      </c>
      <c r="G184" s="1">
        <v>4.44297088E8</v>
      </c>
      <c r="H184" s="2">
        <v>41228.0</v>
      </c>
      <c r="I184" s="1" t="s">
        <v>710</v>
      </c>
      <c r="K184" s="1" t="s">
        <v>710</v>
      </c>
      <c r="N184" s="1" t="s">
        <v>647</v>
      </c>
      <c r="O184" s="1">
        <v>1200.0</v>
      </c>
      <c r="P184" s="1" t="s">
        <v>647</v>
      </c>
      <c r="Q184" s="1" t="str">
        <f>IF(ISERROR(VLOOKUP(P184,'unique fed agency names'!A:C,3,FALSE)),P184,VLOOKUP(P184,'unique fed agency names'!A:C,3,FALSE))
</f>
        <v>U.S. Department of Agriculture (USDA)</v>
      </c>
      <c r="R184" s="1">
        <v>1.01550176E8</v>
      </c>
      <c r="S184" s="1" t="s">
        <v>719</v>
      </c>
      <c r="T184" s="1" t="str">
        <f>IF(ISERROR(VLOOKUP(S184,'unique org names'!A:C,3,FALSE)),S184,VLOOKUP(S184,'unique org names'!A:C,3,FALSE))
</f>
        <v>METROPOLITAN CHILDREN AND YOUTH INC UNITED CHILDREN AND FAMILY HEAD START</v>
      </c>
      <c r="V184" s="1" t="s">
        <v>720</v>
      </c>
      <c r="W184" s="1" t="s">
        <v>44</v>
      </c>
      <c r="X184" s="1" t="s">
        <v>45</v>
      </c>
      <c r="Y184" s="1">
        <v>4.82132731E8</v>
      </c>
      <c r="AA184" s="1" t="s">
        <v>44</v>
      </c>
      <c r="AB184" s="1" t="s">
        <v>45</v>
      </c>
      <c r="AC184" s="1">
        <v>4.82132731E8</v>
      </c>
      <c r="AD184" s="1">
        <v>1.01550176E8</v>
      </c>
      <c r="AE184" s="1" t="s">
        <v>719</v>
      </c>
      <c r="AF184" s="1">
        <v>290764.19</v>
      </c>
      <c r="AG184" s="2">
        <v>41228.0</v>
      </c>
      <c r="AH184" s="1">
        <v>1200.0</v>
      </c>
      <c r="AI184" s="1" t="s">
        <v>647</v>
      </c>
      <c r="AJ184" s="1" t="s">
        <v>721</v>
      </c>
      <c r="AK184" s="1" t="s">
        <v>712</v>
      </c>
      <c r="AL184" s="1">
        <v>8.0</v>
      </c>
      <c r="AM184" s="1">
        <v>2013.0</v>
      </c>
      <c r="AN184" s="1">
        <v>2013.0</v>
      </c>
      <c r="AO184" s="1" t="s">
        <v>713</v>
      </c>
    </row>
    <row r="185">
      <c r="A185" s="5">
        <v>1.0</v>
      </c>
      <c r="B185" s="1">
        <f t="shared" si="1"/>
        <v>185</v>
      </c>
      <c r="C185" s="1" t="s">
        <v>709</v>
      </c>
      <c r="D185" s="1" t="s">
        <v>709</v>
      </c>
      <c r="E185" s="1" t="s">
        <v>645</v>
      </c>
      <c r="G185" s="1">
        <v>4.44297088E8</v>
      </c>
      <c r="H185" s="2">
        <v>41249.0</v>
      </c>
      <c r="I185" s="1" t="s">
        <v>710</v>
      </c>
      <c r="K185" s="1" t="s">
        <v>710</v>
      </c>
      <c r="N185" s="1" t="s">
        <v>647</v>
      </c>
      <c r="O185" s="1">
        <v>1200.0</v>
      </c>
      <c r="P185" s="1" t="s">
        <v>647</v>
      </c>
      <c r="Q185" s="1" t="str">
        <f>IF(ISERROR(VLOOKUP(P185,'unique fed agency names'!A:C,3,FALSE)),P185,VLOOKUP(P185,'unique fed agency names'!A:C,3,FALSE))
</f>
        <v>U.S. Department of Agriculture (USDA)</v>
      </c>
      <c r="R185" s="1">
        <v>9.62104118E8</v>
      </c>
      <c r="S185" s="1" t="s">
        <v>634</v>
      </c>
      <c r="T185" s="1" t="str">
        <f>IF(ISERROR(VLOOKUP(S185,'unique org names'!A:C,3,FALSE)),S185,VLOOKUP(S185,'unique org names'!A:C,3,FALSE))
</f>
        <v>UNIVERSITY YES ACADEMY</v>
      </c>
      <c r="V185" s="1" t="s">
        <v>635</v>
      </c>
      <c r="W185" s="1" t="s">
        <v>44</v>
      </c>
      <c r="X185" s="1" t="s">
        <v>45</v>
      </c>
      <c r="Y185" s="1">
        <v>4.82351111E8</v>
      </c>
      <c r="AA185" s="1" t="s">
        <v>46</v>
      </c>
      <c r="AB185" s="1" t="s">
        <v>45</v>
      </c>
      <c r="AC185" s="1">
        <v>4.82351111E8</v>
      </c>
      <c r="AF185" s="1">
        <v>93097.14</v>
      </c>
      <c r="AG185" s="2">
        <v>41249.0</v>
      </c>
      <c r="AH185" s="1">
        <v>1200.0</v>
      </c>
      <c r="AI185" s="1" t="s">
        <v>647</v>
      </c>
      <c r="AJ185" s="1" t="s">
        <v>722</v>
      </c>
      <c r="AK185" s="1" t="s">
        <v>712</v>
      </c>
      <c r="AL185" s="1">
        <v>8.0</v>
      </c>
      <c r="AM185" s="1">
        <v>2013.0</v>
      </c>
      <c r="AN185" s="1">
        <v>2013.0</v>
      </c>
      <c r="AO185" s="1" t="s">
        <v>713</v>
      </c>
    </row>
    <row r="186">
      <c r="A186" s="5">
        <v>1.0</v>
      </c>
      <c r="B186" s="1">
        <f t="shared" si="1"/>
        <v>186</v>
      </c>
      <c r="C186" s="1" t="s">
        <v>709</v>
      </c>
      <c r="D186" s="1" t="s">
        <v>709</v>
      </c>
      <c r="E186" s="1" t="s">
        <v>645</v>
      </c>
      <c r="G186" s="1">
        <v>4.44297088E8</v>
      </c>
      <c r="H186" s="2">
        <v>41186.0</v>
      </c>
      <c r="I186" s="1" t="s">
        <v>710</v>
      </c>
      <c r="K186" s="1" t="s">
        <v>710</v>
      </c>
      <c r="N186" s="1" t="s">
        <v>647</v>
      </c>
      <c r="O186" s="1">
        <v>1200.0</v>
      </c>
      <c r="P186" s="1" t="s">
        <v>647</v>
      </c>
      <c r="Q186" s="1" t="str">
        <f>IF(ISERROR(VLOOKUP(P186,'unique fed agency names'!A:C,3,FALSE)),P186,VLOOKUP(P186,'unique fed agency names'!A:C,3,FALSE))
</f>
        <v>U.S. Department of Agriculture (USDA)</v>
      </c>
      <c r="R186" s="1">
        <v>2.7504143E7</v>
      </c>
      <c r="S186" s="1" t="s">
        <v>723</v>
      </c>
      <c r="T186" s="1" t="str">
        <f>IF(ISERROR(VLOOKUP(S186,'unique org names'!A:C,3,FALSE)),S186,VLOOKUP(S186,'unique org names'!A:C,3,FALSE))
</f>
        <v>Child Star Development Center</v>
      </c>
      <c r="V186" s="1" t="s">
        <v>724</v>
      </c>
      <c r="W186" s="1" t="s">
        <v>44</v>
      </c>
      <c r="X186" s="1" t="s">
        <v>45</v>
      </c>
      <c r="Y186" s="1">
        <v>4.82211963E8</v>
      </c>
      <c r="AA186" s="1" t="s">
        <v>44</v>
      </c>
      <c r="AB186" s="1" t="s">
        <v>45</v>
      </c>
      <c r="AC186" s="1">
        <v>4.82211963E8</v>
      </c>
      <c r="AF186" s="1">
        <v>90606.73</v>
      </c>
      <c r="AG186" s="2">
        <v>41186.0</v>
      </c>
      <c r="AH186" s="1">
        <v>1200.0</v>
      </c>
      <c r="AI186" s="1" t="s">
        <v>647</v>
      </c>
      <c r="AJ186" s="1" t="s">
        <v>725</v>
      </c>
      <c r="AK186" s="1" t="s">
        <v>712</v>
      </c>
      <c r="AL186" s="1">
        <v>8.0</v>
      </c>
      <c r="AM186" s="1">
        <v>2013.0</v>
      </c>
      <c r="AN186" s="1">
        <v>2013.0</v>
      </c>
      <c r="AO186" s="1" t="s">
        <v>713</v>
      </c>
    </row>
    <row r="187">
      <c r="A187" s="5">
        <v>1.0</v>
      </c>
      <c r="B187" s="1">
        <f t="shared" si="1"/>
        <v>187</v>
      </c>
      <c r="C187" s="1" t="s">
        <v>709</v>
      </c>
      <c r="D187" s="1" t="s">
        <v>709</v>
      </c>
      <c r="E187" s="1" t="s">
        <v>645</v>
      </c>
      <c r="G187" s="1">
        <v>4.44297088E8</v>
      </c>
      <c r="H187" s="2">
        <v>41186.0</v>
      </c>
      <c r="I187" s="1" t="s">
        <v>710</v>
      </c>
      <c r="K187" s="1" t="s">
        <v>710</v>
      </c>
      <c r="N187" s="1" t="s">
        <v>647</v>
      </c>
      <c r="O187" s="1">
        <v>1200.0</v>
      </c>
      <c r="P187" s="1" t="s">
        <v>647</v>
      </c>
      <c r="Q187" s="1" t="str">
        <f>IF(ISERROR(VLOOKUP(P187,'unique fed agency names'!A:C,3,FALSE)),P187,VLOOKUP(P187,'unique fed agency names'!A:C,3,FALSE))
</f>
        <v>U.S. Department of Agriculture (USDA)</v>
      </c>
      <c r="R187" s="1">
        <v>9.62949843E8</v>
      </c>
      <c r="S187" s="1" t="s">
        <v>619</v>
      </c>
      <c r="T187" s="1" t="str">
        <f>IF(ISERROR(VLOOKUP(S187,'unique org names'!A:C,3,FALSE)),S187,VLOOKUP(S187,'unique org names'!A:C,3,FALSE))
</f>
        <v>ALLEN ACADEMY</v>
      </c>
      <c r="V187" s="1" t="s">
        <v>620</v>
      </c>
      <c r="W187" s="1" t="s">
        <v>44</v>
      </c>
      <c r="X187" s="1" t="s">
        <v>45</v>
      </c>
      <c r="Y187" s="1">
        <v>4.82042306E8</v>
      </c>
      <c r="AA187" s="1" t="s">
        <v>44</v>
      </c>
      <c r="AB187" s="1" t="s">
        <v>45</v>
      </c>
      <c r="AC187" s="1">
        <v>4.82042306E8</v>
      </c>
      <c r="AF187" s="1">
        <v>289875.93</v>
      </c>
      <c r="AG187" s="2">
        <v>41186.0</v>
      </c>
      <c r="AH187" s="1">
        <v>1200.0</v>
      </c>
      <c r="AI187" s="1" t="s">
        <v>647</v>
      </c>
      <c r="AJ187" s="1" t="s">
        <v>726</v>
      </c>
      <c r="AK187" s="1" t="s">
        <v>712</v>
      </c>
      <c r="AL187" s="1">
        <v>8.0</v>
      </c>
      <c r="AM187" s="1">
        <v>2013.0</v>
      </c>
      <c r="AN187" s="1">
        <v>2013.0</v>
      </c>
      <c r="AO187" s="1" t="s">
        <v>713</v>
      </c>
    </row>
    <row r="188">
      <c r="A188" s="5">
        <v>1.0</v>
      </c>
      <c r="B188" s="1">
        <f t="shared" si="1"/>
        <v>188</v>
      </c>
      <c r="C188" s="1" t="s">
        <v>709</v>
      </c>
      <c r="D188" s="1" t="s">
        <v>709</v>
      </c>
      <c r="E188" s="1" t="s">
        <v>645</v>
      </c>
      <c r="G188" s="1">
        <v>4.44297088E8</v>
      </c>
      <c r="H188" s="2">
        <v>41214.0</v>
      </c>
      <c r="I188" s="1" t="s">
        <v>710</v>
      </c>
      <c r="K188" s="1" t="s">
        <v>710</v>
      </c>
      <c r="N188" s="1" t="s">
        <v>647</v>
      </c>
      <c r="O188" s="1">
        <v>1200.0</v>
      </c>
      <c r="P188" s="1" t="s">
        <v>647</v>
      </c>
      <c r="Q188" s="1" t="str">
        <f>IF(ISERROR(VLOOKUP(P188,'unique fed agency names'!A:C,3,FALSE)),P188,VLOOKUP(P188,'unique fed agency names'!A:C,3,FALSE))
</f>
        <v>U.S. Department of Agriculture (USDA)</v>
      </c>
      <c r="R188" s="1">
        <v>5.57263386E8</v>
      </c>
      <c r="S188" s="1" t="s">
        <v>727</v>
      </c>
      <c r="T188" s="1" t="str">
        <f>IF(ISERROR(VLOOKUP(S188,'unique org names'!A:C,3,FALSE)),S188,VLOOKUP(S188,'unique org names'!A:C,3,FALSE))
</f>
        <v>LITTLE SCHOLARS DAY CARE</v>
      </c>
      <c r="V188" s="1" t="s">
        <v>728</v>
      </c>
      <c r="W188" s="1" t="s">
        <v>44</v>
      </c>
      <c r="X188" s="1" t="s">
        <v>45</v>
      </c>
      <c r="Y188" s="1">
        <v>4.82231703E8</v>
      </c>
      <c r="AA188" s="1" t="s">
        <v>44</v>
      </c>
      <c r="AB188" s="1" t="s">
        <v>45</v>
      </c>
      <c r="AC188" s="1">
        <v>4.82231703E8</v>
      </c>
      <c r="AF188" s="1">
        <v>46946.85</v>
      </c>
      <c r="AG188" s="2">
        <v>41214.0</v>
      </c>
      <c r="AH188" s="1">
        <v>1200.0</v>
      </c>
      <c r="AI188" s="1" t="s">
        <v>647</v>
      </c>
      <c r="AJ188" s="1" t="s">
        <v>729</v>
      </c>
      <c r="AK188" s="1" t="s">
        <v>712</v>
      </c>
      <c r="AL188" s="1">
        <v>8.0</v>
      </c>
      <c r="AM188" s="1">
        <v>2013.0</v>
      </c>
      <c r="AN188" s="1">
        <v>2013.0</v>
      </c>
      <c r="AO188" s="1" t="s">
        <v>713</v>
      </c>
    </row>
    <row r="189">
      <c r="A189" s="5">
        <v>1.0</v>
      </c>
      <c r="B189" s="1">
        <f t="shared" si="1"/>
        <v>189</v>
      </c>
      <c r="C189" s="1" t="s">
        <v>709</v>
      </c>
      <c r="D189" s="1" t="s">
        <v>709</v>
      </c>
      <c r="E189" s="1" t="s">
        <v>645</v>
      </c>
      <c r="G189" s="1">
        <v>4.44297088E8</v>
      </c>
      <c r="H189" s="2">
        <v>41193.0</v>
      </c>
      <c r="I189" s="1" t="s">
        <v>710</v>
      </c>
      <c r="K189" s="1" t="s">
        <v>710</v>
      </c>
      <c r="N189" s="1" t="s">
        <v>647</v>
      </c>
      <c r="O189" s="1">
        <v>1200.0</v>
      </c>
      <c r="P189" s="1" t="s">
        <v>647</v>
      </c>
      <c r="Q189" s="1" t="str">
        <f>IF(ISERROR(VLOOKUP(P189,'unique fed agency names'!A:C,3,FALSE)),P189,VLOOKUP(P189,'unique fed agency names'!A:C,3,FALSE))
</f>
        <v>U.S. Department of Agriculture (USDA)</v>
      </c>
      <c r="R189" s="1">
        <v>8.29630537E8</v>
      </c>
      <c r="S189" s="1" t="s">
        <v>531</v>
      </c>
      <c r="T189" s="1" t="str">
        <f>IF(ISERROR(VLOOKUP(S189,'unique org names'!A:C,3,FALSE)),S189,VLOOKUP(S189,'unique org names'!A:C,3,FALSE))
</f>
        <v>DETROIT SERVICE LEARNING ACADEMY</v>
      </c>
      <c r="U189" s="1" t="s">
        <v>532</v>
      </c>
      <c r="V189" s="1" t="s">
        <v>533</v>
      </c>
      <c r="W189" s="1" t="s">
        <v>44</v>
      </c>
      <c r="X189" s="1" t="s">
        <v>45</v>
      </c>
      <c r="Y189" s="1">
        <v>4.8219181E8</v>
      </c>
      <c r="AA189" s="1" t="s">
        <v>44</v>
      </c>
      <c r="AB189" s="1" t="s">
        <v>45</v>
      </c>
      <c r="AC189" s="1">
        <v>4.8219181E8</v>
      </c>
      <c r="AF189" s="1">
        <v>243271.53</v>
      </c>
      <c r="AG189" s="2">
        <v>41193.0</v>
      </c>
      <c r="AH189" s="1">
        <v>1200.0</v>
      </c>
      <c r="AI189" s="1" t="s">
        <v>647</v>
      </c>
      <c r="AJ189" s="1" t="s">
        <v>730</v>
      </c>
      <c r="AK189" s="1" t="s">
        <v>712</v>
      </c>
      <c r="AL189" s="1">
        <v>8.0</v>
      </c>
      <c r="AM189" s="1">
        <v>2013.0</v>
      </c>
      <c r="AN189" s="1">
        <v>2013.0</v>
      </c>
      <c r="AO189" s="1" t="s">
        <v>713</v>
      </c>
    </row>
    <row r="190">
      <c r="A190" s="5">
        <v>1.0</v>
      </c>
      <c r="B190" s="1">
        <f t="shared" si="1"/>
        <v>190</v>
      </c>
      <c r="C190" s="1" t="s">
        <v>709</v>
      </c>
      <c r="D190" s="1" t="s">
        <v>709</v>
      </c>
      <c r="E190" s="1" t="s">
        <v>645</v>
      </c>
      <c r="G190" s="1">
        <v>4.44297088E8</v>
      </c>
      <c r="H190" s="2">
        <v>41452.0</v>
      </c>
      <c r="I190" s="1" t="s">
        <v>710</v>
      </c>
      <c r="K190" s="1" t="s">
        <v>710</v>
      </c>
      <c r="N190" s="1" t="s">
        <v>647</v>
      </c>
      <c r="O190" s="1">
        <v>1200.0</v>
      </c>
      <c r="P190" s="1" t="s">
        <v>647</v>
      </c>
      <c r="Q190" s="1" t="str">
        <f>IF(ISERROR(VLOOKUP(P190,'unique fed agency names'!A:C,3,FALSE)),P190,VLOOKUP(P190,'unique fed agency names'!A:C,3,FALSE))
</f>
        <v>U.S. Department of Agriculture (USDA)</v>
      </c>
      <c r="R190" s="1">
        <v>8.01337023E8</v>
      </c>
      <c r="S190" s="1" t="s">
        <v>731</v>
      </c>
      <c r="T190" s="1" t="str">
        <f>IF(ISERROR(VLOOKUP(S190,'unique org names'!A:C,3,FALSE)),S190,VLOOKUP(S190,'unique org names'!A:C,3,FALSE))
</f>
        <v>Cornerstone Schools Association</v>
      </c>
      <c r="U190" s="1" t="s">
        <v>732</v>
      </c>
      <c r="V190" s="1" t="s">
        <v>733</v>
      </c>
      <c r="W190" s="1" t="s">
        <v>44</v>
      </c>
      <c r="X190" s="1" t="s">
        <v>45</v>
      </c>
      <c r="Y190" s="1">
        <v>4.82342968E8</v>
      </c>
      <c r="AA190" s="1" t="s">
        <v>44</v>
      </c>
      <c r="AB190" s="1" t="s">
        <v>45</v>
      </c>
      <c r="AC190" s="1">
        <v>4.82342968E8</v>
      </c>
      <c r="AD190" s="1">
        <v>8.01337023E8</v>
      </c>
      <c r="AE190" s="1" t="s">
        <v>731</v>
      </c>
      <c r="AF190" s="1">
        <v>125982.37</v>
      </c>
      <c r="AG190" s="2">
        <v>41452.0</v>
      </c>
      <c r="AH190" s="1">
        <v>1200.0</v>
      </c>
      <c r="AI190" s="1" t="s">
        <v>647</v>
      </c>
      <c r="AJ190" s="1" t="s">
        <v>734</v>
      </c>
      <c r="AK190" s="1" t="s">
        <v>712</v>
      </c>
      <c r="AL190" s="1">
        <v>8.0</v>
      </c>
      <c r="AM190" s="1">
        <v>2013.0</v>
      </c>
      <c r="AN190" s="1">
        <v>2013.0</v>
      </c>
      <c r="AO190" s="1" t="s">
        <v>713</v>
      </c>
    </row>
    <row r="191">
      <c r="A191" s="5">
        <v>1.0</v>
      </c>
      <c r="B191" s="1">
        <f t="shared" si="1"/>
        <v>191</v>
      </c>
      <c r="C191" s="1" t="s">
        <v>709</v>
      </c>
      <c r="D191" s="1" t="s">
        <v>709</v>
      </c>
      <c r="E191" s="1" t="s">
        <v>645</v>
      </c>
      <c r="G191" s="1">
        <v>4.44297088E8</v>
      </c>
      <c r="H191" s="2">
        <v>41193.0</v>
      </c>
      <c r="I191" s="1" t="s">
        <v>710</v>
      </c>
      <c r="K191" s="1" t="s">
        <v>710</v>
      </c>
      <c r="N191" s="1" t="s">
        <v>647</v>
      </c>
      <c r="O191" s="1">
        <v>1200.0</v>
      </c>
      <c r="P191" s="1" t="s">
        <v>647</v>
      </c>
      <c r="Q191" s="1" t="str">
        <f>IF(ISERROR(VLOOKUP(P191,'unique fed agency names'!A:C,3,FALSE)),P191,VLOOKUP(P191,'unique fed agency names'!A:C,3,FALSE))
</f>
        <v>U.S. Department of Agriculture (USDA)</v>
      </c>
      <c r="R191" s="1">
        <v>7.97527715E8</v>
      </c>
      <c r="S191" s="1" t="s">
        <v>567</v>
      </c>
      <c r="T191" s="1" t="str">
        <f>IF(ISERROR(VLOOKUP(S191,'unique org names'!A:C,3,FALSE)),S191,VLOOKUP(S191,'unique org names'!A:C,3,FALSE))
</f>
        <v>HAMTRAMCK ACADEMY</v>
      </c>
      <c r="V191" s="1" t="s">
        <v>568</v>
      </c>
      <c r="W191" s="1" t="s">
        <v>44</v>
      </c>
      <c r="X191" s="1" t="s">
        <v>45</v>
      </c>
      <c r="Y191" s="1">
        <v>4.82123134E8</v>
      </c>
      <c r="AA191" s="1" t="s">
        <v>498</v>
      </c>
      <c r="AB191" s="1" t="s">
        <v>45</v>
      </c>
      <c r="AC191" s="1">
        <v>4.82123134E8</v>
      </c>
      <c r="AD191" s="1">
        <v>9.60742484E8</v>
      </c>
      <c r="AF191" s="1">
        <v>181461.42</v>
      </c>
      <c r="AG191" s="2">
        <v>41193.0</v>
      </c>
      <c r="AH191" s="1">
        <v>1200.0</v>
      </c>
      <c r="AI191" s="1" t="s">
        <v>647</v>
      </c>
      <c r="AJ191" s="1" t="s">
        <v>735</v>
      </c>
      <c r="AK191" s="1" t="s">
        <v>712</v>
      </c>
      <c r="AL191" s="1">
        <v>8.0</v>
      </c>
      <c r="AM191" s="1">
        <v>2013.0</v>
      </c>
      <c r="AN191" s="1">
        <v>2013.0</v>
      </c>
      <c r="AO191" s="1" t="s">
        <v>713</v>
      </c>
    </row>
    <row r="192">
      <c r="A192" s="5">
        <v>1.0</v>
      </c>
      <c r="B192" s="1">
        <f t="shared" si="1"/>
        <v>192</v>
      </c>
      <c r="C192" s="1" t="s">
        <v>709</v>
      </c>
      <c r="D192" s="1" t="s">
        <v>709</v>
      </c>
      <c r="E192" s="1" t="s">
        <v>645</v>
      </c>
      <c r="G192" s="1">
        <v>4.44297088E8</v>
      </c>
      <c r="H192" s="2">
        <v>41221.0</v>
      </c>
      <c r="I192" s="1" t="s">
        <v>710</v>
      </c>
      <c r="K192" s="1" t="s">
        <v>710</v>
      </c>
      <c r="N192" s="1" t="s">
        <v>647</v>
      </c>
      <c r="O192" s="1">
        <v>1200.0</v>
      </c>
      <c r="P192" s="1" t="s">
        <v>647</v>
      </c>
      <c r="Q192" s="1" t="str">
        <f>IF(ISERROR(VLOOKUP(P192,'unique fed agency names'!A:C,3,FALSE)),P192,VLOOKUP(P192,'unique fed agency names'!A:C,3,FALSE))
</f>
        <v>U.S. Department of Agriculture (USDA)</v>
      </c>
      <c r="R192" s="1">
        <v>1.47777952E8</v>
      </c>
      <c r="S192" s="1" t="s">
        <v>459</v>
      </c>
      <c r="T192" s="1" t="str">
        <f>IF(ISERROR(VLOOKUP(S192,'unique org names'!A:C,3,FALSE)),S192,VLOOKUP(S192,'unique org names'!A:C,3,FALSE))
</f>
        <v>DETROIT PUBLIC SCHOOLS</v>
      </c>
      <c r="U192" s="1" t="s">
        <v>626</v>
      </c>
      <c r="V192" s="1" t="s">
        <v>627</v>
      </c>
      <c r="W192" s="1" t="s">
        <v>44</v>
      </c>
      <c r="X192" s="1" t="s">
        <v>45</v>
      </c>
      <c r="Y192" s="1">
        <v>4.82072112E8</v>
      </c>
      <c r="AA192" s="1" t="s">
        <v>44</v>
      </c>
      <c r="AB192" s="1" t="s">
        <v>45</v>
      </c>
      <c r="AC192" s="1">
        <v>4.82072112E8</v>
      </c>
      <c r="AD192" s="1">
        <v>7.6340843E7</v>
      </c>
      <c r="AE192" s="1" t="s">
        <v>461</v>
      </c>
      <c r="AF192" s="1">
        <v>294641.29</v>
      </c>
      <c r="AG192" s="2">
        <v>41221.0</v>
      </c>
      <c r="AH192" s="1">
        <v>1200.0</v>
      </c>
      <c r="AI192" s="1" t="s">
        <v>647</v>
      </c>
      <c r="AJ192" s="1" t="s">
        <v>736</v>
      </c>
      <c r="AK192" s="1" t="s">
        <v>712</v>
      </c>
      <c r="AL192" s="1">
        <v>8.0</v>
      </c>
      <c r="AM192" s="1">
        <v>2013.0</v>
      </c>
      <c r="AN192" s="1">
        <v>2013.0</v>
      </c>
      <c r="AO192" s="1" t="s">
        <v>713</v>
      </c>
    </row>
    <row r="193">
      <c r="A193" s="5">
        <v>1.0</v>
      </c>
      <c r="B193" s="1">
        <f t="shared" si="1"/>
        <v>193</v>
      </c>
      <c r="C193" s="1" t="s">
        <v>709</v>
      </c>
      <c r="D193" s="1" t="s">
        <v>709</v>
      </c>
      <c r="E193" s="1" t="s">
        <v>645</v>
      </c>
      <c r="G193" s="1">
        <v>4.44297088E8</v>
      </c>
      <c r="H193" s="2">
        <v>41193.0</v>
      </c>
      <c r="I193" s="1" t="s">
        <v>710</v>
      </c>
      <c r="K193" s="1" t="s">
        <v>710</v>
      </c>
      <c r="N193" s="1" t="s">
        <v>647</v>
      </c>
      <c r="O193" s="1">
        <v>1200.0</v>
      </c>
      <c r="P193" s="1" t="s">
        <v>647</v>
      </c>
      <c r="Q193" s="1" t="str">
        <f>IF(ISERROR(VLOOKUP(P193,'unique fed agency names'!A:C,3,FALSE)),P193,VLOOKUP(P193,'unique fed agency names'!A:C,3,FALSE))
</f>
        <v>U.S. Department of Agriculture (USDA)</v>
      </c>
      <c r="R193" s="1">
        <v>7.93697355E8</v>
      </c>
      <c r="S193" s="1" t="s">
        <v>691</v>
      </c>
      <c r="T193" s="1" t="str">
        <f>IF(ISERROR(VLOOKUP(S193,'unique org names'!A:C,3,FALSE)),S193,VLOOKUP(S193,'unique org names'!A:C,3,FALSE))
</f>
        <v>OAKLAND INTERNATIONAL ACADEMY</v>
      </c>
      <c r="V193" s="1" t="s">
        <v>692</v>
      </c>
      <c r="W193" s="1" t="s">
        <v>44</v>
      </c>
      <c r="X193" s="1" t="s">
        <v>45</v>
      </c>
      <c r="Y193" s="1">
        <v>4.82111554E8</v>
      </c>
      <c r="AA193" s="1" t="s">
        <v>44</v>
      </c>
      <c r="AB193" s="1" t="s">
        <v>45</v>
      </c>
      <c r="AC193" s="1">
        <v>4.82111552E8</v>
      </c>
      <c r="AF193" s="1">
        <v>168962.05</v>
      </c>
      <c r="AG193" s="2">
        <v>41193.0</v>
      </c>
      <c r="AH193" s="1">
        <v>1200.0</v>
      </c>
      <c r="AI193" s="1" t="s">
        <v>647</v>
      </c>
      <c r="AJ193" s="1" t="s">
        <v>737</v>
      </c>
      <c r="AK193" s="1" t="s">
        <v>712</v>
      </c>
      <c r="AL193" s="1">
        <v>8.0</v>
      </c>
      <c r="AM193" s="1">
        <v>2013.0</v>
      </c>
      <c r="AN193" s="1">
        <v>2013.0</v>
      </c>
      <c r="AO193" s="1" t="s">
        <v>713</v>
      </c>
    </row>
    <row r="194">
      <c r="A194" s="5">
        <v>1.0</v>
      </c>
      <c r="B194" s="1">
        <f t="shared" si="1"/>
        <v>194</v>
      </c>
      <c r="C194" s="1" t="s">
        <v>709</v>
      </c>
      <c r="D194" s="1" t="s">
        <v>709</v>
      </c>
      <c r="E194" s="1" t="s">
        <v>645</v>
      </c>
      <c r="G194" s="1">
        <v>4.44297088E8</v>
      </c>
      <c r="H194" s="2">
        <v>41284.0</v>
      </c>
      <c r="I194" s="1" t="s">
        <v>710</v>
      </c>
      <c r="K194" s="1" t="s">
        <v>710</v>
      </c>
      <c r="N194" s="1" t="s">
        <v>647</v>
      </c>
      <c r="O194" s="1">
        <v>1200.0</v>
      </c>
      <c r="P194" s="1" t="s">
        <v>647</v>
      </c>
      <c r="Q194" s="1" t="str">
        <f>IF(ISERROR(VLOOKUP(P194,'unique fed agency names'!A:C,3,FALSE)),P194,VLOOKUP(P194,'unique fed agency names'!A:C,3,FALSE))
</f>
        <v>U.S. Department of Agriculture (USDA)</v>
      </c>
      <c r="R194" s="1">
        <v>7.6340843E7</v>
      </c>
      <c r="S194" s="1" t="s">
        <v>461</v>
      </c>
      <c r="T194" s="1" t="str">
        <f>IF(ISERROR(VLOOKUP(S194,'unique org names'!A:C,3,FALSE)),S194,VLOOKUP(S194,'unique org names'!A:C,3,FALSE))
</f>
        <v>BOARD OF EDUCATION OF THE CITY OF DETROIT</v>
      </c>
      <c r="U194" s="1" t="s">
        <v>459</v>
      </c>
      <c r="V194" s="1" t="s">
        <v>524</v>
      </c>
      <c r="W194" s="1" t="s">
        <v>44</v>
      </c>
      <c r="X194" s="1" t="s">
        <v>45</v>
      </c>
      <c r="Y194" s="1">
        <v>4.82023046E8</v>
      </c>
      <c r="AA194" s="1" t="s">
        <v>44</v>
      </c>
      <c r="AB194" s="1" t="s">
        <v>45</v>
      </c>
      <c r="AC194" s="1">
        <v>4.82023096E8</v>
      </c>
      <c r="AD194" s="1">
        <v>7.6340843E7</v>
      </c>
      <c r="AE194" s="1" t="s">
        <v>461</v>
      </c>
      <c r="AF194" s="1">
        <v>1208447.7</v>
      </c>
      <c r="AG194" s="2">
        <v>41284.0</v>
      </c>
      <c r="AH194" s="1">
        <v>1200.0</v>
      </c>
      <c r="AI194" s="1" t="s">
        <v>647</v>
      </c>
      <c r="AJ194" s="1" t="s">
        <v>738</v>
      </c>
      <c r="AK194" s="1" t="s">
        <v>712</v>
      </c>
      <c r="AL194" s="1">
        <v>8.0</v>
      </c>
      <c r="AM194" s="1">
        <v>2013.0</v>
      </c>
      <c r="AN194" s="1">
        <v>2013.0</v>
      </c>
      <c r="AO194" s="1" t="s">
        <v>713</v>
      </c>
    </row>
    <row r="195">
      <c r="A195" s="5">
        <v>1.0</v>
      </c>
      <c r="B195" s="1">
        <f t="shared" si="1"/>
        <v>195</v>
      </c>
      <c r="C195" s="1" t="s">
        <v>709</v>
      </c>
      <c r="D195" s="1" t="s">
        <v>709</v>
      </c>
      <c r="E195" s="1" t="s">
        <v>645</v>
      </c>
      <c r="G195" s="1">
        <v>4.44297088E8</v>
      </c>
      <c r="H195" s="2">
        <v>41242.0</v>
      </c>
      <c r="I195" s="1" t="s">
        <v>710</v>
      </c>
      <c r="K195" s="1" t="s">
        <v>710</v>
      </c>
      <c r="N195" s="1" t="s">
        <v>647</v>
      </c>
      <c r="O195" s="1">
        <v>1200.0</v>
      </c>
      <c r="P195" s="1" t="s">
        <v>647</v>
      </c>
      <c r="Q195" s="1" t="str">
        <f>IF(ISERROR(VLOOKUP(P195,'unique fed agency names'!A:C,3,FALSE)),P195,VLOOKUP(P195,'unique fed agency names'!A:C,3,FALSE))
</f>
        <v>U.S. Department of Agriculture (USDA)</v>
      </c>
      <c r="R195" s="1">
        <v>7.93697942E8</v>
      </c>
      <c r="S195" s="1" t="s">
        <v>459</v>
      </c>
      <c r="T195" s="1" t="str">
        <f>IF(ISERROR(VLOOKUP(S195,'unique org names'!A:C,3,FALSE)),S195,VLOOKUP(S195,'unique org names'!A:C,3,FALSE))
</f>
        <v>DETROIT PUBLIC SCHOOLS</v>
      </c>
      <c r="V195" s="1" t="s">
        <v>460</v>
      </c>
      <c r="W195" s="1" t="s">
        <v>44</v>
      </c>
      <c r="X195" s="1" t="s">
        <v>45</v>
      </c>
      <c r="Y195" s="1">
        <v>4.82141601E8</v>
      </c>
      <c r="AA195" s="1" t="s">
        <v>44</v>
      </c>
      <c r="AB195" s="1" t="s">
        <v>45</v>
      </c>
      <c r="AC195" s="1">
        <v>4.82141601E8</v>
      </c>
      <c r="AD195" s="1">
        <v>7.6340843E7</v>
      </c>
      <c r="AE195" s="1" t="s">
        <v>461</v>
      </c>
      <c r="AF195" s="1">
        <v>53793.05</v>
      </c>
      <c r="AG195" s="2">
        <v>41242.0</v>
      </c>
      <c r="AH195" s="1">
        <v>1200.0</v>
      </c>
      <c r="AI195" s="1" t="s">
        <v>647</v>
      </c>
      <c r="AJ195" s="1" t="s">
        <v>739</v>
      </c>
      <c r="AK195" s="1" t="s">
        <v>712</v>
      </c>
      <c r="AL195" s="1">
        <v>8.0</v>
      </c>
      <c r="AM195" s="1">
        <v>2013.0</v>
      </c>
      <c r="AN195" s="1">
        <v>2013.0</v>
      </c>
      <c r="AO195" s="1" t="s">
        <v>713</v>
      </c>
    </row>
    <row r="196">
      <c r="A196" s="5">
        <v>1.0</v>
      </c>
      <c r="B196" s="1">
        <f t="shared" si="1"/>
        <v>196</v>
      </c>
      <c r="C196" s="1" t="s">
        <v>709</v>
      </c>
      <c r="D196" s="1" t="s">
        <v>709</v>
      </c>
      <c r="E196" s="1" t="s">
        <v>645</v>
      </c>
      <c r="G196" s="1">
        <v>4.44297088E8</v>
      </c>
      <c r="H196" s="2">
        <v>41193.0</v>
      </c>
      <c r="I196" s="1" t="s">
        <v>710</v>
      </c>
      <c r="K196" s="1" t="s">
        <v>710</v>
      </c>
      <c r="N196" s="1" t="s">
        <v>647</v>
      </c>
      <c r="O196" s="1">
        <v>1200.0</v>
      </c>
      <c r="P196" s="1" t="s">
        <v>647</v>
      </c>
      <c r="Q196" s="1" t="str">
        <f>IF(ISERROR(VLOOKUP(P196,'unique fed agency names'!A:C,3,FALSE)),P196,VLOOKUP(P196,'unique fed agency names'!A:C,3,FALSE))
</f>
        <v>U.S. Department of Agriculture (USDA)</v>
      </c>
      <c r="R196" s="1">
        <v>1.38064923E8</v>
      </c>
      <c r="S196" s="1" t="s">
        <v>585</v>
      </c>
      <c r="T196" s="1" t="str">
        <f>IF(ISERROR(VLOOKUP(S196,'unique org names'!A:C,3,FALSE)),S196,VLOOKUP(S196,'unique org names'!A:C,3,FALSE))
</f>
        <v>DETROIT MERIT CHARTER ACADEMY</v>
      </c>
      <c r="V196" s="1" t="s">
        <v>586</v>
      </c>
      <c r="W196" s="1" t="s">
        <v>44</v>
      </c>
      <c r="X196" s="1" t="s">
        <v>45</v>
      </c>
      <c r="Y196" s="1">
        <v>4.82152861E8</v>
      </c>
      <c r="AA196" s="1" t="s">
        <v>44</v>
      </c>
      <c r="AB196" s="1" t="s">
        <v>45</v>
      </c>
      <c r="AC196" s="1">
        <v>4.82152861E8</v>
      </c>
      <c r="AD196" s="1">
        <v>9.60742484E8</v>
      </c>
      <c r="AF196" s="1">
        <v>224964.34</v>
      </c>
      <c r="AG196" s="2">
        <v>41193.0</v>
      </c>
      <c r="AH196" s="1">
        <v>1200.0</v>
      </c>
      <c r="AI196" s="1" t="s">
        <v>647</v>
      </c>
      <c r="AJ196" s="1" t="s">
        <v>740</v>
      </c>
      <c r="AK196" s="1" t="s">
        <v>712</v>
      </c>
      <c r="AL196" s="1">
        <v>8.0</v>
      </c>
      <c r="AM196" s="1">
        <v>2013.0</v>
      </c>
      <c r="AN196" s="1">
        <v>2013.0</v>
      </c>
      <c r="AO196" s="1" t="s">
        <v>713</v>
      </c>
    </row>
    <row r="197">
      <c r="A197" s="5">
        <v>1.0</v>
      </c>
      <c r="B197" s="1">
        <f t="shared" si="1"/>
        <v>197</v>
      </c>
      <c r="C197" s="1" t="s">
        <v>709</v>
      </c>
      <c r="D197" s="1" t="s">
        <v>709</v>
      </c>
      <c r="E197" s="1" t="s">
        <v>645</v>
      </c>
      <c r="G197" s="1">
        <v>4.44297088E8</v>
      </c>
      <c r="H197" s="2">
        <v>41228.0</v>
      </c>
      <c r="I197" s="1" t="s">
        <v>710</v>
      </c>
      <c r="K197" s="1" t="s">
        <v>710</v>
      </c>
      <c r="N197" s="1" t="s">
        <v>647</v>
      </c>
      <c r="O197" s="1">
        <v>1200.0</v>
      </c>
      <c r="P197" s="1" t="s">
        <v>647</v>
      </c>
      <c r="Q197" s="1" t="str">
        <f>IF(ISERROR(VLOOKUP(P197,'unique fed agency names'!A:C,3,FALSE)),P197,VLOOKUP(P197,'unique fed agency names'!A:C,3,FALSE))
</f>
        <v>U.S. Department of Agriculture (USDA)</v>
      </c>
      <c r="R197" s="1">
        <v>8.00515244E8</v>
      </c>
      <c r="S197" s="1" t="s">
        <v>637</v>
      </c>
      <c r="T197" s="1" t="str">
        <f>IF(ISERROR(VLOOKUP(S197,'unique org names'!A:C,3,FALSE)),S197,VLOOKUP(S197,'unique org names'!A:C,3,FALSE))
</f>
        <v>EDUCATION, MICHIGAN DEPARTMENT OF</v>
      </c>
      <c r="U197" s="1" t="s">
        <v>638</v>
      </c>
      <c r="V197" s="1" t="s">
        <v>639</v>
      </c>
      <c r="W197" s="1" t="s">
        <v>44</v>
      </c>
      <c r="X197" s="1" t="s">
        <v>45</v>
      </c>
      <c r="Y197" s="1">
        <v>4.82343358E8</v>
      </c>
      <c r="AA197" s="1" t="s">
        <v>44</v>
      </c>
      <c r="AB197" s="1" t="s">
        <v>45</v>
      </c>
      <c r="AC197" s="1">
        <v>4.82343358E8</v>
      </c>
      <c r="AD197" s="1">
        <v>5.4698428E7</v>
      </c>
      <c r="AF197" s="1">
        <v>175496.78</v>
      </c>
      <c r="AG197" s="2">
        <v>41228.0</v>
      </c>
      <c r="AH197" s="1">
        <v>1200.0</v>
      </c>
      <c r="AI197" s="1" t="s">
        <v>647</v>
      </c>
      <c r="AJ197" s="1" t="s">
        <v>741</v>
      </c>
      <c r="AK197" s="1" t="s">
        <v>712</v>
      </c>
      <c r="AL197" s="1">
        <v>8.0</v>
      </c>
      <c r="AM197" s="1">
        <v>2013.0</v>
      </c>
      <c r="AN197" s="1">
        <v>2013.0</v>
      </c>
      <c r="AO197" s="1" t="s">
        <v>713</v>
      </c>
    </row>
    <row r="198">
      <c r="A198" s="5">
        <v>1.0</v>
      </c>
      <c r="B198" s="1">
        <f t="shared" si="1"/>
        <v>198</v>
      </c>
      <c r="C198" s="1" t="s">
        <v>709</v>
      </c>
      <c r="D198" s="1" t="s">
        <v>709</v>
      </c>
      <c r="E198" s="1" t="s">
        <v>645</v>
      </c>
      <c r="G198" s="1">
        <v>4.44297088E8</v>
      </c>
      <c r="H198" s="2">
        <v>41186.0</v>
      </c>
      <c r="I198" s="1" t="s">
        <v>710</v>
      </c>
      <c r="K198" s="1" t="s">
        <v>710</v>
      </c>
      <c r="N198" s="1" t="s">
        <v>647</v>
      </c>
      <c r="O198" s="1">
        <v>1200.0</v>
      </c>
      <c r="P198" s="1" t="s">
        <v>647</v>
      </c>
      <c r="Q198" s="1" t="str">
        <f>IF(ISERROR(VLOOKUP(P198,'unique fed agency names'!A:C,3,FALSE)),P198,VLOOKUP(P198,'unique fed agency names'!A:C,3,FALSE))
</f>
        <v>U.S. Department of Agriculture (USDA)</v>
      </c>
      <c r="R198" s="1">
        <v>9.48021373E8</v>
      </c>
      <c r="S198" s="1" t="s">
        <v>501</v>
      </c>
      <c r="T198" s="1" t="str">
        <f>IF(ISERROR(VLOOKUP(S198,'unique org names'!A:C,3,FALSE)),S198,VLOOKUP(S198,'unique org names'!A:C,3,FALSE))
</f>
        <v>WOODWARD ACADEMY</v>
      </c>
      <c r="V198" s="1" t="s">
        <v>502</v>
      </c>
      <c r="W198" s="1" t="s">
        <v>44</v>
      </c>
      <c r="X198" s="1" t="s">
        <v>45</v>
      </c>
      <c r="Y198" s="1">
        <v>4.82072901E8</v>
      </c>
      <c r="AA198" s="1" t="s">
        <v>44</v>
      </c>
      <c r="AB198" s="1" t="s">
        <v>45</v>
      </c>
      <c r="AC198" s="1">
        <v>4.82072901E8</v>
      </c>
      <c r="AF198" s="1">
        <v>282342.69</v>
      </c>
      <c r="AG198" s="2">
        <v>41186.0</v>
      </c>
      <c r="AH198" s="1">
        <v>1200.0</v>
      </c>
      <c r="AI198" s="1" t="s">
        <v>647</v>
      </c>
      <c r="AJ198" s="1" t="s">
        <v>742</v>
      </c>
      <c r="AK198" s="1" t="s">
        <v>712</v>
      </c>
      <c r="AL198" s="1">
        <v>8.0</v>
      </c>
      <c r="AM198" s="1">
        <v>2013.0</v>
      </c>
      <c r="AN198" s="1">
        <v>2013.0</v>
      </c>
      <c r="AO198" s="1" t="s">
        <v>713</v>
      </c>
    </row>
    <row r="199">
      <c r="A199" s="5">
        <v>1.0</v>
      </c>
      <c r="B199" s="1">
        <f t="shared" si="1"/>
        <v>199</v>
      </c>
      <c r="C199" s="1" t="s">
        <v>709</v>
      </c>
      <c r="D199" s="1" t="s">
        <v>709</v>
      </c>
      <c r="E199" s="1" t="s">
        <v>645</v>
      </c>
      <c r="G199" s="1">
        <v>4.44297088E8</v>
      </c>
      <c r="H199" s="2">
        <v>41214.0</v>
      </c>
      <c r="I199" s="1" t="s">
        <v>710</v>
      </c>
      <c r="K199" s="1" t="s">
        <v>710</v>
      </c>
      <c r="N199" s="1" t="s">
        <v>647</v>
      </c>
      <c r="O199" s="1">
        <v>1200.0</v>
      </c>
      <c r="P199" s="1" t="s">
        <v>647</v>
      </c>
      <c r="Q199" s="1" t="str">
        <f>IF(ISERROR(VLOOKUP(P199,'unique fed agency names'!A:C,3,FALSE)),P199,VLOOKUP(P199,'unique fed agency names'!A:C,3,FALSE))
</f>
        <v>U.S. Department of Agriculture (USDA)</v>
      </c>
      <c r="R199" s="1">
        <v>9.63121426E8</v>
      </c>
      <c r="S199" s="1" t="s">
        <v>490</v>
      </c>
      <c r="T199" s="1" t="str">
        <f>IF(ISERROR(VLOOKUP(S199,'unique org names'!A:C,3,FALSE)),S199,VLOOKUP(S199,'unique org names'!A:C,3,FALSE))
</f>
        <v>DETROIT LEADERSHIP ACADEMY</v>
      </c>
      <c r="V199" s="1" t="s">
        <v>491</v>
      </c>
      <c r="W199" s="1" t="s">
        <v>44</v>
      </c>
      <c r="X199" s="1" t="s">
        <v>45</v>
      </c>
      <c r="Y199" s="1">
        <v>4.82233051E8</v>
      </c>
      <c r="AA199" s="1" t="s">
        <v>46</v>
      </c>
      <c r="AB199" s="1" t="s">
        <v>45</v>
      </c>
      <c r="AC199" s="1">
        <v>4.82233051E8</v>
      </c>
      <c r="AF199" s="1">
        <v>127210.96</v>
      </c>
      <c r="AG199" s="2">
        <v>41214.0</v>
      </c>
      <c r="AH199" s="1">
        <v>1200.0</v>
      </c>
      <c r="AI199" s="1" t="s">
        <v>647</v>
      </c>
      <c r="AJ199" s="1" t="s">
        <v>743</v>
      </c>
      <c r="AK199" s="1" t="s">
        <v>712</v>
      </c>
      <c r="AL199" s="1">
        <v>8.0</v>
      </c>
      <c r="AM199" s="1">
        <v>2013.0</v>
      </c>
      <c r="AN199" s="1">
        <v>2013.0</v>
      </c>
      <c r="AO199" s="1" t="s">
        <v>713</v>
      </c>
    </row>
    <row r="200">
      <c r="A200" s="5">
        <v>1.0</v>
      </c>
      <c r="B200" s="1">
        <f t="shared" si="1"/>
        <v>200</v>
      </c>
      <c r="C200" s="1" t="s">
        <v>744</v>
      </c>
      <c r="D200" s="1" t="s">
        <v>744</v>
      </c>
      <c r="E200" s="1" t="s">
        <v>745</v>
      </c>
      <c r="G200" s="1">
        <v>1.0137025E7</v>
      </c>
      <c r="H200" s="2">
        <v>41404.0</v>
      </c>
      <c r="I200" s="1" t="s">
        <v>746</v>
      </c>
      <c r="K200" s="1" t="s">
        <v>746</v>
      </c>
      <c r="N200" s="1" t="s">
        <v>151</v>
      </c>
      <c r="O200" s="1">
        <v>6900.0</v>
      </c>
      <c r="P200" s="1" t="s">
        <v>151</v>
      </c>
      <c r="Q200" s="1" t="str">
        <f>IF(ISERROR(VLOOKUP(P200,'unique fed agency names'!A:C,3,FALSE)),P200,VLOOKUP(P200,'unique fed agency names'!A:C,3,FALSE))
</f>
        <v>U.S. Department of Transportation (DOT)</v>
      </c>
      <c r="R200" s="1">
        <v>1.01552941E8</v>
      </c>
      <c r="S200" s="1" t="s">
        <v>747</v>
      </c>
      <c r="T200" s="1" t="str">
        <f>IF(ISERROR(VLOOKUP(S200,'unique org names'!A:C,3,FALSE)),S200,VLOOKUP(S200,'unique org names'!A:C,3,FALSE))
</f>
        <v>SUBURBAN MOBILITY AUTHORITY FOR REGIONAL TRANSPORTATION</v>
      </c>
      <c r="U200" s="1" t="s">
        <v>748</v>
      </c>
      <c r="V200" s="1" t="s">
        <v>749</v>
      </c>
      <c r="W200" s="1" t="s">
        <v>44</v>
      </c>
      <c r="X200" s="1" t="s">
        <v>45</v>
      </c>
      <c r="Y200" s="1">
        <v>4.82263515E8</v>
      </c>
      <c r="AA200" s="1" t="s">
        <v>46</v>
      </c>
      <c r="AB200" s="1" t="s">
        <v>45</v>
      </c>
      <c r="AC200" s="1">
        <v>4.82263515E8</v>
      </c>
      <c r="AD200" s="1">
        <v>1.01552941E8</v>
      </c>
      <c r="AE200" s="1" t="s">
        <v>747</v>
      </c>
      <c r="AF200" s="1">
        <v>180672.0</v>
      </c>
      <c r="AG200" s="2">
        <v>41404.0</v>
      </c>
      <c r="AH200" s="1">
        <v>6900.0</v>
      </c>
      <c r="AI200" s="1" t="s">
        <v>151</v>
      </c>
      <c r="AJ200" s="1" t="s">
        <v>750</v>
      </c>
      <c r="AK200" s="1" t="s">
        <v>751</v>
      </c>
      <c r="AL200" s="1">
        <v>6.0</v>
      </c>
      <c r="AM200" s="1">
        <v>2013.0</v>
      </c>
      <c r="AN200" s="1">
        <v>2013.0</v>
      </c>
      <c r="AO200" s="1" t="s">
        <v>752</v>
      </c>
    </row>
    <row r="201">
      <c r="A201" s="5">
        <v>1.0</v>
      </c>
      <c r="B201" s="1">
        <f t="shared" si="1"/>
        <v>201</v>
      </c>
      <c r="C201" s="1" t="s">
        <v>753</v>
      </c>
      <c r="D201" s="1" t="s">
        <v>753</v>
      </c>
      <c r="E201" s="1" t="s">
        <v>645</v>
      </c>
      <c r="G201" s="1">
        <v>1852205.0</v>
      </c>
      <c r="H201" s="2">
        <v>41214.0</v>
      </c>
      <c r="I201" s="1" t="s">
        <v>754</v>
      </c>
      <c r="K201" s="1" t="s">
        <v>754</v>
      </c>
      <c r="N201" s="1" t="s">
        <v>647</v>
      </c>
      <c r="O201" s="1">
        <v>1200.0</v>
      </c>
      <c r="P201" s="1" t="s">
        <v>647</v>
      </c>
      <c r="Q201" s="1" t="str">
        <f>IF(ISERROR(VLOOKUP(P201,'unique fed agency names'!A:C,3,FALSE)),P201,VLOOKUP(P201,'unique fed agency names'!A:C,3,FALSE))
</f>
        <v>U.S. Department of Agriculture (USDA)</v>
      </c>
      <c r="R201" s="1">
        <v>2.0830303E7</v>
      </c>
      <c r="S201" s="1" t="s">
        <v>424</v>
      </c>
      <c r="T201" s="1" t="str">
        <f>IF(ISERROR(VLOOKUP(S201,'unique org names'!A:C,3,FALSE)),S201,VLOOKUP(S201,'unique org names'!A:C,3,FALSE))
</f>
        <v>MATRIX HUMAN SERVICES</v>
      </c>
      <c r="U201" s="1" t="s">
        <v>425</v>
      </c>
      <c r="V201" s="1" t="s">
        <v>426</v>
      </c>
      <c r="W201" s="1" t="s">
        <v>44</v>
      </c>
      <c r="X201" s="1" t="s">
        <v>45</v>
      </c>
      <c r="Y201" s="1">
        <v>4.82012002E8</v>
      </c>
      <c r="AA201" s="1" t="s">
        <v>44</v>
      </c>
      <c r="AB201" s="1" t="s">
        <v>45</v>
      </c>
      <c r="AC201" s="1">
        <v>4.82012002E8</v>
      </c>
      <c r="AD201" s="1">
        <v>2.0830303E7</v>
      </c>
      <c r="AE201" s="1" t="s">
        <v>424</v>
      </c>
      <c r="AF201" s="1">
        <v>32129.99</v>
      </c>
      <c r="AG201" s="2">
        <v>41214.0</v>
      </c>
      <c r="AH201" s="1">
        <v>1200.0</v>
      </c>
      <c r="AI201" s="1" t="s">
        <v>647</v>
      </c>
      <c r="AJ201" s="1" t="s">
        <v>755</v>
      </c>
      <c r="AK201" s="1" t="s">
        <v>756</v>
      </c>
      <c r="AL201" s="1">
        <v>8.0</v>
      </c>
      <c r="AM201" s="1">
        <v>2013.0</v>
      </c>
      <c r="AN201" s="1">
        <v>2013.0</v>
      </c>
      <c r="AO201" s="1" t="s">
        <v>757</v>
      </c>
    </row>
    <row r="202">
      <c r="A202" s="5">
        <v>1.0</v>
      </c>
      <c r="B202" s="1">
        <f t="shared" si="1"/>
        <v>202</v>
      </c>
      <c r="C202" s="1" t="s">
        <v>430</v>
      </c>
      <c r="D202" s="1" t="s">
        <v>430</v>
      </c>
      <c r="E202" s="1" t="s">
        <v>431</v>
      </c>
      <c r="G202" s="1">
        <v>1047454.0</v>
      </c>
      <c r="H202" s="2">
        <v>41513.0</v>
      </c>
      <c r="I202" s="1" t="s">
        <v>758</v>
      </c>
      <c r="K202" s="1" t="s">
        <v>758</v>
      </c>
      <c r="N202" s="1" t="s">
        <v>431</v>
      </c>
      <c r="O202" s="1">
        <v>9700.0</v>
      </c>
      <c r="P202" s="1" t="s">
        <v>431</v>
      </c>
      <c r="Q202" s="1" t="str">
        <f>IF(ISERROR(VLOOKUP(P202,'unique fed agency names'!A:C,3,FALSE)),P202,VLOOKUP(P202,'unique fed agency names'!A:C,3,FALSE))
</f>
        <v>U.S. Department of Defense (DOD)</v>
      </c>
      <c r="R202" s="1">
        <v>7.3134603E7</v>
      </c>
      <c r="S202" s="1" t="s">
        <v>41</v>
      </c>
      <c r="T202" s="1" t="str">
        <f>IF(ISERROR(VLOOKUP(S202,'unique org names'!A:C,3,FALSE)),S202,VLOOKUP(S202,'unique org names'!A:C,3,FALSE))
</f>
        <v>Henry Ford Health System</v>
      </c>
      <c r="U202" s="1" t="s">
        <v>252</v>
      </c>
      <c r="V202" s="1" t="s">
        <v>253</v>
      </c>
      <c r="W202" s="1" t="s">
        <v>44</v>
      </c>
      <c r="X202" s="1" t="s">
        <v>45</v>
      </c>
      <c r="Y202" s="1">
        <v>4.8202345E8</v>
      </c>
      <c r="AA202" s="1" t="s">
        <v>46</v>
      </c>
      <c r="AB202" s="1" t="s">
        <v>45</v>
      </c>
      <c r="AC202" s="1">
        <v>4.82022689E8</v>
      </c>
      <c r="AD202" s="1">
        <v>7.3134603E7</v>
      </c>
      <c r="AE202" s="1" t="s">
        <v>41</v>
      </c>
      <c r="AF202" s="1">
        <v>80543.0</v>
      </c>
      <c r="AG202" s="2">
        <v>41513.0</v>
      </c>
      <c r="AH202" s="1">
        <v>9700.0</v>
      </c>
      <c r="AI202" s="1" t="s">
        <v>431</v>
      </c>
      <c r="AJ202" s="1" t="s">
        <v>433</v>
      </c>
      <c r="AK202" s="1" t="s">
        <v>434</v>
      </c>
      <c r="AL202" s="1">
        <v>8.0</v>
      </c>
      <c r="AM202" s="1">
        <v>2013.0</v>
      </c>
      <c r="AN202" s="1">
        <v>2013.0</v>
      </c>
      <c r="AO202" s="1" t="s">
        <v>435</v>
      </c>
    </row>
    <row r="203">
      <c r="A203" s="5">
        <v>1.0</v>
      </c>
      <c r="B203" s="1">
        <f t="shared" si="1"/>
        <v>203</v>
      </c>
      <c r="C203" s="1" t="s">
        <v>676</v>
      </c>
      <c r="D203" s="1" t="s">
        <v>676</v>
      </c>
      <c r="E203" s="1" t="s">
        <v>645</v>
      </c>
      <c r="G203" s="1">
        <v>3126270.0</v>
      </c>
      <c r="H203" s="2">
        <v>41193.0</v>
      </c>
      <c r="I203" s="1" t="s">
        <v>677</v>
      </c>
      <c r="K203" s="1" t="s">
        <v>677</v>
      </c>
      <c r="N203" s="1" t="s">
        <v>647</v>
      </c>
      <c r="O203" s="1">
        <v>1200.0</v>
      </c>
      <c r="P203" s="1" t="s">
        <v>647</v>
      </c>
      <c r="Q203" s="1" t="str">
        <f>IF(ISERROR(VLOOKUP(P203,'unique fed agency names'!A:C,3,FALSE)),P203,VLOOKUP(P203,'unique fed agency names'!A:C,3,FALSE))
</f>
        <v>U.S. Department of Agriculture (USDA)</v>
      </c>
      <c r="R203" s="1">
        <v>3.9866801E7</v>
      </c>
      <c r="S203" s="1" t="s">
        <v>612</v>
      </c>
      <c r="T203" s="1" t="str">
        <f>IF(ISERROR(VLOOKUP(S203,'unique org names'!A:C,3,FALSE)),S203,VLOOKUP(S203,'unique org names'!A:C,3,FALSE))
</f>
        <v>HAMTRAMCK PUBLIC SCHOOLS</v>
      </c>
      <c r="V203" s="1" t="s">
        <v>613</v>
      </c>
      <c r="W203" s="1" t="s">
        <v>44</v>
      </c>
      <c r="X203" s="1" t="s">
        <v>45</v>
      </c>
      <c r="Y203" s="1">
        <v>4.82123753E8</v>
      </c>
      <c r="AA203" s="1" t="s">
        <v>607</v>
      </c>
      <c r="AB203" s="1" t="s">
        <v>45</v>
      </c>
      <c r="AC203" s="1">
        <v>4.82120012E8</v>
      </c>
      <c r="AD203" s="1">
        <v>3.9866801E7</v>
      </c>
      <c r="AE203" s="1" t="s">
        <v>612</v>
      </c>
      <c r="AF203" s="1">
        <v>57004.0</v>
      </c>
      <c r="AG203" s="2">
        <v>41193.0</v>
      </c>
      <c r="AH203" s="1">
        <v>1200.0</v>
      </c>
      <c r="AI203" s="1" t="s">
        <v>647</v>
      </c>
      <c r="AJ203" s="1" t="s">
        <v>759</v>
      </c>
      <c r="AK203" s="1" t="s">
        <v>679</v>
      </c>
      <c r="AL203" s="1">
        <v>8.0</v>
      </c>
      <c r="AM203" s="1">
        <v>2013.0</v>
      </c>
      <c r="AN203" s="1">
        <v>2013.0</v>
      </c>
      <c r="AO203" s="1" t="s">
        <v>680</v>
      </c>
    </row>
    <row r="204">
      <c r="A204" s="5">
        <v>1.0</v>
      </c>
      <c r="B204" s="1">
        <f t="shared" si="1"/>
        <v>204</v>
      </c>
      <c r="C204" s="1" t="s">
        <v>709</v>
      </c>
      <c r="D204" s="1" t="s">
        <v>709</v>
      </c>
      <c r="E204" s="1" t="s">
        <v>645</v>
      </c>
      <c r="G204" s="1">
        <v>4.44297088E8</v>
      </c>
      <c r="H204" s="2">
        <v>41193.0</v>
      </c>
      <c r="I204" s="1" t="s">
        <v>710</v>
      </c>
      <c r="K204" s="1" t="s">
        <v>710</v>
      </c>
      <c r="N204" s="1" t="s">
        <v>647</v>
      </c>
      <c r="O204" s="1">
        <v>1200.0</v>
      </c>
      <c r="P204" s="1" t="s">
        <v>647</v>
      </c>
      <c r="Q204" s="1" t="str">
        <f>IF(ISERROR(VLOOKUP(P204,'unique fed agency names'!A:C,3,FALSE)),P204,VLOOKUP(P204,'unique fed agency names'!A:C,3,FALSE))
</f>
        <v>U.S. Department of Agriculture (USDA)</v>
      </c>
      <c r="R204" s="1">
        <v>1.23577707E8</v>
      </c>
      <c r="S204" s="1" t="s">
        <v>563</v>
      </c>
      <c r="T204" s="1" t="str">
        <f>IF(ISERROR(VLOOKUP(S204,'unique org names'!A:C,3,FALSE)),S204,VLOOKUP(S204,'unique org names'!A:C,3,FALSE))
</f>
        <v>WARRENDALE CHARTER ACADEMY</v>
      </c>
      <c r="V204" s="1" t="s">
        <v>565</v>
      </c>
      <c r="W204" s="1" t="s">
        <v>44</v>
      </c>
      <c r="X204" s="1" t="s">
        <v>45</v>
      </c>
      <c r="Y204" s="1">
        <v>4.8228333E8</v>
      </c>
      <c r="AA204" s="1" t="s">
        <v>44</v>
      </c>
      <c r="AB204" s="1" t="s">
        <v>45</v>
      </c>
      <c r="AC204" s="1">
        <v>4.82283396E8</v>
      </c>
      <c r="AD204" s="1">
        <v>9.60742484E8</v>
      </c>
      <c r="AF204" s="1">
        <v>91700.22</v>
      </c>
      <c r="AG204" s="2">
        <v>41193.0</v>
      </c>
      <c r="AH204" s="1">
        <v>1200.0</v>
      </c>
      <c r="AI204" s="1" t="s">
        <v>647</v>
      </c>
      <c r="AJ204" s="1" t="s">
        <v>760</v>
      </c>
      <c r="AK204" s="1" t="s">
        <v>712</v>
      </c>
      <c r="AL204" s="1">
        <v>8.0</v>
      </c>
      <c r="AM204" s="1">
        <v>2013.0</v>
      </c>
      <c r="AN204" s="1">
        <v>2013.0</v>
      </c>
      <c r="AO204" s="1" t="s">
        <v>713</v>
      </c>
    </row>
    <row r="205">
      <c r="A205" s="5">
        <v>1.0</v>
      </c>
      <c r="B205" s="1">
        <f t="shared" si="1"/>
        <v>205</v>
      </c>
      <c r="C205" s="1" t="s">
        <v>709</v>
      </c>
      <c r="D205" s="1" t="s">
        <v>709</v>
      </c>
      <c r="E205" s="1" t="s">
        <v>645</v>
      </c>
      <c r="G205" s="1">
        <v>4.44297088E8</v>
      </c>
      <c r="H205" s="2">
        <v>41221.0</v>
      </c>
      <c r="I205" s="1" t="s">
        <v>710</v>
      </c>
      <c r="K205" s="1" t="s">
        <v>710</v>
      </c>
      <c r="N205" s="1" t="s">
        <v>647</v>
      </c>
      <c r="O205" s="1">
        <v>1200.0</v>
      </c>
      <c r="P205" s="1" t="s">
        <v>647</v>
      </c>
      <c r="Q205" s="1" t="str">
        <f>IF(ISERROR(VLOOKUP(P205,'unique fed agency names'!A:C,3,FALSE)),P205,VLOOKUP(P205,'unique fed agency names'!A:C,3,FALSE))
</f>
        <v>U.S. Department of Agriculture (USDA)</v>
      </c>
      <c r="R205" s="1">
        <v>3.9866801E7</v>
      </c>
      <c r="S205" s="1" t="s">
        <v>612</v>
      </c>
      <c r="T205" s="1" t="str">
        <f>IF(ISERROR(VLOOKUP(S205,'unique org names'!A:C,3,FALSE)),S205,VLOOKUP(S205,'unique org names'!A:C,3,FALSE))
</f>
        <v>HAMTRAMCK PUBLIC SCHOOLS</v>
      </c>
      <c r="V205" s="1" t="s">
        <v>613</v>
      </c>
      <c r="W205" s="1" t="s">
        <v>44</v>
      </c>
      <c r="X205" s="1" t="s">
        <v>45</v>
      </c>
      <c r="Y205" s="1">
        <v>4.82123753E8</v>
      </c>
      <c r="AA205" s="1" t="s">
        <v>607</v>
      </c>
      <c r="AB205" s="1" t="s">
        <v>45</v>
      </c>
      <c r="AC205" s="1">
        <v>4.82120012E8</v>
      </c>
      <c r="AD205" s="1">
        <v>3.9866801E7</v>
      </c>
      <c r="AE205" s="1" t="s">
        <v>612</v>
      </c>
      <c r="AF205" s="1">
        <v>33149.04</v>
      </c>
      <c r="AG205" s="2">
        <v>41221.0</v>
      </c>
      <c r="AH205" s="1">
        <v>1200.0</v>
      </c>
      <c r="AI205" s="1" t="s">
        <v>647</v>
      </c>
      <c r="AJ205" s="1" t="s">
        <v>761</v>
      </c>
      <c r="AK205" s="1" t="s">
        <v>712</v>
      </c>
      <c r="AL205" s="1">
        <v>8.0</v>
      </c>
      <c r="AM205" s="1">
        <v>2013.0</v>
      </c>
      <c r="AN205" s="1">
        <v>2013.0</v>
      </c>
      <c r="AO205" s="1" t="s">
        <v>713</v>
      </c>
    </row>
    <row r="206">
      <c r="A206" s="5">
        <v>1.0</v>
      </c>
      <c r="B206" s="1">
        <f t="shared" si="1"/>
        <v>206</v>
      </c>
      <c r="C206" s="1" t="s">
        <v>709</v>
      </c>
      <c r="D206" s="1" t="s">
        <v>709</v>
      </c>
      <c r="E206" s="1" t="s">
        <v>645</v>
      </c>
      <c r="G206" s="1">
        <v>4.44297088E8</v>
      </c>
      <c r="H206" s="2">
        <v>41186.0</v>
      </c>
      <c r="I206" s="1" t="s">
        <v>710</v>
      </c>
      <c r="K206" s="1" t="s">
        <v>710</v>
      </c>
      <c r="N206" s="1" t="s">
        <v>647</v>
      </c>
      <c r="O206" s="1">
        <v>1200.0</v>
      </c>
      <c r="P206" s="1" t="s">
        <v>647</v>
      </c>
      <c r="Q206" s="1" t="str">
        <f>IF(ISERROR(VLOOKUP(P206,'unique fed agency names'!A:C,3,FALSE)),P206,VLOOKUP(P206,'unique fed agency names'!A:C,3,FALSE))
</f>
        <v>U.S. Department of Agriculture (USDA)</v>
      </c>
      <c r="R206" s="1">
        <v>8.30649195E8</v>
      </c>
      <c r="S206" s="1" t="s">
        <v>545</v>
      </c>
      <c r="T206" s="1" t="str">
        <f>IF(ISERROR(VLOOKUP(S206,'unique org names'!A:C,3,FALSE)),S206,VLOOKUP(S206,'unique org names'!A:C,3,FALSE))
</f>
        <v>PLYMOUTH EDUCATIONAL CENTER CHARTER SCHOOL</v>
      </c>
      <c r="V206" s="1" t="s">
        <v>547</v>
      </c>
      <c r="W206" s="1" t="s">
        <v>44</v>
      </c>
      <c r="X206" s="1" t="s">
        <v>45</v>
      </c>
      <c r="Y206" s="1">
        <v>4.82071E8</v>
      </c>
      <c r="AA206" s="1" t="s">
        <v>44</v>
      </c>
      <c r="AB206" s="1" t="s">
        <v>45</v>
      </c>
      <c r="AC206" s="1">
        <v>4.82071E8</v>
      </c>
      <c r="AF206" s="1">
        <v>395659.73</v>
      </c>
      <c r="AG206" s="2">
        <v>41186.0</v>
      </c>
      <c r="AH206" s="1">
        <v>1200.0</v>
      </c>
      <c r="AI206" s="1" t="s">
        <v>647</v>
      </c>
      <c r="AJ206" s="1" t="s">
        <v>762</v>
      </c>
      <c r="AK206" s="1" t="s">
        <v>712</v>
      </c>
      <c r="AL206" s="1">
        <v>8.0</v>
      </c>
      <c r="AM206" s="1">
        <v>2013.0</v>
      </c>
      <c r="AN206" s="1">
        <v>2013.0</v>
      </c>
      <c r="AO206" s="1" t="s">
        <v>713</v>
      </c>
    </row>
    <row r="207">
      <c r="A207" s="5">
        <v>1.0</v>
      </c>
      <c r="B207" s="1">
        <f t="shared" si="1"/>
        <v>207</v>
      </c>
      <c r="C207" s="1" t="s">
        <v>709</v>
      </c>
      <c r="D207" s="1" t="s">
        <v>709</v>
      </c>
      <c r="E207" s="1" t="s">
        <v>645</v>
      </c>
      <c r="G207" s="1">
        <v>4.44297088E8</v>
      </c>
      <c r="H207" s="2">
        <v>41214.0</v>
      </c>
      <c r="I207" s="1" t="s">
        <v>710</v>
      </c>
      <c r="K207" s="1" t="s">
        <v>710</v>
      </c>
      <c r="N207" s="1" t="s">
        <v>647</v>
      </c>
      <c r="O207" s="1">
        <v>1200.0</v>
      </c>
      <c r="P207" s="1" t="s">
        <v>647</v>
      </c>
      <c r="Q207" s="1" t="str">
        <f>IF(ISERROR(VLOOKUP(P207,'unique fed agency names'!A:C,3,FALSE)),P207,VLOOKUP(P207,'unique fed agency names'!A:C,3,FALSE))
</f>
        <v>U.S. Department of Agriculture (USDA)</v>
      </c>
      <c r="R207" s="1">
        <v>9.63121426E8</v>
      </c>
      <c r="S207" s="1" t="s">
        <v>490</v>
      </c>
      <c r="T207" s="1" t="str">
        <f>IF(ISERROR(VLOOKUP(S207,'unique org names'!A:C,3,FALSE)),S207,VLOOKUP(S207,'unique org names'!A:C,3,FALSE))
</f>
        <v>DETROIT LEADERSHIP ACADEMY</v>
      </c>
      <c r="V207" s="1" t="s">
        <v>491</v>
      </c>
      <c r="W207" s="1" t="s">
        <v>44</v>
      </c>
      <c r="X207" s="1" t="s">
        <v>45</v>
      </c>
      <c r="Y207" s="1">
        <v>4.82233051E8</v>
      </c>
      <c r="AA207" s="1" t="s">
        <v>46</v>
      </c>
      <c r="AB207" s="1" t="s">
        <v>45</v>
      </c>
      <c r="AC207" s="1">
        <v>4.82233051E8</v>
      </c>
      <c r="AF207" s="1">
        <v>75700.97</v>
      </c>
      <c r="AG207" s="2">
        <v>41214.0</v>
      </c>
      <c r="AH207" s="1">
        <v>1200.0</v>
      </c>
      <c r="AI207" s="1" t="s">
        <v>647</v>
      </c>
      <c r="AJ207" s="1" t="s">
        <v>763</v>
      </c>
      <c r="AK207" s="1" t="s">
        <v>712</v>
      </c>
      <c r="AL207" s="1">
        <v>8.0</v>
      </c>
      <c r="AM207" s="1">
        <v>2013.0</v>
      </c>
      <c r="AN207" s="1">
        <v>2013.0</v>
      </c>
      <c r="AO207" s="1" t="s">
        <v>713</v>
      </c>
    </row>
    <row r="208">
      <c r="A208" s="5">
        <v>1.0</v>
      </c>
      <c r="B208" s="1">
        <f t="shared" si="1"/>
        <v>208</v>
      </c>
      <c r="C208" s="1" t="s">
        <v>709</v>
      </c>
      <c r="D208" s="1" t="s">
        <v>709</v>
      </c>
      <c r="E208" s="1" t="s">
        <v>645</v>
      </c>
      <c r="G208" s="1">
        <v>4.44297088E8</v>
      </c>
      <c r="H208" s="2">
        <v>41249.0</v>
      </c>
      <c r="I208" s="1" t="s">
        <v>710</v>
      </c>
      <c r="K208" s="1" t="s">
        <v>710</v>
      </c>
      <c r="N208" s="1" t="s">
        <v>647</v>
      </c>
      <c r="O208" s="1">
        <v>1200.0</v>
      </c>
      <c r="P208" s="1" t="s">
        <v>647</v>
      </c>
      <c r="Q208" s="1" t="str">
        <f>IF(ISERROR(VLOOKUP(P208,'unique fed agency names'!A:C,3,FALSE)),P208,VLOOKUP(P208,'unique fed agency names'!A:C,3,FALSE))
</f>
        <v>U.S. Department of Agriculture (USDA)</v>
      </c>
      <c r="R208" s="1">
        <v>8.76992343E8</v>
      </c>
      <c r="S208" s="1" t="s">
        <v>550</v>
      </c>
      <c r="T208" s="1" t="str">
        <f>IF(ISERROR(VLOOKUP(S208,'unique org names'!A:C,3,FALSE)),S208,VLOOKUP(S208,'unique org names'!A:C,3,FALSE))
</f>
        <v>VOYAGEUR ACADEMY</v>
      </c>
      <c r="V208" s="1" t="s">
        <v>551</v>
      </c>
      <c r="W208" s="1" t="s">
        <v>44</v>
      </c>
      <c r="X208" s="1" t="s">
        <v>45</v>
      </c>
      <c r="Y208" s="1">
        <v>4.82102451E8</v>
      </c>
      <c r="AA208" s="1" t="s">
        <v>44</v>
      </c>
      <c r="AB208" s="1" t="s">
        <v>45</v>
      </c>
      <c r="AC208" s="1">
        <v>4.82102451E8</v>
      </c>
      <c r="AF208" s="1">
        <v>221518.86</v>
      </c>
      <c r="AG208" s="2">
        <v>41249.0</v>
      </c>
      <c r="AH208" s="1">
        <v>1200.0</v>
      </c>
      <c r="AI208" s="1" t="s">
        <v>647</v>
      </c>
      <c r="AJ208" s="1" t="s">
        <v>764</v>
      </c>
      <c r="AK208" s="1" t="s">
        <v>712</v>
      </c>
      <c r="AL208" s="1">
        <v>8.0</v>
      </c>
      <c r="AM208" s="1">
        <v>2013.0</v>
      </c>
      <c r="AN208" s="1">
        <v>2013.0</v>
      </c>
      <c r="AO208" s="1" t="s">
        <v>713</v>
      </c>
    </row>
    <row r="209">
      <c r="A209" s="5">
        <v>1.0</v>
      </c>
      <c r="B209" s="1">
        <f t="shared" si="1"/>
        <v>209</v>
      </c>
      <c r="C209" s="1" t="s">
        <v>709</v>
      </c>
      <c r="D209" s="1" t="s">
        <v>709</v>
      </c>
      <c r="E209" s="1" t="s">
        <v>645</v>
      </c>
      <c r="G209" s="1">
        <v>4.44297088E8</v>
      </c>
      <c r="H209" s="2">
        <v>41228.0</v>
      </c>
      <c r="I209" s="1" t="s">
        <v>710</v>
      </c>
      <c r="K209" s="1" t="s">
        <v>710</v>
      </c>
      <c r="N209" s="1" t="s">
        <v>647</v>
      </c>
      <c r="O209" s="1">
        <v>1200.0</v>
      </c>
      <c r="P209" s="1" t="s">
        <v>647</v>
      </c>
      <c r="Q209" s="1" t="str">
        <f>IF(ISERROR(VLOOKUP(P209,'unique fed agency names'!A:C,3,FALSE)),P209,VLOOKUP(P209,'unique fed agency names'!A:C,3,FALSE))
</f>
        <v>U.S. Department of Agriculture (USDA)</v>
      </c>
      <c r="R209" s="1">
        <v>8.29503312E8</v>
      </c>
      <c r="S209" s="1" t="s">
        <v>622</v>
      </c>
      <c r="T209" s="1" t="str">
        <f>IF(ISERROR(VLOOKUP(S209,'unique org names'!A:C,3,FALSE)),S209,VLOOKUP(S209,'unique org names'!A:C,3,FALSE))
</f>
        <v>GEORGE WASHINGTON CARVER ACADEMY</v>
      </c>
      <c r="V209" s="1" t="s">
        <v>623</v>
      </c>
      <c r="W209" s="1" t="s">
        <v>44</v>
      </c>
      <c r="X209" s="1" t="s">
        <v>45</v>
      </c>
      <c r="Y209" s="1">
        <v>4.82035715E8</v>
      </c>
      <c r="AA209" s="1" t="s">
        <v>603</v>
      </c>
      <c r="AB209" s="1" t="s">
        <v>45</v>
      </c>
      <c r="AC209" s="1">
        <v>4.82035715E8</v>
      </c>
      <c r="AF209" s="1">
        <v>160195.18</v>
      </c>
      <c r="AG209" s="2">
        <v>41228.0</v>
      </c>
      <c r="AH209" s="1">
        <v>1200.0</v>
      </c>
      <c r="AI209" s="1" t="s">
        <v>647</v>
      </c>
      <c r="AJ209" s="1" t="s">
        <v>765</v>
      </c>
      <c r="AK209" s="1" t="s">
        <v>712</v>
      </c>
      <c r="AL209" s="1">
        <v>8.0</v>
      </c>
      <c r="AM209" s="1">
        <v>2013.0</v>
      </c>
      <c r="AN209" s="1">
        <v>2013.0</v>
      </c>
      <c r="AO209" s="1" t="s">
        <v>713</v>
      </c>
    </row>
    <row r="210">
      <c r="A210" s="5">
        <v>1.0</v>
      </c>
      <c r="B210" s="1">
        <f t="shared" si="1"/>
        <v>210</v>
      </c>
      <c r="C210" s="1" t="s">
        <v>709</v>
      </c>
      <c r="D210" s="1" t="s">
        <v>709</v>
      </c>
      <c r="E210" s="1" t="s">
        <v>645</v>
      </c>
      <c r="G210" s="1">
        <v>4.44297088E8</v>
      </c>
      <c r="H210" s="2">
        <v>41193.0</v>
      </c>
      <c r="I210" s="1" t="s">
        <v>710</v>
      </c>
      <c r="K210" s="1" t="s">
        <v>710</v>
      </c>
      <c r="N210" s="1" t="s">
        <v>647</v>
      </c>
      <c r="O210" s="1">
        <v>1200.0</v>
      </c>
      <c r="P210" s="1" t="s">
        <v>647</v>
      </c>
      <c r="Q210" s="1" t="str">
        <f>IF(ISERROR(VLOOKUP(P210,'unique fed agency names'!A:C,3,FALSE)),P210,VLOOKUP(P210,'unique fed agency names'!A:C,3,FALSE))
</f>
        <v>U.S. Department of Agriculture (USDA)</v>
      </c>
      <c r="R210" s="1">
        <v>1.56386349E8</v>
      </c>
      <c r="S210" s="1" t="s">
        <v>766</v>
      </c>
      <c r="T210" s="1" t="str">
        <f>IF(ISERROR(VLOOKUP(S210,'unique org names'!A:C,3,FALSE)),S210,VLOOKUP(S210,'unique org names'!A:C,3,FALSE))
</f>
        <v>First Yogis Kiddie Kare I</v>
      </c>
      <c r="V210" s="1" t="s">
        <v>767</v>
      </c>
      <c r="W210" s="1" t="s">
        <v>44</v>
      </c>
      <c r="X210" s="1" t="s">
        <v>45</v>
      </c>
      <c r="Y210" s="1">
        <v>4.82273027E8</v>
      </c>
      <c r="AA210" s="1" t="s">
        <v>44</v>
      </c>
      <c r="AB210" s="1" t="s">
        <v>45</v>
      </c>
      <c r="AC210" s="1">
        <v>4.82273027E8</v>
      </c>
      <c r="AF210" s="1">
        <v>60230.47</v>
      </c>
      <c r="AG210" s="2">
        <v>41193.0</v>
      </c>
      <c r="AH210" s="1">
        <v>1200.0</v>
      </c>
      <c r="AI210" s="1" t="s">
        <v>647</v>
      </c>
      <c r="AJ210" s="1" t="s">
        <v>768</v>
      </c>
      <c r="AK210" s="1" t="s">
        <v>712</v>
      </c>
      <c r="AL210" s="1">
        <v>8.0</v>
      </c>
      <c r="AM210" s="1">
        <v>2013.0</v>
      </c>
      <c r="AN210" s="1">
        <v>2013.0</v>
      </c>
      <c r="AO210" s="1" t="s">
        <v>713</v>
      </c>
    </row>
    <row r="211">
      <c r="A211" s="5">
        <v>1.0</v>
      </c>
      <c r="B211" s="1">
        <f t="shared" si="1"/>
        <v>211</v>
      </c>
      <c r="C211" s="1" t="s">
        <v>709</v>
      </c>
      <c r="D211" s="1" t="s">
        <v>709</v>
      </c>
      <c r="E211" s="1" t="s">
        <v>645</v>
      </c>
      <c r="G211" s="1">
        <v>4.44297088E8</v>
      </c>
      <c r="H211" s="2">
        <v>41207.0</v>
      </c>
      <c r="I211" s="1" t="s">
        <v>710</v>
      </c>
      <c r="K211" s="1" t="s">
        <v>710</v>
      </c>
      <c r="N211" s="1" t="s">
        <v>647</v>
      </c>
      <c r="O211" s="1">
        <v>1200.0</v>
      </c>
      <c r="P211" s="1" t="s">
        <v>647</v>
      </c>
      <c r="Q211" s="1" t="str">
        <f>IF(ISERROR(VLOOKUP(P211,'unique fed agency names'!A:C,3,FALSE)),P211,VLOOKUP(P211,'unique fed agency names'!A:C,3,FALSE))
</f>
        <v>U.S. Department of Agriculture (USDA)</v>
      </c>
      <c r="R211" s="1">
        <v>8.32093392E8</v>
      </c>
      <c r="S211" s="1" t="s">
        <v>769</v>
      </c>
      <c r="T211" s="1" t="str">
        <f>IF(ISERROR(VLOOKUP(S211,'unique org names'!A:C,3,FALSE)),S211,VLOOKUP(S211,'unique org names'!A:C,3,FALSE))
</f>
        <v>MARTIN LUTHER KING, JR EDUCATION CENTER ACADEMY</v>
      </c>
      <c r="V211" s="1" t="s">
        <v>770</v>
      </c>
      <c r="W211" s="1" t="s">
        <v>44</v>
      </c>
      <c r="X211" s="1" t="s">
        <v>45</v>
      </c>
      <c r="Y211" s="1">
        <v>4.82354205E8</v>
      </c>
      <c r="AA211" s="1" t="s">
        <v>44</v>
      </c>
      <c r="AB211" s="1" t="s">
        <v>45</v>
      </c>
      <c r="AC211" s="1">
        <v>4.82354205E8</v>
      </c>
      <c r="AF211" s="1">
        <v>123767.26</v>
      </c>
      <c r="AG211" s="2">
        <v>41207.0</v>
      </c>
      <c r="AH211" s="1">
        <v>1200.0</v>
      </c>
      <c r="AI211" s="1" t="s">
        <v>647</v>
      </c>
      <c r="AJ211" s="1" t="s">
        <v>771</v>
      </c>
      <c r="AK211" s="1" t="s">
        <v>712</v>
      </c>
      <c r="AL211" s="1">
        <v>8.0</v>
      </c>
      <c r="AM211" s="1">
        <v>2013.0</v>
      </c>
      <c r="AN211" s="1">
        <v>2013.0</v>
      </c>
      <c r="AO211" s="1" t="s">
        <v>713</v>
      </c>
    </row>
    <row r="212">
      <c r="A212" s="5">
        <v>1.0</v>
      </c>
      <c r="B212" s="1">
        <f t="shared" si="1"/>
        <v>212</v>
      </c>
      <c r="C212" s="1" t="s">
        <v>709</v>
      </c>
      <c r="D212" s="1" t="s">
        <v>709</v>
      </c>
      <c r="E212" s="1" t="s">
        <v>645</v>
      </c>
      <c r="G212" s="1">
        <v>4.44297088E8</v>
      </c>
      <c r="H212" s="2">
        <v>41193.0</v>
      </c>
      <c r="I212" s="1" t="s">
        <v>710</v>
      </c>
      <c r="K212" s="1" t="s">
        <v>710</v>
      </c>
      <c r="N212" s="1" t="s">
        <v>647</v>
      </c>
      <c r="O212" s="1">
        <v>1200.0</v>
      </c>
      <c r="P212" s="1" t="s">
        <v>647</v>
      </c>
      <c r="Q212" s="1" t="str">
        <f>IF(ISERROR(VLOOKUP(P212,'unique fed agency names'!A:C,3,FALSE)),P212,VLOOKUP(P212,'unique fed agency names'!A:C,3,FALSE))
</f>
        <v>U.S. Department of Agriculture (USDA)</v>
      </c>
      <c r="R212" s="1">
        <v>1.69760451E8</v>
      </c>
      <c r="S212" s="1" t="s">
        <v>772</v>
      </c>
      <c r="T212" s="1" t="str">
        <f>IF(ISERROR(VLOOKUP(S212,'unique org names'!A:C,3,FALSE)),S212,VLOOKUP(S212,'unique org names'!A:C,3,FALSE))
</f>
        <v>GREATER CONCORD MISSIONARY BAPTIST CHURCH</v>
      </c>
      <c r="V212" s="1" t="s">
        <v>773</v>
      </c>
      <c r="W212" s="1" t="s">
        <v>44</v>
      </c>
      <c r="X212" s="1" t="s">
        <v>45</v>
      </c>
      <c r="Y212" s="1">
        <v>4.82121788E8</v>
      </c>
      <c r="AA212" s="1" t="s">
        <v>44</v>
      </c>
      <c r="AB212" s="1" t="s">
        <v>45</v>
      </c>
      <c r="AC212" s="1">
        <v>4.82121788E8</v>
      </c>
      <c r="AF212" s="1">
        <v>38947.86</v>
      </c>
      <c r="AG212" s="2">
        <v>41193.0</v>
      </c>
      <c r="AH212" s="1">
        <v>1200.0</v>
      </c>
      <c r="AI212" s="1" t="s">
        <v>647</v>
      </c>
      <c r="AJ212" s="1" t="s">
        <v>774</v>
      </c>
      <c r="AK212" s="1" t="s">
        <v>712</v>
      </c>
      <c r="AL212" s="1">
        <v>8.0</v>
      </c>
      <c r="AM212" s="1">
        <v>2013.0</v>
      </c>
      <c r="AN212" s="1">
        <v>2013.0</v>
      </c>
      <c r="AO212" s="1" t="s">
        <v>713</v>
      </c>
    </row>
    <row r="213">
      <c r="A213" s="5">
        <v>1.0</v>
      </c>
      <c r="B213" s="1">
        <f t="shared" si="1"/>
        <v>213</v>
      </c>
      <c r="C213" s="1" t="s">
        <v>709</v>
      </c>
      <c r="D213" s="1" t="s">
        <v>709</v>
      </c>
      <c r="E213" s="1" t="s">
        <v>645</v>
      </c>
      <c r="G213" s="1">
        <v>4.44297088E8</v>
      </c>
      <c r="H213" s="2">
        <v>41228.0</v>
      </c>
      <c r="I213" s="1" t="s">
        <v>710</v>
      </c>
      <c r="K213" s="1" t="s">
        <v>710</v>
      </c>
      <c r="N213" s="1" t="s">
        <v>647</v>
      </c>
      <c r="O213" s="1">
        <v>1200.0</v>
      </c>
      <c r="P213" s="1" t="s">
        <v>647</v>
      </c>
      <c r="Q213" s="1" t="str">
        <f>IF(ISERROR(VLOOKUP(P213,'unique fed agency names'!A:C,3,FALSE)),P213,VLOOKUP(P213,'unique fed agency names'!A:C,3,FALSE))
</f>
        <v>U.S. Department of Agriculture (USDA)</v>
      </c>
      <c r="R213" s="1">
        <v>7.94990296E8</v>
      </c>
      <c r="S213" s="1" t="s">
        <v>601</v>
      </c>
      <c r="T213" s="1" t="str">
        <f>IF(ISERROR(VLOOKUP(S213,'unique org names'!A:C,3,FALSE)),S213,VLOOKUP(S213,'unique org names'!A:C,3,FALSE))
</f>
        <v>NORTHPOINTE ACADEMY</v>
      </c>
      <c r="V213" s="1" t="s">
        <v>602</v>
      </c>
      <c r="W213" s="1" t="s">
        <v>44</v>
      </c>
      <c r="X213" s="1" t="s">
        <v>45</v>
      </c>
      <c r="Y213" s="1">
        <v>4.82032827E8</v>
      </c>
      <c r="AA213" s="1" t="s">
        <v>603</v>
      </c>
      <c r="AB213" s="1" t="s">
        <v>45</v>
      </c>
      <c r="AC213" s="1">
        <v>4.82032827E8</v>
      </c>
      <c r="AF213" s="1">
        <v>136235.32</v>
      </c>
      <c r="AG213" s="2">
        <v>41228.0</v>
      </c>
      <c r="AH213" s="1">
        <v>1200.0</v>
      </c>
      <c r="AI213" s="1" t="s">
        <v>647</v>
      </c>
      <c r="AJ213" s="1" t="s">
        <v>775</v>
      </c>
      <c r="AK213" s="1" t="s">
        <v>712</v>
      </c>
      <c r="AL213" s="1">
        <v>8.0</v>
      </c>
      <c r="AM213" s="1">
        <v>2013.0</v>
      </c>
      <c r="AN213" s="1">
        <v>2013.0</v>
      </c>
      <c r="AO213" s="1" t="s">
        <v>713</v>
      </c>
    </row>
    <row r="214">
      <c r="A214" s="5">
        <v>1.0</v>
      </c>
      <c r="B214" s="1">
        <f t="shared" si="1"/>
        <v>214</v>
      </c>
      <c r="C214" s="1" t="s">
        <v>709</v>
      </c>
      <c r="D214" s="1" t="s">
        <v>709</v>
      </c>
      <c r="E214" s="1" t="s">
        <v>645</v>
      </c>
      <c r="G214" s="1">
        <v>4.44297088E8</v>
      </c>
      <c r="H214" s="2">
        <v>41186.0</v>
      </c>
      <c r="I214" s="1" t="s">
        <v>710</v>
      </c>
      <c r="K214" s="1" t="s">
        <v>710</v>
      </c>
      <c r="N214" s="1" t="s">
        <v>647</v>
      </c>
      <c r="O214" s="1">
        <v>1200.0</v>
      </c>
      <c r="P214" s="1" t="s">
        <v>647</v>
      </c>
      <c r="Q214" s="1" t="str">
        <f>IF(ISERROR(VLOOKUP(P214,'unique fed agency names'!A:C,3,FALSE)),P214,VLOOKUP(P214,'unique fed agency names'!A:C,3,FALSE))
</f>
        <v>U.S. Department of Agriculture (USDA)</v>
      </c>
      <c r="R214" s="1">
        <v>8.0463354E7</v>
      </c>
      <c r="S214" s="1" t="s">
        <v>518</v>
      </c>
      <c r="T214" s="1" t="str">
        <f>IF(ISERROR(VLOOKUP(S214,'unique org names'!A:C,3,FALSE)),S214,VLOOKUP(S214,'unique org names'!A:C,3,FALSE))
</f>
        <v>UNIVERSAL ACADEMY</v>
      </c>
      <c r="V214" s="1" t="s">
        <v>519</v>
      </c>
      <c r="W214" s="1" t="s">
        <v>44</v>
      </c>
      <c r="X214" s="1" t="s">
        <v>45</v>
      </c>
      <c r="Y214" s="1">
        <v>4.82102105E8</v>
      </c>
      <c r="AA214" s="1" t="s">
        <v>44</v>
      </c>
      <c r="AB214" s="1" t="s">
        <v>45</v>
      </c>
      <c r="AC214" s="1">
        <v>4.82102105E8</v>
      </c>
      <c r="AF214" s="1">
        <v>64051.55</v>
      </c>
      <c r="AG214" s="2">
        <v>41186.0</v>
      </c>
      <c r="AH214" s="1">
        <v>1200.0</v>
      </c>
      <c r="AI214" s="1" t="s">
        <v>647</v>
      </c>
      <c r="AJ214" s="1" t="s">
        <v>776</v>
      </c>
      <c r="AK214" s="1" t="s">
        <v>712</v>
      </c>
      <c r="AL214" s="1">
        <v>8.0</v>
      </c>
      <c r="AM214" s="1">
        <v>2013.0</v>
      </c>
      <c r="AN214" s="1">
        <v>2013.0</v>
      </c>
      <c r="AO214" s="1" t="s">
        <v>713</v>
      </c>
    </row>
    <row r="215">
      <c r="A215" s="5">
        <v>1.0</v>
      </c>
      <c r="B215" s="1">
        <f t="shared" si="1"/>
        <v>215</v>
      </c>
      <c r="C215" s="1" t="s">
        <v>709</v>
      </c>
      <c r="D215" s="1" t="s">
        <v>709</v>
      </c>
      <c r="E215" s="1" t="s">
        <v>645</v>
      </c>
      <c r="G215" s="1">
        <v>4.44297088E8</v>
      </c>
      <c r="H215" s="2">
        <v>41186.0</v>
      </c>
      <c r="I215" s="1" t="s">
        <v>710</v>
      </c>
      <c r="K215" s="1" t="s">
        <v>710</v>
      </c>
      <c r="N215" s="1" t="s">
        <v>647</v>
      </c>
      <c r="O215" s="1">
        <v>1200.0</v>
      </c>
      <c r="P215" s="1" t="s">
        <v>647</v>
      </c>
      <c r="Q215" s="1" t="str">
        <f>IF(ISERROR(VLOOKUP(P215,'unique fed agency names'!A:C,3,FALSE)),P215,VLOOKUP(P215,'unique fed agency names'!A:C,3,FALSE))
</f>
        <v>U.S. Department of Agriculture (USDA)</v>
      </c>
      <c r="R215" s="1">
        <v>3.9866801E7</v>
      </c>
      <c r="S215" s="1" t="s">
        <v>612</v>
      </c>
      <c r="T215" s="1" t="str">
        <f>IF(ISERROR(VLOOKUP(S215,'unique org names'!A:C,3,FALSE)),S215,VLOOKUP(S215,'unique org names'!A:C,3,FALSE))
</f>
        <v>HAMTRAMCK PUBLIC SCHOOLS</v>
      </c>
      <c r="V215" s="1" t="s">
        <v>613</v>
      </c>
      <c r="W215" s="1" t="s">
        <v>44</v>
      </c>
      <c r="X215" s="1" t="s">
        <v>45</v>
      </c>
      <c r="Y215" s="1">
        <v>4.82123753E8</v>
      </c>
      <c r="AA215" s="1" t="s">
        <v>607</v>
      </c>
      <c r="AB215" s="1" t="s">
        <v>45</v>
      </c>
      <c r="AC215" s="1">
        <v>4.82120012E8</v>
      </c>
      <c r="AD215" s="1">
        <v>3.9866801E7</v>
      </c>
      <c r="AE215" s="1" t="s">
        <v>612</v>
      </c>
      <c r="AF215" s="1">
        <v>53602.8</v>
      </c>
      <c r="AG215" s="2">
        <v>41186.0</v>
      </c>
      <c r="AH215" s="1">
        <v>1200.0</v>
      </c>
      <c r="AI215" s="1" t="s">
        <v>647</v>
      </c>
      <c r="AJ215" s="1" t="s">
        <v>777</v>
      </c>
      <c r="AK215" s="1" t="s">
        <v>712</v>
      </c>
      <c r="AL215" s="1">
        <v>8.0</v>
      </c>
      <c r="AM215" s="1">
        <v>2013.0</v>
      </c>
      <c r="AN215" s="1">
        <v>2013.0</v>
      </c>
      <c r="AO215" s="1" t="s">
        <v>713</v>
      </c>
    </row>
    <row r="216">
      <c r="A216" s="5">
        <v>1.0</v>
      </c>
      <c r="B216" s="1">
        <f t="shared" si="1"/>
        <v>216</v>
      </c>
      <c r="C216" s="1" t="s">
        <v>709</v>
      </c>
      <c r="D216" s="1" t="s">
        <v>709</v>
      </c>
      <c r="E216" s="1" t="s">
        <v>645</v>
      </c>
      <c r="G216" s="1">
        <v>4.44297088E8</v>
      </c>
      <c r="H216" s="2">
        <v>41221.0</v>
      </c>
      <c r="I216" s="1" t="s">
        <v>710</v>
      </c>
      <c r="K216" s="1" t="s">
        <v>710</v>
      </c>
      <c r="N216" s="1" t="s">
        <v>647</v>
      </c>
      <c r="O216" s="1">
        <v>1200.0</v>
      </c>
      <c r="P216" s="1" t="s">
        <v>647</v>
      </c>
      <c r="Q216" s="1" t="str">
        <f>IF(ISERROR(VLOOKUP(P216,'unique fed agency names'!A:C,3,FALSE)),P216,VLOOKUP(P216,'unique fed agency names'!A:C,3,FALSE))
</f>
        <v>U.S. Department of Agriculture (USDA)</v>
      </c>
      <c r="R216" s="1">
        <v>3.9866801E7</v>
      </c>
      <c r="S216" s="1" t="s">
        <v>612</v>
      </c>
      <c r="T216" s="1" t="str">
        <f>IF(ISERROR(VLOOKUP(S216,'unique org names'!A:C,3,FALSE)),S216,VLOOKUP(S216,'unique org names'!A:C,3,FALSE))
</f>
        <v>HAMTRAMCK PUBLIC SCHOOLS</v>
      </c>
      <c r="V216" s="1" t="s">
        <v>613</v>
      </c>
      <c r="W216" s="1" t="s">
        <v>44</v>
      </c>
      <c r="X216" s="1" t="s">
        <v>45</v>
      </c>
      <c r="Y216" s="1">
        <v>4.82123753E8</v>
      </c>
      <c r="AA216" s="1" t="s">
        <v>607</v>
      </c>
      <c r="AB216" s="1" t="s">
        <v>45</v>
      </c>
      <c r="AC216" s="1">
        <v>4.82120012E8</v>
      </c>
      <c r="AD216" s="1">
        <v>3.9866801E7</v>
      </c>
      <c r="AE216" s="1" t="s">
        <v>612</v>
      </c>
      <c r="AF216" s="1">
        <v>1017233.55</v>
      </c>
      <c r="AG216" s="2">
        <v>41221.0</v>
      </c>
      <c r="AH216" s="1">
        <v>1200.0</v>
      </c>
      <c r="AI216" s="1" t="s">
        <v>647</v>
      </c>
      <c r="AJ216" s="1" t="s">
        <v>778</v>
      </c>
      <c r="AK216" s="1" t="s">
        <v>712</v>
      </c>
      <c r="AL216" s="1">
        <v>8.0</v>
      </c>
      <c r="AM216" s="1">
        <v>2013.0</v>
      </c>
      <c r="AN216" s="1">
        <v>2013.0</v>
      </c>
      <c r="AO216" s="1" t="s">
        <v>713</v>
      </c>
    </row>
    <row r="217">
      <c r="A217" s="5">
        <v>1.0</v>
      </c>
      <c r="B217" s="1">
        <f t="shared" si="1"/>
        <v>217</v>
      </c>
      <c r="C217" s="1" t="s">
        <v>709</v>
      </c>
      <c r="D217" s="1" t="s">
        <v>709</v>
      </c>
      <c r="E217" s="1" t="s">
        <v>645</v>
      </c>
      <c r="G217" s="1">
        <v>4.44297088E8</v>
      </c>
      <c r="H217" s="2">
        <v>41193.0</v>
      </c>
      <c r="I217" s="1" t="s">
        <v>710</v>
      </c>
      <c r="K217" s="1" t="s">
        <v>710</v>
      </c>
      <c r="N217" s="1" t="s">
        <v>647</v>
      </c>
      <c r="O217" s="1">
        <v>1200.0</v>
      </c>
      <c r="P217" s="1" t="s">
        <v>647</v>
      </c>
      <c r="Q217" s="1" t="str">
        <f>IF(ISERROR(VLOOKUP(P217,'unique fed agency names'!A:C,3,FALSE)),P217,VLOOKUP(P217,'unique fed agency names'!A:C,3,FALSE))
</f>
        <v>U.S. Department of Agriculture (USDA)</v>
      </c>
      <c r="R217" s="1">
        <v>3.7602699E7</v>
      </c>
      <c r="S217" s="1" t="s">
        <v>535</v>
      </c>
      <c r="T217" s="1" t="str">
        <f>IF(ISERROR(VLOOKUP(S217,'unique org names'!A:C,3,FALSE)),S217,VLOOKUP(S217,'unique org names'!A:C,3,FALSE))
</f>
        <v>REGENT PARK SCHOLARS CHARTER ACADEMY</v>
      </c>
      <c r="V217" s="1" t="s">
        <v>536</v>
      </c>
      <c r="W217" s="1" t="s">
        <v>44</v>
      </c>
      <c r="X217" s="1" t="s">
        <v>45</v>
      </c>
      <c r="Y217" s="1">
        <v>4.82052545E8</v>
      </c>
      <c r="AA217" s="1" t="s">
        <v>46</v>
      </c>
      <c r="AB217" s="1" t="s">
        <v>45</v>
      </c>
      <c r="AC217" s="1">
        <v>4.82052545E8</v>
      </c>
      <c r="AF217" s="1">
        <v>80082.27</v>
      </c>
      <c r="AG217" s="2">
        <v>41193.0</v>
      </c>
      <c r="AH217" s="1">
        <v>1200.0</v>
      </c>
      <c r="AI217" s="1" t="s">
        <v>647</v>
      </c>
      <c r="AJ217" s="1" t="s">
        <v>779</v>
      </c>
      <c r="AK217" s="1" t="s">
        <v>712</v>
      </c>
      <c r="AL217" s="1">
        <v>8.0</v>
      </c>
      <c r="AM217" s="1">
        <v>2013.0</v>
      </c>
      <c r="AN217" s="1">
        <v>2013.0</v>
      </c>
      <c r="AO217" s="1" t="s">
        <v>713</v>
      </c>
    </row>
    <row r="218">
      <c r="A218" s="5">
        <v>1.0</v>
      </c>
      <c r="B218" s="1">
        <f t="shared" si="1"/>
        <v>218</v>
      </c>
      <c r="C218" s="1" t="s">
        <v>709</v>
      </c>
      <c r="D218" s="1" t="s">
        <v>709</v>
      </c>
      <c r="E218" s="1" t="s">
        <v>645</v>
      </c>
      <c r="G218" s="1">
        <v>4.44297088E8</v>
      </c>
      <c r="H218" s="2">
        <v>41186.0</v>
      </c>
      <c r="I218" s="1" t="s">
        <v>710</v>
      </c>
      <c r="K218" s="1" t="s">
        <v>710</v>
      </c>
      <c r="N218" s="1" t="s">
        <v>647</v>
      </c>
      <c r="O218" s="1">
        <v>1200.0</v>
      </c>
      <c r="P218" s="1" t="s">
        <v>647</v>
      </c>
      <c r="Q218" s="1" t="str">
        <f>IF(ISERROR(VLOOKUP(P218,'unique fed agency names'!A:C,3,FALSE)),P218,VLOOKUP(P218,'unique fed agency names'!A:C,3,FALSE))
</f>
        <v>U.S. Department of Agriculture (USDA)</v>
      </c>
      <c r="R218" s="1">
        <v>9.62949843E8</v>
      </c>
      <c r="S218" s="1" t="s">
        <v>619</v>
      </c>
      <c r="T218" s="1" t="str">
        <f>IF(ISERROR(VLOOKUP(S218,'unique org names'!A:C,3,FALSE)),S218,VLOOKUP(S218,'unique org names'!A:C,3,FALSE))
</f>
        <v>ALLEN ACADEMY</v>
      </c>
      <c r="V218" s="1" t="s">
        <v>620</v>
      </c>
      <c r="W218" s="1" t="s">
        <v>44</v>
      </c>
      <c r="X218" s="1" t="s">
        <v>45</v>
      </c>
      <c r="Y218" s="1">
        <v>4.82042306E8</v>
      </c>
      <c r="AA218" s="1" t="s">
        <v>44</v>
      </c>
      <c r="AB218" s="1" t="s">
        <v>45</v>
      </c>
      <c r="AC218" s="1">
        <v>4.82042306E8</v>
      </c>
      <c r="AF218" s="1">
        <v>26918.66</v>
      </c>
      <c r="AG218" s="2">
        <v>41186.0</v>
      </c>
      <c r="AH218" s="1">
        <v>1200.0</v>
      </c>
      <c r="AI218" s="1" t="s">
        <v>647</v>
      </c>
      <c r="AJ218" s="1" t="s">
        <v>780</v>
      </c>
      <c r="AK218" s="1" t="s">
        <v>712</v>
      </c>
      <c r="AL218" s="1">
        <v>8.0</v>
      </c>
      <c r="AM218" s="1">
        <v>2013.0</v>
      </c>
      <c r="AN218" s="1">
        <v>2013.0</v>
      </c>
      <c r="AO218" s="1" t="s">
        <v>713</v>
      </c>
    </row>
    <row r="219">
      <c r="A219" s="5">
        <v>1.0</v>
      </c>
      <c r="B219" s="1">
        <f t="shared" si="1"/>
        <v>219</v>
      </c>
      <c r="C219" s="1" t="s">
        <v>709</v>
      </c>
      <c r="D219" s="1" t="s">
        <v>709</v>
      </c>
      <c r="E219" s="1" t="s">
        <v>645</v>
      </c>
      <c r="G219" s="1">
        <v>4.44297088E8</v>
      </c>
      <c r="H219" s="2">
        <v>41200.0</v>
      </c>
      <c r="I219" s="1" t="s">
        <v>710</v>
      </c>
      <c r="K219" s="1" t="s">
        <v>710</v>
      </c>
      <c r="N219" s="1" t="s">
        <v>647</v>
      </c>
      <c r="O219" s="1">
        <v>1200.0</v>
      </c>
      <c r="P219" s="1" t="s">
        <v>647</v>
      </c>
      <c r="Q219" s="1" t="str">
        <f>IF(ISERROR(VLOOKUP(P219,'unique fed agency names'!A:C,3,FALSE)),P219,VLOOKUP(P219,'unique fed agency names'!A:C,3,FALSE))
</f>
        <v>U.S. Department of Agriculture (USDA)</v>
      </c>
      <c r="R219" s="1">
        <v>7.8634042E7</v>
      </c>
      <c r="S219" s="1" t="s">
        <v>473</v>
      </c>
      <c r="T219" s="1" t="str">
        <f>IF(ISERROR(VLOOKUP(S219,'unique org names'!A:C,3,FALSE)),S219,VLOOKUP(S219,'unique org names'!A:C,3,FALSE))
</f>
        <v>Hamilton Eman Academy</v>
      </c>
      <c r="V219" s="1" t="s">
        <v>475</v>
      </c>
      <c r="W219" s="1" t="s">
        <v>44</v>
      </c>
      <c r="X219" s="1" t="s">
        <v>45</v>
      </c>
      <c r="Y219" s="1">
        <v>4.82133744E8</v>
      </c>
      <c r="AA219" s="1" t="s">
        <v>46</v>
      </c>
      <c r="AB219" s="1" t="s">
        <v>45</v>
      </c>
      <c r="AC219" s="1">
        <v>4.82133744E8</v>
      </c>
      <c r="AF219" s="1">
        <v>114816.48</v>
      </c>
      <c r="AG219" s="2">
        <v>41200.0</v>
      </c>
      <c r="AH219" s="1">
        <v>1200.0</v>
      </c>
      <c r="AI219" s="1" t="s">
        <v>647</v>
      </c>
      <c r="AJ219" s="1" t="s">
        <v>781</v>
      </c>
      <c r="AK219" s="1" t="s">
        <v>712</v>
      </c>
      <c r="AL219" s="1">
        <v>8.0</v>
      </c>
      <c r="AM219" s="1">
        <v>2013.0</v>
      </c>
      <c r="AN219" s="1">
        <v>2013.0</v>
      </c>
      <c r="AO219" s="1" t="s">
        <v>713</v>
      </c>
    </row>
    <row r="220">
      <c r="A220" s="5">
        <v>1.0</v>
      </c>
      <c r="B220" s="1">
        <f t="shared" si="1"/>
        <v>220</v>
      </c>
      <c r="C220" s="1" t="s">
        <v>709</v>
      </c>
      <c r="D220" s="1" t="s">
        <v>709</v>
      </c>
      <c r="E220" s="1" t="s">
        <v>645</v>
      </c>
      <c r="G220" s="1">
        <v>4.44297088E8</v>
      </c>
      <c r="H220" s="2">
        <v>41193.0</v>
      </c>
      <c r="I220" s="1" t="s">
        <v>710</v>
      </c>
      <c r="K220" s="1" t="s">
        <v>710</v>
      </c>
      <c r="N220" s="1" t="s">
        <v>647</v>
      </c>
      <c r="O220" s="1">
        <v>1200.0</v>
      </c>
      <c r="P220" s="1" t="s">
        <v>647</v>
      </c>
      <c r="Q220" s="1" t="str">
        <f>IF(ISERROR(VLOOKUP(P220,'unique fed agency names'!A:C,3,FALSE)),P220,VLOOKUP(P220,'unique fed agency names'!A:C,3,FALSE))
</f>
        <v>U.S. Department of Agriculture (USDA)</v>
      </c>
      <c r="R220" s="1">
        <v>8.31014068E8</v>
      </c>
      <c r="S220" s="1" t="s">
        <v>515</v>
      </c>
      <c r="T220" s="1" t="str">
        <f>IF(ISERROR(VLOOKUP(S220,'unique org names'!A:C,3,FALSE)),S220,VLOOKUP(S220,'unique org names'!A:C,3,FALSE))
</f>
        <v>DETROIT PREMIER ACADEMY</v>
      </c>
      <c r="V220" s="1" t="s">
        <v>516</v>
      </c>
      <c r="W220" s="1" t="s">
        <v>44</v>
      </c>
      <c r="X220" s="1" t="s">
        <v>45</v>
      </c>
      <c r="Y220" s="1">
        <v>4.82283685E8</v>
      </c>
      <c r="AA220" s="1" t="s">
        <v>46</v>
      </c>
      <c r="AB220" s="1" t="s">
        <v>45</v>
      </c>
      <c r="AC220" s="1">
        <v>4.82283685E8</v>
      </c>
      <c r="AD220" s="1">
        <v>9.60742484E8</v>
      </c>
      <c r="AF220" s="1">
        <v>281096.09</v>
      </c>
      <c r="AG220" s="2">
        <v>41193.0</v>
      </c>
      <c r="AH220" s="1">
        <v>1200.0</v>
      </c>
      <c r="AI220" s="1" t="s">
        <v>647</v>
      </c>
      <c r="AJ220" s="1" t="s">
        <v>782</v>
      </c>
      <c r="AK220" s="1" t="s">
        <v>712</v>
      </c>
      <c r="AL220" s="1">
        <v>8.0</v>
      </c>
      <c r="AM220" s="1">
        <v>2013.0</v>
      </c>
      <c r="AN220" s="1">
        <v>2013.0</v>
      </c>
      <c r="AO220" s="1" t="s">
        <v>713</v>
      </c>
    </row>
    <row r="221">
      <c r="A221" s="5">
        <v>1.0</v>
      </c>
      <c r="B221" s="1">
        <f t="shared" si="1"/>
        <v>221</v>
      </c>
      <c r="C221" s="1" t="s">
        <v>709</v>
      </c>
      <c r="D221" s="1" t="s">
        <v>709</v>
      </c>
      <c r="E221" s="1" t="s">
        <v>645</v>
      </c>
      <c r="G221" s="1">
        <v>4.44297088E8</v>
      </c>
      <c r="H221" s="2">
        <v>41186.0</v>
      </c>
      <c r="I221" s="1" t="s">
        <v>710</v>
      </c>
      <c r="K221" s="1" t="s">
        <v>710</v>
      </c>
      <c r="N221" s="1" t="s">
        <v>647</v>
      </c>
      <c r="O221" s="1">
        <v>1200.0</v>
      </c>
      <c r="P221" s="1" t="s">
        <v>647</v>
      </c>
      <c r="Q221" s="1" t="str">
        <f>IF(ISERROR(VLOOKUP(P221,'unique fed agency names'!A:C,3,FALSE)),P221,VLOOKUP(P221,'unique fed agency names'!A:C,3,FALSE))
</f>
        <v>U.S. Department of Agriculture (USDA)</v>
      </c>
      <c r="R221" s="1">
        <v>9.48021373E8</v>
      </c>
      <c r="S221" s="1" t="s">
        <v>501</v>
      </c>
      <c r="T221" s="1" t="str">
        <f>IF(ISERROR(VLOOKUP(S221,'unique org names'!A:C,3,FALSE)),S221,VLOOKUP(S221,'unique org names'!A:C,3,FALSE))
</f>
        <v>WOODWARD ACADEMY</v>
      </c>
      <c r="V221" s="1" t="s">
        <v>502</v>
      </c>
      <c r="W221" s="1" t="s">
        <v>44</v>
      </c>
      <c r="X221" s="1" t="s">
        <v>45</v>
      </c>
      <c r="Y221" s="1">
        <v>4.82072901E8</v>
      </c>
      <c r="AA221" s="1" t="s">
        <v>44</v>
      </c>
      <c r="AB221" s="1" t="s">
        <v>45</v>
      </c>
      <c r="AC221" s="1">
        <v>4.82072901E8</v>
      </c>
      <c r="AF221" s="1">
        <v>149282.75</v>
      </c>
      <c r="AG221" s="2">
        <v>41186.0</v>
      </c>
      <c r="AH221" s="1">
        <v>1200.0</v>
      </c>
      <c r="AI221" s="1" t="s">
        <v>647</v>
      </c>
      <c r="AJ221" s="1" t="s">
        <v>783</v>
      </c>
      <c r="AK221" s="1" t="s">
        <v>712</v>
      </c>
      <c r="AL221" s="1">
        <v>8.0</v>
      </c>
      <c r="AM221" s="1">
        <v>2013.0</v>
      </c>
      <c r="AN221" s="1">
        <v>2013.0</v>
      </c>
      <c r="AO221" s="1" t="s">
        <v>713</v>
      </c>
    </row>
    <row r="222">
      <c r="A222" s="5">
        <v>1.0</v>
      </c>
      <c r="B222" s="1">
        <f t="shared" si="1"/>
        <v>222</v>
      </c>
      <c r="C222" s="1" t="s">
        <v>709</v>
      </c>
      <c r="D222" s="1" t="s">
        <v>709</v>
      </c>
      <c r="E222" s="1" t="s">
        <v>645</v>
      </c>
      <c r="G222" s="1">
        <v>4.44297088E8</v>
      </c>
      <c r="H222" s="2">
        <v>41214.0</v>
      </c>
      <c r="I222" s="1" t="s">
        <v>710</v>
      </c>
      <c r="K222" s="1" t="s">
        <v>710</v>
      </c>
      <c r="N222" s="1" t="s">
        <v>647</v>
      </c>
      <c r="O222" s="1">
        <v>1200.0</v>
      </c>
      <c r="P222" s="1" t="s">
        <v>647</v>
      </c>
      <c r="Q222" s="1" t="str">
        <f>IF(ISERROR(VLOOKUP(P222,'unique fed agency names'!A:C,3,FALSE)),P222,VLOOKUP(P222,'unique fed agency names'!A:C,3,FALSE))
</f>
        <v>U.S. Department of Agriculture (USDA)</v>
      </c>
      <c r="R222" s="1">
        <v>2.0830303E7</v>
      </c>
      <c r="S222" s="1" t="s">
        <v>424</v>
      </c>
      <c r="T222" s="1" t="str">
        <f>IF(ISERROR(VLOOKUP(S222,'unique org names'!A:C,3,FALSE)),S222,VLOOKUP(S222,'unique org names'!A:C,3,FALSE))
</f>
        <v>MATRIX HUMAN SERVICES</v>
      </c>
      <c r="U222" s="1" t="s">
        <v>425</v>
      </c>
      <c r="V222" s="1" t="s">
        <v>426</v>
      </c>
      <c r="W222" s="1" t="s">
        <v>44</v>
      </c>
      <c r="X222" s="1" t="s">
        <v>45</v>
      </c>
      <c r="Y222" s="1">
        <v>4.82012002E8</v>
      </c>
      <c r="AA222" s="1" t="s">
        <v>44</v>
      </c>
      <c r="AB222" s="1" t="s">
        <v>45</v>
      </c>
      <c r="AC222" s="1">
        <v>4.82022012E8</v>
      </c>
      <c r="AD222" s="1">
        <v>2.0830303E7</v>
      </c>
      <c r="AE222" s="1" t="s">
        <v>424</v>
      </c>
      <c r="AF222" s="1">
        <v>600770.25</v>
      </c>
      <c r="AG222" s="2">
        <v>41214.0</v>
      </c>
      <c r="AH222" s="1">
        <v>1200.0</v>
      </c>
      <c r="AI222" s="1" t="s">
        <v>647</v>
      </c>
      <c r="AJ222" s="1" t="s">
        <v>784</v>
      </c>
      <c r="AK222" s="1" t="s">
        <v>712</v>
      </c>
      <c r="AL222" s="1">
        <v>8.0</v>
      </c>
      <c r="AM222" s="1">
        <v>2013.0</v>
      </c>
      <c r="AN222" s="1">
        <v>2013.0</v>
      </c>
      <c r="AO222" s="1" t="s">
        <v>713</v>
      </c>
    </row>
    <row r="223">
      <c r="A223" s="5">
        <v>1.0</v>
      </c>
      <c r="B223" s="1">
        <f t="shared" si="1"/>
        <v>223</v>
      </c>
      <c r="C223" s="1" t="s">
        <v>709</v>
      </c>
      <c r="D223" s="1" t="s">
        <v>709</v>
      </c>
      <c r="E223" s="1" t="s">
        <v>645</v>
      </c>
      <c r="G223" s="1">
        <v>4.44297088E8</v>
      </c>
      <c r="H223" s="2">
        <v>41193.0</v>
      </c>
      <c r="I223" s="1" t="s">
        <v>710</v>
      </c>
      <c r="K223" s="1" t="s">
        <v>710</v>
      </c>
      <c r="N223" s="1" t="s">
        <v>647</v>
      </c>
      <c r="O223" s="1">
        <v>1200.0</v>
      </c>
      <c r="P223" s="1" t="s">
        <v>647</v>
      </c>
      <c r="Q223" s="1" t="str">
        <f>IF(ISERROR(VLOOKUP(P223,'unique fed agency names'!A:C,3,FALSE)),P223,VLOOKUP(P223,'unique fed agency names'!A:C,3,FALSE))
</f>
        <v>U.S. Department of Agriculture (USDA)</v>
      </c>
      <c r="R223" s="1">
        <v>1.95837232E8</v>
      </c>
      <c r="S223" s="1" t="s">
        <v>785</v>
      </c>
      <c r="T223" s="1" t="str">
        <f>IF(ISERROR(VLOOKUP(S223,'unique org names'!A:C,3,FALSE)),S223,VLOOKUP(S223,'unique org names'!A:C,3,FALSE))
</f>
        <v>WOLVERINE HUMAN SERVICES</v>
      </c>
      <c r="U223" s="1" t="s">
        <v>786</v>
      </c>
      <c r="V223" s="1" t="s">
        <v>787</v>
      </c>
      <c r="W223" s="1" t="s">
        <v>44</v>
      </c>
      <c r="X223" s="1" t="s">
        <v>45</v>
      </c>
      <c r="Y223" s="1">
        <v>4.82242358E8</v>
      </c>
      <c r="AA223" s="1" t="s">
        <v>44</v>
      </c>
      <c r="AB223" s="1" t="s">
        <v>45</v>
      </c>
      <c r="AC223" s="1">
        <v>4.82152667E8</v>
      </c>
      <c r="AD223" s="1">
        <v>1.95837232E8</v>
      </c>
      <c r="AE223" s="1" t="s">
        <v>785</v>
      </c>
      <c r="AF223" s="1">
        <v>27137.5</v>
      </c>
      <c r="AG223" s="2">
        <v>41193.0</v>
      </c>
      <c r="AH223" s="1">
        <v>1200.0</v>
      </c>
      <c r="AI223" s="1" t="s">
        <v>647</v>
      </c>
      <c r="AJ223" s="1" t="s">
        <v>788</v>
      </c>
      <c r="AK223" s="1" t="s">
        <v>712</v>
      </c>
      <c r="AL223" s="1">
        <v>8.0</v>
      </c>
      <c r="AM223" s="1">
        <v>2013.0</v>
      </c>
      <c r="AN223" s="1">
        <v>2013.0</v>
      </c>
      <c r="AO223" s="1" t="s">
        <v>713</v>
      </c>
    </row>
    <row r="224">
      <c r="A224" s="5">
        <v>1.0</v>
      </c>
      <c r="B224" s="1">
        <f t="shared" si="1"/>
        <v>224</v>
      </c>
      <c r="C224" s="1" t="s">
        <v>709</v>
      </c>
      <c r="D224" s="1" t="s">
        <v>709</v>
      </c>
      <c r="E224" s="1" t="s">
        <v>645</v>
      </c>
      <c r="G224" s="1">
        <v>4.44297088E8</v>
      </c>
      <c r="H224" s="2">
        <v>41186.0</v>
      </c>
      <c r="I224" s="1" t="s">
        <v>710</v>
      </c>
      <c r="K224" s="1" t="s">
        <v>710</v>
      </c>
      <c r="N224" s="1" t="s">
        <v>647</v>
      </c>
      <c r="O224" s="1">
        <v>1200.0</v>
      </c>
      <c r="P224" s="1" t="s">
        <v>647</v>
      </c>
      <c r="Q224" s="1" t="str">
        <f>IF(ISERROR(VLOOKUP(P224,'unique fed agency names'!A:C,3,FALSE)),P224,VLOOKUP(P224,'unique fed agency names'!A:C,3,FALSE))
</f>
        <v>U.S. Department of Agriculture (USDA)</v>
      </c>
      <c r="R224" s="1">
        <v>1.11057282E8</v>
      </c>
      <c r="S224" s="1" t="s">
        <v>789</v>
      </c>
      <c r="T224" s="1" t="str">
        <f>IF(ISERROR(VLOOKUP(S224,'unique org names'!A:C,3,FALSE)),S224,VLOOKUP(S224,'unique org names'!A:C,3,FALSE))
</f>
        <v>Tender Loving Day Care Inc</v>
      </c>
      <c r="V224" s="1" t="s">
        <v>790</v>
      </c>
      <c r="W224" s="1" t="s">
        <v>44</v>
      </c>
      <c r="X224" s="1" t="s">
        <v>45</v>
      </c>
      <c r="Y224" s="1">
        <v>4.82113112E8</v>
      </c>
      <c r="AA224" s="1" t="s">
        <v>44</v>
      </c>
      <c r="AB224" s="1" t="s">
        <v>45</v>
      </c>
      <c r="AC224" s="1">
        <v>4.82113112E8</v>
      </c>
      <c r="AF224" s="1">
        <v>25207.24</v>
      </c>
      <c r="AG224" s="2">
        <v>41186.0</v>
      </c>
      <c r="AH224" s="1">
        <v>1200.0</v>
      </c>
      <c r="AI224" s="1" t="s">
        <v>647</v>
      </c>
      <c r="AJ224" s="1" t="s">
        <v>791</v>
      </c>
      <c r="AK224" s="1" t="s">
        <v>712</v>
      </c>
      <c r="AL224" s="1">
        <v>8.0</v>
      </c>
      <c r="AM224" s="1">
        <v>2013.0</v>
      </c>
      <c r="AN224" s="1">
        <v>2013.0</v>
      </c>
      <c r="AO224" s="1" t="s">
        <v>713</v>
      </c>
    </row>
    <row r="225">
      <c r="A225" s="5">
        <v>1.0</v>
      </c>
      <c r="B225" s="1">
        <f t="shared" si="1"/>
        <v>225</v>
      </c>
      <c r="C225" s="1" t="s">
        <v>709</v>
      </c>
      <c r="D225" s="1" t="s">
        <v>709</v>
      </c>
      <c r="E225" s="1" t="s">
        <v>645</v>
      </c>
      <c r="G225" s="1">
        <v>4.44297088E8</v>
      </c>
      <c r="H225" s="2">
        <v>41193.0</v>
      </c>
      <c r="I225" s="1" t="s">
        <v>710</v>
      </c>
      <c r="K225" s="1" t="s">
        <v>710</v>
      </c>
      <c r="N225" s="1" t="s">
        <v>647</v>
      </c>
      <c r="O225" s="1">
        <v>1200.0</v>
      </c>
      <c r="P225" s="1" t="s">
        <v>647</v>
      </c>
      <c r="Q225" s="1" t="str">
        <f>IF(ISERROR(VLOOKUP(P225,'unique fed agency names'!A:C,3,FALSE)),P225,VLOOKUP(P225,'unique fed agency names'!A:C,3,FALSE))
</f>
        <v>U.S. Department of Agriculture (USDA)</v>
      </c>
      <c r="R225" s="1">
        <v>9.62378779E8</v>
      </c>
      <c r="S225" s="1" t="s">
        <v>478</v>
      </c>
      <c r="T225" s="1" t="str">
        <f>IF(ISERROR(VLOOKUP(S225,'unique org names'!A:C,3,FALSE)),S225,VLOOKUP(S225,'unique org names'!A:C,3,FALSE))
</f>
        <v>LEGACY CHARTER ACADEMY</v>
      </c>
      <c r="V225" s="1" t="s">
        <v>479</v>
      </c>
      <c r="W225" s="1" t="s">
        <v>44</v>
      </c>
      <c r="X225" s="1" t="s">
        <v>45</v>
      </c>
      <c r="Y225" s="1">
        <v>4.82342225E8</v>
      </c>
      <c r="AA225" s="1" t="s">
        <v>44</v>
      </c>
      <c r="AB225" s="1" t="s">
        <v>45</v>
      </c>
      <c r="AC225" s="1">
        <v>4.82342225E8</v>
      </c>
      <c r="AF225" s="1">
        <v>211240.15</v>
      </c>
      <c r="AG225" s="2">
        <v>41193.0</v>
      </c>
      <c r="AH225" s="1">
        <v>1200.0</v>
      </c>
      <c r="AI225" s="1" t="s">
        <v>647</v>
      </c>
      <c r="AJ225" s="1" t="s">
        <v>792</v>
      </c>
      <c r="AK225" s="1" t="s">
        <v>712</v>
      </c>
      <c r="AL225" s="1">
        <v>8.0</v>
      </c>
      <c r="AM225" s="1">
        <v>2013.0</v>
      </c>
      <c r="AN225" s="1">
        <v>2013.0</v>
      </c>
      <c r="AO225" s="1" t="s">
        <v>713</v>
      </c>
    </row>
    <row r="226">
      <c r="A226" s="5">
        <v>1.0</v>
      </c>
      <c r="B226" s="1">
        <f t="shared" si="1"/>
        <v>226</v>
      </c>
      <c r="C226" s="1" t="s">
        <v>709</v>
      </c>
      <c r="D226" s="1" t="s">
        <v>709</v>
      </c>
      <c r="E226" s="1" t="s">
        <v>645</v>
      </c>
      <c r="G226" s="1">
        <v>4.44297088E8</v>
      </c>
      <c r="H226" s="2">
        <v>41186.0</v>
      </c>
      <c r="I226" s="1" t="s">
        <v>710</v>
      </c>
      <c r="K226" s="1" t="s">
        <v>710</v>
      </c>
      <c r="N226" s="1" t="s">
        <v>647</v>
      </c>
      <c r="O226" s="1">
        <v>1200.0</v>
      </c>
      <c r="P226" s="1" t="s">
        <v>647</v>
      </c>
      <c r="Q226" s="1" t="str">
        <f>IF(ISERROR(VLOOKUP(P226,'unique fed agency names'!A:C,3,FALSE)),P226,VLOOKUP(P226,'unique fed agency names'!A:C,3,FALSE))
</f>
        <v>U.S. Department of Agriculture (USDA)</v>
      </c>
      <c r="R226" s="1">
        <v>9.60752871E8</v>
      </c>
      <c r="S226" s="1" t="s">
        <v>793</v>
      </c>
      <c r="T226" s="1" t="str">
        <f>IF(ISERROR(VLOOKUP(S226,'unique org names'!A:C,3,FALSE)),S226,VLOOKUP(S226,'unique org names'!A:C,3,FALSE))
</f>
        <v>Toddler's Center Inc</v>
      </c>
      <c r="V226" s="1" t="s">
        <v>794</v>
      </c>
      <c r="W226" s="1" t="s">
        <v>44</v>
      </c>
      <c r="X226" s="1" t="s">
        <v>45</v>
      </c>
      <c r="Y226" s="1">
        <v>4.82272749E8</v>
      </c>
      <c r="AA226" s="1" t="s">
        <v>44</v>
      </c>
      <c r="AB226" s="1" t="s">
        <v>45</v>
      </c>
      <c r="AC226" s="1">
        <v>4.82272749E8</v>
      </c>
      <c r="AF226" s="1">
        <v>27976.69</v>
      </c>
      <c r="AG226" s="2">
        <v>41186.0</v>
      </c>
      <c r="AH226" s="1">
        <v>1200.0</v>
      </c>
      <c r="AI226" s="1" t="s">
        <v>647</v>
      </c>
      <c r="AJ226" s="1" t="s">
        <v>795</v>
      </c>
      <c r="AK226" s="1" t="s">
        <v>712</v>
      </c>
      <c r="AL226" s="1">
        <v>8.0</v>
      </c>
      <c r="AM226" s="1">
        <v>2013.0</v>
      </c>
      <c r="AN226" s="1">
        <v>2013.0</v>
      </c>
      <c r="AO226" s="1" t="s">
        <v>713</v>
      </c>
    </row>
    <row r="227">
      <c r="A227" s="5">
        <v>1.0</v>
      </c>
      <c r="B227" s="1">
        <f t="shared" si="1"/>
        <v>227</v>
      </c>
      <c r="C227" s="1" t="s">
        <v>709</v>
      </c>
      <c r="D227" s="1" t="s">
        <v>709</v>
      </c>
      <c r="E227" s="1" t="s">
        <v>645</v>
      </c>
      <c r="G227" s="1">
        <v>4.44297088E8</v>
      </c>
      <c r="H227" s="2">
        <v>41228.0</v>
      </c>
      <c r="I227" s="1" t="s">
        <v>710</v>
      </c>
      <c r="K227" s="1" t="s">
        <v>710</v>
      </c>
      <c r="N227" s="1" t="s">
        <v>647</v>
      </c>
      <c r="O227" s="1">
        <v>1200.0</v>
      </c>
      <c r="P227" s="1" t="s">
        <v>647</v>
      </c>
      <c r="Q227" s="1" t="str">
        <f>IF(ISERROR(VLOOKUP(P227,'unique fed agency names'!A:C,3,FALSE)),P227,VLOOKUP(P227,'unique fed agency names'!A:C,3,FALSE))
</f>
        <v>U.S. Department of Agriculture (USDA)</v>
      </c>
      <c r="R227" s="1">
        <v>3537326.0</v>
      </c>
      <c r="S227" s="1" t="s">
        <v>560</v>
      </c>
      <c r="T227" s="1" t="str">
        <f>IF(ISERROR(VLOOKUP(S227,'unique org names'!A:C,3,FALSE)),S227,VLOOKUP(S227,'unique org names'!A:C,3,FALSE))
</f>
        <v>COMMONWEALTH COMMUNITY DEVELOPMENT ACADEMY</v>
      </c>
      <c r="V227" s="1" t="s">
        <v>561</v>
      </c>
      <c r="W227" s="1" t="s">
        <v>44</v>
      </c>
      <c r="X227" s="1" t="s">
        <v>45</v>
      </c>
      <c r="Y227" s="1">
        <v>4.8212177E8</v>
      </c>
      <c r="AA227" s="1" t="s">
        <v>498</v>
      </c>
      <c r="AB227" s="1" t="s">
        <v>45</v>
      </c>
      <c r="AC227" s="1">
        <v>4.82121754E8</v>
      </c>
      <c r="AD227" s="1">
        <v>3537326.0</v>
      </c>
      <c r="AE227" s="1" t="s">
        <v>560</v>
      </c>
      <c r="AF227" s="1">
        <v>101382.48</v>
      </c>
      <c r="AG227" s="2">
        <v>41228.0</v>
      </c>
      <c r="AH227" s="1">
        <v>1200.0</v>
      </c>
      <c r="AI227" s="1" t="s">
        <v>647</v>
      </c>
      <c r="AJ227" s="1" t="s">
        <v>796</v>
      </c>
      <c r="AK227" s="1" t="s">
        <v>712</v>
      </c>
      <c r="AL227" s="1">
        <v>8.0</v>
      </c>
      <c r="AM227" s="1">
        <v>2013.0</v>
      </c>
      <c r="AN227" s="1">
        <v>2013.0</v>
      </c>
      <c r="AO227" s="1" t="s">
        <v>713</v>
      </c>
    </row>
    <row r="228">
      <c r="A228" s="5">
        <v>1.0</v>
      </c>
      <c r="B228" s="1">
        <f t="shared" si="1"/>
        <v>228</v>
      </c>
      <c r="C228" s="1" t="s">
        <v>709</v>
      </c>
      <c r="D228" s="1" t="s">
        <v>709</v>
      </c>
      <c r="E228" s="1" t="s">
        <v>645</v>
      </c>
      <c r="G228" s="1">
        <v>4.44297088E8</v>
      </c>
      <c r="H228" s="2">
        <v>41242.0</v>
      </c>
      <c r="I228" s="1" t="s">
        <v>710</v>
      </c>
      <c r="K228" s="1" t="s">
        <v>710</v>
      </c>
      <c r="N228" s="1" t="s">
        <v>647</v>
      </c>
      <c r="O228" s="1">
        <v>1200.0</v>
      </c>
      <c r="P228" s="1" t="s">
        <v>647</v>
      </c>
      <c r="Q228" s="1" t="str">
        <f>IF(ISERROR(VLOOKUP(P228,'unique fed agency names'!A:C,3,FALSE)),P228,VLOOKUP(P228,'unique fed agency names'!A:C,3,FALSE))
</f>
        <v>U.S. Department of Agriculture (USDA)</v>
      </c>
      <c r="R228" s="1">
        <v>1.96740885E8</v>
      </c>
      <c r="S228" s="1" t="s">
        <v>797</v>
      </c>
      <c r="T228" s="1" t="str">
        <f>IF(ISERROR(VLOOKUP(S228,'unique org names'!A:C,3,FALSE)),S228,VLOOKUP(S228,'unique org names'!A:C,3,FALSE))
</f>
        <v>Kids Avenue Christian Learning Center</v>
      </c>
      <c r="V228" s="1" t="s">
        <v>798</v>
      </c>
      <c r="W228" s="1" t="s">
        <v>44</v>
      </c>
      <c r="X228" s="1" t="s">
        <v>45</v>
      </c>
      <c r="Y228" s="1">
        <v>4.82343348E8</v>
      </c>
      <c r="AA228" s="1" t="s">
        <v>44</v>
      </c>
      <c r="AB228" s="1" t="s">
        <v>45</v>
      </c>
      <c r="AC228" s="1">
        <v>4.82343348E8</v>
      </c>
      <c r="AF228" s="1">
        <v>35238.07</v>
      </c>
      <c r="AG228" s="2">
        <v>41242.0</v>
      </c>
      <c r="AH228" s="1">
        <v>1200.0</v>
      </c>
      <c r="AI228" s="1" t="s">
        <v>647</v>
      </c>
      <c r="AJ228" s="1" t="s">
        <v>799</v>
      </c>
      <c r="AK228" s="1" t="s">
        <v>712</v>
      </c>
      <c r="AL228" s="1">
        <v>8.0</v>
      </c>
      <c r="AM228" s="1">
        <v>2013.0</v>
      </c>
      <c r="AN228" s="1">
        <v>2013.0</v>
      </c>
      <c r="AO228" s="1" t="s">
        <v>713</v>
      </c>
    </row>
    <row r="229">
      <c r="A229" s="5">
        <v>1.0</v>
      </c>
      <c r="B229" s="1">
        <f t="shared" si="1"/>
        <v>229</v>
      </c>
      <c r="C229" s="1" t="s">
        <v>709</v>
      </c>
      <c r="D229" s="1" t="s">
        <v>709</v>
      </c>
      <c r="E229" s="1" t="s">
        <v>645</v>
      </c>
      <c r="G229" s="1">
        <v>4.44297088E8</v>
      </c>
      <c r="H229" s="2">
        <v>41228.0</v>
      </c>
      <c r="I229" s="1" t="s">
        <v>710</v>
      </c>
      <c r="K229" s="1" t="s">
        <v>710</v>
      </c>
      <c r="N229" s="1" t="s">
        <v>647</v>
      </c>
      <c r="O229" s="1">
        <v>1200.0</v>
      </c>
      <c r="P229" s="1" t="s">
        <v>647</v>
      </c>
      <c r="Q229" s="1" t="str">
        <f>IF(ISERROR(VLOOKUP(P229,'unique fed agency names'!A:C,3,FALSE)),P229,VLOOKUP(P229,'unique fed agency names'!A:C,3,FALSE))
</f>
        <v>U.S. Department of Agriculture (USDA)</v>
      </c>
      <c r="R229" s="1">
        <v>7.97531295E8</v>
      </c>
      <c r="S229" s="1" t="s">
        <v>582</v>
      </c>
      <c r="T229" s="1" t="str">
        <f>IF(ISERROR(VLOOKUP(S229,'unique org names'!A:C,3,FALSE)),S229,VLOOKUP(S229,'unique org names'!A:C,3,FALSE))
</f>
        <v>FRONTIER INTERNATIONAL ACADEMY, THE</v>
      </c>
      <c r="V229" s="1" t="s">
        <v>583</v>
      </c>
      <c r="W229" s="1" t="s">
        <v>44</v>
      </c>
      <c r="X229" s="1" t="s">
        <v>45</v>
      </c>
      <c r="Y229" s="1">
        <v>4.82123452E8</v>
      </c>
      <c r="AA229" s="1" t="s">
        <v>498</v>
      </c>
      <c r="AB229" s="1" t="s">
        <v>45</v>
      </c>
      <c r="AC229" s="1">
        <v>4.82123452E8</v>
      </c>
      <c r="AF229" s="1">
        <v>128550.69</v>
      </c>
      <c r="AG229" s="2">
        <v>41228.0</v>
      </c>
      <c r="AH229" s="1">
        <v>1200.0</v>
      </c>
      <c r="AI229" s="1" t="s">
        <v>647</v>
      </c>
      <c r="AJ229" s="1" t="s">
        <v>800</v>
      </c>
      <c r="AK229" s="1" t="s">
        <v>712</v>
      </c>
      <c r="AL229" s="1">
        <v>8.0</v>
      </c>
      <c r="AM229" s="1">
        <v>2013.0</v>
      </c>
      <c r="AN229" s="1">
        <v>2013.0</v>
      </c>
      <c r="AO229" s="1" t="s">
        <v>713</v>
      </c>
    </row>
    <row r="230">
      <c r="A230" s="5">
        <v>1.0</v>
      </c>
      <c r="B230" s="1">
        <f t="shared" si="1"/>
        <v>230</v>
      </c>
      <c r="C230" s="1" t="s">
        <v>709</v>
      </c>
      <c r="D230" s="1" t="s">
        <v>709</v>
      </c>
      <c r="E230" s="1" t="s">
        <v>645</v>
      </c>
      <c r="G230" s="1">
        <v>4.44297088E8</v>
      </c>
      <c r="H230" s="2">
        <v>41193.0</v>
      </c>
      <c r="I230" s="1" t="s">
        <v>710</v>
      </c>
      <c r="K230" s="1" t="s">
        <v>710</v>
      </c>
      <c r="N230" s="1" t="s">
        <v>647</v>
      </c>
      <c r="O230" s="1">
        <v>1200.0</v>
      </c>
      <c r="P230" s="1" t="s">
        <v>647</v>
      </c>
      <c r="Q230" s="1" t="str">
        <f>IF(ISERROR(VLOOKUP(P230,'unique fed agency names'!A:C,3,FALSE)),P230,VLOOKUP(P230,'unique fed agency names'!A:C,3,FALSE))
</f>
        <v>U.S. Department of Agriculture (USDA)</v>
      </c>
      <c r="R230" s="1">
        <v>1.98438892E8</v>
      </c>
      <c r="S230" s="1" t="s">
        <v>505</v>
      </c>
      <c r="T230" s="1" t="str">
        <f>IF(ISERROR(VLOOKUP(S230,'unique org names'!A:C,3,FALSE)),S230,VLOOKUP(S230,'unique org names'!A:C,3,FALSE))
</f>
        <v>HANLEY INTERNATIONAL ACADEMY, INC</v>
      </c>
      <c r="V230" s="1" t="s">
        <v>506</v>
      </c>
      <c r="W230" s="1" t="s">
        <v>44</v>
      </c>
      <c r="X230" s="1" t="s">
        <v>45</v>
      </c>
      <c r="Y230" s="1">
        <v>4.82123572E8</v>
      </c>
      <c r="AA230" s="1" t="s">
        <v>498</v>
      </c>
      <c r="AB230" s="1" t="s">
        <v>45</v>
      </c>
      <c r="AC230" s="1">
        <v>4.82123572E8</v>
      </c>
      <c r="AD230" s="1">
        <v>1.98438892E8</v>
      </c>
      <c r="AE230" s="1" t="s">
        <v>505</v>
      </c>
      <c r="AF230" s="1">
        <v>278250.03</v>
      </c>
      <c r="AG230" s="2">
        <v>41193.0</v>
      </c>
      <c r="AH230" s="1">
        <v>1200.0</v>
      </c>
      <c r="AI230" s="1" t="s">
        <v>647</v>
      </c>
      <c r="AJ230" s="1" t="s">
        <v>801</v>
      </c>
      <c r="AK230" s="1" t="s">
        <v>712</v>
      </c>
      <c r="AL230" s="1">
        <v>8.0</v>
      </c>
      <c r="AM230" s="1">
        <v>2013.0</v>
      </c>
      <c r="AN230" s="1">
        <v>2013.0</v>
      </c>
      <c r="AO230" s="1" t="s">
        <v>713</v>
      </c>
    </row>
    <row r="231">
      <c r="A231" s="5">
        <v>1.0</v>
      </c>
      <c r="B231" s="1">
        <f t="shared" si="1"/>
        <v>231</v>
      </c>
      <c r="C231" s="1" t="s">
        <v>709</v>
      </c>
      <c r="D231" s="1" t="s">
        <v>709</v>
      </c>
      <c r="E231" s="1" t="s">
        <v>645</v>
      </c>
      <c r="G231" s="1">
        <v>4.44297088E8</v>
      </c>
      <c r="H231" s="2">
        <v>41249.0</v>
      </c>
      <c r="I231" s="1" t="s">
        <v>710</v>
      </c>
      <c r="K231" s="1" t="s">
        <v>710</v>
      </c>
      <c r="N231" s="1" t="s">
        <v>647</v>
      </c>
      <c r="O231" s="1">
        <v>1200.0</v>
      </c>
      <c r="P231" s="1" t="s">
        <v>647</v>
      </c>
      <c r="Q231" s="1" t="str">
        <f>IF(ISERROR(VLOOKUP(P231,'unique fed agency names'!A:C,3,FALSE)),P231,VLOOKUP(P231,'unique fed agency names'!A:C,3,FALSE))
</f>
        <v>U.S. Department of Agriculture (USDA)</v>
      </c>
      <c r="R231" s="1">
        <v>4.2136734E7</v>
      </c>
      <c r="S231" s="1" t="s">
        <v>557</v>
      </c>
      <c r="T231" s="1" t="str">
        <f>IF(ISERROR(VLOOKUP(S231,'unique org names'!A:C,3,FALSE)),S231,VLOOKUP(S231,'unique org names'!A:C,3,FALSE))
</f>
        <v>GEORGE CROCKETT ACADEMY</v>
      </c>
      <c r="V231" s="1" t="s">
        <v>558</v>
      </c>
      <c r="W231" s="1" t="s">
        <v>44</v>
      </c>
      <c r="X231" s="1" t="s">
        <v>45</v>
      </c>
      <c r="Y231" s="1">
        <v>4.82082204E8</v>
      </c>
      <c r="AA231" s="1" t="s">
        <v>44</v>
      </c>
      <c r="AB231" s="1" t="s">
        <v>45</v>
      </c>
      <c r="AC231" s="1">
        <v>4.82082204E8</v>
      </c>
      <c r="AF231" s="1">
        <v>158603.84</v>
      </c>
      <c r="AG231" s="2">
        <v>41249.0</v>
      </c>
      <c r="AH231" s="1">
        <v>1200.0</v>
      </c>
      <c r="AI231" s="1" t="s">
        <v>647</v>
      </c>
      <c r="AJ231" s="1" t="s">
        <v>802</v>
      </c>
      <c r="AK231" s="1" t="s">
        <v>712</v>
      </c>
      <c r="AL231" s="1">
        <v>8.0</v>
      </c>
      <c r="AM231" s="1">
        <v>2013.0</v>
      </c>
      <c r="AN231" s="1">
        <v>2013.0</v>
      </c>
      <c r="AO231" s="1" t="s">
        <v>713</v>
      </c>
    </row>
    <row r="232">
      <c r="A232" s="5">
        <v>1.0</v>
      </c>
      <c r="B232" s="1">
        <f t="shared" si="1"/>
        <v>232</v>
      </c>
      <c r="C232" s="1" t="s">
        <v>709</v>
      </c>
      <c r="D232" s="1" t="s">
        <v>709</v>
      </c>
      <c r="E232" s="1" t="s">
        <v>645</v>
      </c>
      <c r="G232" s="1">
        <v>4.44297088E8</v>
      </c>
      <c r="H232" s="2">
        <v>41193.0</v>
      </c>
      <c r="I232" s="1" t="s">
        <v>710</v>
      </c>
      <c r="K232" s="1" t="s">
        <v>710</v>
      </c>
      <c r="N232" s="1" t="s">
        <v>647</v>
      </c>
      <c r="O232" s="1">
        <v>1200.0</v>
      </c>
      <c r="P232" s="1" t="s">
        <v>647</v>
      </c>
      <c r="Q232" s="1" t="str">
        <f>IF(ISERROR(VLOOKUP(P232,'unique fed agency names'!A:C,3,FALSE)),P232,VLOOKUP(P232,'unique fed agency names'!A:C,3,FALSE))
</f>
        <v>U.S. Department of Agriculture (USDA)</v>
      </c>
      <c r="R232" s="1">
        <v>8.30792151E8</v>
      </c>
      <c r="S232" s="1" t="s">
        <v>594</v>
      </c>
      <c r="T232" s="1" t="str">
        <f>IF(ISERROR(VLOOKUP(S232,'unique org names'!A:C,3,FALSE)),S232,VLOOKUP(S232,'unique org names'!A:C,3,FALSE))
</f>
        <v>FLAGSHIP CHARTER ACADEMY</v>
      </c>
      <c r="V232" s="1" t="s">
        <v>596</v>
      </c>
      <c r="W232" s="1" t="s">
        <v>44</v>
      </c>
      <c r="X232" s="1" t="s">
        <v>45</v>
      </c>
      <c r="Y232" s="1">
        <v>4.82382356E8</v>
      </c>
      <c r="AA232" s="1" t="s">
        <v>44</v>
      </c>
      <c r="AB232" s="1" t="s">
        <v>45</v>
      </c>
      <c r="AC232" s="1">
        <v>4.82382356E8</v>
      </c>
      <c r="AD232" s="1">
        <v>9.60742484E8</v>
      </c>
      <c r="AF232" s="1">
        <v>43961.31</v>
      </c>
      <c r="AG232" s="2">
        <v>41193.0</v>
      </c>
      <c r="AH232" s="1">
        <v>1200.0</v>
      </c>
      <c r="AI232" s="1" t="s">
        <v>647</v>
      </c>
      <c r="AJ232" s="1" t="s">
        <v>803</v>
      </c>
      <c r="AK232" s="1" t="s">
        <v>712</v>
      </c>
      <c r="AL232" s="1">
        <v>8.0</v>
      </c>
      <c r="AM232" s="1">
        <v>2013.0</v>
      </c>
      <c r="AN232" s="1">
        <v>2013.0</v>
      </c>
      <c r="AO232" s="1" t="s">
        <v>713</v>
      </c>
    </row>
    <row r="233">
      <c r="A233" s="5">
        <v>1.0</v>
      </c>
      <c r="B233" s="1">
        <f t="shared" si="1"/>
        <v>233</v>
      </c>
      <c r="C233" s="1" t="s">
        <v>709</v>
      </c>
      <c r="D233" s="1" t="s">
        <v>709</v>
      </c>
      <c r="E233" s="1" t="s">
        <v>645</v>
      </c>
      <c r="G233" s="1">
        <v>4.44297088E8</v>
      </c>
      <c r="H233" s="2">
        <v>41193.0</v>
      </c>
      <c r="I233" s="1" t="s">
        <v>710</v>
      </c>
      <c r="K233" s="1" t="s">
        <v>710</v>
      </c>
      <c r="N233" s="1" t="s">
        <v>647</v>
      </c>
      <c r="O233" s="1">
        <v>1200.0</v>
      </c>
      <c r="P233" s="1" t="s">
        <v>647</v>
      </c>
      <c r="Q233" s="1" t="str">
        <f>IF(ISERROR(VLOOKUP(P233,'unique fed agency names'!A:C,3,FALSE)),P233,VLOOKUP(P233,'unique fed agency names'!A:C,3,FALSE))
</f>
        <v>U.S. Department of Agriculture (USDA)</v>
      </c>
      <c r="R233" s="1">
        <v>1.95837232E8</v>
      </c>
      <c r="S233" s="1" t="s">
        <v>785</v>
      </c>
      <c r="T233" s="1" t="str">
        <f>IF(ISERROR(VLOOKUP(S233,'unique org names'!A:C,3,FALSE)),S233,VLOOKUP(S233,'unique org names'!A:C,3,FALSE))
</f>
        <v>WOLVERINE HUMAN SERVICES</v>
      </c>
      <c r="U233" s="1" t="s">
        <v>786</v>
      </c>
      <c r="V233" s="1" t="s">
        <v>787</v>
      </c>
      <c r="W233" s="1" t="s">
        <v>44</v>
      </c>
      <c r="X233" s="1" t="s">
        <v>45</v>
      </c>
      <c r="Y233" s="1">
        <v>4.82242358E8</v>
      </c>
      <c r="AA233" s="1" t="s">
        <v>44</v>
      </c>
      <c r="AB233" s="1" t="s">
        <v>45</v>
      </c>
      <c r="AC233" s="1">
        <v>4.82152667E8</v>
      </c>
      <c r="AD233" s="1">
        <v>1.95837232E8</v>
      </c>
      <c r="AE233" s="1" t="s">
        <v>785</v>
      </c>
      <c r="AF233" s="1">
        <v>38434.23</v>
      </c>
      <c r="AG233" s="2">
        <v>41193.0</v>
      </c>
      <c r="AH233" s="1">
        <v>1200.0</v>
      </c>
      <c r="AI233" s="1" t="s">
        <v>647</v>
      </c>
      <c r="AJ233" s="1" t="s">
        <v>804</v>
      </c>
      <c r="AK233" s="1" t="s">
        <v>712</v>
      </c>
      <c r="AL233" s="1">
        <v>8.0</v>
      </c>
      <c r="AM233" s="1">
        <v>2013.0</v>
      </c>
      <c r="AN233" s="1">
        <v>2013.0</v>
      </c>
      <c r="AO233" s="1" t="s">
        <v>713</v>
      </c>
    </row>
    <row r="234">
      <c r="A234" s="5">
        <v>1.0</v>
      </c>
      <c r="B234" s="1">
        <f t="shared" si="1"/>
        <v>234</v>
      </c>
      <c r="C234" s="1" t="s">
        <v>709</v>
      </c>
      <c r="D234" s="1" t="s">
        <v>709</v>
      </c>
      <c r="E234" s="1" t="s">
        <v>645</v>
      </c>
      <c r="G234" s="1">
        <v>4.44297088E8</v>
      </c>
      <c r="H234" s="2">
        <v>41234.0</v>
      </c>
      <c r="I234" s="1" t="s">
        <v>710</v>
      </c>
      <c r="K234" s="1" t="s">
        <v>710</v>
      </c>
      <c r="N234" s="1" t="s">
        <v>647</v>
      </c>
      <c r="O234" s="1">
        <v>1200.0</v>
      </c>
      <c r="P234" s="1" t="s">
        <v>647</v>
      </c>
      <c r="Q234" s="1" t="str">
        <f>IF(ISERROR(VLOOKUP(P234,'unique fed agency names'!A:C,3,FALSE)),P234,VLOOKUP(P234,'unique fed agency names'!A:C,3,FALSE))
</f>
        <v>U.S. Department of Agriculture (USDA)</v>
      </c>
      <c r="R234" s="1">
        <v>3790107.0</v>
      </c>
      <c r="S234" s="1" t="s">
        <v>576</v>
      </c>
      <c r="T234" s="1" t="str">
        <f>IF(ISERROR(VLOOKUP(S234,'unique org names'!A:C,3,FALSE)),S234,VLOOKUP(S234,'unique org names'!A:C,3,FALSE))
</f>
        <v>MARVIN L. WINANS ACADEMY OF PERFORMING ARTS</v>
      </c>
      <c r="V234" s="1" t="s">
        <v>577</v>
      </c>
      <c r="W234" s="1" t="s">
        <v>44</v>
      </c>
      <c r="X234" s="1" t="s">
        <v>45</v>
      </c>
      <c r="Y234" s="1">
        <v>4.82343284E8</v>
      </c>
      <c r="AA234" s="1" t="s">
        <v>44</v>
      </c>
      <c r="AB234" s="1" t="s">
        <v>45</v>
      </c>
      <c r="AC234" s="1">
        <v>4.82343284E8</v>
      </c>
      <c r="AF234" s="1">
        <v>358499.3</v>
      </c>
      <c r="AG234" s="2">
        <v>41234.0</v>
      </c>
      <c r="AH234" s="1">
        <v>1200.0</v>
      </c>
      <c r="AI234" s="1" t="s">
        <v>647</v>
      </c>
      <c r="AJ234" s="1" t="s">
        <v>805</v>
      </c>
      <c r="AK234" s="1" t="s">
        <v>712</v>
      </c>
      <c r="AL234" s="1">
        <v>8.0</v>
      </c>
      <c r="AM234" s="1">
        <v>2013.0</v>
      </c>
      <c r="AN234" s="1">
        <v>2013.0</v>
      </c>
      <c r="AO234" s="1" t="s">
        <v>713</v>
      </c>
    </row>
    <row r="235">
      <c r="A235" s="5">
        <v>1.0</v>
      </c>
      <c r="B235" s="1">
        <f t="shared" si="1"/>
        <v>235</v>
      </c>
      <c r="C235" s="1" t="s">
        <v>709</v>
      </c>
      <c r="D235" s="1" t="s">
        <v>709</v>
      </c>
      <c r="E235" s="1" t="s">
        <v>645</v>
      </c>
      <c r="G235" s="1">
        <v>4.44297088E8</v>
      </c>
      <c r="H235" s="2">
        <v>41186.0</v>
      </c>
      <c r="I235" s="1" t="s">
        <v>710</v>
      </c>
      <c r="K235" s="1" t="s">
        <v>710</v>
      </c>
      <c r="N235" s="1" t="s">
        <v>647</v>
      </c>
      <c r="O235" s="1">
        <v>1200.0</v>
      </c>
      <c r="P235" s="1" t="s">
        <v>647</v>
      </c>
      <c r="Q235" s="1" t="str">
        <f>IF(ISERROR(VLOOKUP(P235,'unique fed agency names'!A:C,3,FALSE)),P235,VLOOKUP(P235,'unique fed agency names'!A:C,3,FALSE))
</f>
        <v>U.S. Department of Agriculture (USDA)</v>
      </c>
      <c r="R235" s="1">
        <v>8.0463354E7</v>
      </c>
      <c r="S235" s="1" t="s">
        <v>518</v>
      </c>
      <c r="T235" s="1" t="str">
        <f>IF(ISERROR(VLOOKUP(S235,'unique org names'!A:C,3,FALSE)),S235,VLOOKUP(S235,'unique org names'!A:C,3,FALSE))
</f>
        <v>UNIVERSAL ACADEMY</v>
      </c>
      <c r="V235" s="1" t="s">
        <v>519</v>
      </c>
      <c r="W235" s="1" t="s">
        <v>44</v>
      </c>
      <c r="X235" s="1" t="s">
        <v>45</v>
      </c>
      <c r="Y235" s="1">
        <v>4.82102105E8</v>
      </c>
      <c r="AA235" s="1" t="s">
        <v>44</v>
      </c>
      <c r="AB235" s="1" t="s">
        <v>45</v>
      </c>
      <c r="AC235" s="1">
        <v>4.82102105E8</v>
      </c>
      <c r="AF235" s="1">
        <v>202080.15</v>
      </c>
      <c r="AG235" s="2">
        <v>41186.0</v>
      </c>
      <c r="AH235" s="1">
        <v>1200.0</v>
      </c>
      <c r="AI235" s="1" t="s">
        <v>647</v>
      </c>
      <c r="AJ235" s="1" t="s">
        <v>806</v>
      </c>
      <c r="AK235" s="1" t="s">
        <v>712</v>
      </c>
      <c r="AL235" s="1">
        <v>8.0</v>
      </c>
      <c r="AM235" s="1">
        <v>2013.0</v>
      </c>
      <c r="AN235" s="1">
        <v>2013.0</v>
      </c>
      <c r="AO235" s="1" t="s">
        <v>713</v>
      </c>
    </row>
    <row r="236">
      <c r="A236" s="5">
        <v>1.0</v>
      </c>
      <c r="B236" s="1">
        <f t="shared" si="1"/>
        <v>236</v>
      </c>
      <c r="C236" s="1" t="s">
        <v>709</v>
      </c>
      <c r="D236" s="1" t="s">
        <v>709</v>
      </c>
      <c r="E236" s="1" t="s">
        <v>645</v>
      </c>
      <c r="G236" s="1">
        <v>4.44297088E8</v>
      </c>
      <c r="H236" s="2">
        <v>41186.0</v>
      </c>
      <c r="I236" s="1" t="s">
        <v>710</v>
      </c>
      <c r="K236" s="1" t="s">
        <v>710</v>
      </c>
      <c r="N236" s="1" t="s">
        <v>647</v>
      </c>
      <c r="O236" s="1">
        <v>1200.0</v>
      </c>
      <c r="P236" s="1" t="s">
        <v>647</v>
      </c>
      <c r="Q236" s="1" t="str">
        <f>IF(ISERROR(VLOOKUP(P236,'unique fed agency names'!A:C,3,FALSE)),P236,VLOOKUP(P236,'unique fed agency names'!A:C,3,FALSE))
</f>
        <v>U.S. Department of Agriculture (USDA)</v>
      </c>
      <c r="R236" s="1">
        <v>8.08238237E8</v>
      </c>
      <c r="S236" s="1" t="s">
        <v>807</v>
      </c>
      <c r="T236" s="1" t="str">
        <f>IF(ISERROR(VLOOKUP(S236,'unique org names'!A:C,3,FALSE)),S236,VLOOKUP(S236,'unique org names'!A:C,3,FALSE))
</f>
        <v>Greystone Enterprises</v>
      </c>
      <c r="V236" s="1" t="s">
        <v>808</v>
      </c>
      <c r="W236" s="1" t="s">
        <v>44</v>
      </c>
      <c r="X236" s="1" t="s">
        <v>45</v>
      </c>
      <c r="Y236" s="1">
        <v>4.82242744E8</v>
      </c>
      <c r="AA236" s="1" t="s">
        <v>44</v>
      </c>
      <c r="AB236" s="1" t="s">
        <v>45</v>
      </c>
      <c r="AC236" s="1">
        <v>4.82242744E8</v>
      </c>
      <c r="AF236" s="1">
        <v>53906.9</v>
      </c>
      <c r="AG236" s="2">
        <v>41186.0</v>
      </c>
      <c r="AH236" s="1">
        <v>1200.0</v>
      </c>
      <c r="AI236" s="1" t="s">
        <v>647</v>
      </c>
      <c r="AJ236" s="1" t="s">
        <v>809</v>
      </c>
      <c r="AK236" s="1" t="s">
        <v>712</v>
      </c>
      <c r="AL236" s="1">
        <v>8.0</v>
      </c>
      <c r="AM236" s="1">
        <v>2013.0</v>
      </c>
      <c r="AN236" s="1">
        <v>2013.0</v>
      </c>
      <c r="AO236" s="1" t="s">
        <v>713</v>
      </c>
    </row>
    <row r="237">
      <c r="A237" s="5">
        <v>1.0</v>
      </c>
      <c r="B237" s="1">
        <f t="shared" si="1"/>
        <v>237</v>
      </c>
      <c r="C237" s="1" t="s">
        <v>709</v>
      </c>
      <c r="D237" s="1" t="s">
        <v>709</v>
      </c>
      <c r="E237" s="1" t="s">
        <v>645</v>
      </c>
      <c r="G237" s="1">
        <v>4.44297088E8</v>
      </c>
      <c r="H237" s="2">
        <v>41193.0</v>
      </c>
      <c r="I237" s="1" t="s">
        <v>710</v>
      </c>
      <c r="K237" s="1" t="s">
        <v>710</v>
      </c>
      <c r="N237" s="1" t="s">
        <v>647</v>
      </c>
      <c r="O237" s="1">
        <v>1200.0</v>
      </c>
      <c r="P237" s="1" t="s">
        <v>647</v>
      </c>
      <c r="Q237" s="1" t="str">
        <f>IF(ISERROR(VLOOKUP(P237,'unique fed agency names'!A:C,3,FALSE)),P237,VLOOKUP(P237,'unique fed agency names'!A:C,3,FALSE))
</f>
        <v>U.S. Department of Agriculture (USDA)</v>
      </c>
      <c r="R237" s="1">
        <v>8.38496842E8</v>
      </c>
      <c r="S237" s="1" t="s">
        <v>810</v>
      </c>
      <c r="T237" s="1" t="str">
        <f>IF(ISERROR(VLOOKUP(S237,'unique org names'!A:C,3,FALSE)),S237,VLOOKUP(S237,'unique org names'!A:C,3,FALSE))
</f>
        <v>NEW ST PAUL TABERNACLE HEAD START AGENCY INC</v>
      </c>
      <c r="V237" s="1" t="s">
        <v>811</v>
      </c>
      <c r="W237" s="1" t="s">
        <v>44</v>
      </c>
      <c r="X237" s="1" t="s">
        <v>45</v>
      </c>
      <c r="Y237" s="1">
        <v>4.82231359E8</v>
      </c>
      <c r="AA237" s="1" t="s">
        <v>44</v>
      </c>
      <c r="AB237" s="1" t="s">
        <v>45</v>
      </c>
      <c r="AC237" s="1">
        <v>4.82231359E8</v>
      </c>
      <c r="AD237" s="1">
        <v>8.38496842E8</v>
      </c>
      <c r="AE237" s="1" t="s">
        <v>810</v>
      </c>
      <c r="AF237" s="1">
        <v>263120.8</v>
      </c>
      <c r="AG237" s="2">
        <v>41193.0</v>
      </c>
      <c r="AH237" s="1">
        <v>1200.0</v>
      </c>
      <c r="AI237" s="1" t="s">
        <v>647</v>
      </c>
      <c r="AJ237" s="1" t="s">
        <v>812</v>
      </c>
      <c r="AK237" s="1" t="s">
        <v>712</v>
      </c>
      <c r="AL237" s="1">
        <v>8.0</v>
      </c>
      <c r="AM237" s="1">
        <v>2013.0</v>
      </c>
      <c r="AN237" s="1">
        <v>2013.0</v>
      </c>
      <c r="AO237" s="1" t="s">
        <v>713</v>
      </c>
    </row>
    <row r="238">
      <c r="A238" s="5">
        <v>1.0</v>
      </c>
      <c r="B238" s="1">
        <f t="shared" si="1"/>
        <v>238</v>
      </c>
      <c r="C238" s="1" t="s">
        <v>709</v>
      </c>
      <c r="D238" s="1" t="s">
        <v>709</v>
      </c>
      <c r="E238" s="1" t="s">
        <v>645</v>
      </c>
      <c r="G238" s="1">
        <v>4.44297088E8</v>
      </c>
      <c r="H238" s="2">
        <v>41228.0</v>
      </c>
      <c r="I238" s="1" t="s">
        <v>710</v>
      </c>
      <c r="K238" s="1" t="s">
        <v>710</v>
      </c>
      <c r="N238" s="1" t="s">
        <v>647</v>
      </c>
      <c r="O238" s="1">
        <v>1200.0</v>
      </c>
      <c r="P238" s="1" t="s">
        <v>647</v>
      </c>
      <c r="Q238" s="1" t="str">
        <f>IF(ISERROR(VLOOKUP(P238,'unique fed agency names'!A:C,3,FALSE)),P238,VLOOKUP(P238,'unique fed agency names'!A:C,3,FALSE))
</f>
        <v>U.S. Department of Agriculture (USDA)</v>
      </c>
      <c r="R238" s="1">
        <v>7.97531295E8</v>
      </c>
      <c r="S238" s="1" t="s">
        <v>582</v>
      </c>
      <c r="T238" s="1" t="str">
        <f>IF(ISERROR(VLOOKUP(S238,'unique org names'!A:C,3,FALSE)),S238,VLOOKUP(S238,'unique org names'!A:C,3,FALSE))
</f>
        <v>FRONTIER INTERNATIONAL ACADEMY, THE</v>
      </c>
      <c r="V238" s="1" t="s">
        <v>583</v>
      </c>
      <c r="W238" s="1" t="s">
        <v>44</v>
      </c>
      <c r="X238" s="1" t="s">
        <v>45</v>
      </c>
      <c r="Y238" s="1">
        <v>4.82123452E8</v>
      </c>
      <c r="AA238" s="1" t="s">
        <v>498</v>
      </c>
      <c r="AB238" s="1" t="s">
        <v>45</v>
      </c>
      <c r="AC238" s="1">
        <v>4.82123452E8</v>
      </c>
      <c r="AF238" s="1">
        <v>58327.2</v>
      </c>
      <c r="AG238" s="2">
        <v>41228.0</v>
      </c>
      <c r="AH238" s="1">
        <v>1200.0</v>
      </c>
      <c r="AI238" s="1" t="s">
        <v>647</v>
      </c>
      <c r="AJ238" s="1" t="s">
        <v>813</v>
      </c>
      <c r="AK238" s="1" t="s">
        <v>712</v>
      </c>
      <c r="AL238" s="1">
        <v>8.0</v>
      </c>
      <c r="AM238" s="1">
        <v>2013.0</v>
      </c>
      <c r="AN238" s="1">
        <v>2013.0</v>
      </c>
      <c r="AO238" s="1" t="s">
        <v>713</v>
      </c>
    </row>
    <row r="239">
      <c r="A239" s="5">
        <v>1.0</v>
      </c>
      <c r="B239" s="1">
        <f t="shared" si="1"/>
        <v>239</v>
      </c>
      <c r="C239" s="1" t="s">
        <v>709</v>
      </c>
      <c r="D239" s="1" t="s">
        <v>709</v>
      </c>
      <c r="E239" s="1" t="s">
        <v>645</v>
      </c>
      <c r="G239" s="1">
        <v>4.44297088E8</v>
      </c>
      <c r="H239" s="2">
        <v>41242.0</v>
      </c>
      <c r="I239" s="1" t="s">
        <v>710</v>
      </c>
      <c r="K239" s="1" t="s">
        <v>710</v>
      </c>
      <c r="N239" s="1" t="s">
        <v>647</v>
      </c>
      <c r="O239" s="1">
        <v>1200.0</v>
      </c>
      <c r="P239" s="1" t="s">
        <v>647</v>
      </c>
      <c r="Q239" s="1" t="str">
        <f>IF(ISERROR(VLOOKUP(P239,'unique fed agency names'!A:C,3,FALSE)),P239,VLOOKUP(P239,'unique fed agency names'!A:C,3,FALSE))
</f>
        <v>U.S. Department of Agriculture (USDA)</v>
      </c>
      <c r="R239" s="1">
        <v>8.01337023E8</v>
      </c>
      <c r="S239" s="1" t="s">
        <v>731</v>
      </c>
      <c r="T239" s="1" t="str">
        <f>IF(ISERROR(VLOOKUP(S239,'unique org names'!A:C,3,FALSE)),S239,VLOOKUP(S239,'unique org names'!A:C,3,FALSE))
</f>
        <v>Cornerstone Schools Association</v>
      </c>
      <c r="U239" s="1" t="s">
        <v>732</v>
      </c>
      <c r="V239" s="1" t="s">
        <v>733</v>
      </c>
      <c r="W239" s="1" t="s">
        <v>44</v>
      </c>
      <c r="X239" s="1" t="s">
        <v>45</v>
      </c>
      <c r="Y239" s="1">
        <v>4.82342968E8</v>
      </c>
      <c r="AA239" s="1" t="s">
        <v>44</v>
      </c>
      <c r="AB239" s="1" t="s">
        <v>45</v>
      </c>
      <c r="AC239" s="1">
        <v>4.82342968E8</v>
      </c>
      <c r="AD239" s="1">
        <v>8.01337023E8</v>
      </c>
      <c r="AE239" s="1" t="s">
        <v>731</v>
      </c>
      <c r="AF239" s="1">
        <v>80555.76</v>
      </c>
      <c r="AG239" s="2">
        <v>41242.0</v>
      </c>
      <c r="AH239" s="1">
        <v>1200.0</v>
      </c>
      <c r="AI239" s="1" t="s">
        <v>647</v>
      </c>
      <c r="AJ239" s="1" t="s">
        <v>814</v>
      </c>
      <c r="AK239" s="1" t="s">
        <v>712</v>
      </c>
      <c r="AL239" s="1">
        <v>8.0</v>
      </c>
      <c r="AM239" s="1">
        <v>2013.0</v>
      </c>
      <c r="AN239" s="1">
        <v>2013.0</v>
      </c>
      <c r="AO239" s="1" t="s">
        <v>713</v>
      </c>
    </row>
    <row r="240">
      <c r="A240" s="5">
        <v>1.0</v>
      </c>
      <c r="B240" s="1">
        <f t="shared" si="1"/>
        <v>240</v>
      </c>
      <c r="C240" s="1" t="s">
        <v>709</v>
      </c>
      <c r="D240" s="1" t="s">
        <v>709</v>
      </c>
      <c r="E240" s="1" t="s">
        <v>645</v>
      </c>
      <c r="G240" s="1">
        <v>4.44297088E8</v>
      </c>
      <c r="H240" s="2">
        <v>41221.0</v>
      </c>
      <c r="I240" s="1" t="s">
        <v>710</v>
      </c>
      <c r="K240" s="1" t="s">
        <v>710</v>
      </c>
      <c r="N240" s="1" t="s">
        <v>647</v>
      </c>
      <c r="O240" s="1">
        <v>1200.0</v>
      </c>
      <c r="P240" s="1" t="s">
        <v>647</v>
      </c>
      <c r="Q240" s="1" t="str">
        <f>IF(ISERROR(VLOOKUP(P240,'unique fed agency names'!A:C,3,FALSE)),P240,VLOOKUP(P240,'unique fed agency names'!A:C,3,FALSE))
</f>
        <v>U.S. Department of Agriculture (USDA)</v>
      </c>
      <c r="R240" s="1">
        <v>5.2874042E7</v>
      </c>
      <c r="S240" s="1" t="s">
        <v>538</v>
      </c>
      <c r="T240" s="1" t="str">
        <f>IF(ISERROR(VLOOKUP(S240,'unique org names'!A:C,3,FALSE)),S240,VLOOKUP(S240,'unique org names'!A:C,3,FALSE))
</f>
        <v>CESAR CHAVEZ ACADEMY</v>
      </c>
      <c r="V240" s="1" t="s">
        <v>539</v>
      </c>
      <c r="W240" s="1" t="s">
        <v>44</v>
      </c>
      <c r="X240" s="1" t="s">
        <v>45</v>
      </c>
      <c r="Y240" s="1">
        <v>4.82091524E8</v>
      </c>
      <c r="AA240" s="1" t="s">
        <v>44</v>
      </c>
      <c r="AB240" s="1" t="s">
        <v>45</v>
      </c>
      <c r="AC240" s="1">
        <v>4.82091524E8</v>
      </c>
      <c r="AF240" s="1">
        <v>97338.36</v>
      </c>
      <c r="AG240" s="2">
        <v>41221.0</v>
      </c>
      <c r="AH240" s="1">
        <v>1200.0</v>
      </c>
      <c r="AI240" s="1" t="s">
        <v>647</v>
      </c>
      <c r="AJ240" s="1" t="s">
        <v>815</v>
      </c>
      <c r="AK240" s="1" t="s">
        <v>712</v>
      </c>
      <c r="AL240" s="1">
        <v>8.0</v>
      </c>
      <c r="AM240" s="1">
        <v>2013.0</v>
      </c>
      <c r="AN240" s="1">
        <v>2013.0</v>
      </c>
      <c r="AO240" s="1" t="s">
        <v>713</v>
      </c>
    </row>
    <row r="241">
      <c r="A241" s="5">
        <v>1.0</v>
      </c>
      <c r="B241" s="1">
        <f t="shared" si="1"/>
        <v>241</v>
      </c>
      <c r="C241" s="1" t="s">
        <v>709</v>
      </c>
      <c r="D241" s="1" t="s">
        <v>709</v>
      </c>
      <c r="E241" s="1" t="s">
        <v>645</v>
      </c>
      <c r="G241" s="1">
        <v>4.44297088E8</v>
      </c>
      <c r="H241" s="2">
        <v>41249.0</v>
      </c>
      <c r="I241" s="1" t="s">
        <v>710</v>
      </c>
      <c r="K241" s="1" t="s">
        <v>710</v>
      </c>
      <c r="N241" s="1" t="s">
        <v>647</v>
      </c>
      <c r="O241" s="1">
        <v>1200.0</v>
      </c>
      <c r="P241" s="1" t="s">
        <v>647</v>
      </c>
      <c r="Q241" s="1" t="str">
        <f>IF(ISERROR(VLOOKUP(P241,'unique fed agency names'!A:C,3,FALSE)),P241,VLOOKUP(P241,'unique fed agency names'!A:C,3,FALSE))
</f>
        <v>U.S. Department of Agriculture (USDA)</v>
      </c>
      <c r="R241" s="1">
        <v>3.0098093E7</v>
      </c>
      <c r="S241" s="1" t="s">
        <v>816</v>
      </c>
      <c r="T241" s="1" t="str">
        <f>IF(ISERROR(VLOOKUP(S241,'unique org names'!A:C,3,FALSE)),S241,VLOOKUP(S241,'unique org names'!A:C,3,FALSE))
</f>
        <v>Growing Minds Learning Center</v>
      </c>
      <c r="V241" s="1" t="s">
        <v>817</v>
      </c>
      <c r="W241" s="1" t="s">
        <v>44</v>
      </c>
      <c r="X241" s="1" t="s">
        <v>45</v>
      </c>
      <c r="Y241" s="1">
        <v>4.82243226E8</v>
      </c>
      <c r="AA241" s="1" t="s">
        <v>44</v>
      </c>
      <c r="AB241" s="1" t="s">
        <v>45</v>
      </c>
      <c r="AC241" s="1">
        <v>4.82243226E8</v>
      </c>
      <c r="AF241" s="1">
        <v>48111.09</v>
      </c>
      <c r="AG241" s="2">
        <v>41249.0</v>
      </c>
      <c r="AH241" s="1">
        <v>1200.0</v>
      </c>
      <c r="AI241" s="1" t="s">
        <v>647</v>
      </c>
      <c r="AJ241" s="1" t="s">
        <v>818</v>
      </c>
      <c r="AK241" s="1" t="s">
        <v>712</v>
      </c>
      <c r="AL241" s="1">
        <v>8.0</v>
      </c>
      <c r="AM241" s="1">
        <v>2013.0</v>
      </c>
      <c r="AN241" s="1">
        <v>2013.0</v>
      </c>
      <c r="AO241" s="1" t="s">
        <v>713</v>
      </c>
    </row>
    <row r="242">
      <c r="A242" s="5">
        <v>1.0</v>
      </c>
      <c r="B242" s="1">
        <f t="shared" si="1"/>
        <v>242</v>
      </c>
      <c r="C242" s="1" t="s">
        <v>709</v>
      </c>
      <c r="D242" s="1" t="s">
        <v>709</v>
      </c>
      <c r="E242" s="1" t="s">
        <v>645</v>
      </c>
      <c r="G242" s="1">
        <v>4.44297088E8</v>
      </c>
      <c r="H242" s="2">
        <v>41193.0</v>
      </c>
      <c r="I242" s="1" t="s">
        <v>710</v>
      </c>
      <c r="K242" s="1" t="s">
        <v>710</v>
      </c>
      <c r="N242" s="1" t="s">
        <v>647</v>
      </c>
      <c r="O242" s="1">
        <v>1200.0</v>
      </c>
      <c r="P242" s="1" t="s">
        <v>647</v>
      </c>
      <c r="Q242" s="1" t="str">
        <f>IF(ISERROR(VLOOKUP(P242,'unique fed agency names'!A:C,3,FALSE)),P242,VLOOKUP(P242,'unique fed agency names'!A:C,3,FALSE))
</f>
        <v>U.S. Department of Agriculture (USDA)</v>
      </c>
      <c r="R242" s="1">
        <v>1.3032514E8</v>
      </c>
      <c r="S242" s="1" t="s">
        <v>819</v>
      </c>
      <c r="T242" s="1" t="str">
        <f>IF(ISERROR(VLOOKUP(S242,'unique org names'!A:C,3,FALSE)),S242,VLOOKUP(S242,'unique org names'!A:C,3,FALSE))
</f>
        <v>ROSS HILL ACADEMY SCHOOL DISTRICT</v>
      </c>
      <c r="V242" s="1" t="s">
        <v>820</v>
      </c>
      <c r="W242" s="1" t="s">
        <v>44</v>
      </c>
      <c r="X242" s="1" t="s">
        <v>45</v>
      </c>
      <c r="Y242" s="1">
        <v>4.82072418E8</v>
      </c>
      <c r="AA242" s="1" t="s">
        <v>44</v>
      </c>
      <c r="AB242" s="1" t="s">
        <v>45</v>
      </c>
      <c r="AC242" s="1">
        <v>4.82072418E8</v>
      </c>
      <c r="AD242" s="1">
        <v>1.3032514E8</v>
      </c>
      <c r="AE242" s="1" t="s">
        <v>819</v>
      </c>
      <c r="AF242" s="1">
        <v>81271.26</v>
      </c>
      <c r="AG242" s="2">
        <v>41193.0</v>
      </c>
      <c r="AH242" s="1">
        <v>1200.0</v>
      </c>
      <c r="AI242" s="1" t="s">
        <v>647</v>
      </c>
      <c r="AJ242" s="1" t="s">
        <v>821</v>
      </c>
      <c r="AK242" s="1" t="s">
        <v>712</v>
      </c>
      <c r="AL242" s="1">
        <v>8.0</v>
      </c>
      <c r="AM242" s="1">
        <v>2013.0</v>
      </c>
      <c r="AN242" s="1">
        <v>2013.0</v>
      </c>
      <c r="AO242" s="1" t="s">
        <v>713</v>
      </c>
    </row>
    <row r="243">
      <c r="A243" s="5">
        <v>1.0</v>
      </c>
      <c r="B243" s="1">
        <f t="shared" si="1"/>
        <v>243</v>
      </c>
      <c r="C243" s="1" t="s">
        <v>709</v>
      </c>
      <c r="D243" s="1" t="s">
        <v>709</v>
      </c>
      <c r="E243" s="1" t="s">
        <v>645</v>
      </c>
      <c r="G243" s="1">
        <v>4.44297088E8</v>
      </c>
      <c r="H243" s="2">
        <v>41193.0</v>
      </c>
      <c r="I243" s="1" t="s">
        <v>710</v>
      </c>
      <c r="K243" s="1" t="s">
        <v>710</v>
      </c>
      <c r="N243" s="1" t="s">
        <v>647</v>
      </c>
      <c r="O243" s="1">
        <v>1200.0</v>
      </c>
      <c r="P243" s="1" t="s">
        <v>647</v>
      </c>
      <c r="Q243" s="1" t="str">
        <f>IF(ISERROR(VLOOKUP(P243,'unique fed agency names'!A:C,3,FALSE)),P243,VLOOKUP(P243,'unique fed agency names'!A:C,3,FALSE))
</f>
        <v>U.S. Department of Agriculture (USDA)</v>
      </c>
      <c r="R243" s="1">
        <v>1.47552186E8</v>
      </c>
      <c r="S243" s="1" t="s">
        <v>822</v>
      </c>
      <c r="T243" s="1" t="str">
        <f>IF(ISERROR(VLOOKUP(S243,'unique org names'!A:C,3,FALSE)),S243,VLOOKUP(S243,'unique org names'!A:C,3,FALSE))
</f>
        <v>NATAKI TALIBAH SCHOOLHOUSE OF DETROIT</v>
      </c>
      <c r="V243" s="1" t="s">
        <v>823</v>
      </c>
      <c r="W243" s="1" t="s">
        <v>44</v>
      </c>
      <c r="X243" s="1" t="s">
        <v>45</v>
      </c>
      <c r="Y243" s="1">
        <v>4.82191857E8</v>
      </c>
      <c r="AA243" s="1" t="s">
        <v>44</v>
      </c>
      <c r="AB243" s="1" t="s">
        <v>45</v>
      </c>
      <c r="AC243" s="1">
        <v>4.82191857E8</v>
      </c>
      <c r="AF243" s="1">
        <v>91646.56</v>
      </c>
      <c r="AG243" s="2">
        <v>41193.0</v>
      </c>
      <c r="AH243" s="1">
        <v>1200.0</v>
      </c>
      <c r="AI243" s="1" t="s">
        <v>647</v>
      </c>
      <c r="AJ243" s="1" t="s">
        <v>824</v>
      </c>
      <c r="AK243" s="1" t="s">
        <v>712</v>
      </c>
      <c r="AL243" s="1">
        <v>8.0</v>
      </c>
      <c r="AM243" s="1">
        <v>2013.0</v>
      </c>
      <c r="AN243" s="1">
        <v>2013.0</v>
      </c>
      <c r="AO243" s="1" t="s">
        <v>713</v>
      </c>
    </row>
    <row r="244">
      <c r="A244" s="5">
        <v>1.0</v>
      </c>
      <c r="B244" s="1">
        <f t="shared" si="1"/>
        <v>244</v>
      </c>
      <c r="C244" s="1" t="s">
        <v>709</v>
      </c>
      <c r="D244" s="1" t="s">
        <v>709</v>
      </c>
      <c r="E244" s="1" t="s">
        <v>645</v>
      </c>
      <c r="G244" s="1">
        <v>4.44297088E8</v>
      </c>
      <c r="H244" s="2">
        <v>41234.0</v>
      </c>
      <c r="I244" s="1" t="s">
        <v>710</v>
      </c>
      <c r="K244" s="1" t="s">
        <v>710</v>
      </c>
      <c r="N244" s="1" t="s">
        <v>647</v>
      </c>
      <c r="O244" s="1">
        <v>1200.0</v>
      </c>
      <c r="P244" s="1" t="s">
        <v>647</v>
      </c>
      <c r="Q244" s="1" t="str">
        <f>IF(ISERROR(VLOOKUP(P244,'unique fed agency names'!A:C,3,FALSE)),P244,VLOOKUP(P244,'unique fed agency names'!A:C,3,FALSE))
</f>
        <v>U.S. Department of Agriculture (USDA)</v>
      </c>
      <c r="R244" s="1">
        <v>9.0912429E7</v>
      </c>
      <c r="S244" s="1" t="s">
        <v>521</v>
      </c>
      <c r="T244" s="1" t="str">
        <f>IF(ISERROR(VLOOKUP(S244,'unique org names'!A:C,3,FALSE)),S244,VLOOKUP(S244,'unique org names'!A:C,3,FALSE))
</f>
        <v>DETROIT COMMUNITY SCHOOLS</v>
      </c>
      <c r="V244" s="1" t="s">
        <v>522</v>
      </c>
      <c r="W244" s="1" t="s">
        <v>44</v>
      </c>
      <c r="X244" s="1" t="s">
        <v>45</v>
      </c>
      <c r="Y244" s="1">
        <v>4.82233314E8</v>
      </c>
      <c r="AA244" s="1" t="s">
        <v>44</v>
      </c>
      <c r="AB244" s="1" t="s">
        <v>45</v>
      </c>
      <c r="AC244" s="1">
        <v>4.82233314E8</v>
      </c>
      <c r="AF244" s="1">
        <v>241331.87</v>
      </c>
      <c r="AG244" s="2">
        <v>41234.0</v>
      </c>
      <c r="AH244" s="1">
        <v>1200.0</v>
      </c>
      <c r="AI244" s="1" t="s">
        <v>647</v>
      </c>
      <c r="AJ244" s="1" t="s">
        <v>825</v>
      </c>
      <c r="AK244" s="1" t="s">
        <v>712</v>
      </c>
      <c r="AL244" s="1">
        <v>8.0</v>
      </c>
      <c r="AM244" s="1">
        <v>2013.0</v>
      </c>
      <c r="AN244" s="1">
        <v>2013.0</v>
      </c>
      <c r="AO244" s="1" t="s">
        <v>713</v>
      </c>
    </row>
    <row r="245">
      <c r="A245" s="5">
        <v>1.0</v>
      </c>
      <c r="B245" s="1">
        <f t="shared" si="1"/>
        <v>245</v>
      </c>
      <c r="C245" s="1" t="s">
        <v>709</v>
      </c>
      <c r="D245" s="1" t="s">
        <v>709</v>
      </c>
      <c r="E245" s="1" t="s">
        <v>645</v>
      </c>
      <c r="G245" s="1">
        <v>4.44297088E8</v>
      </c>
      <c r="H245" s="2">
        <v>41193.0</v>
      </c>
      <c r="I245" s="1" t="s">
        <v>710</v>
      </c>
      <c r="K245" s="1" t="s">
        <v>710</v>
      </c>
      <c r="N245" s="1" t="s">
        <v>647</v>
      </c>
      <c r="O245" s="1">
        <v>1200.0</v>
      </c>
      <c r="P245" s="1" t="s">
        <v>647</v>
      </c>
      <c r="Q245" s="1" t="str">
        <f>IF(ISERROR(VLOOKUP(P245,'unique fed agency names'!A:C,3,FALSE)),P245,VLOOKUP(P245,'unique fed agency names'!A:C,3,FALSE))
</f>
        <v>U.S. Department of Agriculture (USDA)</v>
      </c>
      <c r="R245" s="1">
        <v>7.3832607E7</v>
      </c>
      <c r="S245" s="1" t="s">
        <v>482</v>
      </c>
      <c r="T245" s="1" t="str">
        <f>IF(ISERROR(VLOOKUP(S245,'unique org names'!A:C,3,FALSE)),S245,VLOOKUP(S245,'unique org names'!A:C,3,FALSE))
</f>
        <v>DETROIT ACADEMY OF ARTS AND SCIENCES</v>
      </c>
      <c r="V245" s="1" t="s">
        <v>483</v>
      </c>
      <c r="W245" s="1" t="s">
        <v>44</v>
      </c>
      <c r="X245" s="1" t="s">
        <v>45</v>
      </c>
      <c r="Y245" s="1">
        <v>4.82074288E8</v>
      </c>
      <c r="AA245" s="1" t="s">
        <v>44</v>
      </c>
      <c r="AB245" s="1" t="s">
        <v>45</v>
      </c>
      <c r="AC245" s="1">
        <v>4.82074288E8</v>
      </c>
      <c r="AF245" s="1">
        <v>386539.84</v>
      </c>
      <c r="AG245" s="2">
        <v>41193.0</v>
      </c>
      <c r="AH245" s="1">
        <v>1200.0</v>
      </c>
      <c r="AI245" s="1" t="s">
        <v>647</v>
      </c>
      <c r="AJ245" s="1" t="s">
        <v>826</v>
      </c>
      <c r="AK245" s="1" t="s">
        <v>712</v>
      </c>
      <c r="AL245" s="1">
        <v>8.0</v>
      </c>
      <c r="AM245" s="1">
        <v>2013.0</v>
      </c>
      <c r="AN245" s="1">
        <v>2013.0</v>
      </c>
      <c r="AO245" s="1" t="s">
        <v>713</v>
      </c>
    </row>
    <row r="246">
      <c r="A246" s="5">
        <v>1.0</v>
      </c>
      <c r="B246" s="1">
        <f t="shared" si="1"/>
        <v>246</v>
      </c>
      <c r="C246" s="1" t="s">
        <v>709</v>
      </c>
      <c r="D246" s="1" t="s">
        <v>709</v>
      </c>
      <c r="E246" s="1" t="s">
        <v>645</v>
      </c>
      <c r="G246" s="1">
        <v>4.44297088E8</v>
      </c>
      <c r="H246" s="2">
        <v>41186.0</v>
      </c>
      <c r="I246" s="1" t="s">
        <v>710</v>
      </c>
      <c r="K246" s="1" t="s">
        <v>710</v>
      </c>
      <c r="N246" s="1" t="s">
        <v>647</v>
      </c>
      <c r="O246" s="1">
        <v>1200.0</v>
      </c>
      <c r="P246" s="1" t="s">
        <v>647</v>
      </c>
      <c r="Q246" s="1" t="str">
        <f>IF(ISERROR(VLOOKUP(P246,'unique fed agency names'!A:C,3,FALSE)),P246,VLOOKUP(P246,'unique fed agency names'!A:C,3,FALSE))
</f>
        <v>U.S. Department of Agriculture (USDA)</v>
      </c>
      <c r="R246" s="1">
        <v>8.30649195E8</v>
      </c>
      <c r="S246" s="1" t="s">
        <v>545</v>
      </c>
      <c r="T246" s="1" t="str">
        <f>IF(ISERROR(VLOOKUP(S246,'unique org names'!A:C,3,FALSE)),S246,VLOOKUP(S246,'unique org names'!A:C,3,FALSE))
</f>
        <v>PLYMOUTH EDUCATIONAL CENTER CHARTER SCHOOL</v>
      </c>
      <c r="V246" s="1" t="s">
        <v>547</v>
      </c>
      <c r="W246" s="1" t="s">
        <v>44</v>
      </c>
      <c r="X246" s="1" t="s">
        <v>45</v>
      </c>
      <c r="Y246" s="1">
        <v>4.82071E8</v>
      </c>
      <c r="AA246" s="1" t="s">
        <v>44</v>
      </c>
      <c r="AB246" s="1" t="s">
        <v>45</v>
      </c>
      <c r="AC246" s="1">
        <v>4.82071E8</v>
      </c>
      <c r="AF246" s="1">
        <v>144101.19</v>
      </c>
      <c r="AG246" s="2">
        <v>41186.0</v>
      </c>
      <c r="AH246" s="1">
        <v>1200.0</v>
      </c>
      <c r="AI246" s="1" t="s">
        <v>647</v>
      </c>
      <c r="AJ246" s="1" t="s">
        <v>827</v>
      </c>
      <c r="AK246" s="1" t="s">
        <v>712</v>
      </c>
      <c r="AL246" s="1">
        <v>8.0</v>
      </c>
      <c r="AM246" s="1">
        <v>2013.0</v>
      </c>
      <c r="AN246" s="1">
        <v>2013.0</v>
      </c>
      <c r="AO246" s="1" t="s">
        <v>713</v>
      </c>
    </row>
    <row r="247">
      <c r="A247" s="5">
        <v>1.0</v>
      </c>
      <c r="B247" s="1">
        <f t="shared" si="1"/>
        <v>247</v>
      </c>
      <c r="C247" s="1" t="s">
        <v>709</v>
      </c>
      <c r="D247" s="1" t="s">
        <v>709</v>
      </c>
      <c r="E247" s="1" t="s">
        <v>645</v>
      </c>
      <c r="G247" s="1">
        <v>4.44297088E8</v>
      </c>
      <c r="H247" s="2">
        <v>41291.0</v>
      </c>
      <c r="I247" s="1" t="s">
        <v>710</v>
      </c>
      <c r="K247" s="1" t="s">
        <v>710</v>
      </c>
      <c r="N247" s="1" t="s">
        <v>647</v>
      </c>
      <c r="O247" s="1">
        <v>1200.0</v>
      </c>
      <c r="P247" s="1" t="s">
        <v>647</v>
      </c>
      <c r="Q247" s="1" t="str">
        <f>IF(ISERROR(VLOOKUP(P247,'unique fed agency names'!A:C,3,FALSE)),P247,VLOOKUP(P247,'unique fed agency names'!A:C,3,FALSE))
</f>
        <v>U.S. Department of Agriculture (USDA)</v>
      </c>
      <c r="R247" s="1">
        <v>1.6338926E8</v>
      </c>
      <c r="S247" s="1" t="s">
        <v>465</v>
      </c>
      <c r="T247" s="1" t="str">
        <f>IF(ISERROR(VLOOKUP(S247,'unique org names'!A:C,3,FALSE)),S247,VLOOKUP(S247,'unique org names'!A:C,3,FALSE))
</f>
        <v>Public School Academies of Detroit</v>
      </c>
      <c r="U247" s="1" t="s">
        <v>598</v>
      </c>
      <c r="V247" s="1" t="s">
        <v>599</v>
      </c>
      <c r="W247" s="1" t="s">
        <v>44</v>
      </c>
      <c r="X247" s="1" t="s">
        <v>45</v>
      </c>
      <c r="Y247" s="1">
        <v>4.82023457E8</v>
      </c>
      <c r="AA247" s="1" t="s">
        <v>44</v>
      </c>
      <c r="AB247" s="1" t="s">
        <v>45</v>
      </c>
      <c r="AC247" s="1">
        <v>4.82023457E8</v>
      </c>
      <c r="AD247" s="1">
        <v>1.6338926E8</v>
      </c>
      <c r="AE247" s="1" t="s">
        <v>465</v>
      </c>
      <c r="AF247" s="1">
        <v>439510.85</v>
      </c>
      <c r="AG247" s="2">
        <v>41291.0</v>
      </c>
      <c r="AH247" s="1">
        <v>1200.0</v>
      </c>
      <c r="AI247" s="1" t="s">
        <v>647</v>
      </c>
      <c r="AJ247" s="1" t="s">
        <v>828</v>
      </c>
      <c r="AK247" s="1" t="s">
        <v>712</v>
      </c>
      <c r="AL247" s="1">
        <v>8.0</v>
      </c>
      <c r="AM247" s="1">
        <v>2013.0</v>
      </c>
      <c r="AN247" s="1">
        <v>2013.0</v>
      </c>
      <c r="AO247" s="1" t="s">
        <v>713</v>
      </c>
    </row>
    <row r="248">
      <c r="A248" s="5">
        <v>1.0</v>
      </c>
      <c r="B248" s="1">
        <f t="shared" si="1"/>
        <v>248</v>
      </c>
      <c r="C248" s="1" t="s">
        <v>709</v>
      </c>
      <c r="D248" s="1" t="s">
        <v>709</v>
      </c>
      <c r="E248" s="1" t="s">
        <v>645</v>
      </c>
      <c r="G248" s="1">
        <v>4.44297088E8</v>
      </c>
      <c r="H248" s="2">
        <v>41193.0</v>
      </c>
      <c r="I248" s="1" t="s">
        <v>710</v>
      </c>
      <c r="K248" s="1" t="s">
        <v>710</v>
      </c>
      <c r="N248" s="1" t="s">
        <v>647</v>
      </c>
      <c r="O248" s="1">
        <v>1200.0</v>
      </c>
      <c r="P248" s="1" t="s">
        <v>647</v>
      </c>
      <c r="Q248" s="1" t="str">
        <f>IF(ISERROR(VLOOKUP(P248,'unique fed agency names'!A:C,3,FALSE)),P248,VLOOKUP(P248,'unique fed agency names'!A:C,3,FALSE))
</f>
        <v>U.S. Department of Agriculture (USDA)</v>
      </c>
      <c r="R248" s="1">
        <v>8.25304442E8</v>
      </c>
      <c r="S248" s="1" t="s">
        <v>829</v>
      </c>
      <c r="T248" s="1" t="str">
        <f>IF(ISERROR(VLOOKUP(S248,'unique org names'!A:C,3,FALSE)),S248,VLOOKUP(S248,'unique org names'!A:C,3,FALSE))
</f>
        <v>DAVID ELLIS ACADEMY</v>
      </c>
      <c r="V248" s="1" t="s">
        <v>830</v>
      </c>
      <c r="W248" s="1" t="s">
        <v>44</v>
      </c>
      <c r="X248" s="1" t="s">
        <v>45</v>
      </c>
      <c r="Y248" s="1">
        <v>4.82351762E8</v>
      </c>
      <c r="AA248" s="1" t="s">
        <v>44</v>
      </c>
      <c r="AB248" s="1" t="s">
        <v>45</v>
      </c>
      <c r="AC248" s="1">
        <v>4.82351762E8</v>
      </c>
      <c r="AF248" s="1">
        <v>69436.85</v>
      </c>
      <c r="AG248" s="2">
        <v>41193.0</v>
      </c>
      <c r="AH248" s="1">
        <v>1200.0</v>
      </c>
      <c r="AI248" s="1" t="s">
        <v>647</v>
      </c>
      <c r="AJ248" s="1" t="s">
        <v>831</v>
      </c>
      <c r="AK248" s="1" t="s">
        <v>712</v>
      </c>
      <c r="AL248" s="1">
        <v>8.0</v>
      </c>
      <c r="AM248" s="1">
        <v>2013.0</v>
      </c>
      <c r="AN248" s="1">
        <v>2013.0</v>
      </c>
      <c r="AO248" s="1" t="s">
        <v>713</v>
      </c>
    </row>
    <row r="249">
      <c r="A249" s="5">
        <v>1.0</v>
      </c>
      <c r="B249" s="1">
        <f t="shared" si="1"/>
        <v>249</v>
      </c>
      <c r="C249" s="1" t="s">
        <v>753</v>
      </c>
      <c r="D249" s="1" t="s">
        <v>753</v>
      </c>
      <c r="E249" s="1" t="s">
        <v>645</v>
      </c>
      <c r="G249" s="1">
        <v>1852205.0</v>
      </c>
      <c r="H249" s="2">
        <v>41242.0</v>
      </c>
      <c r="I249" s="1" t="s">
        <v>754</v>
      </c>
      <c r="K249" s="1" t="s">
        <v>754</v>
      </c>
      <c r="N249" s="1" t="s">
        <v>647</v>
      </c>
      <c r="O249" s="1">
        <v>1200.0</v>
      </c>
      <c r="P249" s="1" t="s">
        <v>647</v>
      </c>
      <c r="Q249" s="1" t="str">
        <f>IF(ISERROR(VLOOKUP(P249,'unique fed agency names'!A:C,3,FALSE)),P249,VLOOKUP(P249,'unique fed agency names'!A:C,3,FALSE))
</f>
        <v>U.S. Department of Agriculture (USDA)</v>
      </c>
      <c r="R249" s="1">
        <v>7.6340843E7</v>
      </c>
      <c r="S249" s="1" t="s">
        <v>461</v>
      </c>
      <c r="T249" s="1" t="str">
        <f>IF(ISERROR(VLOOKUP(S249,'unique org names'!A:C,3,FALSE)),S249,VLOOKUP(S249,'unique org names'!A:C,3,FALSE))
</f>
        <v>BOARD OF EDUCATION OF THE CITY OF DETROIT</v>
      </c>
      <c r="U249" s="1" t="s">
        <v>459</v>
      </c>
      <c r="V249" s="1" t="s">
        <v>524</v>
      </c>
      <c r="W249" s="1" t="s">
        <v>44</v>
      </c>
      <c r="X249" s="1" t="s">
        <v>45</v>
      </c>
      <c r="Y249" s="1">
        <v>4.82023046E8</v>
      </c>
      <c r="AA249" s="1" t="s">
        <v>44</v>
      </c>
      <c r="AB249" s="1" t="s">
        <v>45</v>
      </c>
      <c r="AC249" s="1">
        <v>4.82023096E8</v>
      </c>
      <c r="AD249" s="1">
        <v>7.6340843E7</v>
      </c>
      <c r="AE249" s="1" t="s">
        <v>461</v>
      </c>
      <c r="AF249" s="1">
        <v>87116.92</v>
      </c>
      <c r="AG249" s="2">
        <v>41242.0</v>
      </c>
      <c r="AH249" s="1">
        <v>1200.0</v>
      </c>
      <c r="AI249" s="1" t="s">
        <v>647</v>
      </c>
      <c r="AJ249" s="1" t="s">
        <v>832</v>
      </c>
      <c r="AK249" s="1" t="s">
        <v>756</v>
      </c>
      <c r="AL249" s="1">
        <v>8.0</v>
      </c>
      <c r="AM249" s="1">
        <v>2013.0</v>
      </c>
      <c r="AN249" s="1">
        <v>2013.0</v>
      </c>
      <c r="AO249" s="1" t="s">
        <v>757</v>
      </c>
    </row>
    <row r="250">
      <c r="A250" s="5">
        <v>1.0</v>
      </c>
      <c r="B250" s="1">
        <f t="shared" si="1"/>
        <v>250</v>
      </c>
      <c r="C250" s="1" t="s">
        <v>709</v>
      </c>
      <c r="D250" s="1" t="s">
        <v>709</v>
      </c>
      <c r="E250" s="1" t="s">
        <v>645</v>
      </c>
      <c r="G250" s="1">
        <v>4.44297088E8</v>
      </c>
      <c r="H250" s="2">
        <v>41200.0</v>
      </c>
      <c r="I250" s="1" t="s">
        <v>710</v>
      </c>
      <c r="K250" s="1" t="s">
        <v>710</v>
      </c>
      <c r="N250" s="1" t="s">
        <v>647</v>
      </c>
      <c r="O250" s="1">
        <v>1200.0</v>
      </c>
      <c r="P250" s="1" t="s">
        <v>647</v>
      </c>
      <c r="Q250" s="1" t="str">
        <f>IF(ISERROR(VLOOKUP(P250,'unique fed agency names'!A:C,3,FALSE)),P250,VLOOKUP(P250,'unique fed agency names'!A:C,3,FALSE))
</f>
        <v>U.S. Department of Agriculture (USDA)</v>
      </c>
      <c r="R250" s="1">
        <v>8.01335944E8</v>
      </c>
      <c r="S250" s="1" t="s">
        <v>833</v>
      </c>
      <c r="T250" s="1" t="str">
        <f>IF(ISERROR(VLOOKUP(S250,'unique org names'!A:C,3,FALSE)),S250,VLOOKUP(S250,'unique org names'!A:C,3,FALSE))
</f>
        <v>Wayne County Kidspace</v>
      </c>
      <c r="V250" s="1" t="s">
        <v>834</v>
      </c>
      <c r="W250" s="1" t="s">
        <v>44</v>
      </c>
      <c r="X250" s="1" t="s">
        <v>45</v>
      </c>
      <c r="Y250" s="1">
        <v>4.82262831E8</v>
      </c>
      <c r="AA250" s="1" t="s">
        <v>44</v>
      </c>
      <c r="AB250" s="1" t="s">
        <v>45</v>
      </c>
      <c r="AC250" s="1">
        <v>4.82262841E8</v>
      </c>
      <c r="AF250" s="1">
        <v>29859.33</v>
      </c>
      <c r="AG250" s="2">
        <v>41200.0</v>
      </c>
      <c r="AH250" s="1">
        <v>1200.0</v>
      </c>
      <c r="AI250" s="1" t="s">
        <v>647</v>
      </c>
      <c r="AJ250" s="1" t="s">
        <v>835</v>
      </c>
      <c r="AK250" s="1" t="s">
        <v>712</v>
      </c>
      <c r="AL250" s="1">
        <v>8.0</v>
      </c>
      <c r="AM250" s="1">
        <v>2013.0</v>
      </c>
      <c r="AN250" s="1">
        <v>2013.0</v>
      </c>
      <c r="AO250" s="1" t="s">
        <v>713</v>
      </c>
    </row>
    <row r="251">
      <c r="A251" s="5">
        <v>1.0</v>
      </c>
      <c r="B251" s="1">
        <f t="shared" si="1"/>
        <v>251</v>
      </c>
      <c r="C251" s="1" t="s">
        <v>709</v>
      </c>
      <c r="D251" s="1" t="s">
        <v>709</v>
      </c>
      <c r="E251" s="1" t="s">
        <v>645</v>
      </c>
      <c r="G251" s="1">
        <v>4.44297088E8</v>
      </c>
      <c r="H251" s="2">
        <v>41193.0</v>
      </c>
      <c r="I251" s="1" t="s">
        <v>710</v>
      </c>
      <c r="K251" s="1" t="s">
        <v>710</v>
      </c>
      <c r="N251" s="1" t="s">
        <v>647</v>
      </c>
      <c r="O251" s="1">
        <v>1200.0</v>
      </c>
      <c r="P251" s="1" t="s">
        <v>647</v>
      </c>
      <c r="Q251" s="1" t="str">
        <f>IF(ISERROR(VLOOKUP(P251,'unique fed agency names'!A:C,3,FALSE)),P251,VLOOKUP(P251,'unique fed agency names'!A:C,3,FALSE))
</f>
        <v>U.S. Department of Agriculture (USDA)</v>
      </c>
      <c r="R251" s="1">
        <v>1.35155112E8</v>
      </c>
      <c r="S251" s="1" t="s">
        <v>836</v>
      </c>
      <c r="T251" s="1" t="str">
        <f>IF(ISERROR(VLOOKUP(S251,'unique org names'!A:C,3,FALSE)),S251,VLOOKUP(S251,'unique org names'!A:C,3,FALSE))
</f>
        <v>Our Kidz World Learning Center</v>
      </c>
      <c r="V251" s="1" t="s">
        <v>837</v>
      </c>
      <c r="W251" s="1" t="s">
        <v>44</v>
      </c>
      <c r="X251" s="1" t="s">
        <v>45</v>
      </c>
      <c r="Y251" s="1">
        <v>4.82052542E8</v>
      </c>
      <c r="AA251" s="1" t="s">
        <v>44</v>
      </c>
      <c r="AB251" s="1" t="s">
        <v>45</v>
      </c>
      <c r="AC251" s="1">
        <v>4.82052542E8</v>
      </c>
      <c r="AF251" s="1">
        <v>35001.78</v>
      </c>
      <c r="AG251" s="2">
        <v>41193.0</v>
      </c>
      <c r="AH251" s="1">
        <v>1200.0</v>
      </c>
      <c r="AI251" s="1" t="s">
        <v>647</v>
      </c>
      <c r="AJ251" s="1" t="s">
        <v>838</v>
      </c>
      <c r="AK251" s="1" t="s">
        <v>712</v>
      </c>
      <c r="AL251" s="1">
        <v>8.0</v>
      </c>
      <c r="AM251" s="1">
        <v>2013.0</v>
      </c>
      <c r="AN251" s="1">
        <v>2013.0</v>
      </c>
      <c r="AO251" s="1" t="s">
        <v>713</v>
      </c>
    </row>
    <row r="252">
      <c r="A252" s="5">
        <v>1.0</v>
      </c>
      <c r="B252" s="1">
        <f t="shared" si="1"/>
        <v>252</v>
      </c>
      <c r="C252" s="1" t="s">
        <v>709</v>
      </c>
      <c r="D252" s="1" t="s">
        <v>709</v>
      </c>
      <c r="E252" s="1" t="s">
        <v>645</v>
      </c>
      <c r="G252" s="1">
        <v>4.44297088E8</v>
      </c>
      <c r="H252" s="2">
        <v>41186.0</v>
      </c>
      <c r="I252" s="1" t="s">
        <v>710</v>
      </c>
      <c r="K252" s="1" t="s">
        <v>710</v>
      </c>
      <c r="N252" s="1" t="s">
        <v>647</v>
      </c>
      <c r="O252" s="1">
        <v>1200.0</v>
      </c>
      <c r="P252" s="1" t="s">
        <v>647</v>
      </c>
      <c r="Q252" s="1" t="str">
        <f>IF(ISERROR(VLOOKUP(P252,'unique fed agency names'!A:C,3,FALSE)),P252,VLOOKUP(P252,'unique fed agency names'!A:C,3,FALSE))
</f>
        <v>U.S. Department of Agriculture (USDA)</v>
      </c>
      <c r="R252" s="1">
        <v>6.02722873E8</v>
      </c>
      <c r="S252" s="1" t="s">
        <v>839</v>
      </c>
      <c r="T252" s="1" t="str">
        <f>IF(ISERROR(VLOOKUP(S252,'unique org names'!A:C,3,FALSE)),S252,VLOOKUP(S252,'unique org names'!A:C,3,FALSE))
</f>
        <v>Kingdom Kids Montessori</v>
      </c>
      <c r="V252" s="1" t="s">
        <v>840</v>
      </c>
      <c r="W252" s="1" t="s">
        <v>44</v>
      </c>
      <c r="X252" s="1" t="s">
        <v>45</v>
      </c>
      <c r="Y252" s="1">
        <v>4.82381157E8</v>
      </c>
      <c r="AA252" s="1" t="s">
        <v>44</v>
      </c>
      <c r="AB252" s="1" t="s">
        <v>45</v>
      </c>
      <c r="AC252" s="1">
        <v>4.82381157E8</v>
      </c>
      <c r="AF252" s="1">
        <v>64394.12</v>
      </c>
      <c r="AG252" s="2">
        <v>41186.0</v>
      </c>
      <c r="AH252" s="1">
        <v>1200.0</v>
      </c>
      <c r="AI252" s="1" t="s">
        <v>647</v>
      </c>
      <c r="AJ252" s="1" t="s">
        <v>841</v>
      </c>
      <c r="AK252" s="1" t="s">
        <v>712</v>
      </c>
      <c r="AL252" s="1">
        <v>8.0</v>
      </c>
      <c r="AM252" s="1">
        <v>2013.0</v>
      </c>
      <c r="AN252" s="1">
        <v>2013.0</v>
      </c>
      <c r="AO252" s="1" t="s">
        <v>713</v>
      </c>
    </row>
    <row r="253">
      <c r="A253" s="5">
        <v>1.0</v>
      </c>
      <c r="B253" s="1">
        <f t="shared" si="1"/>
        <v>253</v>
      </c>
      <c r="C253" s="1" t="s">
        <v>709</v>
      </c>
      <c r="D253" s="1" t="s">
        <v>709</v>
      </c>
      <c r="E253" s="1" t="s">
        <v>645</v>
      </c>
      <c r="G253" s="1">
        <v>4.44297088E8</v>
      </c>
      <c r="H253" s="2">
        <v>41234.0</v>
      </c>
      <c r="I253" s="1" t="s">
        <v>710</v>
      </c>
      <c r="K253" s="1" t="s">
        <v>710</v>
      </c>
      <c r="N253" s="1" t="s">
        <v>647</v>
      </c>
      <c r="O253" s="1">
        <v>1200.0</v>
      </c>
      <c r="P253" s="1" t="s">
        <v>647</v>
      </c>
      <c r="Q253" s="1" t="str">
        <f>IF(ISERROR(VLOOKUP(P253,'unique fed agency names'!A:C,3,FALSE)),P253,VLOOKUP(P253,'unique fed agency names'!A:C,3,FALSE))
</f>
        <v>U.S. Department of Agriculture (USDA)</v>
      </c>
      <c r="R253" s="1">
        <v>3790107.0</v>
      </c>
      <c r="S253" s="1" t="s">
        <v>576</v>
      </c>
      <c r="T253" s="1" t="str">
        <f>IF(ISERROR(VLOOKUP(S253,'unique org names'!A:C,3,FALSE)),S253,VLOOKUP(S253,'unique org names'!A:C,3,FALSE))
</f>
        <v>MARVIN L. WINANS ACADEMY OF PERFORMING ARTS</v>
      </c>
      <c r="V253" s="1" t="s">
        <v>577</v>
      </c>
      <c r="W253" s="1" t="s">
        <v>44</v>
      </c>
      <c r="X253" s="1" t="s">
        <v>45</v>
      </c>
      <c r="Y253" s="1">
        <v>4.82343284E8</v>
      </c>
      <c r="AA253" s="1" t="s">
        <v>44</v>
      </c>
      <c r="AB253" s="1" t="s">
        <v>45</v>
      </c>
      <c r="AC253" s="1">
        <v>4.82343284E8</v>
      </c>
      <c r="AF253" s="1">
        <v>55044.42</v>
      </c>
      <c r="AG253" s="2">
        <v>41234.0</v>
      </c>
      <c r="AH253" s="1">
        <v>1200.0</v>
      </c>
      <c r="AI253" s="1" t="s">
        <v>647</v>
      </c>
      <c r="AJ253" s="1" t="s">
        <v>842</v>
      </c>
      <c r="AK253" s="1" t="s">
        <v>712</v>
      </c>
      <c r="AL253" s="1">
        <v>8.0</v>
      </c>
      <c r="AM253" s="1">
        <v>2013.0</v>
      </c>
      <c r="AN253" s="1">
        <v>2013.0</v>
      </c>
      <c r="AO253" s="1" t="s">
        <v>713</v>
      </c>
    </row>
    <row r="254">
      <c r="A254" s="5">
        <v>1.0</v>
      </c>
      <c r="B254" s="1">
        <f t="shared" si="1"/>
        <v>254</v>
      </c>
      <c r="C254" s="1" t="s">
        <v>709</v>
      </c>
      <c r="D254" s="1" t="s">
        <v>709</v>
      </c>
      <c r="E254" s="1" t="s">
        <v>645</v>
      </c>
      <c r="G254" s="1">
        <v>4.44297088E8</v>
      </c>
      <c r="H254" s="2">
        <v>41186.0</v>
      </c>
      <c r="I254" s="1" t="s">
        <v>710</v>
      </c>
      <c r="K254" s="1" t="s">
        <v>710</v>
      </c>
      <c r="N254" s="1" t="s">
        <v>647</v>
      </c>
      <c r="O254" s="1">
        <v>1200.0</v>
      </c>
      <c r="P254" s="1" t="s">
        <v>647</v>
      </c>
      <c r="Q254" s="1" t="str">
        <f>IF(ISERROR(VLOOKUP(P254,'unique fed agency names'!A:C,3,FALSE)),P254,VLOOKUP(P254,'unique fed agency names'!A:C,3,FALSE))
</f>
        <v>U.S. Department of Agriculture (USDA)</v>
      </c>
      <c r="R254" s="1">
        <v>1.6389763E8</v>
      </c>
      <c r="S254" s="1" t="s">
        <v>843</v>
      </c>
      <c r="T254" s="1" t="str">
        <f>IF(ISERROR(VLOOKUP(S254,'unique org names'!A:C,3,FALSE)),S254,VLOOKUP(S254,'unique org names'!A:C,3,FALSE))
</f>
        <v>RENAISSANCE HEAD START</v>
      </c>
      <c r="U254" s="1" t="s">
        <v>844</v>
      </c>
      <c r="V254" s="1" t="s">
        <v>845</v>
      </c>
      <c r="W254" s="1" t="s">
        <v>44</v>
      </c>
      <c r="X254" s="1" t="s">
        <v>45</v>
      </c>
      <c r="Y254" s="1">
        <v>4.82383647E8</v>
      </c>
      <c r="AA254" s="1" t="s">
        <v>46</v>
      </c>
      <c r="AB254" s="1" t="s">
        <v>45</v>
      </c>
      <c r="AC254" s="1">
        <v>4.82383647E8</v>
      </c>
      <c r="AD254" s="1">
        <v>1.6389763E8</v>
      </c>
      <c r="AE254" s="1" t="s">
        <v>843</v>
      </c>
      <c r="AF254" s="1">
        <v>165026.26</v>
      </c>
      <c r="AG254" s="2">
        <v>41186.0</v>
      </c>
      <c r="AH254" s="1">
        <v>1200.0</v>
      </c>
      <c r="AI254" s="1" t="s">
        <v>647</v>
      </c>
      <c r="AJ254" s="1" t="s">
        <v>846</v>
      </c>
      <c r="AK254" s="1" t="s">
        <v>712</v>
      </c>
      <c r="AL254" s="1">
        <v>8.0</v>
      </c>
      <c r="AM254" s="1">
        <v>2013.0</v>
      </c>
      <c r="AN254" s="1">
        <v>2013.0</v>
      </c>
      <c r="AO254" s="1" t="s">
        <v>713</v>
      </c>
    </row>
    <row r="255">
      <c r="A255" s="5">
        <v>1.0</v>
      </c>
      <c r="B255" s="1">
        <f t="shared" si="1"/>
        <v>255</v>
      </c>
      <c r="C255" s="1" t="s">
        <v>709</v>
      </c>
      <c r="D255" s="1" t="s">
        <v>709</v>
      </c>
      <c r="E255" s="1" t="s">
        <v>645</v>
      </c>
      <c r="G255" s="1">
        <v>4.44297088E8</v>
      </c>
      <c r="H255" s="2">
        <v>41186.0</v>
      </c>
      <c r="I255" s="1" t="s">
        <v>710</v>
      </c>
      <c r="K255" s="1" t="s">
        <v>710</v>
      </c>
      <c r="N255" s="1" t="s">
        <v>647</v>
      </c>
      <c r="O255" s="1">
        <v>1200.0</v>
      </c>
      <c r="P255" s="1" t="s">
        <v>647</v>
      </c>
      <c r="Q255" s="1" t="str">
        <f>IF(ISERROR(VLOOKUP(P255,'unique fed agency names'!A:C,3,FALSE)),P255,VLOOKUP(P255,'unique fed agency names'!A:C,3,FALSE))
</f>
        <v>U.S. Department of Agriculture (USDA)</v>
      </c>
      <c r="R255" s="1">
        <v>7.3948895E7</v>
      </c>
      <c r="S255" s="1" t="s">
        <v>847</v>
      </c>
      <c r="T255" s="1" t="str">
        <f>IF(ISERROR(VLOOKUP(S255,'unique org names'!A:C,3,FALSE)),S255,VLOOKUP(S255,'unique org names'!A:C,3,FALSE))
</f>
        <v>Peter Rabbit Day Care Ctr Inc</v>
      </c>
      <c r="V255" s="1" t="s">
        <v>848</v>
      </c>
      <c r="W255" s="1" t="s">
        <v>44</v>
      </c>
      <c r="X255" s="1" t="s">
        <v>45</v>
      </c>
      <c r="Y255" s="1">
        <v>4.82242003E8</v>
      </c>
      <c r="AA255" s="1" t="s">
        <v>44</v>
      </c>
      <c r="AB255" s="1" t="s">
        <v>45</v>
      </c>
      <c r="AC255" s="1">
        <v>4.82242003E8</v>
      </c>
      <c r="AF255" s="1">
        <v>28828.63</v>
      </c>
      <c r="AG255" s="2">
        <v>41186.0</v>
      </c>
      <c r="AH255" s="1">
        <v>1200.0</v>
      </c>
      <c r="AI255" s="1" t="s">
        <v>647</v>
      </c>
      <c r="AJ255" s="1" t="s">
        <v>849</v>
      </c>
      <c r="AK255" s="1" t="s">
        <v>712</v>
      </c>
      <c r="AL255" s="1">
        <v>8.0</v>
      </c>
      <c r="AM255" s="1">
        <v>2013.0</v>
      </c>
      <c r="AN255" s="1">
        <v>2013.0</v>
      </c>
      <c r="AO255" s="1" t="s">
        <v>713</v>
      </c>
    </row>
    <row r="256">
      <c r="A256" s="5">
        <v>1.0</v>
      </c>
      <c r="B256" s="1">
        <f t="shared" si="1"/>
        <v>256</v>
      </c>
      <c r="C256" s="1" t="s">
        <v>709</v>
      </c>
      <c r="D256" s="1" t="s">
        <v>709</v>
      </c>
      <c r="E256" s="1" t="s">
        <v>645</v>
      </c>
      <c r="G256" s="1">
        <v>4.44297088E8</v>
      </c>
      <c r="H256" s="2">
        <v>41193.0</v>
      </c>
      <c r="I256" s="1" t="s">
        <v>710</v>
      </c>
      <c r="K256" s="1" t="s">
        <v>710</v>
      </c>
      <c r="N256" s="1" t="s">
        <v>647</v>
      </c>
      <c r="O256" s="1">
        <v>1200.0</v>
      </c>
      <c r="P256" s="1" t="s">
        <v>647</v>
      </c>
      <c r="Q256" s="1" t="str">
        <f>IF(ISERROR(VLOOKUP(P256,'unique fed agency names'!A:C,3,FALSE)),P256,VLOOKUP(P256,'unique fed agency names'!A:C,3,FALSE))
</f>
        <v>U.S. Department of Agriculture (USDA)</v>
      </c>
      <c r="R256" s="1">
        <v>1.98438892E8</v>
      </c>
      <c r="S256" s="1" t="s">
        <v>505</v>
      </c>
      <c r="T256" s="1" t="str">
        <f>IF(ISERROR(VLOOKUP(S256,'unique org names'!A:C,3,FALSE)),S256,VLOOKUP(S256,'unique org names'!A:C,3,FALSE))
</f>
        <v>HANLEY INTERNATIONAL ACADEMY, INC</v>
      </c>
      <c r="V256" s="1" t="s">
        <v>506</v>
      </c>
      <c r="W256" s="1" t="s">
        <v>44</v>
      </c>
      <c r="X256" s="1" t="s">
        <v>45</v>
      </c>
      <c r="Y256" s="1">
        <v>4.82123572E8</v>
      </c>
      <c r="AA256" s="1" t="s">
        <v>498</v>
      </c>
      <c r="AB256" s="1" t="s">
        <v>45</v>
      </c>
      <c r="AC256" s="1">
        <v>4.82123572E8</v>
      </c>
      <c r="AD256" s="1">
        <v>1.98438892E8</v>
      </c>
      <c r="AE256" s="1" t="s">
        <v>505</v>
      </c>
      <c r="AF256" s="1">
        <v>145209.85</v>
      </c>
      <c r="AG256" s="2">
        <v>41193.0</v>
      </c>
      <c r="AH256" s="1">
        <v>1200.0</v>
      </c>
      <c r="AI256" s="1" t="s">
        <v>647</v>
      </c>
      <c r="AJ256" s="1" t="s">
        <v>850</v>
      </c>
      <c r="AK256" s="1" t="s">
        <v>712</v>
      </c>
      <c r="AL256" s="1">
        <v>8.0</v>
      </c>
      <c r="AM256" s="1">
        <v>2013.0</v>
      </c>
      <c r="AN256" s="1">
        <v>2013.0</v>
      </c>
      <c r="AO256" s="1" t="s">
        <v>713</v>
      </c>
    </row>
    <row r="257">
      <c r="A257" s="5">
        <v>1.0</v>
      </c>
      <c r="B257" s="1">
        <f t="shared" si="1"/>
        <v>257</v>
      </c>
      <c r="C257" s="1" t="s">
        <v>709</v>
      </c>
      <c r="D257" s="1" t="s">
        <v>709</v>
      </c>
      <c r="E257" s="1" t="s">
        <v>645</v>
      </c>
      <c r="G257" s="1">
        <v>4.44297088E8</v>
      </c>
      <c r="H257" s="2">
        <v>41193.0</v>
      </c>
      <c r="I257" s="1" t="s">
        <v>710</v>
      </c>
      <c r="K257" s="1" t="s">
        <v>710</v>
      </c>
      <c r="N257" s="1" t="s">
        <v>647</v>
      </c>
      <c r="O257" s="1">
        <v>1200.0</v>
      </c>
      <c r="P257" s="1" t="s">
        <v>647</v>
      </c>
      <c r="Q257" s="1" t="str">
        <f>IF(ISERROR(VLOOKUP(P257,'unique fed agency names'!A:C,3,FALSE)),P257,VLOOKUP(P257,'unique fed agency names'!A:C,3,FALSE))
</f>
        <v>U.S. Department of Agriculture (USDA)</v>
      </c>
      <c r="R257" s="1">
        <v>8.29630537E8</v>
      </c>
      <c r="S257" s="1" t="s">
        <v>531</v>
      </c>
      <c r="T257" s="1" t="str">
        <f>IF(ISERROR(VLOOKUP(S257,'unique org names'!A:C,3,FALSE)),S257,VLOOKUP(S257,'unique org names'!A:C,3,FALSE))
</f>
        <v>DETROIT SERVICE LEARNING ACADEMY</v>
      </c>
      <c r="U257" s="1" t="s">
        <v>532</v>
      </c>
      <c r="V257" s="1" t="s">
        <v>533</v>
      </c>
      <c r="W257" s="1" t="s">
        <v>44</v>
      </c>
      <c r="X257" s="1" t="s">
        <v>45</v>
      </c>
      <c r="Y257" s="1">
        <v>4.8219181E8</v>
      </c>
      <c r="AA257" s="1" t="s">
        <v>44</v>
      </c>
      <c r="AB257" s="1" t="s">
        <v>45</v>
      </c>
      <c r="AC257" s="1">
        <v>4.8219181E8</v>
      </c>
      <c r="AF257" s="1">
        <v>321324.37</v>
      </c>
      <c r="AG257" s="2">
        <v>41193.0</v>
      </c>
      <c r="AH257" s="1">
        <v>1200.0</v>
      </c>
      <c r="AI257" s="1" t="s">
        <v>647</v>
      </c>
      <c r="AJ257" s="1" t="s">
        <v>851</v>
      </c>
      <c r="AK257" s="1" t="s">
        <v>712</v>
      </c>
      <c r="AL257" s="1">
        <v>8.0</v>
      </c>
      <c r="AM257" s="1">
        <v>2013.0</v>
      </c>
      <c r="AN257" s="1">
        <v>2013.0</v>
      </c>
      <c r="AO257" s="1" t="s">
        <v>713</v>
      </c>
    </row>
    <row r="258">
      <c r="A258" s="5">
        <v>1.0</v>
      </c>
      <c r="B258" s="1">
        <f t="shared" si="1"/>
        <v>258</v>
      </c>
      <c r="C258" s="1" t="s">
        <v>709</v>
      </c>
      <c r="D258" s="1" t="s">
        <v>709</v>
      </c>
      <c r="E258" s="1" t="s">
        <v>645</v>
      </c>
      <c r="G258" s="1">
        <v>4.44297088E8</v>
      </c>
      <c r="H258" s="2">
        <v>41193.0</v>
      </c>
      <c r="I258" s="1" t="s">
        <v>710</v>
      </c>
      <c r="K258" s="1" t="s">
        <v>710</v>
      </c>
      <c r="N258" s="1" t="s">
        <v>647</v>
      </c>
      <c r="O258" s="1">
        <v>1200.0</v>
      </c>
      <c r="P258" s="1" t="s">
        <v>647</v>
      </c>
      <c r="Q258" s="1" t="str">
        <f>IF(ISERROR(VLOOKUP(P258,'unique fed agency names'!A:C,3,FALSE)),P258,VLOOKUP(P258,'unique fed agency names'!A:C,3,FALSE))
</f>
        <v>U.S. Department of Agriculture (USDA)</v>
      </c>
      <c r="R258" s="1">
        <v>3.7602699E7</v>
      </c>
      <c r="S258" s="1" t="s">
        <v>535</v>
      </c>
      <c r="T258" s="1" t="str">
        <f>IF(ISERROR(VLOOKUP(S258,'unique org names'!A:C,3,FALSE)),S258,VLOOKUP(S258,'unique org names'!A:C,3,FALSE))
</f>
        <v>REGENT PARK SCHOLARS CHARTER ACADEMY</v>
      </c>
      <c r="V258" s="1" t="s">
        <v>536</v>
      </c>
      <c r="W258" s="1" t="s">
        <v>44</v>
      </c>
      <c r="X258" s="1" t="s">
        <v>45</v>
      </c>
      <c r="Y258" s="1">
        <v>4.82052545E8</v>
      </c>
      <c r="AA258" s="1" t="s">
        <v>46</v>
      </c>
      <c r="AB258" s="1" t="s">
        <v>45</v>
      </c>
      <c r="AC258" s="1">
        <v>4.82052545E8</v>
      </c>
      <c r="AF258" s="1">
        <v>168876.0</v>
      </c>
      <c r="AG258" s="2">
        <v>41193.0</v>
      </c>
      <c r="AH258" s="1">
        <v>1200.0</v>
      </c>
      <c r="AI258" s="1" t="s">
        <v>647</v>
      </c>
      <c r="AJ258" s="1" t="s">
        <v>852</v>
      </c>
      <c r="AK258" s="1" t="s">
        <v>712</v>
      </c>
      <c r="AL258" s="1">
        <v>8.0</v>
      </c>
      <c r="AM258" s="1">
        <v>2013.0</v>
      </c>
      <c r="AN258" s="1">
        <v>2013.0</v>
      </c>
      <c r="AO258" s="1" t="s">
        <v>713</v>
      </c>
    </row>
    <row r="259">
      <c r="A259" s="5">
        <v>1.0</v>
      </c>
      <c r="B259" s="1">
        <f t="shared" si="1"/>
        <v>259</v>
      </c>
      <c r="C259" s="1" t="s">
        <v>709</v>
      </c>
      <c r="D259" s="1" t="s">
        <v>709</v>
      </c>
      <c r="E259" s="1" t="s">
        <v>645</v>
      </c>
      <c r="G259" s="1">
        <v>4.44297088E8</v>
      </c>
      <c r="H259" s="2">
        <v>41214.0</v>
      </c>
      <c r="I259" s="1" t="s">
        <v>710</v>
      </c>
      <c r="K259" s="1" t="s">
        <v>710</v>
      </c>
      <c r="N259" s="1" t="s">
        <v>647</v>
      </c>
      <c r="O259" s="1">
        <v>1200.0</v>
      </c>
      <c r="P259" s="1" t="s">
        <v>647</v>
      </c>
      <c r="Q259" s="1" t="str">
        <f>IF(ISERROR(VLOOKUP(P259,'unique fed agency names'!A:C,3,FALSE)),P259,VLOOKUP(P259,'unique fed agency names'!A:C,3,FALSE))
</f>
        <v>U.S. Department of Agriculture (USDA)</v>
      </c>
      <c r="R259" s="1">
        <v>1.52807538E8</v>
      </c>
      <c r="S259" s="1" t="s">
        <v>591</v>
      </c>
      <c r="T259" s="1" t="str">
        <f>IF(ISERROR(VLOOKUP(S259,'unique org names'!A:C,3,FALSE)),S259,VLOOKUP(S259,'unique org names'!A:C,3,FALSE))
</f>
        <v>WESTON TECHNICAL ACADEMY</v>
      </c>
      <c r="V259" s="1" t="s">
        <v>592</v>
      </c>
      <c r="W259" s="1" t="s">
        <v>44</v>
      </c>
      <c r="X259" s="1" t="s">
        <v>45</v>
      </c>
      <c r="Y259" s="1">
        <v>4.82191161E8</v>
      </c>
      <c r="AA259" s="1" t="s">
        <v>44</v>
      </c>
      <c r="AB259" s="1" t="s">
        <v>45</v>
      </c>
      <c r="AC259" s="1">
        <v>4.82191161E8</v>
      </c>
      <c r="AF259" s="1">
        <v>81768.0</v>
      </c>
      <c r="AG259" s="2">
        <v>41214.0</v>
      </c>
      <c r="AH259" s="1">
        <v>1200.0</v>
      </c>
      <c r="AI259" s="1" t="s">
        <v>647</v>
      </c>
      <c r="AJ259" s="1" t="s">
        <v>853</v>
      </c>
      <c r="AK259" s="1" t="s">
        <v>712</v>
      </c>
      <c r="AL259" s="1">
        <v>8.0</v>
      </c>
      <c r="AM259" s="1">
        <v>2013.0</v>
      </c>
      <c r="AN259" s="1">
        <v>2013.0</v>
      </c>
      <c r="AO259" s="1" t="s">
        <v>713</v>
      </c>
    </row>
    <row r="260">
      <c r="A260" s="5">
        <v>1.0</v>
      </c>
      <c r="B260" s="1">
        <f t="shared" si="1"/>
        <v>260</v>
      </c>
      <c r="C260" s="1" t="s">
        <v>709</v>
      </c>
      <c r="D260" s="1" t="s">
        <v>709</v>
      </c>
      <c r="E260" s="1" t="s">
        <v>645</v>
      </c>
      <c r="G260" s="1">
        <v>4.44297088E8</v>
      </c>
      <c r="H260" s="2">
        <v>41193.0</v>
      </c>
      <c r="I260" s="1" t="s">
        <v>710</v>
      </c>
      <c r="K260" s="1" t="s">
        <v>710</v>
      </c>
      <c r="N260" s="1" t="s">
        <v>647</v>
      </c>
      <c r="O260" s="1">
        <v>1200.0</v>
      </c>
      <c r="P260" s="1" t="s">
        <v>647</v>
      </c>
      <c r="Q260" s="1" t="str">
        <f>IF(ISERROR(VLOOKUP(P260,'unique fed agency names'!A:C,3,FALSE)),P260,VLOOKUP(P260,'unique fed agency names'!A:C,3,FALSE))
</f>
        <v>U.S. Department of Agriculture (USDA)</v>
      </c>
      <c r="R260" s="1">
        <v>7.3832607E7</v>
      </c>
      <c r="S260" s="1" t="s">
        <v>482</v>
      </c>
      <c r="T260" s="1" t="str">
        <f>IF(ISERROR(VLOOKUP(S260,'unique org names'!A:C,3,FALSE)),S260,VLOOKUP(S260,'unique org names'!A:C,3,FALSE))
</f>
        <v>DETROIT ACADEMY OF ARTS AND SCIENCES</v>
      </c>
      <c r="V260" s="1" t="s">
        <v>483</v>
      </c>
      <c r="W260" s="1" t="s">
        <v>44</v>
      </c>
      <c r="X260" s="1" t="s">
        <v>45</v>
      </c>
      <c r="Y260" s="1">
        <v>4.82074288E8</v>
      </c>
      <c r="AA260" s="1" t="s">
        <v>44</v>
      </c>
      <c r="AB260" s="1" t="s">
        <v>45</v>
      </c>
      <c r="AC260" s="1">
        <v>4.82074288E8</v>
      </c>
      <c r="AF260" s="1">
        <v>192082.04</v>
      </c>
      <c r="AG260" s="2">
        <v>41193.0</v>
      </c>
      <c r="AH260" s="1">
        <v>1200.0</v>
      </c>
      <c r="AI260" s="1" t="s">
        <v>647</v>
      </c>
      <c r="AJ260" s="1" t="s">
        <v>854</v>
      </c>
      <c r="AK260" s="1" t="s">
        <v>712</v>
      </c>
      <c r="AL260" s="1">
        <v>8.0</v>
      </c>
      <c r="AM260" s="1">
        <v>2013.0</v>
      </c>
      <c r="AN260" s="1">
        <v>2013.0</v>
      </c>
      <c r="AO260" s="1" t="s">
        <v>713</v>
      </c>
    </row>
    <row r="261">
      <c r="A261" s="5">
        <v>1.0</v>
      </c>
      <c r="B261" s="1">
        <f t="shared" si="1"/>
        <v>261</v>
      </c>
      <c r="C261" s="1" t="s">
        <v>709</v>
      </c>
      <c r="D261" s="1" t="s">
        <v>709</v>
      </c>
      <c r="E261" s="1" t="s">
        <v>645</v>
      </c>
      <c r="G261" s="1">
        <v>4.44297088E8</v>
      </c>
      <c r="H261" s="2">
        <v>41249.0</v>
      </c>
      <c r="I261" s="1" t="s">
        <v>710</v>
      </c>
      <c r="K261" s="1" t="s">
        <v>710</v>
      </c>
      <c r="N261" s="1" t="s">
        <v>647</v>
      </c>
      <c r="O261" s="1">
        <v>1200.0</v>
      </c>
      <c r="P261" s="1" t="s">
        <v>647</v>
      </c>
      <c r="Q261" s="1" t="str">
        <f>IF(ISERROR(VLOOKUP(P261,'unique fed agency names'!A:C,3,FALSE)),P261,VLOOKUP(P261,'unique fed agency names'!A:C,3,FALSE))
</f>
        <v>U.S. Department of Agriculture (USDA)</v>
      </c>
      <c r="R261" s="1">
        <v>1.17726252E8</v>
      </c>
      <c r="S261" s="1" t="s">
        <v>512</v>
      </c>
      <c r="T261" s="1" t="str">
        <f>IF(ISERROR(VLOOKUP(S261,'unique org names'!A:C,3,FALSE)),S261,VLOOKUP(S261,'unique org names'!A:C,3,FALSE))
</f>
        <v>OLD REDFORD ACADEMY</v>
      </c>
      <c r="V261" s="1" t="s">
        <v>513</v>
      </c>
      <c r="W261" s="1" t="s">
        <v>44</v>
      </c>
      <c r="X261" s="1" t="s">
        <v>45</v>
      </c>
      <c r="Y261" s="1">
        <v>4.82193259E8</v>
      </c>
      <c r="AA261" s="1" t="s">
        <v>44</v>
      </c>
      <c r="AB261" s="1" t="s">
        <v>45</v>
      </c>
      <c r="AC261" s="1">
        <v>4.82193259E8</v>
      </c>
      <c r="AF261" s="1">
        <v>208760.24</v>
      </c>
      <c r="AG261" s="2">
        <v>41249.0</v>
      </c>
      <c r="AH261" s="1">
        <v>1200.0</v>
      </c>
      <c r="AI261" s="1" t="s">
        <v>647</v>
      </c>
      <c r="AJ261" s="1" t="s">
        <v>855</v>
      </c>
      <c r="AK261" s="1" t="s">
        <v>712</v>
      </c>
      <c r="AL261" s="1">
        <v>8.0</v>
      </c>
      <c r="AM261" s="1">
        <v>2013.0</v>
      </c>
      <c r="AN261" s="1">
        <v>2013.0</v>
      </c>
      <c r="AO261" s="1" t="s">
        <v>713</v>
      </c>
    </row>
    <row r="262">
      <c r="A262" s="5">
        <v>1.0</v>
      </c>
      <c r="B262" s="1">
        <f t="shared" si="1"/>
        <v>262</v>
      </c>
      <c r="C262" s="1" t="s">
        <v>709</v>
      </c>
      <c r="D262" s="1" t="s">
        <v>709</v>
      </c>
      <c r="E262" s="1" t="s">
        <v>645</v>
      </c>
      <c r="G262" s="1">
        <v>4.44297088E8</v>
      </c>
      <c r="H262" s="2">
        <v>41207.0</v>
      </c>
      <c r="I262" s="1" t="s">
        <v>710</v>
      </c>
      <c r="K262" s="1" t="s">
        <v>710</v>
      </c>
      <c r="N262" s="1" t="s">
        <v>647</v>
      </c>
      <c r="O262" s="1">
        <v>1200.0</v>
      </c>
      <c r="P262" s="1" t="s">
        <v>647</v>
      </c>
      <c r="Q262" s="1" t="str">
        <f>IF(ISERROR(VLOOKUP(P262,'unique fed agency names'!A:C,3,FALSE)),P262,VLOOKUP(P262,'unique fed agency names'!A:C,3,FALSE))
</f>
        <v>U.S. Department of Agriculture (USDA)</v>
      </c>
      <c r="R262" s="1">
        <v>7.2761299E7</v>
      </c>
      <c r="S262" s="1" t="s">
        <v>667</v>
      </c>
      <c r="T262" s="1" t="str">
        <f>IF(ISERROR(VLOOKUP(S262,'unique org names'!A:C,3,FALSE)),S262,VLOOKUP(S262,'unique org names'!A:C,3,FALSE))
</f>
        <v>Focus: HOPE</v>
      </c>
      <c r="V262" s="1" t="s">
        <v>668</v>
      </c>
      <c r="W262" s="1" t="s">
        <v>44</v>
      </c>
      <c r="X262" s="1" t="s">
        <v>45</v>
      </c>
      <c r="Y262" s="1">
        <v>4.82382849E8</v>
      </c>
      <c r="AA262" s="1" t="s">
        <v>44</v>
      </c>
      <c r="AB262" s="1" t="s">
        <v>45</v>
      </c>
      <c r="AC262" s="1">
        <v>4.82383518E8</v>
      </c>
      <c r="AD262" s="1">
        <v>7.2761299E7</v>
      </c>
      <c r="AE262" s="1" t="s">
        <v>667</v>
      </c>
      <c r="AF262" s="1">
        <v>45099.36</v>
      </c>
      <c r="AG262" s="2">
        <v>41207.0</v>
      </c>
      <c r="AH262" s="1">
        <v>1200.0</v>
      </c>
      <c r="AI262" s="1" t="s">
        <v>647</v>
      </c>
      <c r="AJ262" s="1" t="s">
        <v>856</v>
      </c>
      <c r="AK262" s="1" t="s">
        <v>712</v>
      </c>
      <c r="AL262" s="1">
        <v>8.0</v>
      </c>
      <c r="AM262" s="1">
        <v>2013.0</v>
      </c>
      <c r="AN262" s="1">
        <v>2013.0</v>
      </c>
      <c r="AO262" s="1" t="s">
        <v>713</v>
      </c>
    </row>
    <row r="263">
      <c r="A263" s="5">
        <v>1.0</v>
      </c>
      <c r="B263" s="1">
        <f t="shared" si="1"/>
        <v>263</v>
      </c>
      <c r="C263" s="1" t="s">
        <v>709</v>
      </c>
      <c r="D263" s="1" t="s">
        <v>709</v>
      </c>
      <c r="E263" s="1" t="s">
        <v>645</v>
      </c>
      <c r="G263" s="1">
        <v>4.44297088E8</v>
      </c>
      <c r="H263" s="2">
        <v>41193.0</v>
      </c>
      <c r="I263" s="1" t="s">
        <v>710</v>
      </c>
      <c r="K263" s="1" t="s">
        <v>710</v>
      </c>
      <c r="N263" s="1" t="s">
        <v>647</v>
      </c>
      <c r="O263" s="1">
        <v>1200.0</v>
      </c>
      <c r="P263" s="1" t="s">
        <v>647</v>
      </c>
      <c r="Q263" s="1" t="str">
        <f>IF(ISERROR(VLOOKUP(P263,'unique fed agency names'!A:C,3,FALSE)),P263,VLOOKUP(P263,'unique fed agency names'!A:C,3,FALSE))
</f>
        <v>U.S. Department of Agriculture (USDA)</v>
      </c>
      <c r="R263" s="1">
        <v>1.68568132E8</v>
      </c>
      <c r="S263" s="1" t="s">
        <v>588</v>
      </c>
      <c r="T263" s="1" t="str">
        <f>IF(ISERROR(VLOOKUP(S263,'unique org names'!A:C,3,FALSE)),S263,VLOOKUP(S263,'unique org names'!A:C,3,FALSE))
</f>
        <v>DETROIT ENTERPRISE ACADEMY</v>
      </c>
      <c r="V263" s="1" t="s">
        <v>589</v>
      </c>
      <c r="W263" s="1" t="s">
        <v>44</v>
      </c>
      <c r="X263" s="1" t="s">
        <v>45</v>
      </c>
      <c r="Y263" s="1">
        <v>4.82143323E8</v>
      </c>
      <c r="AA263" s="1" t="s">
        <v>44</v>
      </c>
      <c r="AB263" s="1" t="s">
        <v>45</v>
      </c>
      <c r="AC263" s="1">
        <v>4.82143323E8</v>
      </c>
      <c r="AD263" s="1">
        <v>9.60742484E8</v>
      </c>
      <c r="AF263" s="1">
        <v>211985.86</v>
      </c>
      <c r="AG263" s="2">
        <v>41193.0</v>
      </c>
      <c r="AH263" s="1">
        <v>1200.0</v>
      </c>
      <c r="AI263" s="1" t="s">
        <v>647</v>
      </c>
      <c r="AJ263" s="1" t="s">
        <v>857</v>
      </c>
      <c r="AK263" s="1" t="s">
        <v>712</v>
      </c>
      <c r="AL263" s="1">
        <v>8.0</v>
      </c>
      <c r="AM263" s="1">
        <v>2013.0</v>
      </c>
      <c r="AN263" s="1">
        <v>2013.0</v>
      </c>
      <c r="AO263" s="1" t="s">
        <v>713</v>
      </c>
    </row>
    <row r="264">
      <c r="A264" s="5">
        <v>1.0</v>
      </c>
      <c r="B264" s="1">
        <f t="shared" si="1"/>
        <v>264</v>
      </c>
      <c r="C264" s="1" t="s">
        <v>709</v>
      </c>
      <c r="D264" s="1" t="s">
        <v>709</v>
      </c>
      <c r="E264" s="1" t="s">
        <v>645</v>
      </c>
      <c r="G264" s="1">
        <v>4.44297088E8</v>
      </c>
      <c r="H264" s="2">
        <v>41242.0</v>
      </c>
      <c r="I264" s="1" t="s">
        <v>710</v>
      </c>
      <c r="K264" s="1" t="s">
        <v>710</v>
      </c>
      <c r="N264" s="1" t="s">
        <v>647</v>
      </c>
      <c r="O264" s="1">
        <v>1200.0</v>
      </c>
      <c r="P264" s="1" t="s">
        <v>647</v>
      </c>
      <c r="Q264" s="1" t="str">
        <f>IF(ISERROR(VLOOKUP(P264,'unique fed agency names'!A:C,3,FALSE)),P264,VLOOKUP(P264,'unique fed agency names'!A:C,3,FALSE))
</f>
        <v>U.S. Department of Agriculture (USDA)</v>
      </c>
      <c r="R264" s="1">
        <v>8.3082572E8</v>
      </c>
      <c r="S264" s="1" t="s">
        <v>465</v>
      </c>
      <c r="T264" s="1" t="str">
        <f>IF(ISERROR(VLOOKUP(S264,'unique org names'!A:C,3,FALSE)),S264,VLOOKUP(S264,'unique org names'!A:C,3,FALSE))
</f>
        <v>Public School Academies of Detroit</v>
      </c>
      <c r="U264" s="1" t="s">
        <v>554</v>
      </c>
      <c r="V264" s="1" t="s">
        <v>555</v>
      </c>
      <c r="W264" s="1" t="s">
        <v>44</v>
      </c>
      <c r="X264" s="1" t="s">
        <v>45</v>
      </c>
      <c r="Y264" s="1">
        <v>4.82024061E8</v>
      </c>
      <c r="AA264" s="1" t="s">
        <v>44</v>
      </c>
      <c r="AB264" s="1" t="s">
        <v>45</v>
      </c>
      <c r="AC264" s="1">
        <v>4.82023457E8</v>
      </c>
      <c r="AD264" s="1">
        <v>1.6338926E8</v>
      </c>
      <c r="AE264" s="1" t="s">
        <v>465</v>
      </c>
      <c r="AF264" s="1">
        <v>124152.79</v>
      </c>
      <c r="AG264" s="2">
        <v>41242.0</v>
      </c>
      <c r="AH264" s="1">
        <v>1200.0</v>
      </c>
      <c r="AI264" s="1" t="s">
        <v>647</v>
      </c>
      <c r="AJ264" s="1" t="s">
        <v>858</v>
      </c>
      <c r="AK264" s="1" t="s">
        <v>712</v>
      </c>
      <c r="AL264" s="1">
        <v>8.0</v>
      </c>
      <c r="AM264" s="1">
        <v>2013.0</v>
      </c>
      <c r="AN264" s="1">
        <v>2013.0</v>
      </c>
      <c r="AO264" s="1" t="s">
        <v>713</v>
      </c>
    </row>
    <row r="265">
      <c r="A265" s="5">
        <v>1.0</v>
      </c>
      <c r="B265" s="1">
        <f t="shared" si="1"/>
        <v>265</v>
      </c>
      <c r="C265" s="1" t="s">
        <v>709</v>
      </c>
      <c r="D265" s="1" t="s">
        <v>709</v>
      </c>
      <c r="E265" s="1" t="s">
        <v>645</v>
      </c>
      <c r="G265" s="1">
        <v>4.44297088E8</v>
      </c>
      <c r="H265" s="2">
        <v>41207.0</v>
      </c>
      <c r="I265" s="1" t="s">
        <v>710</v>
      </c>
      <c r="K265" s="1" t="s">
        <v>710</v>
      </c>
      <c r="N265" s="1" t="s">
        <v>647</v>
      </c>
      <c r="O265" s="1">
        <v>1200.0</v>
      </c>
      <c r="P265" s="1" t="s">
        <v>647</v>
      </c>
      <c r="Q265" s="1" t="str">
        <f>IF(ISERROR(VLOOKUP(P265,'unique fed agency names'!A:C,3,FALSE)),P265,VLOOKUP(P265,'unique fed agency names'!A:C,3,FALSE))
</f>
        <v>U.S. Department of Agriculture (USDA)</v>
      </c>
      <c r="R265" s="1">
        <v>7.6340843E7</v>
      </c>
      <c r="S265" s="1" t="s">
        <v>461</v>
      </c>
      <c r="T265" s="1" t="str">
        <f>IF(ISERROR(VLOOKUP(S265,'unique org names'!A:C,3,FALSE)),S265,VLOOKUP(S265,'unique org names'!A:C,3,FALSE))
</f>
        <v>BOARD OF EDUCATION OF THE CITY OF DETROIT</v>
      </c>
      <c r="U265" s="1" t="s">
        <v>459</v>
      </c>
      <c r="V265" s="1" t="s">
        <v>524</v>
      </c>
      <c r="W265" s="1" t="s">
        <v>44</v>
      </c>
      <c r="X265" s="1" t="s">
        <v>45</v>
      </c>
      <c r="Y265" s="1">
        <v>4.82023046E8</v>
      </c>
      <c r="AA265" s="1" t="s">
        <v>44</v>
      </c>
      <c r="AB265" s="1" t="s">
        <v>45</v>
      </c>
      <c r="AC265" s="1">
        <v>4.82023096E8</v>
      </c>
      <c r="AD265" s="1">
        <v>7.6340843E7</v>
      </c>
      <c r="AE265" s="1" t="s">
        <v>461</v>
      </c>
      <c r="AF265" s="3">
        <v>2.227515588E7</v>
      </c>
      <c r="AG265" s="2">
        <v>41207.0</v>
      </c>
      <c r="AH265" s="1">
        <v>1200.0</v>
      </c>
      <c r="AI265" s="1" t="s">
        <v>647</v>
      </c>
      <c r="AJ265" s="1" t="s">
        <v>859</v>
      </c>
      <c r="AK265" s="1" t="s">
        <v>712</v>
      </c>
      <c r="AL265" s="1">
        <v>8.0</v>
      </c>
      <c r="AM265" s="1">
        <v>2013.0</v>
      </c>
      <c r="AN265" s="1">
        <v>2013.0</v>
      </c>
      <c r="AO265" s="1" t="s">
        <v>713</v>
      </c>
    </row>
    <row r="266">
      <c r="A266" s="5">
        <v>1.0</v>
      </c>
      <c r="B266" s="1">
        <f t="shared" si="1"/>
        <v>266</v>
      </c>
      <c r="C266" s="1" t="s">
        <v>709</v>
      </c>
      <c r="D266" s="1" t="s">
        <v>709</v>
      </c>
      <c r="E266" s="1" t="s">
        <v>645</v>
      </c>
      <c r="G266" s="1">
        <v>4.44297088E8</v>
      </c>
      <c r="H266" s="2">
        <v>41186.0</v>
      </c>
      <c r="I266" s="1" t="s">
        <v>710</v>
      </c>
      <c r="K266" s="1" t="s">
        <v>710</v>
      </c>
      <c r="N266" s="1" t="s">
        <v>647</v>
      </c>
      <c r="O266" s="1">
        <v>1200.0</v>
      </c>
      <c r="P266" s="1" t="s">
        <v>647</v>
      </c>
      <c r="Q266" s="1" t="str">
        <f>IF(ISERROR(VLOOKUP(P266,'unique fed agency names'!A:C,3,FALSE)),P266,VLOOKUP(P266,'unique fed agency names'!A:C,3,FALSE))
</f>
        <v>U.S. Department of Agriculture (USDA)</v>
      </c>
      <c r="R266" s="1">
        <v>5.4074575E7</v>
      </c>
      <c r="S266" s="1" t="s">
        <v>629</v>
      </c>
      <c r="T266" s="1" t="str">
        <f>IF(ISERROR(VLOOKUP(S266,'unique org names'!A:C,3,FALSE)),S266,VLOOKUP(S266,'unique org names'!A:C,3,FALSE))
</f>
        <v>PIERRE TOUSSAINT ACADEMY</v>
      </c>
      <c r="U266" s="1" t="s">
        <v>630</v>
      </c>
      <c r="V266" s="1" t="s">
        <v>631</v>
      </c>
      <c r="W266" s="1" t="s">
        <v>44</v>
      </c>
      <c r="X266" s="1" t="s">
        <v>45</v>
      </c>
      <c r="Y266" s="1">
        <v>4.82171631E8</v>
      </c>
      <c r="AA266" s="1" t="s">
        <v>44</v>
      </c>
      <c r="AB266" s="1" t="s">
        <v>45</v>
      </c>
      <c r="AC266" s="1">
        <v>4.82171631E8</v>
      </c>
      <c r="AF266" s="1">
        <v>36412.1</v>
      </c>
      <c r="AG266" s="2">
        <v>41186.0</v>
      </c>
      <c r="AH266" s="1">
        <v>1200.0</v>
      </c>
      <c r="AI266" s="1" t="s">
        <v>647</v>
      </c>
      <c r="AJ266" s="1" t="s">
        <v>860</v>
      </c>
      <c r="AK266" s="1" t="s">
        <v>712</v>
      </c>
      <c r="AL266" s="1">
        <v>8.0</v>
      </c>
      <c r="AM266" s="1">
        <v>2013.0</v>
      </c>
      <c r="AN266" s="1">
        <v>2013.0</v>
      </c>
      <c r="AO266" s="1" t="s">
        <v>713</v>
      </c>
    </row>
    <row r="267">
      <c r="A267" s="5">
        <v>1.0</v>
      </c>
      <c r="B267" s="1">
        <f t="shared" si="1"/>
        <v>267</v>
      </c>
      <c r="C267" s="1" t="s">
        <v>709</v>
      </c>
      <c r="D267" s="1" t="s">
        <v>709</v>
      </c>
      <c r="E267" s="1" t="s">
        <v>645</v>
      </c>
      <c r="G267" s="1">
        <v>4.44297088E8</v>
      </c>
      <c r="H267" s="2">
        <v>41221.0</v>
      </c>
      <c r="I267" s="1" t="s">
        <v>710</v>
      </c>
      <c r="K267" s="1" t="s">
        <v>710</v>
      </c>
      <c r="N267" s="1" t="s">
        <v>647</v>
      </c>
      <c r="O267" s="1">
        <v>1200.0</v>
      </c>
      <c r="P267" s="1" t="s">
        <v>647</v>
      </c>
      <c r="Q267" s="1" t="str">
        <f>IF(ISERROR(VLOOKUP(P267,'unique fed agency names'!A:C,3,FALSE)),P267,VLOOKUP(P267,'unique fed agency names'!A:C,3,FALSE))
</f>
        <v>U.S. Department of Agriculture (USDA)</v>
      </c>
      <c r="R267" s="1">
        <v>1.47777952E8</v>
      </c>
      <c r="S267" s="1" t="s">
        <v>459</v>
      </c>
      <c r="T267" s="1" t="str">
        <f>IF(ISERROR(VLOOKUP(S267,'unique org names'!A:C,3,FALSE)),S267,VLOOKUP(S267,'unique org names'!A:C,3,FALSE))
</f>
        <v>DETROIT PUBLIC SCHOOLS</v>
      </c>
      <c r="U267" s="1" t="s">
        <v>626</v>
      </c>
      <c r="V267" s="1" t="s">
        <v>627</v>
      </c>
      <c r="W267" s="1" t="s">
        <v>44</v>
      </c>
      <c r="X267" s="1" t="s">
        <v>45</v>
      </c>
      <c r="Y267" s="1">
        <v>4.82072112E8</v>
      </c>
      <c r="AA267" s="1" t="s">
        <v>44</v>
      </c>
      <c r="AB267" s="1" t="s">
        <v>45</v>
      </c>
      <c r="AC267" s="1">
        <v>4.82072112E8</v>
      </c>
      <c r="AD267" s="1">
        <v>7.6340843E7</v>
      </c>
      <c r="AE267" s="1" t="s">
        <v>461</v>
      </c>
      <c r="AF267" s="1">
        <v>198169.12</v>
      </c>
      <c r="AG267" s="2">
        <v>41221.0</v>
      </c>
      <c r="AH267" s="1">
        <v>1200.0</v>
      </c>
      <c r="AI267" s="1" t="s">
        <v>647</v>
      </c>
      <c r="AJ267" s="1" t="s">
        <v>861</v>
      </c>
      <c r="AK267" s="1" t="s">
        <v>712</v>
      </c>
      <c r="AL267" s="1">
        <v>8.0</v>
      </c>
      <c r="AM267" s="1">
        <v>2013.0</v>
      </c>
      <c r="AN267" s="1">
        <v>2013.0</v>
      </c>
      <c r="AO267" s="1" t="s">
        <v>713</v>
      </c>
    </row>
    <row r="268">
      <c r="A268" s="5">
        <v>1.0</v>
      </c>
      <c r="B268" s="1">
        <f t="shared" si="1"/>
        <v>268</v>
      </c>
      <c r="C268" s="1" t="s">
        <v>709</v>
      </c>
      <c r="D268" s="1" t="s">
        <v>709</v>
      </c>
      <c r="E268" s="1" t="s">
        <v>645</v>
      </c>
      <c r="G268" s="1">
        <v>4.44297088E8</v>
      </c>
      <c r="H268" s="2">
        <v>41234.0</v>
      </c>
      <c r="I268" s="1" t="s">
        <v>710</v>
      </c>
      <c r="K268" s="1" t="s">
        <v>710</v>
      </c>
      <c r="N268" s="1" t="s">
        <v>647</v>
      </c>
      <c r="O268" s="1">
        <v>1200.0</v>
      </c>
      <c r="P268" s="1" t="s">
        <v>647</v>
      </c>
      <c r="Q268" s="1" t="str">
        <f>IF(ISERROR(VLOOKUP(P268,'unique fed agency names'!A:C,3,FALSE)),P268,VLOOKUP(P268,'unique fed agency names'!A:C,3,FALSE))
</f>
        <v>U.S. Department of Agriculture (USDA)</v>
      </c>
      <c r="R268" s="1">
        <v>9.69821029E8</v>
      </c>
      <c r="S268" s="1" t="s">
        <v>862</v>
      </c>
      <c r="T268" s="1" t="str">
        <f>IF(ISERROR(VLOOKUP(S268,'unique org names'!A:C,3,FALSE)),S268,VLOOKUP(S268,'unique org names'!A:C,3,FALSE))
</f>
        <v>ORDER OF THE FISHERMEN MINISTRY HEAD START PROGRAM, INC., THE</v>
      </c>
      <c r="V268" s="1" t="s">
        <v>863</v>
      </c>
      <c r="W268" s="1" t="s">
        <v>44</v>
      </c>
      <c r="X268" s="1" t="s">
        <v>45</v>
      </c>
      <c r="Y268" s="1">
        <v>4.82042081E8</v>
      </c>
      <c r="AA268" s="1" t="s">
        <v>44</v>
      </c>
      <c r="AB268" s="1" t="s">
        <v>45</v>
      </c>
      <c r="AC268" s="1">
        <v>4.82042039E8</v>
      </c>
      <c r="AF268" s="1">
        <v>159191.67</v>
      </c>
      <c r="AG268" s="2">
        <v>41234.0</v>
      </c>
      <c r="AH268" s="1">
        <v>1200.0</v>
      </c>
      <c r="AI268" s="1" t="s">
        <v>647</v>
      </c>
      <c r="AJ268" s="1" t="s">
        <v>864</v>
      </c>
      <c r="AK268" s="1" t="s">
        <v>712</v>
      </c>
      <c r="AL268" s="1">
        <v>8.0</v>
      </c>
      <c r="AM268" s="1">
        <v>2013.0</v>
      </c>
      <c r="AN268" s="1">
        <v>2013.0</v>
      </c>
      <c r="AO268" s="1" t="s">
        <v>713</v>
      </c>
    </row>
    <row r="269">
      <c r="A269" s="5">
        <v>1.0</v>
      </c>
      <c r="B269" s="1">
        <f t="shared" si="1"/>
        <v>269</v>
      </c>
      <c r="C269" s="1" t="s">
        <v>709</v>
      </c>
      <c r="D269" s="1" t="s">
        <v>709</v>
      </c>
      <c r="E269" s="1" t="s">
        <v>645</v>
      </c>
      <c r="G269" s="1">
        <v>4.44297088E8</v>
      </c>
      <c r="H269" s="2">
        <v>41193.0</v>
      </c>
      <c r="I269" s="1" t="s">
        <v>710</v>
      </c>
      <c r="K269" s="1" t="s">
        <v>710</v>
      </c>
      <c r="N269" s="1" t="s">
        <v>647</v>
      </c>
      <c r="O269" s="1">
        <v>1200.0</v>
      </c>
      <c r="P269" s="1" t="s">
        <v>647</v>
      </c>
      <c r="Q269" s="1" t="str">
        <f>IF(ISERROR(VLOOKUP(P269,'unique fed agency names'!A:C,3,FALSE)),P269,VLOOKUP(P269,'unique fed agency names'!A:C,3,FALSE))
</f>
        <v>U.S. Department of Agriculture (USDA)</v>
      </c>
      <c r="R269" s="1">
        <v>1.38064923E8</v>
      </c>
      <c r="S269" s="1" t="s">
        <v>585</v>
      </c>
      <c r="T269" s="1" t="str">
        <f>IF(ISERROR(VLOOKUP(S269,'unique org names'!A:C,3,FALSE)),S269,VLOOKUP(S269,'unique org names'!A:C,3,FALSE))
</f>
        <v>DETROIT MERIT CHARTER ACADEMY</v>
      </c>
      <c r="V269" s="1" t="s">
        <v>586</v>
      </c>
      <c r="W269" s="1" t="s">
        <v>44</v>
      </c>
      <c r="X269" s="1" t="s">
        <v>45</v>
      </c>
      <c r="Y269" s="1">
        <v>4.82152861E8</v>
      </c>
      <c r="AA269" s="1" t="s">
        <v>44</v>
      </c>
      <c r="AB269" s="1" t="s">
        <v>45</v>
      </c>
      <c r="AC269" s="1">
        <v>4.82152861E8</v>
      </c>
      <c r="AD269" s="1">
        <v>9.60742484E8</v>
      </c>
      <c r="AF269" s="1">
        <v>85320.62</v>
      </c>
      <c r="AG269" s="2">
        <v>41193.0</v>
      </c>
      <c r="AH269" s="1">
        <v>1200.0</v>
      </c>
      <c r="AI269" s="1" t="s">
        <v>647</v>
      </c>
      <c r="AJ269" s="1" t="s">
        <v>865</v>
      </c>
      <c r="AK269" s="1" t="s">
        <v>712</v>
      </c>
      <c r="AL269" s="1">
        <v>8.0</v>
      </c>
      <c r="AM269" s="1">
        <v>2013.0</v>
      </c>
      <c r="AN269" s="1">
        <v>2013.0</v>
      </c>
      <c r="AO269" s="1" t="s">
        <v>713</v>
      </c>
    </row>
    <row r="270">
      <c r="A270" s="5">
        <v>1.0</v>
      </c>
      <c r="B270" s="1">
        <f t="shared" si="1"/>
        <v>270</v>
      </c>
      <c r="C270" s="1" t="s">
        <v>709</v>
      </c>
      <c r="D270" s="1" t="s">
        <v>709</v>
      </c>
      <c r="E270" s="1" t="s">
        <v>645</v>
      </c>
      <c r="G270" s="1">
        <v>4.44297088E8</v>
      </c>
      <c r="H270" s="2">
        <v>41242.0</v>
      </c>
      <c r="I270" s="1" t="s">
        <v>710</v>
      </c>
      <c r="K270" s="1" t="s">
        <v>710</v>
      </c>
      <c r="N270" s="1" t="s">
        <v>647</v>
      </c>
      <c r="O270" s="1">
        <v>1200.0</v>
      </c>
      <c r="P270" s="1" t="s">
        <v>647</v>
      </c>
      <c r="Q270" s="1" t="str">
        <f>IF(ISERROR(VLOOKUP(P270,'unique fed agency names'!A:C,3,FALSE)),P270,VLOOKUP(P270,'unique fed agency names'!A:C,3,FALSE))
</f>
        <v>U.S. Department of Agriculture (USDA)</v>
      </c>
      <c r="R270" s="1">
        <v>6.6707493E7</v>
      </c>
      <c r="S270" s="1" t="s">
        <v>541</v>
      </c>
      <c r="T270" s="1" t="str">
        <f>IF(ISERROR(VLOOKUP(S270,'unique org names'!A:C,3,FALSE)),S270,VLOOKUP(S270,'unique org names'!A:C,3,FALSE))
</f>
        <v>HOPE OF DETROIT ACADEMY</v>
      </c>
      <c r="V270" s="1" t="s">
        <v>542</v>
      </c>
      <c r="W270" s="1" t="s">
        <v>44</v>
      </c>
      <c r="X270" s="1" t="s">
        <v>45</v>
      </c>
      <c r="Y270" s="1">
        <v>4.8210252E8</v>
      </c>
      <c r="AA270" s="1" t="s">
        <v>44</v>
      </c>
      <c r="AB270" s="1" t="s">
        <v>45</v>
      </c>
      <c r="AC270" s="1">
        <v>4.8210252E8</v>
      </c>
      <c r="AF270" s="1">
        <v>190962.61</v>
      </c>
      <c r="AG270" s="2">
        <v>41242.0</v>
      </c>
      <c r="AH270" s="1">
        <v>1200.0</v>
      </c>
      <c r="AI270" s="1" t="s">
        <v>647</v>
      </c>
      <c r="AJ270" s="1" t="s">
        <v>866</v>
      </c>
      <c r="AK270" s="1" t="s">
        <v>712</v>
      </c>
      <c r="AL270" s="1">
        <v>8.0</v>
      </c>
      <c r="AM270" s="1">
        <v>2013.0</v>
      </c>
      <c r="AN270" s="1">
        <v>2013.0</v>
      </c>
      <c r="AO270" s="1" t="s">
        <v>713</v>
      </c>
    </row>
    <row r="271">
      <c r="A271" s="5">
        <v>1.0</v>
      </c>
      <c r="B271" s="1">
        <f t="shared" si="1"/>
        <v>271</v>
      </c>
      <c r="C271" s="1" t="s">
        <v>709</v>
      </c>
      <c r="D271" s="1" t="s">
        <v>709</v>
      </c>
      <c r="E271" s="1" t="s">
        <v>645</v>
      </c>
      <c r="G271" s="1">
        <v>4.44297088E8</v>
      </c>
      <c r="H271" s="2">
        <v>41228.0</v>
      </c>
      <c r="I271" s="1" t="s">
        <v>710</v>
      </c>
      <c r="K271" s="1" t="s">
        <v>710</v>
      </c>
      <c r="N271" s="1" t="s">
        <v>647</v>
      </c>
      <c r="O271" s="1">
        <v>1200.0</v>
      </c>
      <c r="P271" s="1" t="s">
        <v>647</v>
      </c>
      <c r="Q271" s="1" t="str">
        <f>IF(ISERROR(VLOOKUP(P271,'unique fed agency names'!A:C,3,FALSE)),P271,VLOOKUP(P271,'unique fed agency names'!A:C,3,FALSE))
</f>
        <v>U.S. Department of Agriculture (USDA)</v>
      </c>
      <c r="R271" s="1">
        <v>8.29503312E8</v>
      </c>
      <c r="S271" s="1" t="s">
        <v>622</v>
      </c>
      <c r="T271" s="1" t="str">
        <f>IF(ISERROR(VLOOKUP(S271,'unique org names'!A:C,3,FALSE)),S271,VLOOKUP(S271,'unique org names'!A:C,3,FALSE))
</f>
        <v>GEORGE WASHINGTON CARVER ACADEMY</v>
      </c>
      <c r="V271" s="1" t="s">
        <v>623</v>
      </c>
      <c r="W271" s="1" t="s">
        <v>44</v>
      </c>
      <c r="X271" s="1" t="s">
        <v>45</v>
      </c>
      <c r="Y271" s="1">
        <v>4.82035715E8</v>
      </c>
      <c r="AA271" s="1" t="s">
        <v>603</v>
      </c>
      <c r="AB271" s="1" t="s">
        <v>45</v>
      </c>
      <c r="AC271" s="1">
        <v>4.82035715E8</v>
      </c>
      <c r="AF271" s="1">
        <v>102522.14</v>
      </c>
      <c r="AG271" s="2">
        <v>41228.0</v>
      </c>
      <c r="AH271" s="1">
        <v>1200.0</v>
      </c>
      <c r="AI271" s="1" t="s">
        <v>647</v>
      </c>
      <c r="AJ271" s="1" t="s">
        <v>867</v>
      </c>
      <c r="AK271" s="1" t="s">
        <v>712</v>
      </c>
      <c r="AL271" s="1">
        <v>8.0</v>
      </c>
      <c r="AM271" s="1">
        <v>2013.0</v>
      </c>
      <c r="AN271" s="1">
        <v>2013.0</v>
      </c>
      <c r="AO271" s="1" t="s">
        <v>713</v>
      </c>
    </row>
    <row r="272">
      <c r="A272" s="5">
        <v>1.0</v>
      </c>
      <c r="B272" s="1">
        <f t="shared" si="1"/>
        <v>272</v>
      </c>
      <c r="C272" s="1" t="s">
        <v>709</v>
      </c>
      <c r="D272" s="1" t="s">
        <v>709</v>
      </c>
      <c r="E272" s="1" t="s">
        <v>645</v>
      </c>
      <c r="G272" s="1">
        <v>4.44297088E8</v>
      </c>
      <c r="H272" s="2">
        <v>41228.0</v>
      </c>
      <c r="I272" s="1" t="s">
        <v>710</v>
      </c>
      <c r="K272" s="1" t="s">
        <v>710</v>
      </c>
      <c r="N272" s="1" t="s">
        <v>647</v>
      </c>
      <c r="O272" s="1">
        <v>1200.0</v>
      </c>
      <c r="P272" s="1" t="s">
        <v>647</v>
      </c>
      <c r="Q272" s="1" t="str">
        <f>IF(ISERROR(VLOOKUP(P272,'unique fed agency names'!A:C,3,FALSE)),P272,VLOOKUP(P272,'unique fed agency names'!A:C,3,FALSE))
</f>
        <v>U.S. Department of Agriculture (USDA)</v>
      </c>
      <c r="R272" s="1">
        <v>7.97531279E8</v>
      </c>
      <c r="S272" s="1" t="s">
        <v>496</v>
      </c>
      <c r="T272" s="1" t="str">
        <f>IF(ISERROR(VLOOKUP(S272,'unique org names'!A:C,3,FALSE)),S272,VLOOKUP(S272,'unique org names'!A:C,3,FALSE))
</f>
        <v>BRIDGE ACADEMY</v>
      </c>
      <c r="V272" s="1" t="s">
        <v>497</v>
      </c>
      <c r="W272" s="1" t="s">
        <v>44</v>
      </c>
      <c r="X272" s="1" t="s">
        <v>45</v>
      </c>
      <c r="Y272" s="1">
        <v>4.82123323E8</v>
      </c>
      <c r="AA272" s="1" t="s">
        <v>498</v>
      </c>
      <c r="AB272" s="1" t="s">
        <v>45</v>
      </c>
      <c r="AC272" s="1">
        <v>4.82123323E8</v>
      </c>
      <c r="AF272" s="1">
        <v>320024.52</v>
      </c>
      <c r="AG272" s="2">
        <v>41228.0</v>
      </c>
      <c r="AH272" s="1">
        <v>1200.0</v>
      </c>
      <c r="AI272" s="1" t="s">
        <v>647</v>
      </c>
      <c r="AJ272" s="1" t="s">
        <v>868</v>
      </c>
      <c r="AK272" s="1" t="s">
        <v>712</v>
      </c>
      <c r="AL272" s="1">
        <v>8.0</v>
      </c>
      <c r="AM272" s="1">
        <v>2013.0</v>
      </c>
      <c r="AN272" s="1">
        <v>2013.0</v>
      </c>
      <c r="AO272" s="1" t="s">
        <v>713</v>
      </c>
    </row>
    <row r="273">
      <c r="A273" s="5">
        <v>1.0</v>
      </c>
      <c r="B273" s="1">
        <f t="shared" si="1"/>
        <v>273</v>
      </c>
      <c r="C273" s="1" t="s">
        <v>709</v>
      </c>
      <c r="D273" s="1" t="s">
        <v>709</v>
      </c>
      <c r="E273" s="1" t="s">
        <v>645</v>
      </c>
      <c r="G273" s="1">
        <v>4.44297088E8</v>
      </c>
      <c r="H273" s="2">
        <v>41249.0</v>
      </c>
      <c r="I273" s="1" t="s">
        <v>710</v>
      </c>
      <c r="K273" s="1" t="s">
        <v>710</v>
      </c>
      <c r="N273" s="1" t="s">
        <v>647</v>
      </c>
      <c r="O273" s="1">
        <v>1200.0</v>
      </c>
      <c r="P273" s="1" t="s">
        <v>647</v>
      </c>
      <c r="Q273" s="1" t="str">
        <f>IF(ISERROR(VLOOKUP(P273,'unique fed agency names'!A:C,3,FALSE)),P273,VLOOKUP(P273,'unique fed agency names'!A:C,3,FALSE))
</f>
        <v>U.S. Department of Agriculture (USDA)</v>
      </c>
      <c r="R273" s="1">
        <v>4.2136734E7</v>
      </c>
      <c r="S273" s="1" t="s">
        <v>557</v>
      </c>
      <c r="T273" s="1" t="str">
        <f>IF(ISERROR(VLOOKUP(S273,'unique org names'!A:C,3,FALSE)),S273,VLOOKUP(S273,'unique org names'!A:C,3,FALSE))
</f>
        <v>GEORGE CROCKETT ACADEMY</v>
      </c>
      <c r="V273" s="1" t="s">
        <v>558</v>
      </c>
      <c r="W273" s="1" t="s">
        <v>44</v>
      </c>
      <c r="X273" s="1" t="s">
        <v>45</v>
      </c>
      <c r="Y273" s="1">
        <v>4.82082204E8</v>
      </c>
      <c r="AA273" s="1" t="s">
        <v>44</v>
      </c>
      <c r="AB273" s="1" t="s">
        <v>45</v>
      </c>
      <c r="AC273" s="1">
        <v>4.82082204E8</v>
      </c>
      <c r="AF273" s="1">
        <v>48365.7</v>
      </c>
      <c r="AG273" s="2">
        <v>41249.0</v>
      </c>
      <c r="AH273" s="1">
        <v>1200.0</v>
      </c>
      <c r="AI273" s="1" t="s">
        <v>647</v>
      </c>
      <c r="AJ273" s="1" t="s">
        <v>869</v>
      </c>
      <c r="AK273" s="1" t="s">
        <v>712</v>
      </c>
      <c r="AL273" s="1">
        <v>8.0</v>
      </c>
      <c r="AM273" s="1">
        <v>2013.0</v>
      </c>
      <c r="AN273" s="1">
        <v>2013.0</v>
      </c>
      <c r="AO273" s="1" t="s">
        <v>713</v>
      </c>
    </row>
    <row r="274">
      <c r="A274" s="5">
        <v>1.0</v>
      </c>
      <c r="B274" s="1">
        <f t="shared" si="1"/>
        <v>274</v>
      </c>
      <c r="C274" s="1" t="s">
        <v>709</v>
      </c>
      <c r="D274" s="1" t="s">
        <v>709</v>
      </c>
      <c r="E274" s="1" t="s">
        <v>645</v>
      </c>
      <c r="G274" s="1">
        <v>4.44297088E8</v>
      </c>
      <c r="H274" s="2">
        <v>41221.0</v>
      </c>
      <c r="I274" s="1" t="s">
        <v>710</v>
      </c>
      <c r="K274" s="1" t="s">
        <v>710</v>
      </c>
      <c r="N274" s="1" t="s">
        <v>647</v>
      </c>
      <c r="O274" s="1">
        <v>1200.0</v>
      </c>
      <c r="P274" s="1" t="s">
        <v>647</v>
      </c>
      <c r="Q274" s="1" t="str">
        <f>IF(ISERROR(VLOOKUP(P274,'unique fed agency names'!A:C,3,FALSE)),P274,VLOOKUP(P274,'unique fed agency names'!A:C,3,FALSE))
</f>
        <v>U.S. Department of Agriculture (USDA)</v>
      </c>
      <c r="R274" s="1">
        <v>3.9866801E7</v>
      </c>
      <c r="S274" s="1" t="s">
        <v>612</v>
      </c>
      <c r="T274" s="1" t="str">
        <f>IF(ISERROR(VLOOKUP(S274,'unique org names'!A:C,3,FALSE)),S274,VLOOKUP(S274,'unique org names'!A:C,3,FALSE))
</f>
        <v>HAMTRAMCK PUBLIC SCHOOLS</v>
      </c>
      <c r="V274" s="1" t="s">
        <v>613</v>
      </c>
      <c r="W274" s="1" t="s">
        <v>44</v>
      </c>
      <c r="X274" s="1" t="s">
        <v>45</v>
      </c>
      <c r="Y274" s="1">
        <v>4.82123753E8</v>
      </c>
      <c r="AA274" s="1" t="s">
        <v>607</v>
      </c>
      <c r="AB274" s="1" t="s">
        <v>45</v>
      </c>
      <c r="AC274" s="1">
        <v>4.82120012E8</v>
      </c>
      <c r="AD274" s="1">
        <v>3.9866801E7</v>
      </c>
      <c r="AE274" s="1" t="s">
        <v>612</v>
      </c>
      <c r="AF274" s="1">
        <v>589968.95</v>
      </c>
      <c r="AG274" s="2">
        <v>41221.0</v>
      </c>
      <c r="AH274" s="1">
        <v>1200.0</v>
      </c>
      <c r="AI274" s="1" t="s">
        <v>647</v>
      </c>
      <c r="AJ274" s="1" t="s">
        <v>870</v>
      </c>
      <c r="AK274" s="1" t="s">
        <v>712</v>
      </c>
      <c r="AL274" s="1">
        <v>8.0</v>
      </c>
      <c r="AM274" s="1">
        <v>2013.0</v>
      </c>
      <c r="AN274" s="1">
        <v>2013.0</v>
      </c>
      <c r="AO274" s="1" t="s">
        <v>713</v>
      </c>
    </row>
    <row r="275">
      <c r="A275" s="5">
        <v>1.0</v>
      </c>
      <c r="B275" s="1">
        <f t="shared" si="1"/>
        <v>275</v>
      </c>
      <c r="C275" s="1" t="s">
        <v>709</v>
      </c>
      <c r="D275" s="1" t="s">
        <v>709</v>
      </c>
      <c r="E275" s="1" t="s">
        <v>645</v>
      </c>
      <c r="G275" s="1">
        <v>4.44297088E8</v>
      </c>
      <c r="H275" s="2">
        <v>41193.0</v>
      </c>
      <c r="I275" s="1" t="s">
        <v>710</v>
      </c>
      <c r="K275" s="1" t="s">
        <v>710</v>
      </c>
      <c r="N275" s="1" t="s">
        <v>647</v>
      </c>
      <c r="O275" s="1">
        <v>1200.0</v>
      </c>
      <c r="P275" s="1" t="s">
        <v>647</v>
      </c>
      <c r="Q275" s="1" t="str">
        <f>IF(ISERROR(VLOOKUP(P275,'unique fed agency names'!A:C,3,FALSE)),P275,VLOOKUP(P275,'unique fed agency names'!A:C,3,FALSE))
</f>
        <v>U.S. Department of Agriculture (USDA)</v>
      </c>
      <c r="R275" s="1">
        <v>9.48021373E8</v>
      </c>
      <c r="S275" s="1" t="s">
        <v>501</v>
      </c>
      <c r="T275" s="1" t="str">
        <f>IF(ISERROR(VLOOKUP(S275,'unique org names'!A:C,3,FALSE)),S275,VLOOKUP(S275,'unique org names'!A:C,3,FALSE))
</f>
        <v>WOODWARD ACADEMY</v>
      </c>
      <c r="V275" s="1" t="s">
        <v>502</v>
      </c>
      <c r="W275" s="1" t="s">
        <v>44</v>
      </c>
      <c r="X275" s="1" t="s">
        <v>45</v>
      </c>
      <c r="Y275" s="1">
        <v>4.82072901E8</v>
      </c>
      <c r="AA275" s="1" t="s">
        <v>44</v>
      </c>
      <c r="AB275" s="1" t="s">
        <v>45</v>
      </c>
      <c r="AC275" s="1">
        <v>4.82072901E8</v>
      </c>
      <c r="AF275" s="1">
        <v>43753.51</v>
      </c>
      <c r="AG275" s="2">
        <v>41193.0</v>
      </c>
      <c r="AH275" s="1">
        <v>1200.0</v>
      </c>
      <c r="AI275" s="1" t="s">
        <v>647</v>
      </c>
      <c r="AJ275" s="1" t="s">
        <v>871</v>
      </c>
      <c r="AK275" s="1" t="s">
        <v>712</v>
      </c>
      <c r="AL275" s="1">
        <v>8.0</v>
      </c>
      <c r="AM275" s="1">
        <v>2013.0</v>
      </c>
      <c r="AN275" s="1">
        <v>2013.0</v>
      </c>
      <c r="AO275" s="1" t="s">
        <v>713</v>
      </c>
    </row>
    <row r="276">
      <c r="A276" s="5">
        <v>1.0</v>
      </c>
      <c r="B276" s="1">
        <f t="shared" si="1"/>
        <v>276</v>
      </c>
      <c r="C276" s="1" t="s">
        <v>709</v>
      </c>
      <c r="D276" s="1" t="s">
        <v>709</v>
      </c>
      <c r="E276" s="1" t="s">
        <v>645</v>
      </c>
      <c r="G276" s="1">
        <v>4.44297088E8</v>
      </c>
      <c r="H276" s="2">
        <v>41234.0</v>
      </c>
      <c r="I276" s="1" t="s">
        <v>710</v>
      </c>
      <c r="K276" s="1" t="s">
        <v>710</v>
      </c>
      <c r="N276" s="1" t="s">
        <v>647</v>
      </c>
      <c r="O276" s="1">
        <v>1200.0</v>
      </c>
      <c r="P276" s="1" t="s">
        <v>647</v>
      </c>
      <c r="Q276" s="1" t="str">
        <f>IF(ISERROR(VLOOKUP(P276,'unique fed agency names'!A:C,3,FALSE)),P276,VLOOKUP(P276,'unique fed agency names'!A:C,3,FALSE))
</f>
        <v>U.S. Department of Agriculture (USDA)</v>
      </c>
      <c r="R276" s="1">
        <v>2.5773859E7</v>
      </c>
      <c r="S276" s="1" t="s">
        <v>872</v>
      </c>
      <c r="T276" s="1" t="str">
        <f>IF(ISERROR(VLOOKUP(S276,'unique org names'!A:C,3,FALSE)),S276,VLOOKUP(S276,'unique org names'!A:C,3,FALSE))
</f>
        <v>HOPE ACADEMY</v>
      </c>
      <c r="V276" s="1" t="s">
        <v>873</v>
      </c>
      <c r="W276" s="1" t="s">
        <v>44</v>
      </c>
      <c r="X276" s="1" t="s">
        <v>45</v>
      </c>
      <c r="Y276" s="1">
        <v>4.82042042E8</v>
      </c>
      <c r="AA276" s="1" t="s">
        <v>44</v>
      </c>
      <c r="AB276" s="1" t="s">
        <v>45</v>
      </c>
      <c r="AC276" s="1">
        <v>4.82042042E8</v>
      </c>
      <c r="AF276" s="1">
        <v>227945.52</v>
      </c>
      <c r="AG276" s="2">
        <v>41234.0</v>
      </c>
      <c r="AH276" s="1">
        <v>1200.0</v>
      </c>
      <c r="AI276" s="1" t="s">
        <v>647</v>
      </c>
      <c r="AJ276" s="1" t="s">
        <v>874</v>
      </c>
      <c r="AK276" s="1" t="s">
        <v>712</v>
      </c>
      <c r="AL276" s="1">
        <v>8.0</v>
      </c>
      <c r="AM276" s="1">
        <v>2013.0</v>
      </c>
      <c r="AN276" s="1">
        <v>2013.0</v>
      </c>
      <c r="AO276" s="1" t="s">
        <v>713</v>
      </c>
    </row>
    <row r="277">
      <c r="A277" s="5">
        <v>1.0</v>
      </c>
      <c r="B277" s="1">
        <f t="shared" si="1"/>
        <v>277</v>
      </c>
      <c r="C277" s="1" t="s">
        <v>875</v>
      </c>
      <c r="D277" s="1" t="s">
        <v>875</v>
      </c>
      <c r="E277" s="1" t="s">
        <v>129</v>
      </c>
      <c r="G277" s="1">
        <v>2770305.0</v>
      </c>
      <c r="H277" s="2">
        <v>41456.0</v>
      </c>
      <c r="I277" s="1" t="s">
        <v>876</v>
      </c>
      <c r="K277" s="1" t="s">
        <v>876</v>
      </c>
      <c r="N277" s="1" t="s">
        <v>40</v>
      </c>
      <c r="O277" s="1">
        <v>7500.0</v>
      </c>
      <c r="P277" s="1" t="s">
        <v>40</v>
      </c>
      <c r="Q277" s="1" t="str">
        <f>IF(ISERROR(VLOOKUP(P277,'unique fed agency names'!A:C,3,FALSE)),P277,VLOOKUP(P277,'unique fed agency names'!A:C,3,FALSE))
</f>
        <v>U.S. Department of Health and Human Services (DHHS)</v>
      </c>
      <c r="R277" s="1">
        <v>1.4193515E8</v>
      </c>
      <c r="S277" s="1" t="s">
        <v>877</v>
      </c>
      <c r="T277" s="1" t="str">
        <f>IF(ISERROR(VLOOKUP(S277,'unique org names'!A:C,3,FALSE)),S277,VLOOKUP(S277,'unique org names'!A:C,3,FALSE))
</f>
        <v>CENTRAL STATES SER, JOBS FOR PROGRESS, INC.</v>
      </c>
      <c r="V277" s="1" t="s">
        <v>878</v>
      </c>
      <c r="W277" s="1" t="s">
        <v>44</v>
      </c>
      <c r="X277" s="1" t="s">
        <v>45</v>
      </c>
      <c r="Y277" s="1">
        <v>4.82102038E8</v>
      </c>
      <c r="AA277" s="1" t="s">
        <v>879</v>
      </c>
      <c r="AB277" s="1" t="s">
        <v>880</v>
      </c>
      <c r="AC277" s="1">
        <v>6.06233738E8</v>
      </c>
      <c r="AF277" s="1">
        <v>283200.0</v>
      </c>
      <c r="AG277" s="2">
        <v>41456.0</v>
      </c>
      <c r="AH277" s="1">
        <v>7500.0</v>
      </c>
      <c r="AI277" s="1" t="s">
        <v>40</v>
      </c>
      <c r="AJ277" s="1" t="s">
        <v>881</v>
      </c>
      <c r="AK277" s="1" t="s">
        <v>882</v>
      </c>
      <c r="AL277" s="1">
        <v>7.0</v>
      </c>
      <c r="AM277" s="1">
        <v>2013.0</v>
      </c>
      <c r="AN277" s="1">
        <v>2013.0</v>
      </c>
      <c r="AO277" s="1" t="s">
        <v>883</v>
      </c>
    </row>
    <row r="278">
      <c r="A278" s="5">
        <v>1.0</v>
      </c>
      <c r="B278" s="1">
        <f t="shared" si="1"/>
        <v>278</v>
      </c>
      <c r="C278" s="1" t="s">
        <v>709</v>
      </c>
      <c r="D278" s="1" t="s">
        <v>709</v>
      </c>
      <c r="E278" s="1" t="s">
        <v>645</v>
      </c>
      <c r="G278" s="1">
        <v>4.44297088E8</v>
      </c>
      <c r="H278" s="2">
        <v>41193.0</v>
      </c>
      <c r="I278" s="1" t="s">
        <v>710</v>
      </c>
      <c r="K278" s="1" t="s">
        <v>710</v>
      </c>
      <c r="N278" s="1" t="s">
        <v>647</v>
      </c>
      <c r="O278" s="1">
        <v>1200.0</v>
      </c>
      <c r="P278" s="1" t="s">
        <v>647</v>
      </c>
      <c r="Q278" s="1" t="str">
        <f>IF(ISERROR(VLOOKUP(P278,'unique fed agency names'!A:C,3,FALSE)),P278,VLOOKUP(P278,'unique fed agency names'!A:C,3,FALSE))
</f>
        <v>U.S. Department of Agriculture (USDA)</v>
      </c>
      <c r="R278" s="1">
        <v>9.62378779E8</v>
      </c>
      <c r="S278" s="1" t="s">
        <v>478</v>
      </c>
      <c r="T278" s="1" t="str">
        <f>IF(ISERROR(VLOOKUP(S278,'unique org names'!A:C,3,FALSE)),S278,VLOOKUP(S278,'unique org names'!A:C,3,FALSE))
</f>
        <v>LEGACY CHARTER ACADEMY</v>
      </c>
      <c r="V278" s="1" t="s">
        <v>479</v>
      </c>
      <c r="W278" s="1" t="s">
        <v>44</v>
      </c>
      <c r="X278" s="1" t="s">
        <v>45</v>
      </c>
      <c r="Y278" s="1">
        <v>4.82342225E8</v>
      </c>
      <c r="AA278" s="1" t="s">
        <v>44</v>
      </c>
      <c r="AB278" s="1" t="s">
        <v>45</v>
      </c>
      <c r="AC278" s="1">
        <v>4.82342225E8</v>
      </c>
      <c r="AF278" s="1">
        <v>60015.03</v>
      </c>
      <c r="AG278" s="2">
        <v>41193.0</v>
      </c>
      <c r="AH278" s="1">
        <v>1200.0</v>
      </c>
      <c r="AI278" s="1" t="s">
        <v>647</v>
      </c>
      <c r="AJ278" s="1" t="s">
        <v>884</v>
      </c>
      <c r="AK278" s="1" t="s">
        <v>712</v>
      </c>
      <c r="AL278" s="1">
        <v>8.0</v>
      </c>
      <c r="AM278" s="1">
        <v>2013.0</v>
      </c>
      <c r="AN278" s="1">
        <v>2013.0</v>
      </c>
      <c r="AO278" s="1" t="s">
        <v>713</v>
      </c>
    </row>
    <row r="279">
      <c r="A279" s="5">
        <v>1.0</v>
      </c>
      <c r="B279" s="1">
        <f t="shared" si="1"/>
        <v>279</v>
      </c>
      <c r="C279" s="1" t="s">
        <v>709</v>
      </c>
      <c r="D279" s="1" t="s">
        <v>709</v>
      </c>
      <c r="E279" s="1" t="s">
        <v>645</v>
      </c>
      <c r="G279" s="1">
        <v>4.44297088E8</v>
      </c>
      <c r="H279" s="2">
        <v>41193.0</v>
      </c>
      <c r="I279" s="1" t="s">
        <v>710</v>
      </c>
      <c r="K279" s="1" t="s">
        <v>710</v>
      </c>
      <c r="N279" s="1" t="s">
        <v>647</v>
      </c>
      <c r="O279" s="1">
        <v>1200.0</v>
      </c>
      <c r="P279" s="1" t="s">
        <v>647</v>
      </c>
      <c r="Q279" s="1" t="str">
        <f>IF(ISERROR(VLOOKUP(P279,'unique fed agency names'!A:C,3,FALSE)),P279,VLOOKUP(P279,'unique fed agency names'!A:C,3,FALSE))
</f>
        <v>U.S. Department of Agriculture (USDA)</v>
      </c>
      <c r="R279" s="1">
        <v>7.97527715E8</v>
      </c>
      <c r="S279" s="1" t="s">
        <v>567</v>
      </c>
      <c r="T279" s="1" t="str">
        <f>IF(ISERROR(VLOOKUP(S279,'unique org names'!A:C,3,FALSE)),S279,VLOOKUP(S279,'unique org names'!A:C,3,FALSE))
</f>
        <v>HAMTRAMCK ACADEMY</v>
      </c>
      <c r="V279" s="1" t="s">
        <v>568</v>
      </c>
      <c r="W279" s="1" t="s">
        <v>44</v>
      </c>
      <c r="X279" s="1" t="s">
        <v>45</v>
      </c>
      <c r="Y279" s="1">
        <v>4.82123134E8</v>
      </c>
      <c r="AA279" s="1" t="s">
        <v>498</v>
      </c>
      <c r="AB279" s="1" t="s">
        <v>45</v>
      </c>
      <c r="AC279" s="1">
        <v>4.82123134E8</v>
      </c>
      <c r="AD279" s="1">
        <v>9.60742484E8</v>
      </c>
      <c r="AF279" s="1">
        <v>26388.21</v>
      </c>
      <c r="AG279" s="2">
        <v>41193.0</v>
      </c>
      <c r="AH279" s="1">
        <v>1200.0</v>
      </c>
      <c r="AI279" s="1" t="s">
        <v>647</v>
      </c>
      <c r="AJ279" s="1" t="s">
        <v>885</v>
      </c>
      <c r="AK279" s="1" t="s">
        <v>712</v>
      </c>
      <c r="AL279" s="1">
        <v>8.0</v>
      </c>
      <c r="AM279" s="1">
        <v>2013.0</v>
      </c>
      <c r="AN279" s="1">
        <v>2013.0</v>
      </c>
      <c r="AO279" s="1" t="s">
        <v>713</v>
      </c>
    </row>
    <row r="280">
      <c r="A280" s="5">
        <v>1.0</v>
      </c>
      <c r="B280" s="1">
        <f t="shared" si="1"/>
        <v>280</v>
      </c>
      <c r="C280" s="1" t="s">
        <v>709</v>
      </c>
      <c r="D280" s="1" t="s">
        <v>709</v>
      </c>
      <c r="E280" s="1" t="s">
        <v>645</v>
      </c>
      <c r="G280" s="1">
        <v>4.44297088E8</v>
      </c>
      <c r="H280" s="2">
        <v>41284.0</v>
      </c>
      <c r="I280" s="1" t="s">
        <v>710</v>
      </c>
      <c r="K280" s="1" t="s">
        <v>710</v>
      </c>
      <c r="N280" s="1" t="s">
        <v>647</v>
      </c>
      <c r="O280" s="1">
        <v>1200.0</v>
      </c>
      <c r="P280" s="1" t="s">
        <v>647</v>
      </c>
      <c r="Q280" s="1" t="str">
        <f>IF(ISERROR(VLOOKUP(P280,'unique fed agency names'!A:C,3,FALSE)),P280,VLOOKUP(P280,'unique fed agency names'!A:C,3,FALSE))
</f>
        <v>U.S. Department of Agriculture (USDA)</v>
      </c>
      <c r="R280" s="1">
        <v>7.6340843E7</v>
      </c>
      <c r="S280" s="1" t="s">
        <v>461</v>
      </c>
      <c r="T280" s="1" t="str">
        <f>IF(ISERROR(VLOOKUP(S280,'unique org names'!A:C,3,FALSE)),S280,VLOOKUP(S280,'unique org names'!A:C,3,FALSE))
</f>
        <v>BOARD OF EDUCATION OF THE CITY OF DETROIT</v>
      </c>
      <c r="U280" s="1" t="s">
        <v>459</v>
      </c>
      <c r="V280" s="1" t="s">
        <v>524</v>
      </c>
      <c r="W280" s="1" t="s">
        <v>44</v>
      </c>
      <c r="X280" s="1" t="s">
        <v>45</v>
      </c>
      <c r="Y280" s="1">
        <v>4.82023046E8</v>
      </c>
      <c r="AA280" s="1" t="s">
        <v>44</v>
      </c>
      <c r="AB280" s="1" t="s">
        <v>45</v>
      </c>
      <c r="AC280" s="1">
        <v>4.82023096E8</v>
      </c>
      <c r="AD280" s="1">
        <v>7.6340843E7</v>
      </c>
      <c r="AE280" s="1" t="s">
        <v>461</v>
      </c>
      <c r="AF280" s="1">
        <v>124375.02</v>
      </c>
      <c r="AG280" s="2">
        <v>41284.0</v>
      </c>
      <c r="AH280" s="1">
        <v>1200.0</v>
      </c>
      <c r="AI280" s="1" t="s">
        <v>647</v>
      </c>
      <c r="AJ280" s="1" t="s">
        <v>886</v>
      </c>
      <c r="AK280" s="1" t="s">
        <v>712</v>
      </c>
      <c r="AL280" s="1">
        <v>8.0</v>
      </c>
      <c r="AM280" s="1">
        <v>2013.0</v>
      </c>
      <c r="AN280" s="1">
        <v>2013.0</v>
      </c>
      <c r="AO280" s="1" t="s">
        <v>713</v>
      </c>
    </row>
    <row r="281">
      <c r="A281" s="5">
        <v>1.0</v>
      </c>
      <c r="B281" s="1">
        <f t="shared" si="1"/>
        <v>281</v>
      </c>
      <c r="C281" s="1" t="s">
        <v>709</v>
      </c>
      <c r="D281" s="1" t="s">
        <v>709</v>
      </c>
      <c r="E281" s="1" t="s">
        <v>645</v>
      </c>
      <c r="G281" s="1">
        <v>4.44297088E8</v>
      </c>
      <c r="H281" s="2">
        <v>41193.0</v>
      </c>
      <c r="I281" s="1" t="s">
        <v>710</v>
      </c>
      <c r="K281" s="1" t="s">
        <v>710</v>
      </c>
      <c r="N281" s="1" t="s">
        <v>647</v>
      </c>
      <c r="O281" s="1">
        <v>1200.0</v>
      </c>
      <c r="P281" s="1" t="s">
        <v>647</v>
      </c>
      <c r="Q281" s="1" t="str">
        <f>IF(ISERROR(VLOOKUP(P281,'unique fed agency names'!A:C,3,FALSE)),P281,VLOOKUP(P281,'unique fed agency names'!A:C,3,FALSE))
</f>
        <v>U.S. Department of Agriculture (USDA)</v>
      </c>
      <c r="R281" s="1">
        <v>1.23577707E8</v>
      </c>
      <c r="S281" s="1" t="s">
        <v>563</v>
      </c>
      <c r="T281" s="1" t="str">
        <f>IF(ISERROR(VLOOKUP(S281,'unique org names'!A:C,3,FALSE)),S281,VLOOKUP(S281,'unique org names'!A:C,3,FALSE))
</f>
        <v>WARRENDALE CHARTER ACADEMY</v>
      </c>
      <c r="V281" s="1" t="s">
        <v>565</v>
      </c>
      <c r="W281" s="1" t="s">
        <v>44</v>
      </c>
      <c r="X281" s="1" t="s">
        <v>45</v>
      </c>
      <c r="Y281" s="1">
        <v>4.8228333E8</v>
      </c>
      <c r="AA281" s="1" t="s">
        <v>44</v>
      </c>
      <c r="AB281" s="1" t="s">
        <v>45</v>
      </c>
      <c r="AC281" s="1">
        <v>4.82283396E8</v>
      </c>
      <c r="AD281" s="1">
        <v>9.60742484E8</v>
      </c>
      <c r="AF281" s="1">
        <v>261322.28</v>
      </c>
      <c r="AG281" s="2">
        <v>41193.0</v>
      </c>
      <c r="AH281" s="1">
        <v>1200.0</v>
      </c>
      <c r="AI281" s="1" t="s">
        <v>647</v>
      </c>
      <c r="AJ281" s="1" t="s">
        <v>887</v>
      </c>
      <c r="AK281" s="1" t="s">
        <v>712</v>
      </c>
      <c r="AL281" s="1">
        <v>8.0</v>
      </c>
      <c r="AM281" s="1">
        <v>2013.0</v>
      </c>
      <c r="AN281" s="1">
        <v>2013.0</v>
      </c>
      <c r="AO281" s="1" t="s">
        <v>713</v>
      </c>
    </row>
    <row r="282">
      <c r="A282" s="5">
        <v>1.0</v>
      </c>
      <c r="B282" s="1">
        <f t="shared" si="1"/>
        <v>282</v>
      </c>
      <c r="C282" s="1" t="s">
        <v>709</v>
      </c>
      <c r="D282" s="1" t="s">
        <v>709</v>
      </c>
      <c r="E282" s="1" t="s">
        <v>645</v>
      </c>
      <c r="G282" s="1">
        <v>4.44297088E8</v>
      </c>
      <c r="H282" s="2">
        <v>41193.0</v>
      </c>
      <c r="I282" s="1" t="s">
        <v>710</v>
      </c>
      <c r="K282" s="1" t="s">
        <v>710</v>
      </c>
      <c r="N282" s="1" t="s">
        <v>647</v>
      </c>
      <c r="O282" s="1">
        <v>1200.0</v>
      </c>
      <c r="P282" s="1" t="s">
        <v>647</v>
      </c>
      <c r="Q282" s="1" t="str">
        <f>IF(ISERROR(VLOOKUP(P282,'unique fed agency names'!A:C,3,FALSE)),P282,VLOOKUP(P282,'unique fed agency names'!A:C,3,FALSE))
</f>
        <v>U.S. Department of Agriculture (USDA)</v>
      </c>
      <c r="R282" s="1">
        <v>8.7299367E8</v>
      </c>
      <c r="S282" s="1" t="s">
        <v>888</v>
      </c>
      <c r="T282" s="1" t="str">
        <f>IF(ISERROR(VLOOKUP(S282,'unique org names'!A:C,3,FALSE)),S282,VLOOKUP(S282,'unique org names'!A:C,3,FALSE))
</f>
        <v>NSOROMA INSTITUTE</v>
      </c>
      <c r="V282" s="1" t="s">
        <v>889</v>
      </c>
      <c r="W282" s="1" t="s">
        <v>44</v>
      </c>
      <c r="X282" s="1" t="s">
        <v>45</v>
      </c>
      <c r="Y282" s="1">
        <v>4.82051136E8</v>
      </c>
      <c r="AA282" s="1" t="s">
        <v>44</v>
      </c>
      <c r="AB282" s="1" t="s">
        <v>45</v>
      </c>
      <c r="AC282" s="1">
        <v>4.82051136E8</v>
      </c>
      <c r="AF282" s="1">
        <v>82692.64</v>
      </c>
      <c r="AG282" s="2">
        <v>41193.0</v>
      </c>
      <c r="AH282" s="1">
        <v>1200.0</v>
      </c>
      <c r="AI282" s="1" t="s">
        <v>647</v>
      </c>
      <c r="AJ282" s="1" t="s">
        <v>890</v>
      </c>
      <c r="AK282" s="1" t="s">
        <v>712</v>
      </c>
      <c r="AL282" s="1">
        <v>8.0</v>
      </c>
      <c r="AM282" s="1">
        <v>2013.0</v>
      </c>
      <c r="AN282" s="1">
        <v>2013.0</v>
      </c>
      <c r="AO282" s="1" t="s">
        <v>713</v>
      </c>
    </row>
    <row r="283">
      <c r="A283" s="5">
        <v>1.0</v>
      </c>
      <c r="B283" s="1">
        <f t="shared" si="1"/>
        <v>283</v>
      </c>
      <c r="C283" s="1" t="s">
        <v>709</v>
      </c>
      <c r="D283" s="1" t="s">
        <v>709</v>
      </c>
      <c r="E283" s="1" t="s">
        <v>645</v>
      </c>
      <c r="G283" s="1">
        <v>4.44297088E8</v>
      </c>
      <c r="H283" s="2">
        <v>41193.0</v>
      </c>
      <c r="I283" s="1" t="s">
        <v>710</v>
      </c>
      <c r="K283" s="1" t="s">
        <v>710</v>
      </c>
      <c r="N283" s="1" t="s">
        <v>647</v>
      </c>
      <c r="O283" s="1">
        <v>1200.0</v>
      </c>
      <c r="P283" s="1" t="s">
        <v>647</v>
      </c>
      <c r="Q283" s="1" t="str">
        <f>IF(ISERROR(VLOOKUP(P283,'unique fed agency names'!A:C,3,FALSE)),P283,VLOOKUP(P283,'unique fed agency names'!A:C,3,FALSE))
</f>
        <v>U.S. Department of Agriculture (USDA)</v>
      </c>
      <c r="R283" s="1">
        <v>9.65349769E8</v>
      </c>
      <c r="S283" s="1" t="s">
        <v>465</v>
      </c>
      <c r="T283" s="1" t="str">
        <f>IF(ISERROR(VLOOKUP(S283,'unique org names'!A:C,3,FALSE)),S283,VLOOKUP(S283,'unique org names'!A:C,3,FALSE))
</f>
        <v>Public School Academies of Detroit</v>
      </c>
      <c r="U283" s="1" t="s">
        <v>466</v>
      </c>
      <c r="V283" s="1" t="s">
        <v>467</v>
      </c>
      <c r="W283" s="1" t="s">
        <v>44</v>
      </c>
      <c r="X283" s="1" t="s">
        <v>45</v>
      </c>
      <c r="Y283" s="1">
        <v>4.8202322E8</v>
      </c>
      <c r="AA283" s="1" t="s">
        <v>44</v>
      </c>
      <c r="AB283" s="1" t="s">
        <v>45</v>
      </c>
      <c r="AC283" s="1">
        <v>4.8202322E8</v>
      </c>
      <c r="AD283" s="1">
        <v>1.6338926E8</v>
      </c>
      <c r="AE283" s="1" t="s">
        <v>465</v>
      </c>
      <c r="AF283" s="1">
        <v>145255.92</v>
      </c>
      <c r="AG283" s="2">
        <v>41193.0</v>
      </c>
      <c r="AH283" s="1">
        <v>1200.0</v>
      </c>
      <c r="AI283" s="1" t="s">
        <v>647</v>
      </c>
      <c r="AJ283" s="1" t="s">
        <v>891</v>
      </c>
      <c r="AK283" s="1" t="s">
        <v>712</v>
      </c>
      <c r="AL283" s="1">
        <v>8.0</v>
      </c>
      <c r="AM283" s="1">
        <v>2013.0</v>
      </c>
      <c r="AN283" s="1">
        <v>2013.0</v>
      </c>
      <c r="AO283" s="1" t="s">
        <v>713</v>
      </c>
    </row>
    <row r="284">
      <c r="A284" s="5">
        <v>1.0</v>
      </c>
      <c r="B284" s="1">
        <f t="shared" si="1"/>
        <v>284</v>
      </c>
      <c r="C284" s="1" t="s">
        <v>709</v>
      </c>
      <c r="D284" s="1" t="s">
        <v>709</v>
      </c>
      <c r="E284" s="1" t="s">
        <v>645</v>
      </c>
      <c r="G284" s="1">
        <v>4.44297088E8</v>
      </c>
      <c r="H284" s="2">
        <v>41234.0</v>
      </c>
      <c r="I284" s="1" t="s">
        <v>710</v>
      </c>
      <c r="K284" s="1" t="s">
        <v>710</v>
      </c>
      <c r="N284" s="1" t="s">
        <v>647</v>
      </c>
      <c r="O284" s="1">
        <v>1200.0</v>
      </c>
      <c r="P284" s="1" t="s">
        <v>647</v>
      </c>
      <c r="Q284" s="1" t="str">
        <f>IF(ISERROR(VLOOKUP(P284,'unique fed agency names'!A:C,3,FALSE)),P284,VLOOKUP(P284,'unique fed agency names'!A:C,3,FALSE))
</f>
        <v>U.S. Department of Agriculture (USDA)</v>
      </c>
      <c r="R284" s="1">
        <v>2.5773859E7</v>
      </c>
      <c r="S284" s="1" t="s">
        <v>872</v>
      </c>
      <c r="T284" s="1" t="str">
        <f>IF(ISERROR(VLOOKUP(S284,'unique org names'!A:C,3,FALSE)),S284,VLOOKUP(S284,'unique org names'!A:C,3,FALSE))
</f>
        <v>HOPE ACADEMY</v>
      </c>
      <c r="V284" s="1" t="s">
        <v>873</v>
      </c>
      <c r="W284" s="1" t="s">
        <v>44</v>
      </c>
      <c r="X284" s="1" t="s">
        <v>45</v>
      </c>
      <c r="Y284" s="1">
        <v>4.82042042E8</v>
      </c>
      <c r="AA284" s="1" t="s">
        <v>44</v>
      </c>
      <c r="AB284" s="1" t="s">
        <v>45</v>
      </c>
      <c r="AC284" s="1">
        <v>4.82042042E8</v>
      </c>
      <c r="AF284" s="1">
        <v>136440.1</v>
      </c>
      <c r="AG284" s="2">
        <v>41234.0</v>
      </c>
      <c r="AH284" s="1">
        <v>1200.0</v>
      </c>
      <c r="AI284" s="1" t="s">
        <v>647</v>
      </c>
      <c r="AJ284" s="1" t="s">
        <v>892</v>
      </c>
      <c r="AK284" s="1" t="s">
        <v>712</v>
      </c>
      <c r="AL284" s="1">
        <v>8.0</v>
      </c>
      <c r="AM284" s="1">
        <v>2013.0</v>
      </c>
      <c r="AN284" s="1">
        <v>2013.0</v>
      </c>
      <c r="AO284" s="1" t="s">
        <v>713</v>
      </c>
    </row>
    <row r="285">
      <c r="A285" s="5">
        <v>1.0</v>
      </c>
      <c r="B285" s="1">
        <f t="shared" si="1"/>
        <v>285</v>
      </c>
      <c r="C285" s="1" t="s">
        <v>709</v>
      </c>
      <c r="D285" s="1" t="s">
        <v>709</v>
      </c>
      <c r="E285" s="1" t="s">
        <v>645</v>
      </c>
      <c r="G285" s="1">
        <v>4.44297088E8</v>
      </c>
      <c r="H285" s="2">
        <v>41193.0</v>
      </c>
      <c r="I285" s="1" t="s">
        <v>710</v>
      </c>
      <c r="K285" s="1" t="s">
        <v>710</v>
      </c>
      <c r="N285" s="1" t="s">
        <v>647</v>
      </c>
      <c r="O285" s="1">
        <v>1200.0</v>
      </c>
      <c r="P285" s="1" t="s">
        <v>647</v>
      </c>
      <c r="Q285" s="1" t="str">
        <f>IF(ISERROR(VLOOKUP(P285,'unique fed agency names'!A:C,3,FALSE)),P285,VLOOKUP(P285,'unique fed agency names'!A:C,3,FALSE))
</f>
        <v>U.S. Department of Agriculture (USDA)</v>
      </c>
      <c r="R285" s="1">
        <v>8.30792151E8</v>
      </c>
      <c r="S285" s="1" t="s">
        <v>594</v>
      </c>
      <c r="T285" s="1" t="str">
        <f>IF(ISERROR(VLOOKUP(S285,'unique org names'!A:C,3,FALSE)),S285,VLOOKUP(S285,'unique org names'!A:C,3,FALSE))
</f>
        <v>FLAGSHIP CHARTER ACADEMY</v>
      </c>
      <c r="V285" s="1" t="s">
        <v>596</v>
      </c>
      <c r="W285" s="1" t="s">
        <v>44</v>
      </c>
      <c r="X285" s="1" t="s">
        <v>45</v>
      </c>
      <c r="Y285" s="1">
        <v>4.82382356E8</v>
      </c>
      <c r="AA285" s="1" t="s">
        <v>44</v>
      </c>
      <c r="AB285" s="1" t="s">
        <v>45</v>
      </c>
      <c r="AC285" s="1">
        <v>4.82382356E8</v>
      </c>
      <c r="AD285" s="1">
        <v>9.60742484E8</v>
      </c>
      <c r="AF285" s="1">
        <v>249439.35</v>
      </c>
      <c r="AG285" s="2">
        <v>41193.0</v>
      </c>
      <c r="AH285" s="1">
        <v>1200.0</v>
      </c>
      <c r="AI285" s="1" t="s">
        <v>647</v>
      </c>
      <c r="AJ285" s="1" t="s">
        <v>893</v>
      </c>
      <c r="AK285" s="1" t="s">
        <v>712</v>
      </c>
      <c r="AL285" s="1">
        <v>8.0</v>
      </c>
      <c r="AM285" s="1">
        <v>2013.0</v>
      </c>
      <c r="AN285" s="1">
        <v>2013.0</v>
      </c>
      <c r="AO285" s="1" t="s">
        <v>713</v>
      </c>
    </row>
    <row r="286">
      <c r="A286" s="5">
        <v>1.0</v>
      </c>
      <c r="B286" s="1">
        <f t="shared" si="1"/>
        <v>286</v>
      </c>
      <c r="C286" s="1" t="s">
        <v>709</v>
      </c>
      <c r="D286" s="1" t="s">
        <v>709</v>
      </c>
      <c r="E286" s="1" t="s">
        <v>645</v>
      </c>
      <c r="G286" s="1">
        <v>4.44297088E8</v>
      </c>
      <c r="H286" s="2">
        <v>41242.0</v>
      </c>
      <c r="I286" s="1" t="s">
        <v>710</v>
      </c>
      <c r="K286" s="1" t="s">
        <v>710</v>
      </c>
      <c r="N286" s="1" t="s">
        <v>647</v>
      </c>
      <c r="O286" s="1">
        <v>1200.0</v>
      </c>
      <c r="P286" s="1" t="s">
        <v>647</v>
      </c>
      <c r="Q286" s="1" t="str">
        <f>IF(ISERROR(VLOOKUP(P286,'unique fed agency names'!A:C,3,FALSE)),P286,VLOOKUP(P286,'unique fed agency names'!A:C,3,FALSE))
</f>
        <v>U.S. Department of Agriculture (USDA)</v>
      </c>
      <c r="R286" s="1">
        <v>1.6338926E8</v>
      </c>
      <c r="S286" s="1" t="s">
        <v>465</v>
      </c>
      <c r="T286" s="1" t="str">
        <f>IF(ISERROR(VLOOKUP(S286,'unique org names'!A:C,3,FALSE)),S286,VLOOKUP(S286,'unique org names'!A:C,3,FALSE))
</f>
        <v>Public School Academies of Detroit</v>
      </c>
      <c r="U286" s="1" t="s">
        <v>598</v>
      </c>
      <c r="V286" s="1" t="s">
        <v>599</v>
      </c>
      <c r="W286" s="1" t="s">
        <v>44</v>
      </c>
      <c r="X286" s="1" t="s">
        <v>45</v>
      </c>
      <c r="Y286" s="1">
        <v>4.82023457E8</v>
      </c>
      <c r="AA286" s="1" t="s">
        <v>44</v>
      </c>
      <c r="AB286" s="1" t="s">
        <v>45</v>
      </c>
      <c r="AC286" s="1">
        <v>4.82023457E8</v>
      </c>
      <c r="AD286" s="1">
        <v>1.6338926E8</v>
      </c>
      <c r="AE286" s="1" t="s">
        <v>465</v>
      </c>
      <c r="AF286" s="1">
        <v>56089.77</v>
      </c>
      <c r="AG286" s="2">
        <v>41242.0</v>
      </c>
      <c r="AH286" s="1">
        <v>1200.0</v>
      </c>
      <c r="AI286" s="1" t="s">
        <v>647</v>
      </c>
      <c r="AJ286" s="1" t="s">
        <v>894</v>
      </c>
      <c r="AK286" s="1" t="s">
        <v>712</v>
      </c>
      <c r="AL286" s="1">
        <v>8.0</v>
      </c>
      <c r="AM286" s="1">
        <v>2013.0</v>
      </c>
      <c r="AN286" s="1">
        <v>2013.0</v>
      </c>
      <c r="AO286" s="1" t="s">
        <v>713</v>
      </c>
    </row>
    <row r="287">
      <c r="A287" s="5">
        <v>1.0</v>
      </c>
      <c r="B287" s="1">
        <f t="shared" si="1"/>
        <v>287</v>
      </c>
      <c r="C287" s="1" t="s">
        <v>709</v>
      </c>
      <c r="D287" s="1" t="s">
        <v>709</v>
      </c>
      <c r="E287" s="1" t="s">
        <v>645</v>
      </c>
      <c r="G287" s="1">
        <v>4.44297088E8</v>
      </c>
      <c r="H287" s="2">
        <v>41193.0</v>
      </c>
      <c r="I287" s="1" t="s">
        <v>710</v>
      </c>
      <c r="K287" s="1" t="s">
        <v>710</v>
      </c>
      <c r="N287" s="1" t="s">
        <v>647</v>
      </c>
      <c r="O287" s="1">
        <v>1200.0</v>
      </c>
      <c r="P287" s="1" t="s">
        <v>647</v>
      </c>
      <c r="Q287" s="1" t="str">
        <f>IF(ISERROR(VLOOKUP(P287,'unique fed agency names'!A:C,3,FALSE)),P287,VLOOKUP(P287,'unique fed agency names'!A:C,3,FALSE))
</f>
        <v>U.S. Department of Agriculture (USDA)</v>
      </c>
      <c r="R287" s="1">
        <v>8.31014068E8</v>
      </c>
      <c r="S287" s="1" t="s">
        <v>515</v>
      </c>
      <c r="T287" s="1" t="str">
        <f>IF(ISERROR(VLOOKUP(S287,'unique org names'!A:C,3,FALSE)),S287,VLOOKUP(S287,'unique org names'!A:C,3,FALSE))
</f>
        <v>DETROIT PREMIER ACADEMY</v>
      </c>
      <c r="V287" s="1" t="s">
        <v>516</v>
      </c>
      <c r="W287" s="1" t="s">
        <v>44</v>
      </c>
      <c r="X287" s="1" t="s">
        <v>45</v>
      </c>
      <c r="Y287" s="1">
        <v>4.82283685E8</v>
      </c>
      <c r="AA287" s="1" t="s">
        <v>46</v>
      </c>
      <c r="AB287" s="1" t="s">
        <v>45</v>
      </c>
      <c r="AC287" s="1">
        <v>4.82283685E8</v>
      </c>
      <c r="AD287" s="1">
        <v>9.60742484E8</v>
      </c>
      <c r="AF287" s="1">
        <v>155688.94</v>
      </c>
      <c r="AG287" s="2">
        <v>41193.0</v>
      </c>
      <c r="AH287" s="1">
        <v>1200.0</v>
      </c>
      <c r="AI287" s="1" t="s">
        <v>647</v>
      </c>
      <c r="AJ287" s="1" t="s">
        <v>895</v>
      </c>
      <c r="AK287" s="1" t="s">
        <v>712</v>
      </c>
      <c r="AL287" s="1">
        <v>8.0</v>
      </c>
      <c r="AM287" s="1">
        <v>2013.0</v>
      </c>
      <c r="AN287" s="1">
        <v>2013.0</v>
      </c>
      <c r="AO287" s="1" t="s">
        <v>713</v>
      </c>
    </row>
    <row r="288">
      <c r="A288" s="5">
        <v>1.0</v>
      </c>
      <c r="B288" s="1">
        <f t="shared" si="1"/>
        <v>288</v>
      </c>
      <c r="C288" s="1" t="s">
        <v>709</v>
      </c>
      <c r="D288" s="1" t="s">
        <v>709</v>
      </c>
      <c r="E288" s="1" t="s">
        <v>645</v>
      </c>
      <c r="G288" s="1">
        <v>4.44297088E8</v>
      </c>
      <c r="H288" s="2">
        <v>41207.0</v>
      </c>
      <c r="I288" s="1" t="s">
        <v>710</v>
      </c>
      <c r="K288" s="1" t="s">
        <v>710</v>
      </c>
      <c r="N288" s="1" t="s">
        <v>647</v>
      </c>
      <c r="O288" s="1">
        <v>1200.0</v>
      </c>
      <c r="P288" s="1" t="s">
        <v>647</v>
      </c>
      <c r="Q288" s="1" t="str">
        <f>IF(ISERROR(VLOOKUP(P288,'unique fed agency names'!A:C,3,FALSE)),P288,VLOOKUP(P288,'unique fed agency names'!A:C,3,FALSE))
</f>
        <v>U.S. Department of Agriculture (USDA)</v>
      </c>
      <c r="R288" s="1">
        <v>7.6340843E7</v>
      </c>
      <c r="S288" s="1" t="s">
        <v>461</v>
      </c>
      <c r="T288" s="1" t="str">
        <f>IF(ISERROR(VLOOKUP(S288,'unique org names'!A:C,3,FALSE)),S288,VLOOKUP(S288,'unique org names'!A:C,3,FALSE))
</f>
        <v>BOARD OF EDUCATION OF THE CITY OF DETROIT</v>
      </c>
      <c r="U288" s="1" t="s">
        <v>459</v>
      </c>
      <c r="V288" s="1" t="s">
        <v>524</v>
      </c>
      <c r="W288" s="1" t="s">
        <v>44</v>
      </c>
      <c r="X288" s="1" t="s">
        <v>45</v>
      </c>
      <c r="Y288" s="1">
        <v>4.82023046E8</v>
      </c>
      <c r="AA288" s="1" t="s">
        <v>44</v>
      </c>
      <c r="AB288" s="1" t="s">
        <v>45</v>
      </c>
      <c r="AC288" s="1">
        <v>4.82023096E8</v>
      </c>
      <c r="AD288" s="1">
        <v>7.6340843E7</v>
      </c>
      <c r="AE288" s="1" t="s">
        <v>461</v>
      </c>
      <c r="AF288" s="3">
        <v>1.183353565E7</v>
      </c>
      <c r="AG288" s="2">
        <v>41207.0</v>
      </c>
      <c r="AH288" s="1">
        <v>1200.0</v>
      </c>
      <c r="AI288" s="1" t="s">
        <v>647</v>
      </c>
      <c r="AJ288" s="1" t="s">
        <v>896</v>
      </c>
      <c r="AK288" s="1" t="s">
        <v>712</v>
      </c>
      <c r="AL288" s="1">
        <v>8.0</v>
      </c>
      <c r="AM288" s="1">
        <v>2013.0</v>
      </c>
      <c r="AN288" s="1">
        <v>2013.0</v>
      </c>
      <c r="AO288" s="1" t="s">
        <v>713</v>
      </c>
    </row>
    <row r="289">
      <c r="A289" s="5">
        <v>1.0</v>
      </c>
      <c r="B289" s="1">
        <f t="shared" si="1"/>
        <v>289</v>
      </c>
      <c r="C289" s="1" t="s">
        <v>709</v>
      </c>
      <c r="D289" s="1" t="s">
        <v>709</v>
      </c>
      <c r="E289" s="1" t="s">
        <v>645</v>
      </c>
      <c r="G289" s="1">
        <v>4.44297088E8</v>
      </c>
      <c r="H289" s="2">
        <v>41207.0</v>
      </c>
      <c r="I289" s="1" t="s">
        <v>710</v>
      </c>
      <c r="K289" s="1" t="s">
        <v>710</v>
      </c>
      <c r="N289" s="1" t="s">
        <v>647</v>
      </c>
      <c r="O289" s="1">
        <v>1200.0</v>
      </c>
      <c r="P289" s="1" t="s">
        <v>647</v>
      </c>
      <c r="Q289" s="1" t="str">
        <f>IF(ISERROR(VLOOKUP(P289,'unique fed agency names'!A:C,3,FALSE)),P289,VLOOKUP(P289,'unique fed agency names'!A:C,3,FALSE))
</f>
        <v>U.S. Department of Agriculture (USDA)</v>
      </c>
      <c r="R289" s="1">
        <v>9.26909602E8</v>
      </c>
      <c r="S289" s="1" t="s">
        <v>897</v>
      </c>
      <c r="T289" s="1" t="str">
        <f>IF(ISERROR(VLOOKUP(S289,'unique org names'!A:C,3,FALSE)),S289,VLOOKUP(S289,'unique org names'!A:C,3,FALSE))
</f>
        <v>Brightminds Childcare Center</v>
      </c>
      <c r="V289" s="1" t="s">
        <v>898</v>
      </c>
      <c r="W289" s="1" t="s">
        <v>44</v>
      </c>
      <c r="X289" s="1" t="s">
        <v>45</v>
      </c>
      <c r="Y289" s="1">
        <v>4.82283509E8</v>
      </c>
      <c r="AA289" s="1" t="s">
        <v>44</v>
      </c>
      <c r="AB289" s="1" t="s">
        <v>45</v>
      </c>
      <c r="AC289" s="1">
        <v>4.82283509E8</v>
      </c>
      <c r="AF289" s="1">
        <v>40820.59</v>
      </c>
      <c r="AG289" s="2">
        <v>41207.0</v>
      </c>
      <c r="AH289" s="1">
        <v>1200.0</v>
      </c>
      <c r="AI289" s="1" t="s">
        <v>647</v>
      </c>
      <c r="AJ289" s="1" t="s">
        <v>899</v>
      </c>
      <c r="AK289" s="1" t="s">
        <v>712</v>
      </c>
      <c r="AL289" s="1">
        <v>8.0</v>
      </c>
      <c r="AM289" s="1">
        <v>2013.0</v>
      </c>
      <c r="AN289" s="1">
        <v>2013.0</v>
      </c>
      <c r="AO289" s="1" t="s">
        <v>713</v>
      </c>
    </row>
    <row r="290">
      <c r="A290" s="5">
        <v>1.0</v>
      </c>
      <c r="B290" s="1">
        <f t="shared" si="1"/>
        <v>290</v>
      </c>
      <c r="C290" s="1" t="s">
        <v>709</v>
      </c>
      <c r="D290" s="1" t="s">
        <v>709</v>
      </c>
      <c r="E290" s="1" t="s">
        <v>645</v>
      </c>
      <c r="G290" s="1">
        <v>4.44297088E8</v>
      </c>
      <c r="H290" s="2">
        <v>41200.0</v>
      </c>
      <c r="I290" s="1" t="s">
        <v>710</v>
      </c>
      <c r="K290" s="1" t="s">
        <v>710</v>
      </c>
      <c r="N290" s="1" t="s">
        <v>647</v>
      </c>
      <c r="O290" s="1">
        <v>1200.0</v>
      </c>
      <c r="P290" s="1" t="s">
        <v>647</v>
      </c>
      <c r="Q290" s="1" t="str">
        <f>IF(ISERROR(VLOOKUP(P290,'unique fed agency names'!A:C,3,FALSE)),P290,VLOOKUP(P290,'unique fed agency names'!A:C,3,FALSE))
</f>
        <v>U.S. Department of Agriculture (USDA)</v>
      </c>
      <c r="R290" s="1">
        <v>7.8634042E7</v>
      </c>
      <c r="S290" s="1" t="s">
        <v>473</v>
      </c>
      <c r="T290" s="1" t="str">
        <f>IF(ISERROR(VLOOKUP(S290,'unique org names'!A:C,3,FALSE)),S290,VLOOKUP(S290,'unique org names'!A:C,3,FALSE))
</f>
        <v>Hamilton Eman Academy</v>
      </c>
      <c r="V290" s="1" t="s">
        <v>475</v>
      </c>
      <c r="W290" s="1" t="s">
        <v>44</v>
      </c>
      <c r="X290" s="1" t="s">
        <v>45</v>
      </c>
      <c r="Y290" s="1">
        <v>4.82133744E8</v>
      </c>
      <c r="AA290" s="1" t="s">
        <v>46</v>
      </c>
      <c r="AB290" s="1" t="s">
        <v>45</v>
      </c>
      <c r="AC290" s="1">
        <v>4.82133744E8</v>
      </c>
      <c r="AF290" s="1">
        <v>42093.51</v>
      </c>
      <c r="AG290" s="2">
        <v>41200.0</v>
      </c>
      <c r="AH290" s="1">
        <v>1200.0</v>
      </c>
      <c r="AI290" s="1" t="s">
        <v>647</v>
      </c>
      <c r="AJ290" s="1" t="s">
        <v>900</v>
      </c>
      <c r="AK290" s="1" t="s">
        <v>712</v>
      </c>
      <c r="AL290" s="1">
        <v>8.0</v>
      </c>
      <c r="AM290" s="1">
        <v>2013.0</v>
      </c>
      <c r="AN290" s="1">
        <v>2013.0</v>
      </c>
      <c r="AO290" s="1" t="s">
        <v>713</v>
      </c>
    </row>
    <row r="291">
      <c r="A291" s="5">
        <v>1.0</v>
      </c>
      <c r="B291" s="1">
        <f t="shared" si="1"/>
        <v>291</v>
      </c>
      <c r="C291" s="1" t="s">
        <v>709</v>
      </c>
      <c r="D291" s="1" t="s">
        <v>709</v>
      </c>
      <c r="E291" s="1" t="s">
        <v>645</v>
      </c>
      <c r="G291" s="1">
        <v>4.44297088E8</v>
      </c>
      <c r="H291" s="2">
        <v>41186.0</v>
      </c>
      <c r="I291" s="1" t="s">
        <v>710</v>
      </c>
      <c r="K291" s="1" t="s">
        <v>710</v>
      </c>
      <c r="N291" s="1" t="s">
        <v>647</v>
      </c>
      <c r="O291" s="1">
        <v>1200.0</v>
      </c>
      <c r="P291" s="1" t="s">
        <v>647</v>
      </c>
      <c r="Q291" s="1" t="str">
        <f>IF(ISERROR(VLOOKUP(P291,'unique fed agency names'!A:C,3,FALSE)),P291,VLOOKUP(P291,'unique fed agency names'!A:C,3,FALSE))
</f>
        <v>U.S. Department of Agriculture (USDA)</v>
      </c>
      <c r="R291" s="1">
        <v>8.59589231E8</v>
      </c>
      <c r="S291" s="1" t="s">
        <v>901</v>
      </c>
      <c r="T291" s="1" t="str">
        <f>IF(ISERROR(VLOOKUP(S291,'unique org names'!A:C,3,FALSE)),S291,VLOOKUP(S291,'unique org names'!A:C,3,FALSE))
</f>
        <v>Pebbles Development Center LLC</v>
      </c>
      <c r="V291" s="1" t="s">
        <v>902</v>
      </c>
      <c r="W291" s="1" t="s">
        <v>44</v>
      </c>
      <c r="X291" s="1" t="s">
        <v>45</v>
      </c>
      <c r="Y291" s="1">
        <v>4.82391326E8</v>
      </c>
      <c r="AA291" s="1" t="s">
        <v>903</v>
      </c>
      <c r="AB291" s="1" t="s">
        <v>45</v>
      </c>
      <c r="AC291" s="1">
        <v>4.82391326E8</v>
      </c>
      <c r="AF291" s="1">
        <v>68916.24</v>
      </c>
      <c r="AG291" s="2">
        <v>41186.0</v>
      </c>
      <c r="AH291" s="1">
        <v>1200.0</v>
      </c>
      <c r="AI291" s="1" t="s">
        <v>647</v>
      </c>
      <c r="AJ291" s="1" t="s">
        <v>904</v>
      </c>
      <c r="AK291" s="1" t="s">
        <v>712</v>
      </c>
      <c r="AL291" s="1">
        <v>8.0</v>
      </c>
      <c r="AM291" s="1">
        <v>2013.0</v>
      </c>
      <c r="AN291" s="1">
        <v>2013.0</v>
      </c>
      <c r="AO291" s="1" t="s">
        <v>713</v>
      </c>
    </row>
    <row r="292">
      <c r="A292" s="5">
        <v>1.0</v>
      </c>
      <c r="B292" s="1">
        <f t="shared" si="1"/>
        <v>292</v>
      </c>
      <c r="C292" s="1" t="s">
        <v>709</v>
      </c>
      <c r="D292" s="1" t="s">
        <v>709</v>
      </c>
      <c r="E292" s="1" t="s">
        <v>645</v>
      </c>
      <c r="G292" s="1">
        <v>4.44297088E8</v>
      </c>
      <c r="H292" s="2">
        <v>41242.0</v>
      </c>
      <c r="I292" s="1" t="s">
        <v>710</v>
      </c>
      <c r="K292" s="1" t="s">
        <v>710</v>
      </c>
      <c r="N292" s="1" t="s">
        <v>647</v>
      </c>
      <c r="O292" s="1">
        <v>1200.0</v>
      </c>
      <c r="P292" s="1" t="s">
        <v>647</v>
      </c>
      <c r="Q292" s="1" t="str">
        <f>IF(ISERROR(VLOOKUP(P292,'unique fed agency names'!A:C,3,FALSE)),P292,VLOOKUP(P292,'unique fed agency names'!A:C,3,FALSE))
</f>
        <v>U.S. Department of Agriculture (USDA)</v>
      </c>
      <c r="R292" s="1">
        <v>6.6707493E7</v>
      </c>
      <c r="S292" s="1" t="s">
        <v>541</v>
      </c>
      <c r="T292" s="1" t="str">
        <f>IF(ISERROR(VLOOKUP(S292,'unique org names'!A:C,3,FALSE)),S292,VLOOKUP(S292,'unique org names'!A:C,3,FALSE))
</f>
        <v>HOPE OF DETROIT ACADEMY</v>
      </c>
      <c r="V292" s="1" t="s">
        <v>542</v>
      </c>
      <c r="W292" s="1" t="s">
        <v>44</v>
      </c>
      <c r="X292" s="1" t="s">
        <v>45</v>
      </c>
      <c r="Y292" s="1">
        <v>4.8210252E8</v>
      </c>
      <c r="AA292" s="1" t="s">
        <v>44</v>
      </c>
      <c r="AB292" s="1" t="s">
        <v>45</v>
      </c>
      <c r="AC292" s="1">
        <v>4.8210252E8</v>
      </c>
      <c r="AF292" s="1">
        <v>29705.49</v>
      </c>
      <c r="AG292" s="2">
        <v>41242.0</v>
      </c>
      <c r="AH292" s="1">
        <v>1200.0</v>
      </c>
      <c r="AI292" s="1" t="s">
        <v>647</v>
      </c>
      <c r="AJ292" s="1" t="s">
        <v>905</v>
      </c>
      <c r="AK292" s="1" t="s">
        <v>712</v>
      </c>
      <c r="AL292" s="1">
        <v>8.0</v>
      </c>
      <c r="AM292" s="1">
        <v>2013.0</v>
      </c>
      <c r="AN292" s="1">
        <v>2013.0</v>
      </c>
      <c r="AO292" s="1" t="s">
        <v>713</v>
      </c>
    </row>
    <row r="293">
      <c r="A293" s="5">
        <v>1.0</v>
      </c>
      <c r="B293" s="1">
        <f t="shared" si="1"/>
        <v>293</v>
      </c>
      <c r="C293" s="1" t="s">
        <v>709</v>
      </c>
      <c r="D293" s="1" t="s">
        <v>709</v>
      </c>
      <c r="E293" s="1" t="s">
        <v>645</v>
      </c>
      <c r="G293" s="1">
        <v>4.44297088E8</v>
      </c>
      <c r="H293" s="2">
        <v>41200.0</v>
      </c>
      <c r="I293" s="1" t="s">
        <v>710</v>
      </c>
      <c r="K293" s="1" t="s">
        <v>710</v>
      </c>
      <c r="N293" s="1" t="s">
        <v>647</v>
      </c>
      <c r="O293" s="1">
        <v>1200.0</v>
      </c>
      <c r="P293" s="1" t="s">
        <v>647</v>
      </c>
      <c r="Q293" s="1" t="str">
        <f>IF(ISERROR(VLOOKUP(P293,'unique fed agency names'!A:C,3,FALSE)),P293,VLOOKUP(P293,'unique fed agency names'!A:C,3,FALSE))
</f>
        <v>U.S. Department of Agriculture (USDA)</v>
      </c>
      <c r="R293" s="1">
        <v>1.78318531E8</v>
      </c>
      <c r="S293" s="1" t="s">
        <v>906</v>
      </c>
      <c r="T293" s="1" t="str">
        <f>IF(ISERROR(VLOOKUP(S293,'unique org names'!A:C,3,FALSE)),S293,VLOOKUP(S293,'unique org names'!A:C,3,FALSE))
</f>
        <v>HARTFORD HEAD START AGENCY INC</v>
      </c>
      <c r="V293" s="1" t="s">
        <v>907</v>
      </c>
      <c r="W293" s="1" t="s">
        <v>44</v>
      </c>
      <c r="X293" s="1" t="s">
        <v>45</v>
      </c>
      <c r="Y293" s="1">
        <v>4.82351717E8</v>
      </c>
      <c r="AA293" s="1" t="s">
        <v>44</v>
      </c>
      <c r="AB293" s="1" t="s">
        <v>45</v>
      </c>
      <c r="AC293" s="1">
        <v>4.82351717E8</v>
      </c>
      <c r="AD293" s="1">
        <v>1.78318531E8</v>
      </c>
      <c r="AE293" s="1" t="s">
        <v>906</v>
      </c>
      <c r="AF293" s="1">
        <v>420996.56</v>
      </c>
      <c r="AG293" s="2">
        <v>41200.0</v>
      </c>
      <c r="AH293" s="1">
        <v>1200.0</v>
      </c>
      <c r="AI293" s="1" t="s">
        <v>647</v>
      </c>
      <c r="AJ293" s="1" t="s">
        <v>908</v>
      </c>
      <c r="AK293" s="1" t="s">
        <v>712</v>
      </c>
      <c r="AL293" s="1">
        <v>8.0</v>
      </c>
      <c r="AM293" s="1">
        <v>2013.0</v>
      </c>
      <c r="AN293" s="1">
        <v>2013.0</v>
      </c>
      <c r="AO293" s="1" t="s">
        <v>713</v>
      </c>
    </row>
    <row r="294">
      <c r="A294" s="5">
        <v>1.0</v>
      </c>
      <c r="B294" s="1">
        <f t="shared" si="1"/>
        <v>294</v>
      </c>
      <c r="C294" s="1" t="s">
        <v>709</v>
      </c>
      <c r="D294" s="1" t="s">
        <v>709</v>
      </c>
      <c r="E294" s="1" t="s">
        <v>645</v>
      </c>
      <c r="G294" s="1">
        <v>4.44297088E8</v>
      </c>
      <c r="H294" s="2">
        <v>41228.0</v>
      </c>
      <c r="I294" s="1" t="s">
        <v>710</v>
      </c>
      <c r="K294" s="1" t="s">
        <v>710</v>
      </c>
      <c r="N294" s="1" t="s">
        <v>647</v>
      </c>
      <c r="O294" s="1">
        <v>1200.0</v>
      </c>
      <c r="P294" s="1" t="s">
        <v>647</v>
      </c>
      <c r="Q294" s="1" t="str">
        <f>IF(ISERROR(VLOOKUP(P294,'unique fed agency names'!A:C,3,FALSE)),P294,VLOOKUP(P294,'unique fed agency names'!A:C,3,FALSE))
</f>
        <v>U.S. Department of Agriculture (USDA)</v>
      </c>
      <c r="R294" s="1">
        <v>7.97531279E8</v>
      </c>
      <c r="S294" s="1" t="s">
        <v>496</v>
      </c>
      <c r="T294" s="1" t="str">
        <f>IF(ISERROR(VLOOKUP(S294,'unique org names'!A:C,3,FALSE)),S294,VLOOKUP(S294,'unique org names'!A:C,3,FALSE))
</f>
        <v>BRIDGE ACADEMY</v>
      </c>
      <c r="V294" s="1" t="s">
        <v>497</v>
      </c>
      <c r="W294" s="1" t="s">
        <v>44</v>
      </c>
      <c r="X294" s="1" t="s">
        <v>45</v>
      </c>
      <c r="Y294" s="1">
        <v>4.82123323E8</v>
      </c>
      <c r="AA294" s="1" t="s">
        <v>498</v>
      </c>
      <c r="AB294" s="1" t="s">
        <v>45</v>
      </c>
      <c r="AC294" s="1">
        <v>4.82123323E8</v>
      </c>
      <c r="AF294" s="1">
        <v>145878.09</v>
      </c>
      <c r="AG294" s="2">
        <v>41228.0</v>
      </c>
      <c r="AH294" s="1">
        <v>1200.0</v>
      </c>
      <c r="AI294" s="1" t="s">
        <v>647</v>
      </c>
      <c r="AJ294" s="1" t="s">
        <v>909</v>
      </c>
      <c r="AK294" s="1" t="s">
        <v>712</v>
      </c>
      <c r="AL294" s="1">
        <v>8.0</v>
      </c>
      <c r="AM294" s="1">
        <v>2013.0</v>
      </c>
      <c r="AN294" s="1">
        <v>2013.0</v>
      </c>
      <c r="AO294" s="1" t="s">
        <v>713</v>
      </c>
    </row>
    <row r="295">
      <c r="A295" s="5">
        <v>1.0</v>
      </c>
      <c r="B295" s="1">
        <f t="shared" si="1"/>
        <v>295</v>
      </c>
      <c r="C295" s="1" t="s">
        <v>709</v>
      </c>
      <c r="D295" s="1" t="s">
        <v>709</v>
      </c>
      <c r="E295" s="1" t="s">
        <v>645</v>
      </c>
      <c r="G295" s="1">
        <v>4.44297088E8</v>
      </c>
      <c r="H295" s="2">
        <v>41193.0</v>
      </c>
      <c r="I295" s="1" t="s">
        <v>710</v>
      </c>
      <c r="K295" s="1" t="s">
        <v>710</v>
      </c>
      <c r="N295" s="1" t="s">
        <v>647</v>
      </c>
      <c r="O295" s="1">
        <v>1200.0</v>
      </c>
      <c r="P295" s="1" t="s">
        <v>647</v>
      </c>
      <c r="Q295" s="1" t="str">
        <f>IF(ISERROR(VLOOKUP(P295,'unique fed agency names'!A:C,3,FALSE)),P295,VLOOKUP(P295,'unique fed agency names'!A:C,3,FALSE))
</f>
        <v>U.S. Department of Agriculture (USDA)</v>
      </c>
      <c r="R295" s="1">
        <v>7.93697355E8</v>
      </c>
      <c r="S295" s="1" t="s">
        <v>691</v>
      </c>
      <c r="T295" s="1" t="str">
        <f>IF(ISERROR(VLOOKUP(S295,'unique org names'!A:C,3,FALSE)),S295,VLOOKUP(S295,'unique org names'!A:C,3,FALSE))
</f>
        <v>OAKLAND INTERNATIONAL ACADEMY</v>
      </c>
      <c r="V295" s="1" t="s">
        <v>692</v>
      </c>
      <c r="W295" s="1" t="s">
        <v>44</v>
      </c>
      <c r="X295" s="1" t="s">
        <v>45</v>
      </c>
      <c r="Y295" s="1">
        <v>4.82111554E8</v>
      </c>
      <c r="AA295" s="1" t="s">
        <v>44</v>
      </c>
      <c r="AB295" s="1" t="s">
        <v>45</v>
      </c>
      <c r="AC295" s="1">
        <v>4.82111552E8</v>
      </c>
      <c r="AF295" s="1">
        <v>312334.56</v>
      </c>
      <c r="AG295" s="2">
        <v>41193.0</v>
      </c>
      <c r="AH295" s="1">
        <v>1200.0</v>
      </c>
      <c r="AI295" s="1" t="s">
        <v>647</v>
      </c>
      <c r="AJ295" s="1" t="s">
        <v>910</v>
      </c>
      <c r="AK295" s="1" t="s">
        <v>712</v>
      </c>
      <c r="AL295" s="1">
        <v>8.0</v>
      </c>
      <c r="AM295" s="1">
        <v>2013.0</v>
      </c>
      <c r="AN295" s="1">
        <v>2013.0</v>
      </c>
      <c r="AO295" s="1" t="s">
        <v>713</v>
      </c>
    </row>
    <row r="296">
      <c r="A296" s="5">
        <v>1.0</v>
      </c>
      <c r="B296" s="1">
        <f t="shared" si="1"/>
        <v>296</v>
      </c>
      <c r="C296" s="1" t="s">
        <v>911</v>
      </c>
      <c r="D296" s="1" t="s">
        <v>911</v>
      </c>
      <c r="E296" s="1" t="s">
        <v>38</v>
      </c>
      <c r="G296" s="1">
        <v>1673811.0</v>
      </c>
      <c r="H296" s="2">
        <v>41499.0</v>
      </c>
      <c r="I296" s="1" t="s">
        <v>912</v>
      </c>
      <c r="K296" s="1" t="s">
        <v>912</v>
      </c>
      <c r="N296" s="1" t="s">
        <v>40</v>
      </c>
      <c r="O296" s="1">
        <v>7500.0</v>
      </c>
      <c r="P296" s="1" t="s">
        <v>40</v>
      </c>
      <c r="Q296" s="1" t="str">
        <f>IF(ISERROR(VLOOKUP(P296,'unique fed agency names'!A:C,3,FALSE)),P296,VLOOKUP(P296,'unique fed agency names'!A:C,3,FALSE))
</f>
        <v>U.S. Department of Health and Human Services (DHHS)</v>
      </c>
      <c r="R296" s="1">
        <v>7.3134603E7</v>
      </c>
      <c r="S296" s="1" t="s">
        <v>41</v>
      </c>
      <c r="T296" s="1" t="str">
        <f>IF(ISERROR(VLOOKUP(S296,'unique org names'!A:C,3,FALSE)),S296,VLOOKUP(S296,'unique org names'!A:C,3,FALSE))
</f>
        <v>Henry Ford Health System</v>
      </c>
      <c r="U296" s="1" t="s">
        <v>252</v>
      </c>
      <c r="V296" s="1" t="s">
        <v>253</v>
      </c>
      <c r="W296" s="1" t="s">
        <v>44</v>
      </c>
      <c r="X296" s="1" t="s">
        <v>45</v>
      </c>
      <c r="Y296" s="1">
        <v>4.8202345E8</v>
      </c>
      <c r="AA296" s="1" t="s">
        <v>46</v>
      </c>
      <c r="AB296" s="1" t="s">
        <v>45</v>
      </c>
      <c r="AC296" s="1">
        <v>4.82022689E8</v>
      </c>
      <c r="AD296" s="1">
        <v>7.3134603E7</v>
      </c>
      <c r="AE296" s="1" t="s">
        <v>41</v>
      </c>
      <c r="AF296" s="1">
        <v>186595.0</v>
      </c>
      <c r="AG296" s="2">
        <v>41499.0</v>
      </c>
      <c r="AH296" s="1">
        <v>7500.0</v>
      </c>
      <c r="AI296" s="1" t="s">
        <v>40</v>
      </c>
      <c r="AJ296" s="1" t="s">
        <v>913</v>
      </c>
      <c r="AK296" s="1" t="s">
        <v>914</v>
      </c>
      <c r="AL296" s="1">
        <v>8.0</v>
      </c>
      <c r="AM296" s="1">
        <v>2013.0</v>
      </c>
      <c r="AN296" s="1">
        <v>2013.0</v>
      </c>
      <c r="AO296" s="1" t="s">
        <v>256</v>
      </c>
    </row>
    <row r="297">
      <c r="A297" s="5">
        <v>1.0</v>
      </c>
      <c r="B297" s="1">
        <f t="shared" si="1"/>
        <v>297</v>
      </c>
      <c r="C297" s="1" t="s">
        <v>709</v>
      </c>
      <c r="D297" s="1" t="s">
        <v>709</v>
      </c>
      <c r="E297" s="1" t="s">
        <v>645</v>
      </c>
      <c r="G297" s="1">
        <v>4.44297088E8</v>
      </c>
      <c r="H297" s="2">
        <v>41193.0</v>
      </c>
      <c r="I297" s="1" t="s">
        <v>710</v>
      </c>
      <c r="K297" s="1" t="s">
        <v>710</v>
      </c>
      <c r="N297" s="1" t="s">
        <v>647</v>
      </c>
      <c r="O297" s="1">
        <v>1200.0</v>
      </c>
      <c r="P297" s="1" t="s">
        <v>647</v>
      </c>
      <c r="Q297" s="1" t="str">
        <f>IF(ISERROR(VLOOKUP(P297,'unique fed agency names'!A:C,3,FALSE)),P297,VLOOKUP(P297,'unique fed agency names'!A:C,3,FALSE))
</f>
        <v>U.S. Department of Agriculture (USDA)</v>
      </c>
      <c r="R297" s="1">
        <v>1.10601841E8</v>
      </c>
      <c r="S297" s="1" t="s">
        <v>915</v>
      </c>
      <c r="T297" s="1" t="str">
        <f>IF(ISERROR(VLOOKUP(S297,'unique org names'!A:C,3,FALSE)),S297,VLOOKUP(S297,'unique org names'!A:C,3,FALSE))
</f>
        <v>A&amp;W DAY CARE ,INC</v>
      </c>
      <c r="U297" s="1" t="s">
        <v>916</v>
      </c>
      <c r="V297" s="1" t="s">
        <v>917</v>
      </c>
      <c r="W297" s="1" t="s">
        <v>44</v>
      </c>
      <c r="X297" s="1" t="s">
        <v>45</v>
      </c>
      <c r="Y297" s="1">
        <v>4.82283719E8</v>
      </c>
      <c r="AA297" s="1" t="s">
        <v>44</v>
      </c>
      <c r="AB297" s="1" t="s">
        <v>45</v>
      </c>
      <c r="AC297" s="1">
        <v>4.82283719E8</v>
      </c>
      <c r="AF297" s="1">
        <v>74962.11</v>
      </c>
      <c r="AG297" s="2">
        <v>41193.0</v>
      </c>
      <c r="AH297" s="1">
        <v>1200.0</v>
      </c>
      <c r="AI297" s="1" t="s">
        <v>647</v>
      </c>
      <c r="AJ297" s="1" t="s">
        <v>918</v>
      </c>
      <c r="AK297" s="1" t="s">
        <v>712</v>
      </c>
      <c r="AL297" s="1">
        <v>8.0</v>
      </c>
      <c r="AM297" s="1">
        <v>2013.0</v>
      </c>
      <c r="AN297" s="1">
        <v>2013.0</v>
      </c>
      <c r="AO297" s="1" t="s">
        <v>713</v>
      </c>
    </row>
    <row r="298">
      <c r="A298" s="5">
        <v>1.0</v>
      </c>
      <c r="B298" s="1">
        <f t="shared" si="1"/>
        <v>298</v>
      </c>
      <c r="C298" s="1" t="s">
        <v>709</v>
      </c>
      <c r="D298" s="1" t="s">
        <v>709</v>
      </c>
      <c r="E298" s="1" t="s">
        <v>645</v>
      </c>
      <c r="G298" s="1">
        <v>4.44297088E8</v>
      </c>
      <c r="H298" s="2">
        <v>41249.0</v>
      </c>
      <c r="I298" s="1" t="s">
        <v>710</v>
      </c>
      <c r="K298" s="1" t="s">
        <v>710</v>
      </c>
      <c r="N298" s="1" t="s">
        <v>647</v>
      </c>
      <c r="O298" s="1">
        <v>1200.0</v>
      </c>
      <c r="P298" s="1" t="s">
        <v>647</v>
      </c>
      <c r="Q298" s="1" t="str">
        <f>IF(ISERROR(VLOOKUP(P298,'unique fed agency names'!A:C,3,FALSE)),P298,VLOOKUP(P298,'unique fed agency names'!A:C,3,FALSE))
</f>
        <v>U.S. Department of Agriculture (USDA)</v>
      </c>
      <c r="R298" s="1">
        <v>8.76992343E8</v>
      </c>
      <c r="S298" s="1" t="s">
        <v>550</v>
      </c>
      <c r="T298" s="1" t="str">
        <f>IF(ISERROR(VLOOKUP(S298,'unique org names'!A:C,3,FALSE)),S298,VLOOKUP(S298,'unique org names'!A:C,3,FALSE))
</f>
        <v>VOYAGEUR ACADEMY</v>
      </c>
      <c r="V298" s="1" t="s">
        <v>551</v>
      </c>
      <c r="W298" s="1" t="s">
        <v>44</v>
      </c>
      <c r="X298" s="1" t="s">
        <v>45</v>
      </c>
      <c r="Y298" s="1">
        <v>4.82102451E8</v>
      </c>
      <c r="AA298" s="1" t="s">
        <v>44</v>
      </c>
      <c r="AB298" s="1" t="s">
        <v>45</v>
      </c>
      <c r="AC298" s="1">
        <v>4.82102451E8</v>
      </c>
      <c r="AF298" s="1">
        <v>27963.58</v>
      </c>
      <c r="AG298" s="2">
        <v>41249.0</v>
      </c>
      <c r="AH298" s="1">
        <v>1200.0</v>
      </c>
      <c r="AI298" s="1" t="s">
        <v>647</v>
      </c>
      <c r="AJ298" s="1" t="s">
        <v>919</v>
      </c>
      <c r="AK298" s="1" t="s">
        <v>712</v>
      </c>
      <c r="AL298" s="1">
        <v>8.0</v>
      </c>
      <c r="AM298" s="1">
        <v>2013.0</v>
      </c>
      <c r="AN298" s="1">
        <v>2013.0</v>
      </c>
      <c r="AO298" s="1" t="s">
        <v>713</v>
      </c>
    </row>
    <row r="299">
      <c r="A299" s="5">
        <v>1.0</v>
      </c>
      <c r="B299" s="1">
        <f t="shared" si="1"/>
        <v>299</v>
      </c>
      <c r="C299" s="1" t="s">
        <v>709</v>
      </c>
      <c r="D299" s="1" t="s">
        <v>709</v>
      </c>
      <c r="E299" s="1" t="s">
        <v>645</v>
      </c>
      <c r="G299" s="1">
        <v>4.44297088E8</v>
      </c>
      <c r="H299" s="2">
        <v>41193.0</v>
      </c>
      <c r="I299" s="1" t="s">
        <v>710</v>
      </c>
      <c r="K299" s="1" t="s">
        <v>710</v>
      </c>
      <c r="N299" s="1" t="s">
        <v>647</v>
      </c>
      <c r="O299" s="1">
        <v>1200.0</v>
      </c>
      <c r="P299" s="1" t="s">
        <v>647</v>
      </c>
      <c r="Q299" s="1" t="str">
        <f>IF(ISERROR(VLOOKUP(P299,'unique fed agency names'!A:C,3,FALSE)),P299,VLOOKUP(P299,'unique fed agency names'!A:C,3,FALSE))
</f>
        <v>U.S. Department of Agriculture (USDA)</v>
      </c>
      <c r="R299" s="1">
        <v>9.6910162E8</v>
      </c>
      <c r="S299" s="1" t="s">
        <v>579</v>
      </c>
      <c r="T299" s="1" t="str">
        <f>IF(ISERROR(VLOOKUP(S299,'unique org names'!A:C,3,FALSE)),S299,VLOOKUP(S299,'unique org names'!A:C,3,FALSE))
</f>
        <v>AMERICAN INTERNATIONAL ACADEMY, INC.</v>
      </c>
      <c r="V299" s="1" t="s">
        <v>580</v>
      </c>
      <c r="W299" s="1" t="s">
        <v>44</v>
      </c>
      <c r="X299" s="1" t="s">
        <v>45</v>
      </c>
      <c r="Y299" s="1">
        <v>4.82283905E8</v>
      </c>
      <c r="AA299" s="1" t="s">
        <v>287</v>
      </c>
      <c r="AB299" s="1" t="s">
        <v>45</v>
      </c>
      <c r="AC299" s="1">
        <v>4.82283905E8</v>
      </c>
      <c r="AF299" s="1">
        <v>47048.72</v>
      </c>
      <c r="AG299" s="2">
        <v>41193.0</v>
      </c>
      <c r="AH299" s="1">
        <v>1200.0</v>
      </c>
      <c r="AI299" s="1" t="s">
        <v>647</v>
      </c>
      <c r="AJ299" s="1" t="s">
        <v>920</v>
      </c>
      <c r="AK299" s="1" t="s">
        <v>712</v>
      </c>
      <c r="AL299" s="1">
        <v>8.0</v>
      </c>
      <c r="AM299" s="1">
        <v>2013.0</v>
      </c>
      <c r="AN299" s="1">
        <v>2013.0</v>
      </c>
      <c r="AO299" s="1" t="s">
        <v>713</v>
      </c>
    </row>
    <row r="300">
      <c r="A300" s="5">
        <v>1.0</v>
      </c>
      <c r="B300" s="1">
        <f t="shared" si="1"/>
        <v>300</v>
      </c>
      <c r="C300" s="1" t="s">
        <v>709</v>
      </c>
      <c r="D300" s="1" t="s">
        <v>709</v>
      </c>
      <c r="E300" s="1" t="s">
        <v>645</v>
      </c>
      <c r="G300" s="1">
        <v>4.44297088E8</v>
      </c>
      <c r="H300" s="2">
        <v>41234.0</v>
      </c>
      <c r="I300" s="1" t="s">
        <v>710</v>
      </c>
      <c r="K300" s="1" t="s">
        <v>710</v>
      </c>
      <c r="N300" s="1" t="s">
        <v>647</v>
      </c>
      <c r="O300" s="1">
        <v>1200.0</v>
      </c>
      <c r="P300" s="1" t="s">
        <v>647</v>
      </c>
      <c r="Q300" s="1" t="str">
        <f>IF(ISERROR(VLOOKUP(P300,'unique fed agency names'!A:C,3,FALSE)),P300,VLOOKUP(P300,'unique fed agency names'!A:C,3,FALSE))
</f>
        <v>U.S. Department of Agriculture (USDA)</v>
      </c>
      <c r="R300" s="1">
        <v>9.0912429E7</v>
      </c>
      <c r="S300" s="1" t="s">
        <v>521</v>
      </c>
      <c r="T300" s="1" t="str">
        <f>IF(ISERROR(VLOOKUP(S300,'unique org names'!A:C,3,FALSE)),S300,VLOOKUP(S300,'unique org names'!A:C,3,FALSE))
</f>
        <v>DETROIT COMMUNITY SCHOOLS</v>
      </c>
      <c r="V300" s="1" t="s">
        <v>522</v>
      </c>
      <c r="W300" s="1" t="s">
        <v>44</v>
      </c>
      <c r="X300" s="1" t="s">
        <v>45</v>
      </c>
      <c r="Y300" s="1">
        <v>4.82233314E8</v>
      </c>
      <c r="AA300" s="1" t="s">
        <v>44</v>
      </c>
      <c r="AB300" s="1" t="s">
        <v>45</v>
      </c>
      <c r="AC300" s="1">
        <v>4.82233314E8</v>
      </c>
      <c r="AF300" s="1">
        <v>82119.25</v>
      </c>
      <c r="AG300" s="2">
        <v>41234.0</v>
      </c>
      <c r="AH300" s="1">
        <v>1200.0</v>
      </c>
      <c r="AI300" s="1" t="s">
        <v>647</v>
      </c>
      <c r="AJ300" s="1" t="s">
        <v>921</v>
      </c>
      <c r="AK300" s="1" t="s">
        <v>712</v>
      </c>
      <c r="AL300" s="1">
        <v>8.0</v>
      </c>
      <c r="AM300" s="1">
        <v>2013.0</v>
      </c>
      <c r="AN300" s="1">
        <v>2013.0</v>
      </c>
      <c r="AO300" s="1" t="s">
        <v>713</v>
      </c>
    </row>
    <row r="301">
      <c r="A301" s="5">
        <v>1.0</v>
      </c>
      <c r="B301" s="1">
        <f t="shared" si="1"/>
        <v>301</v>
      </c>
      <c r="C301" s="1" t="s">
        <v>709</v>
      </c>
      <c r="D301" s="1" t="s">
        <v>709</v>
      </c>
      <c r="E301" s="1" t="s">
        <v>645</v>
      </c>
      <c r="G301" s="1">
        <v>4.44297088E8</v>
      </c>
      <c r="H301" s="2">
        <v>41200.0</v>
      </c>
      <c r="I301" s="1" t="s">
        <v>710</v>
      </c>
      <c r="K301" s="1" t="s">
        <v>710</v>
      </c>
      <c r="N301" s="1" t="s">
        <v>647</v>
      </c>
      <c r="O301" s="1">
        <v>1200.0</v>
      </c>
      <c r="P301" s="1" t="s">
        <v>647</v>
      </c>
      <c r="Q301" s="1" t="str">
        <f>IF(ISERROR(VLOOKUP(P301,'unique fed agency names'!A:C,3,FALSE)),P301,VLOOKUP(P301,'unique fed agency names'!A:C,3,FALSE))
</f>
        <v>U.S. Department of Agriculture (USDA)</v>
      </c>
      <c r="R301" s="1">
        <v>2.496865E7</v>
      </c>
      <c r="S301" s="1" t="s">
        <v>609</v>
      </c>
      <c r="T301" s="1" t="str">
        <f>IF(ISERROR(VLOOKUP(S301,'unique org names'!A:C,3,FALSE)),S301,VLOOKUP(S301,'unique org names'!A:C,3,FALSE))
</f>
        <v>Jalen Rose Leadership Academy</v>
      </c>
      <c r="V301" s="1" t="s">
        <v>610</v>
      </c>
      <c r="W301" s="1" t="s">
        <v>44</v>
      </c>
      <c r="X301" s="1" t="s">
        <v>45</v>
      </c>
      <c r="Y301" s="1">
        <v>4.8235168E8</v>
      </c>
      <c r="AA301" s="1" t="s">
        <v>46</v>
      </c>
      <c r="AB301" s="1" t="s">
        <v>45</v>
      </c>
      <c r="AC301" s="1">
        <v>4.8235168E8</v>
      </c>
      <c r="AF301" s="1">
        <v>46412.58</v>
      </c>
      <c r="AG301" s="2">
        <v>41200.0</v>
      </c>
      <c r="AH301" s="1">
        <v>1200.0</v>
      </c>
      <c r="AI301" s="1" t="s">
        <v>647</v>
      </c>
      <c r="AJ301" s="1" t="s">
        <v>922</v>
      </c>
      <c r="AK301" s="1" t="s">
        <v>712</v>
      </c>
      <c r="AL301" s="1">
        <v>8.0</v>
      </c>
      <c r="AM301" s="1">
        <v>2013.0</v>
      </c>
      <c r="AN301" s="1">
        <v>2013.0</v>
      </c>
      <c r="AO301" s="1" t="s">
        <v>713</v>
      </c>
    </row>
    <row r="302">
      <c r="A302" s="5">
        <v>1.0</v>
      </c>
      <c r="B302" s="1">
        <f t="shared" si="1"/>
        <v>302</v>
      </c>
      <c r="C302" s="1" t="s">
        <v>709</v>
      </c>
      <c r="D302" s="1" t="s">
        <v>709</v>
      </c>
      <c r="E302" s="1" t="s">
        <v>645</v>
      </c>
      <c r="G302" s="1">
        <v>4.44297088E8</v>
      </c>
      <c r="H302" s="2">
        <v>41186.0</v>
      </c>
      <c r="I302" s="1" t="s">
        <v>710</v>
      </c>
      <c r="K302" s="1" t="s">
        <v>710</v>
      </c>
      <c r="N302" s="1" t="s">
        <v>647</v>
      </c>
      <c r="O302" s="1">
        <v>1200.0</v>
      </c>
      <c r="P302" s="1" t="s">
        <v>647</v>
      </c>
      <c r="Q302" s="1" t="str">
        <f>IF(ISERROR(VLOOKUP(P302,'unique fed agency names'!A:C,3,FALSE)),P302,VLOOKUP(P302,'unique fed agency names'!A:C,3,FALSE))
</f>
        <v>U.S. Department of Agriculture (USDA)</v>
      </c>
      <c r="R302" s="1">
        <v>7.8773308E7</v>
      </c>
      <c r="S302" s="1" t="s">
        <v>923</v>
      </c>
      <c r="T302" s="1" t="str">
        <f>IF(ISERROR(VLOOKUP(S302,'unique org names'!A:C,3,FALSE)),S302,VLOOKUP(S302,'unique org names'!A:C,3,FALSE))
</f>
        <v>Family First Christian Childcare Center</v>
      </c>
      <c r="V302" s="1" t="s">
        <v>924</v>
      </c>
      <c r="W302" s="1" t="s">
        <v>44</v>
      </c>
      <c r="X302" s="1" t="s">
        <v>45</v>
      </c>
      <c r="Y302" s="1">
        <v>4.82283346E8</v>
      </c>
      <c r="AA302" s="1" t="s">
        <v>44</v>
      </c>
      <c r="AB302" s="1" t="s">
        <v>45</v>
      </c>
      <c r="AC302" s="1">
        <v>4.82283346E8</v>
      </c>
      <c r="AF302" s="1">
        <v>31444.88</v>
      </c>
      <c r="AG302" s="2">
        <v>41186.0</v>
      </c>
      <c r="AH302" s="1">
        <v>1200.0</v>
      </c>
      <c r="AI302" s="1" t="s">
        <v>647</v>
      </c>
      <c r="AJ302" s="1" t="s">
        <v>925</v>
      </c>
      <c r="AK302" s="1" t="s">
        <v>712</v>
      </c>
      <c r="AL302" s="1">
        <v>8.0</v>
      </c>
      <c r="AM302" s="1">
        <v>2013.0</v>
      </c>
      <c r="AN302" s="1">
        <v>2013.0</v>
      </c>
      <c r="AO302" s="1" t="s">
        <v>713</v>
      </c>
    </row>
    <row r="303">
      <c r="A303" s="5">
        <v>1.0</v>
      </c>
      <c r="B303" s="1">
        <f t="shared" si="1"/>
        <v>303</v>
      </c>
      <c r="C303" s="1" t="s">
        <v>709</v>
      </c>
      <c r="D303" s="1" t="s">
        <v>709</v>
      </c>
      <c r="E303" s="1" t="s">
        <v>645</v>
      </c>
      <c r="G303" s="1">
        <v>4.44297088E8</v>
      </c>
      <c r="H303" s="2">
        <v>41186.0</v>
      </c>
      <c r="I303" s="1" t="s">
        <v>710</v>
      </c>
      <c r="K303" s="1" t="s">
        <v>710</v>
      </c>
      <c r="N303" s="1" t="s">
        <v>647</v>
      </c>
      <c r="O303" s="1">
        <v>1200.0</v>
      </c>
      <c r="P303" s="1" t="s">
        <v>647</v>
      </c>
      <c r="Q303" s="1" t="str">
        <f>IF(ISERROR(VLOOKUP(P303,'unique fed agency names'!A:C,3,FALSE)),P303,VLOOKUP(P303,'unique fed agency names'!A:C,3,FALSE))
</f>
        <v>U.S. Department of Agriculture (USDA)</v>
      </c>
      <c r="R303" s="1">
        <v>6.10593329E8</v>
      </c>
      <c r="S303" s="1" t="s">
        <v>926</v>
      </c>
      <c r="T303" s="1" t="str">
        <f>IF(ISERROR(VLOOKUP(S303,'unique org names'!A:C,3,FALSE)),S303,VLOOKUP(S303,'unique org names'!A:C,3,FALSE))
</f>
        <v>Babes In The Woods Child Development Inc</v>
      </c>
      <c r="V303" s="1" t="s">
        <v>927</v>
      </c>
      <c r="W303" s="1" t="s">
        <v>44</v>
      </c>
      <c r="X303" s="1" t="s">
        <v>45</v>
      </c>
      <c r="Y303" s="1">
        <v>4.82353325E8</v>
      </c>
      <c r="AA303" s="1" t="s">
        <v>928</v>
      </c>
      <c r="AB303" s="1" t="s">
        <v>45</v>
      </c>
      <c r="AC303" s="1">
        <v>4.80761694E8</v>
      </c>
      <c r="AF303" s="1">
        <v>39146.42</v>
      </c>
      <c r="AG303" s="2">
        <v>41186.0</v>
      </c>
      <c r="AH303" s="1">
        <v>1200.0</v>
      </c>
      <c r="AI303" s="1" t="s">
        <v>647</v>
      </c>
      <c r="AJ303" s="1" t="s">
        <v>929</v>
      </c>
      <c r="AK303" s="1" t="s">
        <v>712</v>
      </c>
      <c r="AL303" s="1">
        <v>8.0</v>
      </c>
      <c r="AM303" s="1">
        <v>2013.0</v>
      </c>
      <c r="AN303" s="1">
        <v>2013.0</v>
      </c>
      <c r="AO303" s="1" t="s">
        <v>713</v>
      </c>
    </row>
    <row r="304">
      <c r="A304" s="5">
        <v>1.0</v>
      </c>
      <c r="B304" s="1">
        <f t="shared" si="1"/>
        <v>304</v>
      </c>
      <c r="C304" s="1" t="s">
        <v>709</v>
      </c>
      <c r="D304" s="1" t="s">
        <v>709</v>
      </c>
      <c r="E304" s="1" t="s">
        <v>645</v>
      </c>
      <c r="G304" s="1">
        <v>4.44297088E8</v>
      </c>
      <c r="H304" s="2">
        <v>41193.0</v>
      </c>
      <c r="I304" s="1" t="s">
        <v>710</v>
      </c>
      <c r="K304" s="1" t="s">
        <v>710</v>
      </c>
      <c r="N304" s="1" t="s">
        <v>647</v>
      </c>
      <c r="O304" s="1">
        <v>1200.0</v>
      </c>
      <c r="P304" s="1" t="s">
        <v>647</v>
      </c>
      <c r="Q304" s="1" t="str">
        <f>IF(ISERROR(VLOOKUP(P304,'unique fed agency names'!A:C,3,FALSE)),P304,VLOOKUP(P304,'unique fed agency names'!A:C,3,FALSE))
</f>
        <v>U.S. Department of Agriculture (USDA)</v>
      </c>
      <c r="R304" s="1">
        <v>1.36900474E8</v>
      </c>
      <c r="S304" s="1" t="s">
        <v>930</v>
      </c>
      <c r="T304" s="1" t="str">
        <f>IF(ISERROR(VLOOKUP(S304,'unique org names'!A:C,3,FALSE)),S304,VLOOKUP(S304,'unique org names'!A:C,3,FALSE))
</f>
        <v>Busy Minds Child Care Center Inc.</v>
      </c>
      <c r="V304" s="1" t="s">
        <v>931</v>
      </c>
      <c r="W304" s="1" t="s">
        <v>44</v>
      </c>
      <c r="X304" s="1" t="s">
        <v>45</v>
      </c>
      <c r="Y304" s="1">
        <v>4.82281222E8</v>
      </c>
      <c r="AA304" s="1" t="s">
        <v>44</v>
      </c>
      <c r="AB304" s="1" t="s">
        <v>45</v>
      </c>
      <c r="AC304" s="1">
        <v>4.82281222E8</v>
      </c>
      <c r="AF304" s="1">
        <v>37989.0</v>
      </c>
      <c r="AG304" s="2">
        <v>41193.0</v>
      </c>
      <c r="AH304" s="1">
        <v>1200.0</v>
      </c>
      <c r="AI304" s="1" t="s">
        <v>647</v>
      </c>
      <c r="AJ304" s="1" t="s">
        <v>932</v>
      </c>
      <c r="AK304" s="1" t="s">
        <v>712</v>
      </c>
      <c r="AL304" s="1">
        <v>8.0</v>
      </c>
      <c r="AM304" s="1">
        <v>2013.0</v>
      </c>
      <c r="AN304" s="1">
        <v>2013.0</v>
      </c>
      <c r="AO304" s="1" t="s">
        <v>713</v>
      </c>
    </row>
    <row r="305">
      <c r="A305" s="5">
        <v>1.0</v>
      </c>
      <c r="B305" s="1">
        <f t="shared" si="1"/>
        <v>305</v>
      </c>
      <c r="C305" s="1" t="s">
        <v>709</v>
      </c>
      <c r="D305" s="1" t="s">
        <v>709</v>
      </c>
      <c r="E305" s="1" t="s">
        <v>645</v>
      </c>
      <c r="G305" s="1">
        <v>4.44297088E8</v>
      </c>
      <c r="H305" s="2">
        <v>41193.0</v>
      </c>
      <c r="I305" s="1" t="s">
        <v>710</v>
      </c>
      <c r="K305" s="1" t="s">
        <v>710</v>
      </c>
      <c r="N305" s="1" t="s">
        <v>647</v>
      </c>
      <c r="O305" s="1">
        <v>1200.0</v>
      </c>
      <c r="P305" s="1" t="s">
        <v>647</v>
      </c>
      <c r="Q305" s="1" t="str">
        <f>IF(ISERROR(VLOOKUP(P305,'unique fed agency names'!A:C,3,FALSE)),P305,VLOOKUP(P305,'unique fed agency names'!A:C,3,FALSE))
</f>
        <v>U.S. Department of Agriculture (USDA)</v>
      </c>
      <c r="R305" s="1">
        <v>8.8328984E7</v>
      </c>
      <c r="S305" s="1" t="s">
        <v>933</v>
      </c>
      <c r="T305" s="1" t="str">
        <f>IF(ISERROR(VLOOKUP(S305,'unique org names'!A:C,3,FALSE)),S305,VLOOKUP(S305,'unique org names'!A:C,3,FALSE))
</f>
        <v>Childrens Village Intl Ctrs</v>
      </c>
      <c r="V305" s="1" t="s">
        <v>934</v>
      </c>
      <c r="W305" s="1" t="s">
        <v>44</v>
      </c>
      <c r="X305" s="1" t="s">
        <v>45</v>
      </c>
      <c r="Y305" s="1">
        <v>4.82274087E8</v>
      </c>
      <c r="AA305" s="1" t="s">
        <v>44</v>
      </c>
      <c r="AB305" s="1" t="s">
        <v>45</v>
      </c>
      <c r="AC305" s="1">
        <v>4.82274087E8</v>
      </c>
      <c r="AF305" s="1">
        <v>57005.33</v>
      </c>
      <c r="AG305" s="2">
        <v>41193.0</v>
      </c>
      <c r="AH305" s="1">
        <v>1200.0</v>
      </c>
      <c r="AI305" s="1" t="s">
        <v>647</v>
      </c>
      <c r="AJ305" s="1" t="s">
        <v>935</v>
      </c>
      <c r="AK305" s="1" t="s">
        <v>712</v>
      </c>
      <c r="AL305" s="1">
        <v>8.0</v>
      </c>
      <c r="AM305" s="1">
        <v>2013.0</v>
      </c>
      <c r="AN305" s="1">
        <v>2013.0</v>
      </c>
      <c r="AO305" s="1" t="s">
        <v>713</v>
      </c>
    </row>
    <row r="306">
      <c r="A306" s="5">
        <v>1.0</v>
      </c>
      <c r="B306" s="1">
        <f t="shared" si="1"/>
        <v>306</v>
      </c>
      <c r="C306" s="1" t="s">
        <v>709</v>
      </c>
      <c r="D306" s="1" t="s">
        <v>709</v>
      </c>
      <c r="E306" s="1" t="s">
        <v>645</v>
      </c>
      <c r="G306" s="1">
        <v>4.44297088E8</v>
      </c>
      <c r="H306" s="2">
        <v>41228.0</v>
      </c>
      <c r="I306" s="1" t="s">
        <v>710</v>
      </c>
      <c r="K306" s="1" t="s">
        <v>710</v>
      </c>
      <c r="N306" s="1" t="s">
        <v>647</v>
      </c>
      <c r="O306" s="1">
        <v>1200.0</v>
      </c>
      <c r="P306" s="1" t="s">
        <v>647</v>
      </c>
      <c r="Q306" s="1" t="str">
        <f>IF(ISERROR(VLOOKUP(P306,'unique fed agency names'!A:C,3,FALSE)),P306,VLOOKUP(P306,'unique fed agency names'!A:C,3,FALSE))
</f>
        <v>U.S. Department of Agriculture (USDA)</v>
      </c>
      <c r="R306" s="1">
        <v>3537326.0</v>
      </c>
      <c r="S306" s="1" t="s">
        <v>560</v>
      </c>
      <c r="T306" s="1" t="str">
        <f>IF(ISERROR(VLOOKUP(S306,'unique org names'!A:C,3,FALSE)),S306,VLOOKUP(S306,'unique org names'!A:C,3,FALSE))
</f>
        <v>COMMONWEALTH COMMUNITY DEVELOPMENT ACADEMY</v>
      </c>
      <c r="V306" s="1" t="s">
        <v>561</v>
      </c>
      <c r="W306" s="1" t="s">
        <v>44</v>
      </c>
      <c r="X306" s="1" t="s">
        <v>45</v>
      </c>
      <c r="Y306" s="1">
        <v>4.8212177E8</v>
      </c>
      <c r="AA306" s="1" t="s">
        <v>498</v>
      </c>
      <c r="AB306" s="1" t="s">
        <v>45</v>
      </c>
      <c r="AC306" s="1">
        <v>4.82121754E8</v>
      </c>
      <c r="AD306" s="1">
        <v>3537326.0</v>
      </c>
      <c r="AE306" s="1" t="s">
        <v>560</v>
      </c>
      <c r="AF306" s="1">
        <v>25584.75</v>
      </c>
      <c r="AG306" s="2">
        <v>41228.0</v>
      </c>
      <c r="AH306" s="1">
        <v>1200.0</v>
      </c>
      <c r="AI306" s="1" t="s">
        <v>647</v>
      </c>
      <c r="AJ306" s="1" t="s">
        <v>936</v>
      </c>
      <c r="AK306" s="1" t="s">
        <v>712</v>
      </c>
      <c r="AL306" s="1">
        <v>8.0</v>
      </c>
      <c r="AM306" s="1">
        <v>2013.0</v>
      </c>
      <c r="AN306" s="1">
        <v>2013.0</v>
      </c>
      <c r="AO306" s="1" t="s">
        <v>713</v>
      </c>
    </row>
    <row r="307">
      <c r="A307" s="5">
        <v>1.0</v>
      </c>
      <c r="B307" s="1">
        <f t="shared" si="1"/>
        <v>307</v>
      </c>
      <c r="C307" s="1" t="s">
        <v>709</v>
      </c>
      <c r="D307" s="1" t="s">
        <v>709</v>
      </c>
      <c r="E307" s="1" t="s">
        <v>645</v>
      </c>
      <c r="G307" s="1">
        <v>4.44297088E8</v>
      </c>
      <c r="H307" s="2">
        <v>41242.0</v>
      </c>
      <c r="I307" s="1" t="s">
        <v>710</v>
      </c>
      <c r="K307" s="1" t="s">
        <v>710</v>
      </c>
      <c r="N307" s="1" t="s">
        <v>647</v>
      </c>
      <c r="O307" s="1">
        <v>1200.0</v>
      </c>
      <c r="P307" s="1" t="s">
        <v>647</v>
      </c>
      <c r="Q307" s="1" t="str">
        <f>IF(ISERROR(VLOOKUP(P307,'unique fed agency names'!A:C,3,FALSE)),P307,VLOOKUP(P307,'unique fed agency names'!A:C,3,FALSE))
</f>
        <v>U.S. Department of Agriculture (USDA)</v>
      </c>
      <c r="R307" s="1">
        <v>7.93697942E8</v>
      </c>
      <c r="S307" s="1" t="s">
        <v>459</v>
      </c>
      <c r="T307" s="1" t="str">
        <f>IF(ISERROR(VLOOKUP(S307,'unique org names'!A:C,3,FALSE)),S307,VLOOKUP(S307,'unique org names'!A:C,3,FALSE))
</f>
        <v>DETROIT PUBLIC SCHOOLS</v>
      </c>
      <c r="V307" s="1" t="s">
        <v>460</v>
      </c>
      <c r="W307" s="1" t="s">
        <v>44</v>
      </c>
      <c r="X307" s="1" t="s">
        <v>45</v>
      </c>
      <c r="Y307" s="1">
        <v>4.82141601E8</v>
      </c>
      <c r="AA307" s="1" t="s">
        <v>44</v>
      </c>
      <c r="AB307" s="1" t="s">
        <v>45</v>
      </c>
      <c r="AC307" s="1">
        <v>4.82141601E8</v>
      </c>
      <c r="AD307" s="1">
        <v>7.6340843E7</v>
      </c>
      <c r="AE307" s="1" t="s">
        <v>461</v>
      </c>
      <c r="AF307" s="1">
        <v>167129.55</v>
      </c>
      <c r="AG307" s="2">
        <v>41242.0</v>
      </c>
      <c r="AH307" s="1">
        <v>1200.0</v>
      </c>
      <c r="AI307" s="1" t="s">
        <v>647</v>
      </c>
      <c r="AJ307" s="1" t="s">
        <v>937</v>
      </c>
      <c r="AK307" s="1" t="s">
        <v>712</v>
      </c>
      <c r="AL307" s="1">
        <v>8.0</v>
      </c>
      <c r="AM307" s="1">
        <v>2013.0</v>
      </c>
      <c r="AN307" s="1">
        <v>2013.0</v>
      </c>
      <c r="AO307" s="1" t="s">
        <v>713</v>
      </c>
    </row>
    <row r="308">
      <c r="A308" s="5">
        <v>1.0</v>
      </c>
      <c r="B308" s="1">
        <f t="shared" si="1"/>
        <v>308</v>
      </c>
      <c r="C308" s="1" t="s">
        <v>709</v>
      </c>
      <c r="D308" s="1" t="s">
        <v>709</v>
      </c>
      <c r="E308" s="1" t="s">
        <v>645</v>
      </c>
      <c r="G308" s="1">
        <v>4.44297088E8</v>
      </c>
      <c r="H308" s="2">
        <v>41186.0</v>
      </c>
      <c r="I308" s="1" t="s">
        <v>710</v>
      </c>
      <c r="K308" s="1" t="s">
        <v>710</v>
      </c>
      <c r="N308" s="1" t="s">
        <v>647</v>
      </c>
      <c r="O308" s="1">
        <v>1200.0</v>
      </c>
      <c r="P308" s="1" t="s">
        <v>647</v>
      </c>
      <c r="Q308" s="1" t="str">
        <f>IF(ISERROR(VLOOKUP(P308,'unique fed agency names'!A:C,3,FALSE)),P308,VLOOKUP(P308,'unique fed agency names'!A:C,3,FALSE))
</f>
        <v>U.S. Department of Agriculture (USDA)</v>
      </c>
      <c r="R308" s="1">
        <v>6.07448487E8</v>
      </c>
      <c r="S308" s="1" t="s">
        <v>938</v>
      </c>
      <c r="T308" s="1" t="str">
        <f>IF(ISERROR(VLOOKUP(S308,'unique org names'!A:C,3,FALSE)),S308,VLOOKUP(S308,'unique org names'!A:C,3,FALSE))
</f>
        <v>Greater Mt Zion Baptist Church</v>
      </c>
      <c r="V308" s="1" t="s">
        <v>939</v>
      </c>
      <c r="W308" s="1" t="s">
        <v>44</v>
      </c>
      <c r="X308" s="1" t="s">
        <v>45</v>
      </c>
      <c r="Y308" s="1">
        <v>4.82242829E8</v>
      </c>
      <c r="AA308" s="1" t="s">
        <v>44</v>
      </c>
      <c r="AB308" s="1" t="s">
        <v>45</v>
      </c>
      <c r="AC308" s="1">
        <v>4.82242829E8</v>
      </c>
      <c r="AD308" s="1">
        <v>6.07448487E8</v>
      </c>
      <c r="AF308" s="1">
        <v>44776.07</v>
      </c>
      <c r="AG308" s="2">
        <v>41186.0</v>
      </c>
      <c r="AH308" s="1">
        <v>1200.0</v>
      </c>
      <c r="AI308" s="1" t="s">
        <v>647</v>
      </c>
      <c r="AJ308" s="1" t="s">
        <v>940</v>
      </c>
      <c r="AK308" s="1" t="s">
        <v>712</v>
      </c>
      <c r="AL308" s="1">
        <v>8.0</v>
      </c>
      <c r="AM308" s="1">
        <v>2013.0</v>
      </c>
      <c r="AN308" s="1">
        <v>2013.0</v>
      </c>
      <c r="AO308" s="1" t="s">
        <v>713</v>
      </c>
    </row>
    <row r="309">
      <c r="A309" s="5">
        <v>1.0</v>
      </c>
      <c r="B309" s="1">
        <f t="shared" si="1"/>
        <v>309</v>
      </c>
      <c r="C309" s="1" t="s">
        <v>709</v>
      </c>
      <c r="D309" s="1" t="s">
        <v>709</v>
      </c>
      <c r="E309" s="1" t="s">
        <v>645</v>
      </c>
      <c r="G309" s="1">
        <v>4.44297088E8</v>
      </c>
      <c r="H309" s="2">
        <v>41228.0</v>
      </c>
      <c r="I309" s="1" t="s">
        <v>710</v>
      </c>
      <c r="K309" s="1" t="s">
        <v>710</v>
      </c>
      <c r="N309" s="1" t="s">
        <v>647</v>
      </c>
      <c r="O309" s="1">
        <v>1200.0</v>
      </c>
      <c r="P309" s="1" t="s">
        <v>647</v>
      </c>
      <c r="Q309" s="1" t="str">
        <f>IF(ISERROR(VLOOKUP(P309,'unique fed agency names'!A:C,3,FALSE)),P309,VLOOKUP(P309,'unique fed agency names'!A:C,3,FALSE))
</f>
        <v>U.S. Department of Agriculture (USDA)</v>
      </c>
      <c r="R309" s="1">
        <v>7.94990296E8</v>
      </c>
      <c r="S309" s="1" t="s">
        <v>601</v>
      </c>
      <c r="T309" s="1" t="str">
        <f>IF(ISERROR(VLOOKUP(S309,'unique org names'!A:C,3,FALSE)),S309,VLOOKUP(S309,'unique org names'!A:C,3,FALSE))
</f>
        <v>NORTHPOINTE ACADEMY</v>
      </c>
      <c r="V309" s="1" t="s">
        <v>602</v>
      </c>
      <c r="W309" s="1" t="s">
        <v>44</v>
      </c>
      <c r="X309" s="1" t="s">
        <v>45</v>
      </c>
      <c r="Y309" s="1">
        <v>4.82032827E8</v>
      </c>
      <c r="AA309" s="1" t="s">
        <v>603</v>
      </c>
      <c r="AB309" s="1" t="s">
        <v>45</v>
      </c>
      <c r="AC309" s="1">
        <v>4.82032827E8</v>
      </c>
      <c r="AF309" s="1">
        <v>43241.01</v>
      </c>
      <c r="AG309" s="2">
        <v>41228.0</v>
      </c>
      <c r="AH309" s="1">
        <v>1200.0</v>
      </c>
      <c r="AI309" s="1" t="s">
        <v>647</v>
      </c>
      <c r="AJ309" s="1" t="s">
        <v>941</v>
      </c>
      <c r="AK309" s="1" t="s">
        <v>712</v>
      </c>
      <c r="AL309" s="1">
        <v>8.0</v>
      </c>
      <c r="AM309" s="1">
        <v>2013.0</v>
      </c>
      <c r="AN309" s="1">
        <v>2013.0</v>
      </c>
      <c r="AO309" s="1" t="s">
        <v>713</v>
      </c>
    </row>
    <row r="310">
      <c r="A310" s="5">
        <v>1.0</v>
      </c>
      <c r="B310" s="1">
        <f t="shared" si="1"/>
        <v>310</v>
      </c>
      <c r="C310" s="1" t="s">
        <v>709</v>
      </c>
      <c r="D310" s="1" t="s">
        <v>709</v>
      </c>
      <c r="E310" s="1" t="s">
        <v>645</v>
      </c>
      <c r="G310" s="1">
        <v>4.44297088E8</v>
      </c>
      <c r="H310" s="2">
        <v>41186.0</v>
      </c>
      <c r="I310" s="1" t="s">
        <v>710</v>
      </c>
      <c r="K310" s="1" t="s">
        <v>710</v>
      </c>
      <c r="N310" s="1" t="s">
        <v>647</v>
      </c>
      <c r="O310" s="1">
        <v>1200.0</v>
      </c>
      <c r="P310" s="1" t="s">
        <v>647</v>
      </c>
      <c r="Q310" s="1" t="str">
        <f>IF(ISERROR(VLOOKUP(P310,'unique fed agency names'!A:C,3,FALSE)),P310,VLOOKUP(P310,'unique fed agency names'!A:C,3,FALSE))
</f>
        <v>U.S. Department of Agriculture (USDA)</v>
      </c>
      <c r="R310" s="1">
        <v>5.4074575E7</v>
      </c>
      <c r="S310" s="1" t="s">
        <v>629</v>
      </c>
      <c r="T310" s="1" t="str">
        <f>IF(ISERROR(VLOOKUP(S310,'unique org names'!A:C,3,FALSE)),S310,VLOOKUP(S310,'unique org names'!A:C,3,FALSE))
</f>
        <v>PIERRE TOUSSAINT ACADEMY</v>
      </c>
      <c r="U310" s="1" t="s">
        <v>630</v>
      </c>
      <c r="V310" s="1" t="s">
        <v>631</v>
      </c>
      <c r="W310" s="1" t="s">
        <v>44</v>
      </c>
      <c r="X310" s="1" t="s">
        <v>45</v>
      </c>
      <c r="Y310" s="1">
        <v>4.82171631E8</v>
      </c>
      <c r="AA310" s="1" t="s">
        <v>44</v>
      </c>
      <c r="AB310" s="1" t="s">
        <v>45</v>
      </c>
      <c r="AC310" s="1">
        <v>4.82171631E8</v>
      </c>
      <c r="AF310" s="1">
        <v>140684.58</v>
      </c>
      <c r="AG310" s="2">
        <v>41186.0</v>
      </c>
      <c r="AH310" s="1">
        <v>1200.0</v>
      </c>
      <c r="AI310" s="1" t="s">
        <v>647</v>
      </c>
      <c r="AJ310" s="1" t="s">
        <v>942</v>
      </c>
      <c r="AK310" s="1" t="s">
        <v>712</v>
      </c>
      <c r="AL310" s="1">
        <v>8.0</v>
      </c>
      <c r="AM310" s="1">
        <v>2013.0</v>
      </c>
      <c r="AN310" s="1">
        <v>2013.0</v>
      </c>
      <c r="AO310" s="1" t="s">
        <v>713</v>
      </c>
    </row>
    <row r="311">
      <c r="A311" s="5">
        <v>1.0</v>
      </c>
      <c r="B311" s="1">
        <f t="shared" si="1"/>
        <v>311</v>
      </c>
      <c r="C311" s="1" t="s">
        <v>709</v>
      </c>
      <c r="D311" s="1" t="s">
        <v>709</v>
      </c>
      <c r="E311" s="1" t="s">
        <v>645</v>
      </c>
      <c r="G311" s="1">
        <v>4.44297088E8</v>
      </c>
      <c r="H311" s="2">
        <v>41193.0</v>
      </c>
      <c r="I311" s="1" t="s">
        <v>710</v>
      </c>
      <c r="K311" s="1" t="s">
        <v>710</v>
      </c>
      <c r="N311" s="1" t="s">
        <v>647</v>
      </c>
      <c r="O311" s="1">
        <v>1200.0</v>
      </c>
      <c r="P311" s="1" t="s">
        <v>647</v>
      </c>
      <c r="Q311" s="1" t="str">
        <f>IF(ISERROR(VLOOKUP(P311,'unique fed agency names'!A:C,3,FALSE)),P311,VLOOKUP(P311,'unique fed agency names'!A:C,3,FALSE))
</f>
        <v>U.S. Department of Agriculture (USDA)</v>
      </c>
      <c r="R311" s="1">
        <v>1.9366103E8</v>
      </c>
      <c r="S311" s="1" t="s">
        <v>943</v>
      </c>
      <c r="T311" s="1" t="str">
        <f>IF(ISERROR(VLOOKUP(S311,'unique org names'!A:C,3,FALSE)),S311,VLOOKUP(S311,'unique org names'!A:C,3,FALSE))
</f>
        <v>H &amp; G CHAPMAN INC</v>
      </c>
      <c r="U311" s="1" t="s">
        <v>944</v>
      </c>
      <c r="V311" s="1" t="s">
        <v>945</v>
      </c>
      <c r="W311" s="1" t="s">
        <v>44</v>
      </c>
      <c r="X311" s="1" t="s">
        <v>45</v>
      </c>
      <c r="Y311" s="1">
        <v>4.82282283E8</v>
      </c>
      <c r="AA311" s="1" t="s">
        <v>44</v>
      </c>
      <c r="AB311" s="1" t="s">
        <v>45</v>
      </c>
      <c r="AC311" s="1">
        <v>4.82282283E8</v>
      </c>
      <c r="AF311" s="1">
        <v>35435.46</v>
      </c>
      <c r="AG311" s="2">
        <v>41193.0</v>
      </c>
      <c r="AH311" s="1">
        <v>1200.0</v>
      </c>
      <c r="AI311" s="1" t="s">
        <v>647</v>
      </c>
      <c r="AJ311" s="1" t="s">
        <v>946</v>
      </c>
      <c r="AK311" s="1" t="s">
        <v>712</v>
      </c>
      <c r="AL311" s="1">
        <v>8.0</v>
      </c>
      <c r="AM311" s="1">
        <v>2013.0</v>
      </c>
      <c r="AN311" s="1">
        <v>2013.0</v>
      </c>
      <c r="AO311" s="1" t="s">
        <v>713</v>
      </c>
    </row>
    <row r="312">
      <c r="A312" s="5">
        <v>1.0</v>
      </c>
      <c r="B312" s="1">
        <f t="shared" si="1"/>
        <v>312</v>
      </c>
      <c r="C312" s="1" t="s">
        <v>709</v>
      </c>
      <c r="D312" s="1" t="s">
        <v>709</v>
      </c>
      <c r="E312" s="1" t="s">
        <v>645</v>
      </c>
      <c r="G312" s="1">
        <v>4.44297088E8</v>
      </c>
      <c r="H312" s="2">
        <v>41186.0</v>
      </c>
      <c r="I312" s="1" t="s">
        <v>710</v>
      </c>
      <c r="K312" s="1" t="s">
        <v>710</v>
      </c>
      <c r="N312" s="1" t="s">
        <v>647</v>
      </c>
      <c r="O312" s="1">
        <v>1200.0</v>
      </c>
      <c r="P312" s="1" t="s">
        <v>647</v>
      </c>
      <c r="Q312" s="1" t="str">
        <f>IF(ISERROR(VLOOKUP(P312,'unique fed agency names'!A:C,3,FALSE)),P312,VLOOKUP(P312,'unique fed agency names'!A:C,3,FALSE))
</f>
        <v>U.S. Department of Agriculture (USDA)</v>
      </c>
      <c r="R312" s="1">
        <v>1.36396822E8</v>
      </c>
      <c r="S312" s="1" t="s">
        <v>947</v>
      </c>
      <c r="T312" s="1" t="str">
        <f>IF(ISERROR(VLOOKUP(S312,'unique org names'!A:C,3,FALSE)),S312,VLOOKUP(S312,'unique org names'!A:C,3,FALSE))
</f>
        <v>Kristy's Early Childhood Devel</v>
      </c>
      <c r="V312" s="1" t="s">
        <v>948</v>
      </c>
      <c r="W312" s="1" t="s">
        <v>44</v>
      </c>
      <c r="X312" s="1" t="s">
        <v>45</v>
      </c>
      <c r="Y312" s="1">
        <v>4.82191902E8</v>
      </c>
      <c r="AA312" s="1" t="s">
        <v>44</v>
      </c>
      <c r="AB312" s="1" t="s">
        <v>45</v>
      </c>
      <c r="AC312" s="1">
        <v>4.82191902E8</v>
      </c>
      <c r="AF312" s="1">
        <v>41887.82</v>
      </c>
      <c r="AG312" s="2">
        <v>41186.0</v>
      </c>
      <c r="AH312" s="1">
        <v>1200.0</v>
      </c>
      <c r="AI312" s="1" t="s">
        <v>647</v>
      </c>
      <c r="AJ312" s="1" t="s">
        <v>949</v>
      </c>
      <c r="AK312" s="1" t="s">
        <v>712</v>
      </c>
      <c r="AL312" s="1">
        <v>8.0</v>
      </c>
      <c r="AM312" s="1">
        <v>2013.0</v>
      </c>
      <c r="AN312" s="1">
        <v>2013.0</v>
      </c>
      <c r="AO312" s="1" t="s">
        <v>713</v>
      </c>
    </row>
    <row r="313">
      <c r="A313" s="5">
        <v>1.0</v>
      </c>
      <c r="B313" s="1">
        <f t="shared" si="1"/>
        <v>313</v>
      </c>
      <c r="C313" s="1" t="s">
        <v>709</v>
      </c>
      <c r="D313" s="1" t="s">
        <v>709</v>
      </c>
      <c r="E313" s="1" t="s">
        <v>645</v>
      </c>
      <c r="G313" s="1">
        <v>4.44297088E8</v>
      </c>
      <c r="H313" s="2">
        <v>41200.0</v>
      </c>
      <c r="I313" s="1" t="s">
        <v>710</v>
      </c>
      <c r="K313" s="1" t="s">
        <v>710</v>
      </c>
      <c r="N313" s="1" t="s">
        <v>647</v>
      </c>
      <c r="O313" s="1">
        <v>1200.0</v>
      </c>
      <c r="P313" s="1" t="s">
        <v>647</v>
      </c>
      <c r="Q313" s="1" t="str">
        <f>IF(ISERROR(VLOOKUP(P313,'unique fed agency names'!A:C,3,FALSE)),P313,VLOOKUP(P313,'unique fed agency names'!A:C,3,FALSE))
</f>
        <v>U.S. Department of Agriculture (USDA)</v>
      </c>
      <c r="R313" s="1">
        <v>5.3529803E7</v>
      </c>
      <c r="S313" s="1" t="s">
        <v>950</v>
      </c>
      <c r="T313" s="1" t="str">
        <f>IF(ISERROR(VLOOKUP(S313,'unique org names'!A:C,3,FALSE)),S313,VLOOKUP(S313,'unique org names'!A:C,3,FALSE))
</f>
        <v>The Academy Of Beanie Care</v>
      </c>
      <c r="V313" s="1" t="s">
        <v>951</v>
      </c>
      <c r="W313" s="1" t="s">
        <v>44</v>
      </c>
      <c r="X313" s="1" t="s">
        <v>45</v>
      </c>
      <c r="Y313" s="1">
        <v>4.82241518E8</v>
      </c>
      <c r="AA313" s="1" t="s">
        <v>46</v>
      </c>
      <c r="AB313" s="1" t="s">
        <v>45</v>
      </c>
      <c r="AC313" s="1">
        <v>4.82241518E8</v>
      </c>
      <c r="AF313" s="1">
        <v>41780.59</v>
      </c>
      <c r="AG313" s="2">
        <v>41200.0</v>
      </c>
      <c r="AH313" s="1">
        <v>1200.0</v>
      </c>
      <c r="AI313" s="1" t="s">
        <v>647</v>
      </c>
      <c r="AJ313" s="1" t="s">
        <v>952</v>
      </c>
      <c r="AK313" s="1" t="s">
        <v>712</v>
      </c>
      <c r="AL313" s="1">
        <v>8.0</v>
      </c>
      <c r="AM313" s="1">
        <v>2013.0</v>
      </c>
      <c r="AN313" s="1">
        <v>2013.0</v>
      </c>
      <c r="AO313" s="1" t="s">
        <v>713</v>
      </c>
    </row>
    <row r="314">
      <c r="A314" s="5">
        <v>1.0</v>
      </c>
      <c r="B314" s="1">
        <f t="shared" si="1"/>
        <v>314</v>
      </c>
      <c r="C314" s="1" t="s">
        <v>709</v>
      </c>
      <c r="D314" s="1" t="s">
        <v>709</v>
      </c>
      <c r="E314" s="1" t="s">
        <v>645</v>
      </c>
      <c r="G314" s="1">
        <v>4.44297088E8</v>
      </c>
      <c r="H314" s="2">
        <v>41249.0</v>
      </c>
      <c r="I314" s="1" t="s">
        <v>710</v>
      </c>
      <c r="K314" s="1" t="s">
        <v>710</v>
      </c>
      <c r="N314" s="1" t="s">
        <v>647</v>
      </c>
      <c r="O314" s="1">
        <v>1200.0</v>
      </c>
      <c r="P314" s="1" t="s">
        <v>647</v>
      </c>
      <c r="Q314" s="1" t="str">
        <f>IF(ISERROR(VLOOKUP(P314,'unique fed agency names'!A:C,3,FALSE)),P314,VLOOKUP(P314,'unique fed agency names'!A:C,3,FALSE))
</f>
        <v>U.S. Department of Agriculture (USDA)</v>
      </c>
      <c r="R314" s="1">
        <v>9.62104118E8</v>
      </c>
      <c r="S314" s="1" t="s">
        <v>634</v>
      </c>
      <c r="T314" s="1" t="str">
        <f>IF(ISERROR(VLOOKUP(S314,'unique org names'!A:C,3,FALSE)),S314,VLOOKUP(S314,'unique org names'!A:C,3,FALSE))
</f>
        <v>UNIVERSITY YES ACADEMY</v>
      </c>
      <c r="V314" s="1" t="s">
        <v>635</v>
      </c>
      <c r="W314" s="1" t="s">
        <v>44</v>
      </c>
      <c r="X314" s="1" t="s">
        <v>45</v>
      </c>
      <c r="Y314" s="1">
        <v>4.82351111E8</v>
      </c>
      <c r="AA314" s="1" t="s">
        <v>46</v>
      </c>
      <c r="AB314" s="1" t="s">
        <v>45</v>
      </c>
      <c r="AC314" s="1">
        <v>4.82351111E8</v>
      </c>
      <c r="AF314" s="1">
        <v>36022.37</v>
      </c>
      <c r="AG314" s="2">
        <v>41249.0</v>
      </c>
      <c r="AH314" s="1">
        <v>1200.0</v>
      </c>
      <c r="AI314" s="1" t="s">
        <v>647</v>
      </c>
      <c r="AJ314" s="1" t="s">
        <v>953</v>
      </c>
      <c r="AK314" s="1" t="s">
        <v>712</v>
      </c>
      <c r="AL314" s="1">
        <v>8.0</v>
      </c>
      <c r="AM314" s="1">
        <v>2013.0</v>
      </c>
      <c r="AN314" s="1">
        <v>2013.0</v>
      </c>
      <c r="AO314" s="1" t="s">
        <v>713</v>
      </c>
    </row>
    <row r="315">
      <c r="A315" s="5">
        <v>1.0</v>
      </c>
      <c r="B315" s="1">
        <f t="shared" si="1"/>
        <v>315</v>
      </c>
      <c r="C315" s="1" t="s">
        <v>709</v>
      </c>
      <c r="D315" s="1" t="s">
        <v>709</v>
      </c>
      <c r="E315" s="1" t="s">
        <v>645</v>
      </c>
      <c r="G315" s="1">
        <v>4.44297088E8</v>
      </c>
      <c r="H315" s="2">
        <v>41193.0</v>
      </c>
      <c r="I315" s="1" t="s">
        <v>710</v>
      </c>
      <c r="K315" s="1" t="s">
        <v>710</v>
      </c>
      <c r="N315" s="1" t="s">
        <v>647</v>
      </c>
      <c r="O315" s="1">
        <v>1200.0</v>
      </c>
      <c r="P315" s="1" t="s">
        <v>647</v>
      </c>
      <c r="Q315" s="1" t="str">
        <f>IF(ISERROR(VLOOKUP(P315,'unique fed agency names'!A:C,3,FALSE)),P315,VLOOKUP(P315,'unique fed agency names'!A:C,3,FALSE))
</f>
        <v>U.S. Department of Agriculture (USDA)</v>
      </c>
      <c r="R315" s="1">
        <v>5.56265135E8</v>
      </c>
      <c r="S315" s="1" t="s">
        <v>954</v>
      </c>
      <c r="T315" s="1" t="str">
        <f>IF(ISERROR(VLOOKUP(S315,'unique org names'!A:C,3,FALSE)),S315,VLOOKUP(S315,'unique org names'!A:C,3,FALSE))
</f>
        <v>Christios Child Care &amp; Academy</v>
      </c>
      <c r="V315" s="1" t="s">
        <v>955</v>
      </c>
      <c r="W315" s="1" t="s">
        <v>44</v>
      </c>
      <c r="X315" s="1" t="s">
        <v>45</v>
      </c>
      <c r="Y315" s="1">
        <v>4.82192756E8</v>
      </c>
      <c r="AA315" s="1" t="s">
        <v>44</v>
      </c>
      <c r="AB315" s="1" t="s">
        <v>45</v>
      </c>
      <c r="AC315" s="1">
        <v>4.82192756E8</v>
      </c>
      <c r="AF315" s="1">
        <v>65476.88</v>
      </c>
      <c r="AG315" s="2">
        <v>41193.0</v>
      </c>
      <c r="AH315" s="1">
        <v>1200.0</v>
      </c>
      <c r="AI315" s="1" t="s">
        <v>647</v>
      </c>
      <c r="AJ315" s="1" t="s">
        <v>956</v>
      </c>
      <c r="AK315" s="1" t="s">
        <v>712</v>
      </c>
      <c r="AL315" s="1">
        <v>8.0</v>
      </c>
      <c r="AM315" s="1">
        <v>2013.0</v>
      </c>
      <c r="AN315" s="1">
        <v>2013.0</v>
      </c>
      <c r="AO315" s="1" t="s">
        <v>713</v>
      </c>
    </row>
    <row r="316">
      <c r="A316" s="5">
        <v>1.0</v>
      </c>
      <c r="B316" s="1">
        <f t="shared" si="1"/>
        <v>316</v>
      </c>
      <c r="C316" s="1" t="s">
        <v>957</v>
      </c>
      <c r="D316" s="1" t="s">
        <v>957</v>
      </c>
      <c r="E316" s="1" t="s">
        <v>645</v>
      </c>
      <c r="G316" s="1">
        <v>4077418.0</v>
      </c>
      <c r="H316" s="2">
        <v>41456.0</v>
      </c>
      <c r="I316" s="1" t="s">
        <v>958</v>
      </c>
      <c r="K316" s="1" t="s">
        <v>958</v>
      </c>
      <c r="N316" s="1" t="s">
        <v>647</v>
      </c>
      <c r="O316" s="1">
        <v>1200.0</v>
      </c>
      <c r="P316" s="1" t="s">
        <v>647</v>
      </c>
      <c r="Q316" s="1" t="str">
        <f>IF(ISERROR(VLOOKUP(P316,'unique fed agency names'!A:C,3,FALSE)),P316,VLOOKUP(P316,'unique fed agency names'!A:C,3,FALSE))
</f>
        <v>U.S. Department of Agriculture (USDA)</v>
      </c>
      <c r="R316" s="1">
        <v>1.4193515E8</v>
      </c>
      <c r="S316" s="1" t="s">
        <v>877</v>
      </c>
      <c r="T316" s="1" t="str">
        <f>IF(ISERROR(VLOOKUP(S316,'unique org names'!A:C,3,FALSE)),S316,VLOOKUP(S316,'unique org names'!A:C,3,FALSE))
</f>
        <v>CENTRAL STATES SER, JOBS FOR PROGRESS, INC.</v>
      </c>
      <c r="V316" s="1" t="s">
        <v>878</v>
      </c>
      <c r="W316" s="1" t="s">
        <v>44</v>
      </c>
      <c r="X316" s="1" t="s">
        <v>45</v>
      </c>
      <c r="Y316" s="1">
        <v>4.82102038E8</v>
      </c>
      <c r="AA316" s="1" t="s">
        <v>879</v>
      </c>
      <c r="AB316" s="1" t="s">
        <v>880</v>
      </c>
      <c r="AC316" s="1">
        <v>6.06233738E8</v>
      </c>
      <c r="AF316" s="1">
        <v>12326.0</v>
      </c>
      <c r="AG316" s="2">
        <v>41456.0</v>
      </c>
      <c r="AH316" s="1">
        <v>1200.0</v>
      </c>
      <c r="AI316" s="1" t="s">
        <v>647</v>
      </c>
      <c r="AJ316" s="1" t="s">
        <v>959</v>
      </c>
      <c r="AK316" s="1" t="s">
        <v>960</v>
      </c>
      <c r="AL316" s="1">
        <v>7.0</v>
      </c>
      <c r="AM316" s="1">
        <v>2013.0</v>
      </c>
      <c r="AN316" s="1">
        <v>2013.0</v>
      </c>
      <c r="AO316" s="1" t="s">
        <v>961</v>
      </c>
    </row>
    <row r="317">
      <c r="A317" s="5">
        <v>1.0</v>
      </c>
      <c r="B317" s="1">
        <f t="shared" si="1"/>
        <v>317</v>
      </c>
      <c r="C317" s="1" t="s">
        <v>709</v>
      </c>
      <c r="D317" s="1" t="s">
        <v>709</v>
      </c>
      <c r="E317" s="1" t="s">
        <v>645</v>
      </c>
      <c r="G317" s="1">
        <v>4.44297088E8</v>
      </c>
      <c r="H317" s="2">
        <v>41242.0</v>
      </c>
      <c r="I317" s="1" t="s">
        <v>710</v>
      </c>
      <c r="K317" s="1" t="s">
        <v>710</v>
      </c>
      <c r="N317" s="1" t="s">
        <v>647</v>
      </c>
      <c r="O317" s="1">
        <v>1200.0</v>
      </c>
      <c r="P317" s="1" t="s">
        <v>647</v>
      </c>
      <c r="Q317" s="1" t="str">
        <f>IF(ISERROR(VLOOKUP(P317,'unique fed agency names'!A:C,3,FALSE)),P317,VLOOKUP(P317,'unique fed agency names'!A:C,3,FALSE))
</f>
        <v>U.S. Department of Agriculture (USDA)</v>
      </c>
      <c r="R317" s="1">
        <v>7.6340843E7</v>
      </c>
      <c r="S317" s="1" t="s">
        <v>461</v>
      </c>
      <c r="T317" s="1" t="str">
        <f>IF(ISERROR(VLOOKUP(S317,'unique org names'!A:C,3,FALSE)),S317,VLOOKUP(S317,'unique org names'!A:C,3,FALSE))
</f>
        <v>BOARD OF EDUCATION OF THE CITY OF DETROIT</v>
      </c>
      <c r="U317" s="1" t="s">
        <v>459</v>
      </c>
      <c r="V317" s="1" t="s">
        <v>524</v>
      </c>
      <c r="W317" s="1" t="s">
        <v>44</v>
      </c>
      <c r="X317" s="1" t="s">
        <v>45</v>
      </c>
      <c r="Y317" s="1">
        <v>4.82023046E8</v>
      </c>
      <c r="AA317" s="1" t="s">
        <v>44</v>
      </c>
      <c r="AB317" s="1" t="s">
        <v>45</v>
      </c>
      <c r="AC317" s="1">
        <v>4.82023096E8</v>
      </c>
      <c r="AD317" s="1">
        <v>7.6340843E7</v>
      </c>
      <c r="AE317" s="1" t="s">
        <v>461</v>
      </c>
      <c r="AF317" s="1">
        <v>1271137.35</v>
      </c>
      <c r="AG317" s="2">
        <v>41242.0</v>
      </c>
      <c r="AH317" s="1">
        <v>1200.0</v>
      </c>
      <c r="AI317" s="1" t="s">
        <v>647</v>
      </c>
      <c r="AJ317" s="1" t="s">
        <v>962</v>
      </c>
      <c r="AK317" s="1" t="s">
        <v>712</v>
      </c>
      <c r="AL317" s="1">
        <v>8.0</v>
      </c>
      <c r="AM317" s="1">
        <v>2013.0</v>
      </c>
      <c r="AN317" s="1">
        <v>2013.0</v>
      </c>
      <c r="AO317" s="1" t="s">
        <v>713</v>
      </c>
    </row>
    <row r="318">
      <c r="A318" s="5">
        <v>1.0</v>
      </c>
      <c r="B318" s="1">
        <f t="shared" si="1"/>
        <v>318</v>
      </c>
      <c r="C318" s="1" t="s">
        <v>957</v>
      </c>
      <c r="D318" s="1" t="s">
        <v>957</v>
      </c>
      <c r="E318" s="1" t="s">
        <v>645</v>
      </c>
      <c r="G318" s="1">
        <v>4077418.0</v>
      </c>
      <c r="H318" s="2">
        <v>41456.0</v>
      </c>
      <c r="I318" s="1" t="s">
        <v>958</v>
      </c>
      <c r="K318" s="1" t="s">
        <v>958</v>
      </c>
      <c r="N318" s="1" t="s">
        <v>647</v>
      </c>
      <c r="O318" s="1">
        <v>1200.0</v>
      </c>
      <c r="P318" s="1" t="s">
        <v>647</v>
      </c>
      <c r="Q318" s="1" t="str">
        <f>IF(ISERROR(VLOOKUP(P318,'unique fed agency names'!A:C,3,FALSE)),P318,VLOOKUP(P318,'unique fed agency names'!A:C,3,FALSE))
</f>
        <v>U.S. Department of Agriculture (USDA)</v>
      </c>
      <c r="R318" s="1">
        <v>1.4193515E8</v>
      </c>
      <c r="S318" s="1" t="s">
        <v>877</v>
      </c>
      <c r="T318" s="1" t="str">
        <f>IF(ISERROR(VLOOKUP(S318,'unique org names'!A:C,3,FALSE)),S318,VLOOKUP(S318,'unique org names'!A:C,3,FALSE))
</f>
        <v>CENTRAL STATES SER, JOBS FOR PROGRESS, INC.</v>
      </c>
      <c r="V318" s="1" t="s">
        <v>878</v>
      </c>
      <c r="W318" s="1" t="s">
        <v>44</v>
      </c>
      <c r="X318" s="1" t="s">
        <v>45</v>
      </c>
      <c r="Y318" s="1">
        <v>4.82102038E8</v>
      </c>
      <c r="AA318" s="1" t="s">
        <v>879</v>
      </c>
      <c r="AB318" s="1" t="s">
        <v>880</v>
      </c>
      <c r="AC318" s="1">
        <v>6.06233738E8</v>
      </c>
      <c r="AF318" s="1">
        <v>39600.0</v>
      </c>
      <c r="AG318" s="2">
        <v>41456.0</v>
      </c>
      <c r="AH318" s="1">
        <v>1200.0</v>
      </c>
      <c r="AI318" s="1" t="s">
        <v>647</v>
      </c>
      <c r="AJ318" s="1" t="s">
        <v>959</v>
      </c>
      <c r="AK318" s="1" t="s">
        <v>960</v>
      </c>
      <c r="AL318" s="1">
        <v>7.0</v>
      </c>
      <c r="AM318" s="1">
        <v>2013.0</v>
      </c>
      <c r="AN318" s="1">
        <v>2013.0</v>
      </c>
      <c r="AO318" s="1" t="s">
        <v>961</v>
      </c>
    </row>
    <row r="319">
      <c r="A319" s="5">
        <v>1.0</v>
      </c>
      <c r="B319" s="1">
        <f t="shared" si="1"/>
        <v>319</v>
      </c>
      <c r="C319" s="1" t="s">
        <v>963</v>
      </c>
      <c r="D319" s="1" t="s">
        <v>963</v>
      </c>
      <c r="E319" s="1" t="s">
        <v>964</v>
      </c>
      <c r="G319" s="1">
        <v>3.5377028E7</v>
      </c>
      <c r="H319" s="2">
        <v>41183.0</v>
      </c>
      <c r="I319" s="1" t="s">
        <v>965</v>
      </c>
      <c r="K319" s="1" t="s">
        <v>965</v>
      </c>
      <c r="N319" s="1" t="s">
        <v>40</v>
      </c>
      <c r="O319" s="1">
        <v>7500.0</v>
      </c>
      <c r="P319" s="1" t="s">
        <v>40</v>
      </c>
      <c r="Q319" s="1" t="str">
        <f>IF(ISERROR(VLOOKUP(P319,'unique fed agency names'!A:C,3,FALSE)),P319,VLOOKUP(P319,'unique fed agency names'!A:C,3,FALSE))
</f>
        <v>U.S. Department of Health and Human Services (DHHS)</v>
      </c>
      <c r="R319" s="1">
        <v>1962224.0</v>
      </c>
      <c r="S319" s="1" t="s">
        <v>52</v>
      </c>
      <c r="T319" s="1" t="str">
        <f>IF(ISERROR(VLOOKUP(S319,'unique org names'!A:C,3,FALSE)),S319,VLOOKUP(S319,'unique org names'!A:C,3,FALSE))
</f>
        <v>WAYNE STATE UNIVERSITY</v>
      </c>
      <c r="U319" s="1" t="s">
        <v>966</v>
      </c>
      <c r="V319" s="1" t="s">
        <v>53</v>
      </c>
      <c r="W319" s="1" t="s">
        <v>44</v>
      </c>
      <c r="X319" s="1" t="s">
        <v>45</v>
      </c>
      <c r="Y319" s="1">
        <v>4.82023692E8</v>
      </c>
      <c r="AA319" s="1" t="s">
        <v>46</v>
      </c>
      <c r="AB319" s="1" t="s">
        <v>45</v>
      </c>
      <c r="AC319" s="1">
        <v>4.82023692E8</v>
      </c>
      <c r="AD319" s="1">
        <v>1962224.0</v>
      </c>
      <c r="AE319" s="1" t="s">
        <v>52</v>
      </c>
      <c r="AF319" s="1">
        <v>20000.0</v>
      </c>
      <c r="AG319" s="2">
        <v>41183.0</v>
      </c>
      <c r="AH319" s="1">
        <v>7500.0</v>
      </c>
      <c r="AI319" s="1" t="s">
        <v>40</v>
      </c>
      <c r="AJ319" s="1">
        <v>2.0131058E7</v>
      </c>
      <c r="AK319" s="1" t="s">
        <v>967</v>
      </c>
      <c r="AL319" s="1">
        <v>10.0</v>
      </c>
      <c r="AM319" s="1">
        <v>2010.0</v>
      </c>
      <c r="AN319" s="1">
        <v>2013.0</v>
      </c>
      <c r="AO319" s="1" t="s">
        <v>968</v>
      </c>
    </row>
    <row r="320">
      <c r="A320" s="5">
        <v>1.0</v>
      </c>
      <c r="B320" s="1">
        <f t="shared" si="1"/>
        <v>320</v>
      </c>
      <c r="C320" s="1" t="s">
        <v>969</v>
      </c>
      <c r="D320" s="1" t="s">
        <v>969</v>
      </c>
      <c r="E320" s="1" t="s">
        <v>38</v>
      </c>
      <c r="G320" s="1">
        <v>2134038.0</v>
      </c>
      <c r="H320" s="2">
        <v>41374.0</v>
      </c>
      <c r="I320" s="1" t="s">
        <v>970</v>
      </c>
      <c r="K320" s="1" t="s">
        <v>970</v>
      </c>
      <c r="N320" s="1" t="s">
        <v>40</v>
      </c>
      <c r="O320" s="1">
        <v>7500.0</v>
      </c>
      <c r="P320" s="1" t="s">
        <v>40</v>
      </c>
      <c r="Q320" s="1" t="str">
        <f>IF(ISERROR(VLOOKUP(P320,'unique fed agency names'!A:C,3,FALSE)),P320,VLOOKUP(P320,'unique fed agency names'!A:C,3,FALSE))
</f>
        <v>U.S. Department of Health and Human Services (DHHS)</v>
      </c>
      <c r="R320" s="1">
        <v>1962224.0</v>
      </c>
      <c r="S320" s="1" t="s">
        <v>52</v>
      </c>
      <c r="T320" s="1" t="str">
        <f>IF(ISERROR(VLOOKUP(S320,'unique org names'!A:C,3,FALSE)),S320,VLOOKUP(S320,'unique org names'!A:C,3,FALSE))
</f>
        <v>WAYNE STATE UNIVERSITY</v>
      </c>
      <c r="V320" s="1" t="s">
        <v>53</v>
      </c>
      <c r="W320" s="1" t="s">
        <v>44</v>
      </c>
      <c r="X320" s="1" t="s">
        <v>45</v>
      </c>
      <c r="Y320" s="1">
        <v>4.82023692E8</v>
      </c>
      <c r="AA320" s="1" t="s">
        <v>44</v>
      </c>
      <c r="AB320" s="1" t="s">
        <v>45</v>
      </c>
      <c r="AC320" s="1">
        <v>4.82023692E8</v>
      </c>
      <c r="AD320" s="1">
        <v>1962224.0</v>
      </c>
      <c r="AE320" s="1" t="s">
        <v>52</v>
      </c>
      <c r="AF320" s="1">
        <v>35110.0</v>
      </c>
      <c r="AG320" s="2">
        <v>41374.0</v>
      </c>
      <c r="AH320" s="1">
        <v>7500.0</v>
      </c>
      <c r="AI320" s="1" t="s">
        <v>40</v>
      </c>
      <c r="AJ320" s="1" t="s">
        <v>971</v>
      </c>
      <c r="AK320" s="1" t="s">
        <v>972</v>
      </c>
      <c r="AL320" s="1">
        <v>4.0</v>
      </c>
      <c r="AM320" s="1">
        <v>2013.0</v>
      </c>
      <c r="AN320" s="1">
        <v>2013.0</v>
      </c>
      <c r="AO320" s="1" t="s">
        <v>973</v>
      </c>
    </row>
    <row r="321">
      <c r="A321" s="5">
        <v>1.0</v>
      </c>
      <c r="B321" s="1">
        <f t="shared" si="1"/>
        <v>321</v>
      </c>
      <c r="C321" s="1" t="s">
        <v>214</v>
      </c>
      <c r="D321" s="1" t="s">
        <v>214</v>
      </c>
      <c r="E321" s="1" t="s">
        <v>50</v>
      </c>
      <c r="G321" s="1">
        <v>3287008.0</v>
      </c>
      <c r="H321" s="2">
        <v>41526.0</v>
      </c>
      <c r="I321" s="1" t="s">
        <v>215</v>
      </c>
      <c r="K321" s="1" t="s">
        <v>215</v>
      </c>
      <c r="N321" s="1" t="s">
        <v>50</v>
      </c>
      <c r="O321" s="1">
        <v>8900.0</v>
      </c>
      <c r="P321" s="1" t="s">
        <v>50</v>
      </c>
      <c r="Q321" s="1" t="str">
        <f>IF(ISERROR(VLOOKUP(P321,'unique fed agency names'!A:C,3,FALSE)),P321,VLOOKUP(P321,'unique fed agency names'!A:C,3,FALSE))
</f>
        <v>U.S. Department of Energy</v>
      </c>
      <c r="R321" s="1">
        <v>6957872.0</v>
      </c>
      <c r="S321" s="1" t="s">
        <v>216</v>
      </c>
      <c r="T321" s="1" t="str">
        <f>IF(ISERROR(VLOOKUP(S321,'unique org names'!A:C,3,FALSE)),S321,VLOOKUP(S321,'unique org names'!A:C,3,FALSE))
</f>
        <v>THE DETROIT EDISON COMPANY</v>
      </c>
      <c r="U321" s="1" t="s">
        <v>217</v>
      </c>
      <c r="V321" s="1" t="s">
        <v>218</v>
      </c>
      <c r="W321" s="1" t="s">
        <v>44</v>
      </c>
      <c r="X321" s="1" t="s">
        <v>45</v>
      </c>
      <c r="Y321" s="1">
        <v>4.82261203E8</v>
      </c>
      <c r="AA321" s="1" t="s">
        <v>46</v>
      </c>
      <c r="AB321" s="1" t="s">
        <v>45</v>
      </c>
      <c r="AC321" s="1">
        <v>4.82261203E8</v>
      </c>
      <c r="AD321" s="1">
        <v>8.39329158E8</v>
      </c>
      <c r="AE321" s="1" t="s">
        <v>219</v>
      </c>
      <c r="AF321" s="1">
        <v>30000.0</v>
      </c>
      <c r="AG321" s="2">
        <v>41526.0</v>
      </c>
      <c r="AH321" s="1">
        <v>8900.0</v>
      </c>
      <c r="AI321" s="1" t="s">
        <v>50</v>
      </c>
      <c r="AJ321" s="1">
        <v>1.0001146E7</v>
      </c>
      <c r="AK321" s="1" t="s">
        <v>974</v>
      </c>
      <c r="AL321" s="1">
        <v>9.0</v>
      </c>
      <c r="AM321" s="1">
        <v>2013.0</v>
      </c>
      <c r="AN321" s="1">
        <v>2013.0</v>
      </c>
      <c r="AO321" s="1" t="s">
        <v>222</v>
      </c>
    </row>
    <row r="322">
      <c r="A322" s="5">
        <v>1.0</v>
      </c>
      <c r="B322" s="1">
        <f t="shared" si="1"/>
        <v>322</v>
      </c>
      <c r="C322" s="1" t="s">
        <v>975</v>
      </c>
      <c r="D322" s="1" t="s">
        <v>975</v>
      </c>
      <c r="E322" s="1" t="s">
        <v>100</v>
      </c>
      <c r="G322" s="1">
        <v>2113536.0</v>
      </c>
      <c r="H322" s="2">
        <v>41183.0</v>
      </c>
      <c r="I322" s="1" t="s">
        <v>101</v>
      </c>
      <c r="K322" s="1" t="s">
        <v>101</v>
      </c>
      <c r="N322" s="1" t="s">
        <v>102</v>
      </c>
      <c r="O322" s="1">
        <v>8600.0</v>
      </c>
      <c r="P322" s="1" t="s">
        <v>102</v>
      </c>
      <c r="Q322" s="1" t="str">
        <f>IF(ISERROR(VLOOKUP(P322,'unique fed agency names'!A:C,3,FALSE)),P322,VLOOKUP(P322,'unique fed agency names'!A:C,3,FALSE))
</f>
        <v>U.S. Department of Housing and Urban Development (HUD)</v>
      </c>
      <c r="R322" s="1">
        <v>1.4556403E8</v>
      </c>
      <c r="S322" s="1" t="s">
        <v>976</v>
      </c>
      <c r="T322" s="1" t="str">
        <f>IF(ISERROR(VLOOKUP(S322,'unique org names'!A:C,3,FALSE)),S322,VLOOKUP(S322,'unique org names'!A:C,3,FALSE))
</f>
        <v>Detroit-East Community Mental Health</v>
      </c>
      <c r="V322" s="1" t="s">
        <v>977</v>
      </c>
      <c r="W322" s="1" t="s">
        <v>44</v>
      </c>
      <c r="X322" s="1" t="s">
        <v>45</v>
      </c>
      <c r="Y322" s="1">
        <v>4.82133418E8</v>
      </c>
      <c r="AA322" s="1" t="s">
        <v>46</v>
      </c>
      <c r="AB322" s="1" t="s">
        <v>45</v>
      </c>
      <c r="AC322" s="1">
        <v>4.82133418E8</v>
      </c>
      <c r="AF322" s="1">
        <v>152732.48</v>
      </c>
      <c r="AG322" s="2">
        <v>41183.0</v>
      </c>
      <c r="AH322" s="1">
        <v>8600.0</v>
      </c>
      <c r="AI322" s="1" t="s">
        <v>102</v>
      </c>
      <c r="AJ322" s="1">
        <v>2.0130879E7</v>
      </c>
      <c r="AK322" s="1" t="s">
        <v>978</v>
      </c>
      <c r="AL322" s="1">
        <v>10.0</v>
      </c>
      <c r="AM322" s="1">
        <v>2011.0</v>
      </c>
      <c r="AN322" s="1">
        <v>2013.0</v>
      </c>
      <c r="AO322" s="1" t="s">
        <v>108</v>
      </c>
    </row>
    <row r="323">
      <c r="A323" s="5">
        <v>1.0</v>
      </c>
      <c r="B323" s="1">
        <f t="shared" si="1"/>
        <v>323</v>
      </c>
      <c r="C323" s="1" t="s">
        <v>975</v>
      </c>
      <c r="D323" s="1" t="s">
        <v>975</v>
      </c>
      <c r="E323" s="1" t="s">
        <v>100</v>
      </c>
      <c r="G323" s="1">
        <v>2113536.0</v>
      </c>
      <c r="H323" s="2">
        <v>41183.0</v>
      </c>
      <c r="I323" s="1" t="s">
        <v>101</v>
      </c>
      <c r="K323" s="1" t="s">
        <v>101</v>
      </c>
      <c r="N323" s="1" t="s">
        <v>102</v>
      </c>
      <c r="O323" s="1">
        <v>8600.0</v>
      </c>
      <c r="P323" s="1" t="s">
        <v>102</v>
      </c>
      <c r="Q323" s="1" t="str">
        <f>IF(ISERROR(VLOOKUP(P323,'unique fed agency names'!A:C,3,FALSE)),P323,VLOOKUP(P323,'unique fed agency names'!A:C,3,FALSE))
</f>
        <v>U.S. Department of Housing and Urban Development (HUD)</v>
      </c>
      <c r="R323" s="1">
        <v>4.3419399E7</v>
      </c>
      <c r="S323" s="1" t="s">
        <v>979</v>
      </c>
      <c r="T323" s="1" t="str">
        <f>IF(ISERROR(VLOOKUP(S323,'unique org names'!A:C,3,FALSE)),S323,VLOOKUP(S323,'unique org names'!A:C,3,FALSE))
</f>
        <v>NEIGHBORHOOD SERVICE ORGANIZATION</v>
      </c>
      <c r="V323" s="1" t="s">
        <v>980</v>
      </c>
      <c r="W323" s="1" t="s">
        <v>44</v>
      </c>
      <c r="X323" s="1" t="s">
        <v>45</v>
      </c>
      <c r="Y323" s="1">
        <v>4.82261412E8</v>
      </c>
      <c r="AA323" s="1" t="s">
        <v>46</v>
      </c>
      <c r="AB323" s="1" t="s">
        <v>45</v>
      </c>
      <c r="AC323" s="1">
        <v>4.82261412E8</v>
      </c>
      <c r="AD323" s="1">
        <v>4.3419399E7</v>
      </c>
      <c r="AE323" s="1" t="s">
        <v>979</v>
      </c>
      <c r="AF323" s="1">
        <v>99032.11</v>
      </c>
      <c r="AG323" s="2">
        <v>41183.0</v>
      </c>
      <c r="AH323" s="1">
        <v>8600.0</v>
      </c>
      <c r="AI323" s="1" t="s">
        <v>102</v>
      </c>
      <c r="AJ323" s="1">
        <v>2.0131023E7</v>
      </c>
      <c r="AK323" s="1" t="s">
        <v>978</v>
      </c>
      <c r="AL323" s="1">
        <v>10.0</v>
      </c>
      <c r="AM323" s="1">
        <v>2011.0</v>
      </c>
      <c r="AN323" s="1">
        <v>2013.0</v>
      </c>
      <c r="AO323" s="1" t="s">
        <v>108</v>
      </c>
    </row>
    <row r="324">
      <c r="A324" s="5">
        <v>1.0</v>
      </c>
      <c r="B324" s="1">
        <f t="shared" si="1"/>
        <v>324</v>
      </c>
      <c r="C324" s="1" t="s">
        <v>981</v>
      </c>
      <c r="D324" s="1" t="s">
        <v>981</v>
      </c>
      <c r="E324" s="1" t="s">
        <v>224</v>
      </c>
      <c r="G324" s="1">
        <v>400000.0</v>
      </c>
      <c r="H324" s="2">
        <v>41514.0</v>
      </c>
      <c r="I324" s="1" t="s">
        <v>982</v>
      </c>
      <c r="K324" s="1" t="s">
        <v>982</v>
      </c>
      <c r="N324" s="1" t="s">
        <v>151</v>
      </c>
      <c r="O324" s="1">
        <v>6900.0</v>
      </c>
      <c r="P324" s="1" t="s">
        <v>151</v>
      </c>
      <c r="Q324" s="1" t="str">
        <f>IF(ISERROR(VLOOKUP(P324,'unique fed agency names'!A:C,3,FALSE)),P324,VLOOKUP(P324,'unique fed agency names'!A:C,3,FALSE))
</f>
        <v>U.S. Department of Transportation (DOT)</v>
      </c>
      <c r="R324" s="1">
        <v>1.1855476E8</v>
      </c>
      <c r="S324" s="1" t="s">
        <v>983</v>
      </c>
      <c r="T324" s="1" t="str">
        <f>IF(ISERROR(VLOOKUP(S324,'unique org names'!A:C,3,FALSE)),S324,VLOOKUP(S324,'unique org names'!A:C,3,FALSE))
</f>
        <v>City of Detroit</v>
      </c>
      <c r="U324" s="1" t="s">
        <v>984</v>
      </c>
      <c r="V324" s="1" t="s">
        <v>227</v>
      </c>
      <c r="W324" s="1" t="s">
        <v>44</v>
      </c>
      <c r="X324" s="1" t="s">
        <v>45</v>
      </c>
      <c r="Y324" s="1">
        <v>4.82262886E8</v>
      </c>
      <c r="AA324" s="1" t="s">
        <v>46</v>
      </c>
      <c r="AB324" s="1" t="s">
        <v>45</v>
      </c>
      <c r="AC324" s="1">
        <v>4.82262886E8</v>
      </c>
      <c r="AD324" s="1">
        <v>6530661.0</v>
      </c>
      <c r="AE324" s="1" t="s">
        <v>76</v>
      </c>
      <c r="AF324" s="1">
        <v>400000.0</v>
      </c>
      <c r="AG324" s="2">
        <v>41514.0</v>
      </c>
      <c r="AH324" s="1">
        <v>6900.0</v>
      </c>
      <c r="AI324" s="1" t="s">
        <v>151</v>
      </c>
      <c r="AJ324" s="1">
        <v>1.0</v>
      </c>
      <c r="AK324" s="1" t="s">
        <v>985</v>
      </c>
      <c r="AL324" s="1">
        <v>10.0</v>
      </c>
      <c r="AM324" s="1">
        <v>2013.0</v>
      </c>
      <c r="AN324" s="1">
        <v>2013.0</v>
      </c>
      <c r="AO324" s="1" t="s">
        <v>229</v>
      </c>
    </row>
    <row r="325">
      <c r="A325" s="5">
        <v>1.0</v>
      </c>
      <c r="B325" s="1">
        <f t="shared" si="1"/>
        <v>325</v>
      </c>
      <c r="C325" s="1" t="s">
        <v>986</v>
      </c>
      <c r="D325" s="1" t="s">
        <v>986</v>
      </c>
      <c r="E325" s="1" t="s">
        <v>224</v>
      </c>
      <c r="G325" s="1">
        <v>247267.0</v>
      </c>
      <c r="H325" s="2">
        <v>41506.0</v>
      </c>
      <c r="I325" s="1" t="s">
        <v>987</v>
      </c>
      <c r="K325" s="1" t="s">
        <v>987</v>
      </c>
      <c r="N325" s="1" t="s">
        <v>151</v>
      </c>
      <c r="O325" s="1">
        <v>6900.0</v>
      </c>
      <c r="P325" s="1" t="s">
        <v>151</v>
      </c>
      <c r="Q325" s="1" t="str">
        <f>IF(ISERROR(VLOOKUP(P325,'unique fed agency names'!A:C,3,FALSE)),P325,VLOOKUP(P325,'unique fed agency names'!A:C,3,FALSE))
</f>
        <v>U.S. Department of Transportation (DOT)</v>
      </c>
      <c r="R325" s="1">
        <v>1.1855476E8</v>
      </c>
      <c r="S325" s="1" t="s">
        <v>983</v>
      </c>
      <c r="T325" s="1" t="str">
        <f>IF(ISERROR(VLOOKUP(S325,'unique org names'!A:C,3,FALSE)),S325,VLOOKUP(S325,'unique org names'!A:C,3,FALSE))
</f>
        <v>City of Detroit</v>
      </c>
      <c r="U325" s="1" t="s">
        <v>984</v>
      </c>
      <c r="V325" s="1" t="s">
        <v>227</v>
      </c>
      <c r="W325" s="1" t="s">
        <v>44</v>
      </c>
      <c r="X325" s="1" t="s">
        <v>45</v>
      </c>
      <c r="Y325" s="1">
        <v>4.82262886E8</v>
      </c>
      <c r="AA325" s="1" t="s">
        <v>46</v>
      </c>
      <c r="AB325" s="1" t="s">
        <v>45</v>
      </c>
      <c r="AC325" s="1">
        <v>4.82262886E8</v>
      </c>
      <c r="AD325" s="1">
        <v>6530661.0</v>
      </c>
      <c r="AE325" s="1" t="s">
        <v>76</v>
      </c>
      <c r="AF325" s="1">
        <v>247267.2</v>
      </c>
      <c r="AG325" s="2">
        <v>41506.0</v>
      </c>
      <c r="AH325" s="1">
        <v>6900.0</v>
      </c>
      <c r="AI325" s="1" t="s">
        <v>151</v>
      </c>
      <c r="AJ325" s="1">
        <v>1.0</v>
      </c>
      <c r="AK325" s="1" t="s">
        <v>988</v>
      </c>
      <c r="AL325" s="1">
        <v>10.0</v>
      </c>
      <c r="AM325" s="1">
        <v>2013.0</v>
      </c>
      <c r="AN325" s="1">
        <v>2013.0</v>
      </c>
      <c r="AO325" s="1" t="s">
        <v>229</v>
      </c>
    </row>
    <row r="326">
      <c r="A326" s="5">
        <v>1.0</v>
      </c>
      <c r="B326" s="1">
        <f t="shared" si="1"/>
        <v>326</v>
      </c>
      <c r="C326" s="1" t="s">
        <v>989</v>
      </c>
      <c r="D326" s="1" t="s">
        <v>989</v>
      </c>
      <c r="E326" s="1" t="s">
        <v>224</v>
      </c>
      <c r="G326" s="1">
        <v>1411984.0</v>
      </c>
      <c r="H326" s="2">
        <v>41514.0</v>
      </c>
      <c r="I326" s="1" t="s">
        <v>990</v>
      </c>
      <c r="K326" s="1" t="s">
        <v>990</v>
      </c>
      <c r="N326" s="1" t="s">
        <v>151</v>
      </c>
      <c r="O326" s="1">
        <v>6900.0</v>
      </c>
      <c r="P326" s="1" t="s">
        <v>151</v>
      </c>
      <c r="Q326" s="1" t="str">
        <f>IF(ISERROR(VLOOKUP(P326,'unique fed agency names'!A:C,3,FALSE)),P326,VLOOKUP(P326,'unique fed agency names'!A:C,3,FALSE))
</f>
        <v>U.S. Department of Transportation (DOT)</v>
      </c>
      <c r="R326" s="1">
        <v>9.63886101E8</v>
      </c>
      <c r="S326" s="1" t="s">
        <v>259</v>
      </c>
      <c r="T326" s="1" t="str">
        <f>IF(ISERROR(VLOOKUP(S326,'unique org names'!A:C,3,FALSE)),S326,VLOOKUP(S326,'unique org names'!A:C,3,FALSE))
</f>
        <v>Wayne County</v>
      </c>
      <c r="V326" s="1" t="s">
        <v>260</v>
      </c>
      <c r="W326" s="1" t="s">
        <v>44</v>
      </c>
      <c r="X326" s="1" t="s">
        <v>45</v>
      </c>
      <c r="Y326" s="1">
        <v>4.8226348E8</v>
      </c>
      <c r="AA326" s="1" t="s">
        <v>46</v>
      </c>
      <c r="AB326" s="1" t="s">
        <v>45</v>
      </c>
      <c r="AC326" s="1">
        <v>4.8226348E8</v>
      </c>
      <c r="AD326" s="1">
        <v>7.3134884E7</v>
      </c>
      <c r="AE326" s="1" t="s">
        <v>261</v>
      </c>
      <c r="AF326" s="1">
        <v>1411984.48</v>
      </c>
      <c r="AG326" s="2">
        <v>41514.0</v>
      </c>
      <c r="AH326" s="1">
        <v>6900.0</v>
      </c>
      <c r="AI326" s="1" t="s">
        <v>151</v>
      </c>
      <c r="AJ326" s="1">
        <v>1.0</v>
      </c>
      <c r="AK326" s="1" t="s">
        <v>991</v>
      </c>
      <c r="AL326" s="1">
        <v>10.0</v>
      </c>
      <c r="AM326" s="1">
        <v>2013.0</v>
      </c>
      <c r="AN326" s="1">
        <v>2013.0</v>
      </c>
      <c r="AO326" s="1" t="s">
        <v>229</v>
      </c>
    </row>
    <row r="327">
      <c r="A327" s="5">
        <v>1.0</v>
      </c>
      <c r="B327" s="1">
        <f t="shared" si="1"/>
        <v>327</v>
      </c>
      <c r="C327" s="1" t="s">
        <v>992</v>
      </c>
      <c r="D327" s="1" t="s">
        <v>992</v>
      </c>
      <c r="E327" s="1" t="s">
        <v>159</v>
      </c>
      <c r="G327" s="1">
        <v>3.4836676E7</v>
      </c>
      <c r="H327" s="2">
        <v>41528.0</v>
      </c>
      <c r="I327" s="1" t="s">
        <v>993</v>
      </c>
      <c r="K327" s="1" t="s">
        <v>993</v>
      </c>
      <c r="N327" s="1" t="s">
        <v>40</v>
      </c>
      <c r="O327" s="1">
        <v>7500.0</v>
      </c>
      <c r="P327" s="1" t="s">
        <v>40</v>
      </c>
      <c r="Q327" s="1" t="str">
        <f>IF(ISERROR(VLOOKUP(P327,'unique fed agency names'!A:C,3,FALSE)),P327,VLOOKUP(P327,'unique fed agency names'!A:C,3,FALSE))
</f>
        <v>U.S. Department of Health and Human Services (DHHS)</v>
      </c>
      <c r="R327" s="1">
        <v>1.42793053E8</v>
      </c>
      <c r="S327" s="1" t="s">
        <v>994</v>
      </c>
      <c r="T327" s="1" t="str">
        <f>IF(ISERROR(VLOOKUP(S327,'unique org names'!A:C,3,FALSE)),S327,VLOOKUP(S327,'unique org names'!A:C,3,FALSE))
</f>
        <v>CARE FIRST COMMUNITY HEALTH SERVICES</v>
      </c>
      <c r="V327" s="1" t="s">
        <v>995</v>
      </c>
      <c r="W327" s="1" t="s">
        <v>44</v>
      </c>
      <c r="X327" s="1" t="s">
        <v>45</v>
      </c>
      <c r="Y327" s="1">
        <v>4.82282721E8</v>
      </c>
      <c r="AA327" s="1" t="s">
        <v>46</v>
      </c>
      <c r="AB327" s="1" t="s">
        <v>45</v>
      </c>
      <c r="AC327" s="1">
        <v>4.82282721E8</v>
      </c>
      <c r="AF327" s="1">
        <v>51598.0</v>
      </c>
      <c r="AG327" s="2">
        <v>41528.0</v>
      </c>
      <c r="AH327" s="1">
        <v>7500.0</v>
      </c>
      <c r="AI327" s="1" t="s">
        <v>40</v>
      </c>
      <c r="AJ327" s="1">
        <v>2.0606865E7</v>
      </c>
      <c r="AK327" s="1" t="s">
        <v>996</v>
      </c>
      <c r="AL327" s="1">
        <v>6.0</v>
      </c>
      <c r="AM327" s="1">
        <v>2013.0</v>
      </c>
      <c r="AN327" s="1">
        <v>2013.0</v>
      </c>
      <c r="AO327" s="1" t="s">
        <v>997</v>
      </c>
    </row>
    <row r="328">
      <c r="A328" s="5">
        <v>1.0</v>
      </c>
      <c r="B328" s="1">
        <f t="shared" si="1"/>
        <v>328</v>
      </c>
      <c r="C328" s="1" t="s">
        <v>992</v>
      </c>
      <c r="D328" s="1" t="s">
        <v>992</v>
      </c>
      <c r="E328" s="1" t="s">
        <v>159</v>
      </c>
      <c r="G328" s="1">
        <v>3.4836676E7</v>
      </c>
      <c r="H328" s="2">
        <v>41514.0</v>
      </c>
      <c r="I328" s="1" t="s">
        <v>993</v>
      </c>
      <c r="K328" s="1" t="s">
        <v>993</v>
      </c>
      <c r="N328" s="1" t="s">
        <v>40</v>
      </c>
      <c r="O328" s="1">
        <v>7500.0</v>
      </c>
      <c r="P328" s="1" t="s">
        <v>40</v>
      </c>
      <c r="Q328" s="1" t="str">
        <f>IF(ISERROR(VLOOKUP(P328,'unique fed agency names'!A:C,3,FALSE)),P328,VLOOKUP(P328,'unique fed agency names'!A:C,3,FALSE))
</f>
        <v>U.S. Department of Health and Human Services (DHHS)</v>
      </c>
      <c r="R328" s="1">
        <v>2.0830303E7</v>
      </c>
      <c r="S328" s="1" t="s">
        <v>424</v>
      </c>
      <c r="T328" s="1" t="str">
        <f>IF(ISERROR(VLOOKUP(S328,'unique org names'!A:C,3,FALSE)),S328,VLOOKUP(S328,'unique org names'!A:C,3,FALSE))
</f>
        <v>MATRIX HUMAN SERVICES</v>
      </c>
      <c r="U328" s="1" t="s">
        <v>425</v>
      </c>
      <c r="V328" s="1" t="s">
        <v>426</v>
      </c>
      <c r="W328" s="1" t="s">
        <v>44</v>
      </c>
      <c r="X328" s="1" t="s">
        <v>45</v>
      </c>
      <c r="Y328" s="1">
        <v>4.82012002E8</v>
      </c>
      <c r="AA328" s="1" t="s">
        <v>46</v>
      </c>
      <c r="AB328" s="1" t="s">
        <v>45</v>
      </c>
      <c r="AC328" s="1">
        <v>4.82012002E8</v>
      </c>
      <c r="AD328" s="1">
        <v>2.0830303E7</v>
      </c>
      <c r="AE328" s="1" t="s">
        <v>424</v>
      </c>
      <c r="AF328" s="1">
        <v>1096742.0</v>
      </c>
      <c r="AG328" s="2">
        <v>41514.0</v>
      </c>
      <c r="AH328" s="1">
        <v>7500.0</v>
      </c>
      <c r="AI328" s="1" t="s">
        <v>40</v>
      </c>
      <c r="AJ328" s="1">
        <v>3.81358015E8</v>
      </c>
      <c r="AK328" s="1" t="s">
        <v>998</v>
      </c>
      <c r="AL328" s="1">
        <v>6.0</v>
      </c>
      <c r="AM328" s="1">
        <v>2013.0</v>
      </c>
      <c r="AN328" s="1">
        <v>2013.0</v>
      </c>
      <c r="AO328" s="1" t="s">
        <v>997</v>
      </c>
    </row>
    <row r="329">
      <c r="A329" s="5">
        <v>1.0</v>
      </c>
      <c r="B329" s="1">
        <f t="shared" si="1"/>
        <v>329</v>
      </c>
      <c r="C329" s="1" t="s">
        <v>992</v>
      </c>
      <c r="D329" s="1" t="s">
        <v>992</v>
      </c>
      <c r="E329" s="1" t="s">
        <v>159</v>
      </c>
      <c r="G329" s="1">
        <v>3.4836676E7</v>
      </c>
      <c r="H329" s="2">
        <v>41528.0</v>
      </c>
      <c r="I329" s="1" t="s">
        <v>993</v>
      </c>
      <c r="K329" s="1" t="s">
        <v>993</v>
      </c>
      <c r="N329" s="1" t="s">
        <v>40</v>
      </c>
      <c r="O329" s="1">
        <v>7500.0</v>
      </c>
      <c r="P329" s="1" t="s">
        <v>40</v>
      </c>
      <c r="Q329" s="1" t="str">
        <f>IF(ISERROR(VLOOKUP(P329,'unique fed agency names'!A:C,3,FALSE)),P329,VLOOKUP(P329,'unique fed agency names'!A:C,3,FALSE))
</f>
        <v>U.S. Department of Health and Human Services (DHHS)</v>
      </c>
      <c r="R329" s="1">
        <v>1.98999146E8</v>
      </c>
      <c r="S329" s="1" t="s">
        <v>999</v>
      </c>
      <c r="T329" s="1" t="str">
        <f>IF(ISERROR(VLOOKUP(S329,'unique org names'!A:C,3,FALSE)),S329,VLOOKUP(S329,'unique org names'!A:C,3,FALSE))
</f>
        <v>COMMUNITY HEALTH AWARENESS GROUP</v>
      </c>
      <c r="V329" s="1" t="s">
        <v>1000</v>
      </c>
      <c r="W329" s="1" t="s">
        <v>44</v>
      </c>
      <c r="X329" s="1" t="s">
        <v>45</v>
      </c>
      <c r="Y329" s="1">
        <v>4.82263007E8</v>
      </c>
      <c r="AA329" s="1" t="s">
        <v>46</v>
      </c>
      <c r="AB329" s="1" t="s">
        <v>45</v>
      </c>
      <c r="AC329" s="1">
        <v>4.82263007E8</v>
      </c>
      <c r="AF329" s="1">
        <v>693365.0</v>
      </c>
      <c r="AG329" s="2">
        <v>41528.0</v>
      </c>
      <c r="AH329" s="1">
        <v>7500.0</v>
      </c>
      <c r="AI329" s="1" t="s">
        <v>40</v>
      </c>
      <c r="AJ329" s="1">
        <v>3.82704374E8</v>
      </c>
      <c r="AK329" s="1" t="s">
        <v>1001</v>
      </c>
      <c r="AL329" s="1">
        <v>6.0</v>
      </c>
      <c r="AM329" s="1">
        <v>2013.0</v>
      </c>
      <c r="AN329" s="1">
        <v>2013.0</v>
      </c>
      <c r="AO329" s="1" t="s">
        <v>997</v>
      </c>
    </row>
    <row r="330">
      <c r="A330" s="5">
        <v>1.0</v>
      </c>
      <c r="B330" s="1">
        <f t="shared" si="1"/>
        <v>330</v>
      </c>
      <c r="C330" s="1" t="s">
        <v>975</v>
      </c>
      <c r="D330" s="1" t="s">
        <v>975</v>
      </c>
      <c r="E330" s="1" t="s">
        <v>100</v>
      </c>
      <c r="G330" s="1">
        <v>2113536.0</v>
      </c>
      <c r="H330" s="2">
        <v>41183.0</v>
      </c>
      <c r="I330" s="1" t="s">
        <v>101</v>
      </c>
      <c r="K330" s="1" t="s">
        <v>101</v>
      </c>
      <c r="N330" s="1" t="s">
        <v>102</v>
      </c>
      <c r="O330" s="1">
        <v>8600.0</v>
      </c>
      <c r="P330" s="1" t="s">
        <v>102</v>
      </c>
      <c r="Q330" s="1" t="str">
        <f>IF(ISERROR(VLOOKUP(P330,'unique fed agency names'!A:C,3,FALSE)),P330,VLOOKUP(P330,'unique fed agency names'!A:C,3,FALSE))
</f>
        <v>U.S. Department of Housing and Urban Development (HUD)</v>
      </c>
      <c r="R330" s="1">
        <v>6.07778081E8</v>
      </c>
      <c r="S330" s="1" t="s">
        <v>1002</v>
      </c>
      <c r="T330" s="1" t="str">
        <f>IF(ISERROR(VLOOKUP(S330,'unique org names'!A:C,3,FALSE)),S330,VLOOKUP(S330,'unique org names'!A:C,3,FALSE))
</f>
        <v>TRAVELERS AID SOCIETY OF METROPOLITAN DETROIT</v>
      </c>
      <c r="U330" s="1" t="s">
        <v>1003</v>
      </c>
      <c r="V330" s="1" t="s">
        <v>1004</v>
      </c>
      <c r="W330" s="1" t="s">
        <v>44</v>
      </c>
      <c r="X330" s="1" t="s">
        <v>45</v>
      </c>
      <c r="Y330" s="1">
        <v>4.82261986E8</v>
      </c>
      <c r="AA330" s="1" t="s">
        <v>46</v>
      </c>
      <c r="AB330" s="1" t="s">
        <v>45</v>
      </c>
      <c r="AC330" s="1">
        <v>4.8226288E8</v>
      </c>
      <c r="AD330" s="1">
        <v>6.07778081E8</v>
      </c>
      <c r="AE330" s="1" t="s">
        <v>1002</v>
      </c>
      <c r="AF330" s="1">
        <v>147333.0</v>
      </c>
      <c r="AG330" s="2">
        <v>41183.0</v>
      </c>
      <c r="AH330" s="1">
        <v>8600.0</v>
      </c>
      <c r="AI330" s="1" t="s">
        <v>102</v>
      </c>
      <c r="AJ330" s="1">
        <v>2.0130877E7</v>
      </c>
      <c r="AK330" s="1" t="s">
        <v>978</v>
      </c>
      <c r="AL330" s="1">
        <v>10.0</v>
      </c>
      <c r="AM330" s="1">
        <v>2011.0</v>
      </c>
      <c r="AN330" s="1">
        <v>2013.0</v>
      </c>
      <c r="AO330" s="1" t="s">
        <v>108</v>
      </c>
    </row>
    <row r="331">
      <c r="A331" s="5">
        <v>1.0</v>
      </c>
      <c r="B331" s="1">
        <f t="shared" si="1"/>
        <v>331</v>
      </c>
      <c r="C331" s="1" t="s">
        <v>975</v>
      </c>
      <c r="D331" s="1" t="s">
        <v>975</v>
      </c>
      <c r="E331" s="1" t="s">
        <v>100</v>
      </c>
      <c r="G331" s="1">
        <v>2113536.0</v>
      </c>
      <c r="H331" s="2">
        <v>41183.0</v>
      </c>
      <c r="I331" s="1" t="s">
        <v>101</v>
      </c>
      <c r="K331" s="1" t="s">
        <v>101</v>
      </c>
      <c r="N331" s="1" t="s">
        <v>102</v>
      </c>
      <c r="O331" s="1">
        <v>8600.0</v>
      </c>
      <c r="P331" s="1" t="s">
        <v>102</v>
      </c>
      <c r="Q331" s="1" t="str">
        <f>IF(ISERROR(VLOOKUP(P331,'unique fed agency names'!A:C,3,FALSE)),P331,VLOOKUP(P331,'unique fed agency names'!A:C,3,FALSE))
</f>
        <v>U.S. Department of Housing and Urban Development (HUD)</v>
      </c>
      <c r="R331" s="1">
        <v>7.6385699E7</v>
      </c>
      <c r="S331" s="1" t="s">
        <v>106</v>
      </c>
      <c r="T331" s="1" t="str">
        <f>IF(ISERROR(VLOOKUP(S331,'unique org names'!A:C,3,FALSE)),S331,VLOOKUP(S331,'unique org names'!A:C,3,FALSE))
</f>
        <v>Southwest Counseling Solutions, Inc</v>
      </c>
      <c r="U331" s="1" t="s">
        <v>1005</v>
      </c>
      <c r="V331" s="1" t="s">
        <v>1006</v>
      </c>
      <c r="W331" s="1" t="s">
        <v>44</v>
      </c>
      <c r="X331" s="1" t="s">
        <v>45</v>
      </c>
      <c r="Y331" s="1">
        <v>4.82092022E8</v>
      </c>
      <c r="AA331" s="1" t="s">
        <v>46</v>
      </c>
      <c r="AB331" s="1" t="s">
        <v>45</v>
      </c>
      <c r="AC331" s="1">
        <v>4.82092022E8</v>
      </c>
      <c r="AD331" s="1">
        <v>7.6385699E7</v>
      </c>
      <c r="AE331" s="1" t="s">
        <v>106</v>
      </c>
      <c r="AF331" s="1">
        <v>287504.28</v>
      </c>
      <c r="AG331" s="2">
        <v>41183.0</v>
      </c>
      <c r="AH331" s="1">
        <v>8600.0</v>
      </c>
      <c r="AI331" s="1" t="s">
        <v>102</v>
      </c>
      <c r="AJ331" s="1">
        <v>2.0130878E7</v>
      </c>
      <c r="AK331" s="1" t="s">
        <v>978</v>
      </c>
      <c r="AL331" s="1">
        <v>10.0</v>
      </c>
      <c r="AM331" s="1">
        <v>2011.0</v>
      </c>
      <c r="AN331" s="1">
        <v>2013.0</v>
      </c>
      <c r="AO331" s="1" t="s">
        <v>108</v>
      </c>
    </row>
    <row r="332">
      <c r="A332" s="5">
        <v>1.0</v>
      </c>
      <c r="B332" s="1">
        <f t="shared" si="1"/>
        <v>332</v>
      </c>
      <c r="C332" s="1" t="s">
        <v>1007</v>
      </c>
      <c r="D332" s="1" t="s">
        <v>1007</v>
      </c>
      <c r="E332" s="1" t="s">
        <v>63</v>
      </c>
      <c r="G332" s="1">
        <v>3200991.0</v>
      </c>
      <c r="H332" s="2">
        <v>41183.0</v>
      </c>
      <c r="I332" s="1" t="s">
        <v>1008</v>
      </c>
      <c r="K332" s="1" t="s">
        <v>1008</v>
      </c>
      <c r="N332" s="1" t="s">
        <v>40</v>
      </c>
      <c r="O332" s="1">
        <v>7500.0</v>
      </c>
      <c r="P332" s="1" t="s">
        <v>40</v>
      </c>
      <c r="Q332" s="1" t="str">
        <f>IF(ISERROR(VLOOKUP(P332,'unique fed agency names'!A:C,3,FALSE)),P332,VLOOKUP(P332,'unique fed agency names'!A:C,3,FALSE))
</f>
        <v>U.S. Department of Health and Human Services (DHHS)</v>
      </c>
      <c r="R332" s="1">
        <v>7.3135402E7</v>
      </c>
      <c r="S332" s="1" t="s">
        <v>152</v>
      </c>
      <c r="T332" s="1" t="str">
        <f>IF(ISERROR(VLOOKUP(S332,'unique org names'!A:C,3,FALSE)),S332,VLOOKUP(S332,'unique org names'!A:C,3,FALSE))
</f>
        <v>UNIVERSITY OF DETROIT MERCY</v>
      </c>
      <c r="U332" s="1" t="s">
        <v>153</v>
      </c>
      <c r="V332" s="1" t="s">
        <v>154</v>
      </c>
      <c r="W332" s="1" t="s">
        <v>44</v>
      </c>
      <c r="X332" s="1" t="s">
        <v>45</v>
      </c>
      <c r="Y332" s="1">
        <v>4.82213038E8</v>
      </c>
      <c r="AA332" s="1" t="s">
        <v>46</v>
      </c>
      <c r="AB332" s="1" t="s">
        <v>45</v>
      </c>
      <c r="AC332" s="1">
        <v>4.82213038E8</v>
      </c>
      <c r="AD332" s="1">
        <v>7.3135402E7</v>
      </c>
      <c r="AE332" s="1" t="s">
        <v>152</v>
      </c>
      <c r="AF332" s="1">
        <v>5245.0</v>
      </c>
      <c r="AG332" s="2">
        <v>41183.0</v>
      </c>
      <c r="AH332" s="1">
        <v>7500.0</v>
      </c>
      <c r="AI332" s="1" t="s">
        <v>40</v>
      </c>
      <c r="AJ332" s="1">
        <v>2.01302E7</v>
      </c>
      <c r="AK332" s="1" t="s">
        <v>1009</v>
      </c>
      <c r="AL332" s="1">
        <v>10.0</v>
      </c>
      <c r="AM332" s="1">
        <v>2010.0</v>
      </c>
      <c r="AN332" s="1">
        <v>2013.0</v>
      </c>
      <c r="AO332" s="1" t="s">
        <v>342</v>
      </c>
    </row>
    <row r="333">
      <c r="A333" s="5">
        <v>1.0</v>
      </c>
      <c r="B333" s="1">
        <f t="shared" si="1"/>
        <v>333</v>
      </c>
      <c r="C333" s="1" t="s">
        <v>975</v>
      </c>
      <c r="D333" s="1" t="s">
        <v>975</v>
      </c>
      <c r="E333" s="1" t="s">
        <v>100</v>
      </c>
      <c r="G333" s="1">
        <v>2113536.0</v>
      </c>
      <c r="H333" s="2">
        <v>41183.0</v>
      </c>
      <c r="I333" s="1" t="s">
        <v>101</v>
      </c>
      <c r="K333" s="1" t="s">
        <v>101</v>
      </c>
      <c r="N333" s="1" t="s">
        <v>102</v>
      </c>
      <c r="O333" s="1">
        <v>8600.0</v>
      </c>
      <c r="P333" s="1" t="s">
        <v>102</v>
      </c>
      <c r="Q333" s="1" t="str">
        <f>IF(ISERROR(VLOOKUP(P333,'unique fed agency names'!A:C,3,FALSE)),P333,VLOOKUP(P333,'unique fed agency names'!A:C,3,FALSE))
</f>
        <v>U.S. Department of Housing and Urban Development (HUD)</v>
      </c>
      <c r="R333" s="1">
        <v>1.61078902E8</v>
      </c>
      <c r="S333" s="1" t="s">
        <v>1010</v>
      </c>
      <c r="T333" s="1" t="str">
        <f>IF(ISERROR(VLOOKUP(S333,'unique org names'!A:C,3,FALSE)),S333,VLOOKUP(S333,'unique org names'!A:C,3,FALSE))
</f>
        <v>COALITION ON TEMPORARY SHELTER</v>
      </c>
      <c r="U333" s="1" t="s">
        <v>1011</v>
      </c>
      <c r="V333" s="1" t="s">
        <v>1012</v>
      </c>
      <c r="W333" s="1" t="s">
        <v>44</v>
      </c>
      <c r="X333" s="1" t="s">
        <v>45</v>
      </c>
      <c r="Y333" s="1">
        <v>4.82012722E8</v>
      </c>
      <c r="AA333" s="1" t="s">
        <v>46</v>
      </c>
      <c r="AB333" s="1" t="s">
        <v>45</v>
      </c>
      <c r="AC333" s="1">
        <v>4.82012722E8</v>
      </c>
      <c r="AD333" s="1">
        <v>1.61078902E8</v>
      </c>
      <c r="AE333" s="1" t="s">
        <v>1010</v>
      </c>
      <c r="AF333" s="1">
        <v>286562.46</v>
      </c>
      <c r="AG333" s="2">
        <v>41183.0</v>
      </c>
      <c r="AH333" s="1">
        <v>8600.0</v>
      </c>
      <c r="AI333" s="1" t="s">
        <v>102</v>
      </c>
      <c r="AJ333" s="1">
        <v>2.0130882E7</v>
      </c>
      <c r="AK333" s="1" t="s">
        <v>978</v>
      </c>
      <c r="AL333" s="1">
        <v>10.0</v>
      </c>
      <c r="AM333" s="1">
        <v>2011.0</v>
      </c>
      <c r="AN333" s="1">
        <v>2013.0</v>
      </c>
      <c r="AO333" s="1" t="s">
        <v>108</v>
      </c>
    </row>
    <row r="334">
      <c r="A334" s="5">
        <v>1.0</v>
      </c>
      <c r="B334" s="1">
        <f t="shared" si="1"/>
        <v>334</v>
      </c>
      <c r="C334" s="1" t="s">
        <v>1013</v>
      </c>
      <c r="D334" s="1" t="s">
        <v>1013</v>
      </c>
      <c r="E334" s="1" t="s">
        <v>224</v>
      </c>
      <c r="G334" s="1">
        <v>164878.0</v>
      </c>
      <c r="H334" s="2">
        <v>41506.0</v>
      </c>
      <c r="I334" s="1" t="s">
        <v>1014</v>
      </c>
      <c r="K334" s="1" t="s">
        <v>1014</v>
      </c>
      <c r="N334" s="1" t="s">
        <v>151</v>
      </c>
      <c r="O334" s="1">
        <v>6900.0</v>
      </c>
      <c r="P334" s="1" t="s">
        <v>151</v>
      </c>
      <c r="Q334" s="1" t="str">
        <f>IF(ISERROR(VLOOKUP(P334,'unique fed agency names'!A:C,3,FALSE)),P334,VLOOKUP(P334,'unique fed agency names'!A:C,3,FALSE))
</f>
        <v>U.S. Department of Transportation (DOT)</v>
      </c>
      <c r="R334" s="1">
        <v>1.1855476E8</v>
      </c>
      <c r="S334" s="1" t="s">
        <v>983</v>
      </c>
      <c r="T334" s="1" t="str">
        <f>IF(ISERROR(VLOOKUP(S334,'unique org names'!A:C,3,FALSE)),S334,VLOOKUP(S334,'unique org names'!A:C,3,FALSE))
</f>
        <v>City of Detroit</v>
      </c>
      <c r="U334" s="1" t="s">
        <v>984</v>
      </c>
      <c r="V334" s="1" t="s">
        <v>227</v>
      </c>
      <c r="W334" s="1" t="s">
        <v>44</v>
      </c>
      <c r="X334" s="1" t="s">
        <v>45</v>
      </c>
      <c r="Y334" s="1">
        <v>4.82262886E8</v>
      </c>
      <c r="AA334" s="1" t="s">
        <v>46</v>
      </c>
      <c r="AB334" s="1" t="s">
        <v>45</v>
      </c>
      <c r="AC334" s="1">
        <v>4.82262886E8</v>
      </c>
      <c r="AD334" s="1">
        <v>6530661.0</v>
      </c>
      <c r="AE334" s="1" t="s">
        <v>76</v>
      </c>
      <c r="AF334" s="1">
        <v>164878.34</v>
      </c>
      <c r="AG334" s="2">
        <v>41506.0</v>
      </c>
      <c r="AH334" s="1">
        <v>6900.0</v>
      </c>
      <c r="AI334" s="1" t="s">
        <v>151</v>
      </c>
      <c r="AJ334" s="1">
        <v>1.0</v>
      </c>
      <c r="AK334" s="1" t="s">
        <v>1015</v>
      </c>
      <c r="AL334" s="1">
        <v>10.0</v>
      </c>
      <c r="AM334" s="1">
        <v>2013.0</v>
      </c>
      <c r="AN334" s="1">
        <v>2013.0</v>
      </c>
      <c r="AO334" s="1" t="s">
        <v>229</v>
      </c>
    </row>
    <row r="335">
      <c r="A335" s="5">
        <v>1.0</v>
      </c>
      <c r="B335" s="1">
        <f t="shared" si="1"/>
        <v>335</v>
      </c>
      <c r="C335" s="1" t="s">
        <v>1016</v>
      </c>
      <c r="D335" s="1" t="s">
        <v>1016</v>
      </c>
      <c r="E335" s="1" t="s">
        <v>38</v>
      </c>
      <c r="G335" s="1">
        <v>1704425.0</v>
      </c>
      <c r="H335" s="2">
        <v>41488.0</v>
      </c>
      <c r="I335" s="1" t="s">
        <v>1017</v>
      </c>
      <c r="K335" s="1" t="s">
        <v>1017</v>
      </c>
      <c r="N335" s="1" t="s">
        <v>40</v>
      </c>
      <c r="O335" s="1">
        <v>7500.0</v>
      </c>
      <c r="P335" s="1" t="s">
        <v>40</v>
      </c>
      <c r="Q335" s="1" t="str">
        <f>IF(ISERROR(VLOOKUP(P335,'unique fed agency names'!A:C,3,FALSE)),P335,VLOOKUP(P335,'unique fed agency names'!A:C,3,FALSE))
</f>
        <v>U.S. Department of Health and Human Services (DHHS)</v>
      </c>
      <c r="R335" s="1">
        <v>8.29081207E8</v>
      </c>
      <c r="S335" s="1" t="s">
        <v>1018</v>
      </c>
      <c r="T335" s="1" t="str">
        <f>IF(ISERROR(VLOOKUP(S335,'unique org names'!A:C,3,FALSE)),S335,VLOOKUP(S335,'unique org names'!A:C,3,FALSE))
</f>
        <v>FRIENDS OF PARKSIDE</v>
      </c>
      <c r="V335" s="1" t="s">
        <v>1019</v>
      </c>
      <c r="W335" s="1" t="s">
        <v>44</v>
      </c>
      <c r="X335" s="1" t="s">
        <v>45</v>
      </c>
      <c r="Y335" s="1">
        <v>4.82133402E8</v>
      </c>
      <c r="AA335" s="1" t="s">
        <v>46</v>
      </c>
      <c r="AB335" s="1" t="s">
        <v>45</v>
      </c>
      <c r="AC335" s="1">
        <v>4.82133402E8</v>
      </c>
      <c r="AF335" s="1">
        <v>50683.0</v>
      </c>
      <c r="AG335" s="2">
        <v>41488.0</v>
      </c>
      <c r="AH335" s="1">
        <v>7500.0</v>
      </c>
      <c r="AI335" s="1" t="s">
        <v>40</v>
      </c>
      <c r="AJ335" s="1">
        <v>3.002042445E9</v>
      </c>
      <c r="AK335" s="1" t="s">
        <v>1020</v>
      </c>
      <c r="AL335" s="1">
        <v>9.0</v>
      </c>
      <c r="AM335" s="1">
        <v>2013.0</v>
      </c>
      <c r="AN335" s="1">
        <v>2013.0</v>
      </c>
      <c r="AO335" s="1" t="s">
        <v>1021</v>
      </c>
    </row>
    <row r="336">
      <c r="A336" s="5">
        <v>1.0</v>
      </c>
      <c r="B336" s="1">
        <f t="shared" si="1"/>
        <v>336</v>
      </c>
      <c r="C336" s="1" t="s">
        <v>975</v>
      </c>
      <c r="D336" s="1" t="s">
        <v>975</v>
      </c>
      <c r="E336" s="1" t="s">
        <v>100</v>
      </c>
      <c r="G336" s="1">
        <v>2113536.0</v>
      </c>
      <c r="H336" s="2">
        <v>41183.0</v>
      </c>
      <c r="I336" s="1" t="s">
        <v>101</v>
      </c>
      <c r="K336" s="1" t="s">
        <v>101</v>
      </c>
      <c r="N336" s="1" t="s">
        <v>102</v>
      </c>
      <c r="O336" s="1">
        <v>8600.0</v>
      </c>
      <c r="P336" s="1" t="s">
        <v>102</v>
      </c>
      <c r="Q336" s="1" t="str">
        <f>IF(ISERROR(VLOOKUP(P336,'unique fed agency names'!A:C,3,FALSE)),P336,VLOOKUP(P336,'unique fed agency names'!A:C,3,FALSE))
</f>
        <v>U.S. Department of Housing and Urban Development (HUD)</v>
      </c>
      <c r="R336" s="1">
        <v>1.93540515E8</v>
      </c>
      <c r="S336" s="1" t="s">
        <v>1022</v>
      </c>
      <c r="T336" s="1" t="str">
        <f>IF(ISERROR(VLOOKUP(S336,'unique org names'!A:C,3,FALSE)),S336,VLOOKUP(S336,'unique org names'!A:C,3,FALSE))
</f>
        <v>Development Centers, Inc</v>
      </c>
      <c r="V336" s="1" t="s">
        <v>1023</v>
      </c>
      <c r="W336" s="1" t="s">
        <v>44</v>
      </c>
      <c r="X336" s="1" t="s">
        <v>45</v>
      </c>
      <c r="Y336" s="1">
        <v>4.82193653E8</v>
      </c>
      <c r="AA336" s="1" t="s">
        <v>46</v>
      </c>
      <c r="AB336" s="1" t="s">
        <v>45</v>
      </c>
      <c r="AC336" s="1">
        <v>4.82193165E8</v>
      </c>
      <c r="AF336" s="1">
        <v>132027.06</v>
      </c>
      <c r="AG336" s="2">
        <v>41183.0</v>
      </c>
      <c r="AH336" s="1">
        <v>8600.0</v>
      </c>
      <c r="AI336" s="1" t="s">
        <v>102</v>
      </c>
      <c r="AJ336" s="1">
        <v>2.0130881E7</v>
      </c>
      <c r="AK336" s="1" t="s">
        <v>978</v>
      </c>
      <c r="AL336" s="1">
        <v>10.0</v>
      </c>
      <c r="AM336" s="1">
        <v>2011.0</v>
      </c>
      <c r="AN336" s="1">
        <v>2013.0</v>
      </c>
      <c r="AO336" s="1" t="s">
        <v>108</v>
      </c>
    </row>
    <row r="337">
      <c r="A337" s="5">
        <v>1.0</v>
      </c>
      <c r="B337" s="1">
        <f t="shared" si="1"/>
        <v>337</v>
      </c>
      <c r="C337" s="1" t="s">
        <v>1007</v>
      </c>
      <c r="D337" s="1" t="s">
        <v>1007</v>
      </c>
      <c r="E337" s="1" t="s">
        <v>63</v>
      </c>
      <c r="G337" s="1">
        <v>3200991.0</v>
      </c>
      <c r="H337" s="2">
        <v>41183.0</v>
      </c>
      <c r="I337" s="1" t="s">
        <v>1008</v>
      </c>
      <c r="K337" s="1" t="s">
        <v>1008</v>
      </c>
      <c r="N337" s="1" t="s">
        <v>40</v>
      </c>
      <c r="O337" s="1">
        <v>7500.0</v>
      </c>
      <c r="P337" s="1" t="s">
        <v>40</v>
      </c>
      <c r="Q337" s="1" t="str">
        <f>IF(ISERROR(VLOOKUP(P337,'unique fed agency names'!A:C,3,FALSE)),P337,VLOOKUP(P337,'unique fed agency names'!A:C,3,FALSE))
</f>
        <v>U.S. Department of Health and Human Services (DHHS)</v>
      </c>
      <c r="R337" s="1">
        <v>7.8583404E7</v>
      </c>
      <c r="S337" s="1" t="s">
        <v>65</v>
      </c>
      <c r="T337" s="1" t="str">
        <f>IF(ISERROR(VLOOKUP(S337,'unique org names'!A:C,3,FALSE)),S337,VLOOKUP(S337,'unique org names'!A:C,3,FALSE))
</f>
        <v>Institute for Population Health Inc.</v>
      </c>
      <c r="V337" s="1" t="s">
        <v>66</v>
      </c>
      <c r="W337" s="1" t="s">
        <v>44</v>
      </c>
      <c r="X337" s="1" t="s">
        <v>45</v>
      </c>
      <c r="Y337" s="1">
        <v>4.82021732E8</v>
      </c>
      <c r="AA337" s="1" t="s">
        <v>46</v>
      </c>
      <c r="AB337" s="1" t="s">
        <v>45</v>
      </c>
      <c r="AC337" s="1">
        <v>4.82021732E8</v>
      </c>
      <c r="AF337" s="1">
        <v>3025.0</v>
      </c>
      <c r="AG337" s="2">
        <v>41183.0</v>
      </c>
      <c r="AH337" s="1">
        <v>7500.0</v>
      </c>
      <c r="AI337" s="1" t="s">
        <v>40</v>
      </c>
      <c r="AJ337" s="1">
        <v>2.01304E7</v>
      </c>
      <c r="AK337" s="1" t="s">
        <v>1009</v>
      </c>
      <c r="AL337" s="1">
        <v>10.0</v>
      </c>
      <c r="AM337" s="1">
        <v>2010.0</v>
      </c>
      <c r="AN337" s="1">
        <v>2013.0</v>
      </c>
      <c r="AO337" s="1" t="s">
        <v>342</v>
      </c>
    </row>
    <row r="338">
      <c r="A338" s="5">
        <v>1.0</v>
      </c>
      <c r="B338" s="1">
        <f t="shared" si="1"/>
        <v>338</v>
      </c>
      <c r="C338" s="1" t="s">
        <v>1024</v>
      </c>
      <c r="D338" s="1" t="s">
        <v>1024</v>
      </c>
      <c r="E338" s="1" t="s">
        <v>224</v>
      </c>
      <c r="G338" s="1">
        <v>317497.0</v>
      </c>
      <c r="H338" s="2">
        <v>41499.0</v>
      </c>
      <c r="I338" s="1" t="s">
        <v>1025</v>
      </c>
      <c r="K338" s="1" t="s">
        <v>1025</v>
      </c>
      <c r="N338" s="1" t="s">
        <v>151</v>
      </c>
      <c r="O338" s="1">
        <v>6900.0</v>
      </c>
      <c r="P338" s="1" t="s">
        <v>151</v>
      </c>
      <c r="Q338" s="1" t="str">
        <f>IF(ISERROR(VLOOKUP(P338,'unique fed agency names'!A:C,3,FALSE)),P338,VLOOKUP(P338,'unique fed agency names'!A:C,3,FALSE))
</f>
        <v>U.S. Department of Transportation (DOT)</v>
      </c>
      <c r="R338" s="1">
        <v>1.1855476E8</v>
      </c>
      <c r="S338" s="1" t="s">
        <v>983</v>
      </c>
      <c r="T338" s="1" t="str">
        <f>IF(ISERROR(VLOOKUP(S338,'unique org names'!A:C,3,FALSE)),S338,VLOOKUP(S338,'unique org names'!A:C,3,FALSE))
</f>
        <v>City of Detroit</v>
      </c>
      <c r="U338" s="1" t="s">
        <v>984</v>
      </c>
      <c r="V338" s="1" t="s">
        <v>227</v>
      </c>
      <c r="W338" s="1" t="s">
        <v>44</v>
      </c>
      <c r="X338" s="1" t="s">
        <v>45</v>
      </c>
      <c r="Y338" s="1">
        <v>4.82262886E8</v>
      </c>
      <c r="AA338" s="1" t="s">
        <v>46</v>
      </c>
      <c r="AB338" s="1" t="s">
        <v>45</v>
      </c>
      <c r="AC338" s="1">
        <v>4.82262886E8</v>
      </c>
      <c r="AD338" s="1">
        <v>6530661.0</v>
      </c>
      <c r="AE338" s="1" t="s">
        <v>76</v>
      </c>
      <c r="AF338" s="1">
        <v>317497.75</v>
      </c>
      <c r="AG338" s="2">
        <v>41499.0</v>
      </c>
      <c r="AH338" s="1">
        <v>6900.0</v>
      </c>
      <c r="AI338" s="1" t="s">
        <v>151</v>
      </c>
      <c r="AJ338" s="1">
        <v>1.0</v>
      </c>
      <c r="AK338" s="1" t="s">
        <v>1026</v>
      </c>
      <c r="AL338" s="1">
        <v>10.0</v>
      </c>
      <c r="AM338" s="1">
        <v>2013.0</v>
      </c>
      <c r="AN338" s="1">
        <v>2013.0</v>
      </c>
      <c r="AO338" s="1" t="s">
        <v>229</v>
      </c>
    </row>
    <row r="339">
      <c r="A339" s="5">
        <v>1.0</v>
      </c>
      <c r="B339" s="1">
        <f t="shared" si="1"/>
        <v>339</v>
      </c>
      <c r="C339" s="1" t="s">
        <v>1027</v>
      </c>
      <c r="D339" s="1" t="s">
        <v>1027</v>
      </c>
      <c r="E339" s="1" t="s">
        <v>224</v>
      </c>
      <c r="G339" s="1">
        <v>2162865.0</v>
      </c>
      <c r="H339" s="2">
        <v>41499.0</v>
      </c>
      <c r="I339" s="1" t="s">
        <v>1025</v>
      </c>
      <c r="K339" s="1" t="s">
        <v>1025</v>
      </c>
      <c r="N339" s="1" t="s">
        <v>151</v>
      </c>
      <c r="O339" s="1">
        <v>6900.0</v>
      </c>
      <c r="P339" s="1" t="s">
        <v>151</v>
      </c>
      <c r="Q339" s="1" t="str">
        <f>IF(ISERROR(VLOOKUP(P339,'unique fed agency names'!A:C,3,FALSE)),P339,VLOOKUP(P339,'unique fed agency names'!A:C,3,FALSE))
</f>
        <v>U.S. Department of Transportation (DOT)</v>
      </c>
      <c r="R339" s="1">
        <v>1.1855476E8</v>
      </c>
      <c r="S339" s="1" t="s">
        <v>983</v>
      </c>
      <c r="T339" s="1" t="str">
        <f>IF(ISERROR(VLOOKUP(S339,'unique org names'!A:C,3,FALSE)),S339,VLOOKUP(S339,'unique org names'!A:C,3,FALSE))
</f>
        <v>City of Detroit</v>
      </c>
      <c r="U339" s="1" t="s">
        <v>984</v>
      </c>
      <c r="V339" s="1" t="s">
        <v>227</v>
      </c>
      <c r="W339" s="1" t="s">
        <v>44</v>
      </c>
      <c r="X339" s="1" t="s">
        <v>45</v>
      </c>
      <c r="Y339" s="1">
        <v>4.82262886E8</v>
      </c>
      <c r="AA339" s="1" t="s">
        <v>46</v>
      </c>
      <c r="AB339" s="1" t="s">
        <v>45</v>
      </c>
      <c r="AC339" s="1">
        <v>4.82262886E8</v>
      </c>
      <c r="AD339" s="1">
        <v>6530661.0</v>
      </c>
      <c r="AE339" s="1" t="s">
        <v>76</v>
      </c>
      <c r="AF339" s="1">
        <v>2162864.25</v>
      </c>
      <c r="AG339" s="2">
        <v>41499.0</v>
      </c>
      <c r="AH339" s="1">
        <v>6900.0</v>
      </c>
      <c r="AI339" s="1" t="s">
        <v>151</v>
      </c>
      <c r="AJ339" s="1">
        <v>1.0</v>
      </c>
      <c r="AK339" s="1" t="s">
        <v>1026</v>
      </c>
      <c r="AL339" s="1">
        <v>10.0</v>
      </c>
      <c r="AM339" s="1">
        <v>2013.0</v>
      </c>
      <c r="AN339" s="1">
        <v>2013.0</v>
      </c>
      <c r="AO339" s="1" t="s">
        <v>229</v>
      </c>
    </row>
    <row r="340">
      <c r="A340" s="5">
        <v>1.0</v>
      </c>
      <c r="B340" s="1">
        <f t="shared" si="1"/>
        <v>340</v>
      </c>
      <c r="C340" s="1" t="s">
        <v>1028</v>
      </c>
      <c r="D340" s="1" t="s">
        <v>1028</v>
      </c>
      <c r="E340" s="1" t="s">
        <v>224</v>
      </c>
      <c r="G340" s="1">
        <v>216458.0</v>
      </c>
      <c r="H340" s="2">
        <v>41499.0</v>
      </c>
      <c r="I340" s="1" t="s">
        <v>1025</v>
      </c>
      <c r="K340" s="1" t="s">
        <v>1025</v>
      </c>
      <c r="N340" s="1" t="s">
        <v>151</v>
      </c>
      <c r="O340" s="1">
        <v>6900.0</v>
      </c>
      <c r="P340" s="1" t="s">
        <v>151</v>
      </c>
      <c r="Q340" s="1" t="str">
        <f>IF(ISERROR(VLOOKUP(P340,'unique fed agency names'!A:C,3,FALSE)),P340,VLOOKUP(P340,'unique fed agency names'!A:C,3,FALSE))
</f>
        <v>U.S. Department of Transportation (DOT)</v>
      </c>
      <c r="R340" s="1">
        <v>1.1855476E8</v>
      </c>
      <c r="S340" s="1" t="s">
        <v>983</v>
      </c>
      <c r="T340" s="1" t="str">
        <f>IF(ISERROR(VLOOKUP(S340,'unique org names'!A:C,3,FALSE)),S340,VLOOKUP(S340,'unique org names'!A:C,3,FALSE))
</f>
        <v>City of Detroit</v>
      </c>
      <c r="U340" s="1" t="s">
        <v>984</v>
      </c>
      <c r="V340" s="1" t="s">
        <v>227</v>
      </c>
      <c r="W340" s="1" t="s">
        <v>44</v>
      </c>
      <c r="X340" s="1" t="s">
        <v>45</v>
      </c>
      <c r="Y340" s="1">
        <v>4.82262886E8</v>
      </c>
      <c r="AA340" s="1" t="s">
        <v>46</v>
      </c>
      <c r="AB340" s="1" t="s">
        <v>45</v>
      </c>
      <c r="AC340" s="1">
        <v>4.82262886E8</v>
      </c>
      <c r="AD340" s="1">
        <v>6530661.0</v>
      </c>
      <c r="AE340" s="1" t="s">
        <v>76</v>
      </c>
      <c r="AF340" s="1">
        <v>262288.21</v>
      </c>
      <c r="AG340" s="2">
        <v>41499.0</v>
      </c>
      <c r="AH340" s="1">
        <v>6900.0</v>
      </c>
      <c r="AI340" s="1" t="s">
        <v>151</v>
      </c>
      <c r="AJ340" s="1">
        <v>1.0</v>
      </c>
      <c r="AK340" s="1" t="s">
        <v>1026</v>
      </c>
      <c r="AL340" s="1">
        <v>10.0</v>
      </c>
      <c r="AM340" s="1">
        <v>2013.0</v>
      </c>
      <c r="AN340" s="1">
        <v>2013.0</v>
      </c>
      <c r="AO340" s="1" t="s">
        <v>229</v>
      </c>
    </row>
    <row r="341">
      <c r="A341" s="5">
        <v>1.0</v>
      </c>
      <c r="B341" s="1">
        <f t="shared" si="1"/>
        <v>341</v>
      </c>
      <c r="C341" s="1" t="s">
        <v>1029</v>
      </c>
      <c r="D341" s="1" t="s">
        <v>1029</v>
      </c>
      <c r="E341" s="1" t="s">
        <v>224</v>
      </c>
      <c r="G341" s="1">
        <v>1474563.0</v>
      </c>
      <c r="H341" s="2">
        <v>41499.0</v>
      </c>
      <c r="I341" s="1" t="s">
        <v>1025</v>
      </c>
      <c r="K341" s="1" t="s">
        <v>1025</v>
      </c>
      <c r="N341" s="1" t="s">
        <v>151</v>
      </c>
      <c r="O341" s="1">
        <v>6900.0</v>
      </c>
      <c r="P341" s="1" t="s">
        <v>151</v>
      </c>
      <c r="Q341" s="1" t="str">
        <f>IF(ISERROR(VLOOKUP(P341,'unique fed agency names'!A:C,3,FALSE)),P341,VLOOKUP(P341,'unique fed agency names'!A:C,3,FALSE))
</f>
        <v>U.S. Department of Transportation (DOT)</v>
      </c>
      <c r="R341" s="1">
        <v>1.1855476E8</v>
      </c>
      <c r="S341" s="1" t="s">
        <v>983</v>
      </c>
      <c r="T341" s="1" t="str">
        <f>IF(ISERROR(VLOOKUP(S341,'unique org names'!A:C,3,FALSE)),S341,VLOOKUP(S341,'unique org names'!A:C,3,FALSE))
</f>
        <v>City of Detroit</v>
      </c>
      <c r="U341" s="1" t="s">
        <v>984</v>
      </c>
      <c r="V341" s="1" t="s">
        <v>227</v>
      </c>
      <c r="W341" s="1" t="s">
        <v>44</v>
      </c>
      <c r="X341" s="1" t="s">
        <v>45</v>
      </c>
      <c r="Y341" s="1">
        <v>4.82262886E8</v>
      </c>
      <c r="AA341" s="1" t="s">
        <v>46</v>
      </c>
      <c r="AB341" s="1" t="s">
        <v>45</v>
      </c>
      <c r="AC341" s="1">
        <v>4.82262886E8</v>
      </c>
      <c r="AD341" s="1">
        <v>6530661.0</v>
      </c>
      <c r="AE341" s="1" t="s">
        <v>76</v>
      </c>
      <c r="AF341" s="1">
        <v>1786764.79</v>
      </c>
      <c r="AG341" s="2">
        <v>41499.0</v>
      </c>
      <c r="AH341" s="1">
        <v>6900.0</v>
      </c>
      <c r="AI341" s="1" t="s">
        <v>151</v>
      </c>
      <c r="AJ341" s="1">
        <v>1.0</v>
      </c>
      <c r="AK341" s="1" t="s">
        <v>1026</v>
      </c>
      <c r="AL341" s="1">
        <v>10.0</v>
      </c>
      <c r="AM341" s="1">
        <v>2013.0</v>
      </c>
      <c r="AN341" s="1">
        <v>2013.0</v>
      </c>
      <c r="AO341" s="1" t="s">
        <v>229</v>
      </c>
    </row>
    <row r="342">
      <c r="A342" s="5">
        <v>1.0</v>
      </c>
      <c r="B342" s="1">
        <f t="shared" si="1"/>
        <v>342</v>
      </c>
      <c r="C342" s="1" t="s">
        <v>1030</v>
      </c>
      <c r="D342" s="1" t="s">
        <v>1030</v>
      </c>
      <c r="E342" s="1" t="s">
        <v>224</v>
      </c>
      <c r="G342" s="1">
        <v>25252.0</v>
      </c>
      <c r="H342" s="2">
        <v>41506.0</v>
      </c>
      <c r="I342" s="1" t="s">
        <v>1014</v>
      </c>
      <c r="K342" s="1" t="s">
        <v>1014</v>
      </c>
      <c r="N342" s="1" t="s">
        <v>151</v>
      </c>
      <c r="O342" s="1">
        <v>6900.0</v>
      </c>
      <c r="P342" s="1" t="s">
        <v>151</v>
      </c>
      <c r="Q342" s="1" t="str">
        <f>IF(ISERROR(VLOOKUP(P342,'unique fed agency names'!A:C,3,FALSE)),P342,VLOOKUP(P342,'unique fed agency names'!A:C,3,FALSE))
</f>
        <v>U.S. Department of Transportation (DOT)</v>
      </c>
      <c r="R342" s="1">
        <v>1.1855476E8</v>
      </c>
      <c r="S342" s="1" t="s">
        <v>983</v>
      </c>
      <c r="T342" s="1" t="str">
        <f>IF(ISERROR(VLOOKUP(S342,'unique org names'!A:C,3,FALSE)),S342,VLOOKUP(S342,'unique org names'!A:C,3,FALSE))
</f>
        <v>City of Detroit</v>
      </c>
      <c r="U342" s="1" t="s">
        <v>984</v>
      </c>
      <c r="V342" s="1" t="s">
        <v>227</v>
      </c>
      <c r="W342" s="1" t="s">
        <v>44</v>
      </c>
      <c r="X342" s="1" t="s">
        <v>45</v>
      </c>
      <c r="Y342" s="1">
        <v>4.82262886E8</v>
      </c>
      <c r="AA342" s="1" t="s">
        <v>46</v>
      </c>
      <c r="AB342" s="1" t="s">
        <v>45</v>
      </c>
      <c r="AC342" s="1">
        <v>4.82262886E8</v>
      </c>
      <c r="AD342" s="1">
        <v>6530661.0</v>
      </c>
      <c r="AE342" s="1" t="s">
        <v>76</v>
      </c>
      <c r="AF342" s="1">
        <v>25252.46</v>
      </c>
      <c r="AG342" s="2">
        <v>41506.0</v>
      </c>
      <c r="AH342" s="1">
        <v>6900.0</v>
      </c>
      <c r="AI342" s="1" t="s">
        <v>151</v>
      </c>
      <c r="AJ342" s="1">
        <v>1.0</v>
      </c>
      <c r="AK342" s="1" t="s">
        <v>1015</v>
      </c>
      <c r="AL342" s="1">
        <v>10.0</v>
      </c>
      <c r="AM342" s="1">
        <v>2013.0</v>
      </c>
      <c r="AN342" s="1">
        <v>2013.0</v>
      </c>
      <c r="AO342" s="1" t="s">
        <v>229</v>
      </c>
    </row>
    <row r="343">
      <c r="A343" s="5">
        <v>1.0</v>
      </c>
      <c r="B343" s="1">
        <f t="shared" si="1"/>
        <v>343</v>
      </c>
      <c r="C343" s="1" t="s">
        <v>1031</v>
      </c>
      <c r="D343" s="1" t="s">
        <v>1031</v>
      </c>
      <c r="E343" s="1" t="s">
        <v>224</v>
      </c>
      <c r="G343" s="1">
        <v>1637946.0</v>
      </c>
      <c r="H343" s="2">
        <v>41506.0</v>
      </c>
      <c r="I343" s="1" t="s">
        <v>987</v>
      </c>
      <c r="K343" s="1" t="s">
        <v>987</v>
      </c>
      <c r="N343" s="1" t="s">
        <v>151</v>
      </c>
      <c r="O343" s="1">
        <v>6900.0</v>
      </c>
      <c r="P343" s="1" t="s">
        <v>151</v>
      </c>
      <c r="Q343" s="1" t="str">
        <f>IF(ISERROR(VLOOKUP(P343,'unique fed agency names'!A:C,3,FALSE)),P343,VLOOKUP(P343,'unique fed agency names'!A:C,3,FALSE))
</f>
        <v>U.S. Department of Transportation (DOT)</v>
      </c>
      <c r="R343" s="1">
        <v>1.1855476E8</v>
      </c>
      <c r="S343" s="1" t="s">
        <v>983</v>
      </c>
      <c r="T343" s="1" t="str">
        <f>IF(ISERROR(VLOOKUP(S343,'unique org names'!A:C,3,FALSE)),S343,VLOOKUP(S343,'unique org names'!A:C,3,FALSE))
</f>
        <v>City of Detroit</v>
      </c>
      <c r="U343" s="1" t="s">
        <v>984</v>
      </c>
      <c r="V343" s="1" t="s">
        <v>227</v>
      </c>
      <c r="W343" s="1" t="s">
        <v>44</v>
      </c>
      <c r="X343" s="1" t="s">
        <v>45</v>
      </c>
      <c r="Y343" s="1">
        <v>4.82262886E8</v>
      </c>
      <c r="AA343" s="1" t="s">
        <v>46</v>
      </c>
      <c r="AB343" s="1" t="s">
        <v>45</v>
      </c>
      <c r="AC343" s="1">
        <v>4.82262886E8</v>
      </c>
      <c r="AD343" s="1">
        <v>6530661.0</v>
      </c>
      <c r="AE343" s="1" t="s">
        <v>76</v>
      </c>
      <c r="AF343" s="1">
        <v>1637946.6</v>
      </c>
      <c r="AG343" s="2">
        <v>41506.0</v>
      </c>
      <c r="AH343" s="1">
        <v>6900.0</v>
      </c>
      <c r="AI343" s="1" t="s">
        <v>151</v>
      </c>
      <c r="AJ343" s="1">
        <v>1.0</v>
      </c>
      <c r="AK343" s="1" t="s">
        <v>988</v>
      </c>
      <c r="AL343" s="1">
        <v>10.0</v>
      </c>
      <c r="AM343" s="1">
        <v>2013.0</v>
      </c>
      <c r="AN343" s="1">
        <v>2013.0</v>
      </c>
      <c r="AO343" s="1" t="s">
        <v>229</v>
      </c>
    </row>
    <row r="344">
      <c r="A344" s="5">
        <v>1.0</v>
      </c>
      <c r="B344" s="1">
        <f t="shared" si="1"/>
        <v>344</v>
      </c>
      <c r="C344" s="1" t="s">
        <v>1032</v>
      </c>
      <c r="D344" s="1" t="s">
        <v>1032</v>
      </c>
      <c r="E344" s="1" t="s">
        <v>224</v>
      </c>
      <c r="G344" s="1">
        <v>400000.0</v>
      </c>
      <c r="H344" s="2">
        <v>41514.0</v>
      </c>
      <c r="I344" s="1" t="s">
        <v>1033</v>
      </c>
      <c r="K344" s="1" t="s">
        <v>1033</v>
      </c>
      <c r="N344" s="1" t="s">
        <v>151</v>
      </c>
      <c r="O344" s="1">
        <v>6900.0</v>
      </c>
      <c r="P344" s="1" t="s">
        <v>151</v>
      </c>
      <c r="Q344" s="1" t="str">
        <f>IF(ISERROR(VLOOKUP(P344,'unique fed agency names'!A:C,3,FALSE)),P344,VLOOKUP(P344,'unique fed agency names'!A:C,3,FALSE))
</f>
        <v>U.S. Department of Transportation (DOT)</v>
      </c>
      <c r="R344" s="1">
        <v>1.1855476E8</v>
      </c>
      <c r="S344" s="1" t="s">
        <v>983</v>
      </c>
      <c r="T344" s="1" t="str">
        <f>IF(ISERROR(VLOOKUP(S344,'unique org names'!A:C,3,FALSE)),S344,VLOOKUP(S344,'unique org names'!A:C,3,FALSE))
</f>
        <v>City of Detroit</v>
      </c>
      <c r="U344" s="1" t="s">
        <v>984</v>
      </c>
      <c r="V344" s="1" t="s">
        <v>227</v>
      </c>
      <c r="W344" s="1" t="s">
        <v>44</v>
      </c>
      <c r="X344" s="1" t="s">
        <v>45</v>
      </c>
      <c r="Y344" s="1">
        <v>4.82262886E8</v>
      </c>
      <c r="AA344" s="1" t="s">
        <v>46</v>
      </c>
      <c r="AB344" s="1" t="s">
        <v>45</v>
      </c>
      <c r="AC344" s="1">
        <v>4.82262886E8</v>
      </c>
      <c r="AD344" s="1">
        <v>6530661.0</v>
      </c>
      <c r="AE344" s="1" t="s">
        <v>76</v>
      </c>
      <c r="AF344" s="1">
        <v>400000.0</v>
      </c>
      <c r="AG344" s="2">
        <v>41514.0</v>
      </c>
      <c r="AH344" s="1">
        <v>6900.0</v>
      </c>
      <c r="AI344" s="1" t="s">
        <v>151</v>
      </c>
      <c r="AJ344" s="1">
        <v>1.0</v>
      </c>
      <c r="AK344" s="1" t="s">
        <v>1034</v>
      </c>
      <c r="AL344" s="1">
        <v>10.0</v>
      </c>
      <c r="AM344" s="1">
        <v>2013.0</v>
      </c>
      <c r="AN344" s="1">
        <v>2013.0</v>
      </c>
      <c r="AO344" s="1" t="s">
        <v>229</v>
      </c>
    </row>
    <row r="345">
      <c r="A345" s="5">
        <v>1.0</v>
      </c>
      <c r="B345" s="1">
        <f t="shared" si="1"/>
        <v>345</v>
      </c>
      <c r="C345" s="1" t="s">
        <v>1035</v>
      </c>
      <c r="D345" s="1" t="s">
        <v>1035</v>
      </c>
      <c r="E345" s="1" t="s">
        <v>224</v>
      </c>
      <c r="G345" s="1">
        <v>400000.0</v>
      </c>
      <c r="H345" s="2">
        <v>41514.0</v>
      </c>
      <c r="I345" s="1" t="s">
        <v>1036</v>
      </c>
      <c r="K345" s="1" t="s">
        <v>1036</v>
      </c>
      <c r="N345" s="1" t="s">
        <v>151</v>
      </c>
      <c r="O345" s="1">
        <v>6900.0</v>
      </c>
      <c r="P345" s="1" t="s">
        <v>151</v>
      </c>
      <c r="Q345" s="1" t="str">
        <f>IF(ISERROR(VLOOKUP(P345,'unique fed agency names'!A:C,3,FALSE)),P345,VLOOKUP(P345,'unique fed agency names'!A:C,3,FALSE))
</f>
        <v>U.S. Department of Transportation (DOT)</v>
      </c>
      <c r="R345" s="1">
        <v>1.1855476E8</v>
      </c>
      <c r="S345" s="1" t="s">
        <v>983</v>
      </c>
      <c r="T345" s="1" t="str">
        <f>IF(ISERROR(VLOOKUP(S345,'unique org names'!A:C,3,FALSE)),S345,VLOOKUP(S345,'unique org names'!A:C,3,FALSE))
</f>
        <v>City of Detroit</v>
      </c>
      <c r="U345" s="1" t="s">
        <v>984</v>
      </c>
      <c r="V345" s="1" t="s">
        <v>227</v>
      </c>
      <c r="W345" s="1" t="s">
        <v>44</v>
      </c>
      <c r="X345" s="1" t="s">
        <v>45</v>
      </c>
      <c r="Y345" s="1">
        <v>4.82262886E8</v>
      </c>
      <c r="AA345" s="1" t="s">
        <v>46</v>
      </c>
      <c r="AB345" s="1" t="s">
        <v>45</v>
      </c>
      <c r="AC345" s="1">
        <v>4.82262886E8</v>
      </c>
      <c r="AD345" s="1">
        <v>6530661.0</v>
      </c>
      <c r="AE345" s="1" t="s">
        <v>76</v>
      </c>
      <c r="AF345" s="1">
        <v>400000.0</v>
      </c>
      <c r="AG345" s="2">
        <v>41514.0</v>
      </c>
      <c r="AH345" s="1">
        <v>6900.0</v>
      </c>
      <c r="AI345" s="1" t="s">
        <v>151</v>
      </c>
      <c r="AJ345" s="1">
        <v>1.0</v>
      </c>
      <c r="AK345" s="1" t="s">
        <v>1037</v>
      </c>
      <c r="AL345" s="1">
        <v>10.0</v>
      </c>
      <c r="AM345" s="1">
        <v>2013.0</v>
      </c>
      <c r="AN345" s="1">
        <v>2013.0</v>
      </c>
      <c r="AO345" s="1" t="s">
        <v>229</v>
      </c>
    </row>
    <row r="346">
      <c r="A346" s="5">
        <v>1.0</v>
      </c>
      <c r="B346" s="1">
        <f t="shared" si="1"/>
        <v>346</v>
      </c>
      <c r="C346" s="1" t="s">
        <v>1038</v>
      </c>
      <c r="D346" s="1" t="s">
        <v>1038</v>
      </c>
      <c r="E346" s="1" t="s">
        <v>224</v>
      </c>
      <c r="G346" s="1">
        <v>116280.0</v>
      </c>
      <c r="H346" s="2">
        <v>41506.0</v>
      </c>
      <c r="I346" s="1" t="s">
        <v>1014</v>
      </c>
      <c r="K346" s="1" t="s">
        <v>1014</v>
      </c>
      <c r="N346" s="1" t="s">
        <v>151</v>
      </c>
      <c r="O346" s="1">
        <v>6900.0</v>
      </c>
      <c r="P346" s="1" t="s">
        <v>151</v>
      </c>
      <c r="Q346" s="1" t="str">
        <f>IF(ISERROR(VLOOKUP(P346,'unique fed agency names'!A:C,3,FALSE)),P346,VLOOKUP(P346,'unique fed agency names'!A:C,3,FALSE))
</f>
        <v>U.S. Department of Transportation (DOT)</v>
      </c>
      <c r="R346" s="1">
        <v>1.1855476E8</v>
      </c>
      <c r="S346" s="1" t="s">
        <v>983</v>
      </c>
      <c r="T346" s="1" t="str">
        <f>IF(ISERROR(VLOOKUP(S346,'unique org names'!A:C,3,FALSE)),S346,VLOOKUP(S346,'unique org names'!A:C,3,FALSE))
</f>
        <v>City of Detroit</v>
      </c>
      <c r="U346" s="1" t="s">
        <v>984</v>
      </c>
      <c r="V346" s="1" t="s">
        <v>227</v>
      </c>
      <c r="W346" s="1" t="s">
        <v>44</v>
      </c>
      <c r="X346" s="1" t="s">
        <v>45</v>
      </c>
      <c r="Y346" s="1">
        <v>4.82262886E8</v>
      </c>
      <c r="AA346" s="1" t="s">
        <v>46</v>
      </c>
      <c r="AB346" s="1" t="s">
        <v>45</v>
      </c>
      <c r="AC346" s="1">
        <v>4.82262886E8</v>
      </c>
      <c r="AD346" s="1">
        <v>6530661.0</v>
      </c>
      <c r="AE346" s="1" t="s">
        <v>76</v>
      </c>
      <c r="AF346" s="1">
        <v>116280.05</v>
      </c>
      <c r="AG346" s="2">
        <v>41506.0</v>
      </c>
      <c r="AH346" s="1">
        <v>6900.0</v>
      </c>
      <c r="AI346" s="1" t="s">
        <v>151</v>
      </c>
      <c r="AJ346" s="1">
        <v>1.0</v>
      </c>
      <c r="AK346" s="1" t="s">
        <v>1015</v>
      </c>
      <c r="AL346" s="1">
        <v>10.0</v>
      </c>
      <c r="AM346" s="1">
        <v>2013.0</v>
      </c>
      <c r="AN346" s="1">
        <v>2013.0</v>
      </c>
      <c r="AO346" s="1" t="s">
        <v>229</v>
      </c>
    </row>
    <row r="347">
      <c r="A347" s="5">
        <v>1.0</v>
      </c>
      <c r="B347" s="1">
        <f t="shared" si="1"/>
        <v>347</v>
      </c>
      <c r="C347" s="1" t="s">
        <v>1039</v>
      </c>
      <c r="D347" s="1" t="s">
        <v>1039</v>
      </c>
      <c r="E347" s="1" t="s">
        <v>224</v>
      </c>
      <c r="G347" s="1">
        <v>400000.0</v>
      </c>
      <c r="H347" s="2">
        <v>41514.0</v>
      </c>
      <c r="I347" s="1" t="s">
        <v>1040</v>
      </c>
      <c r="K347" s="1" t="s">
        <v>1040</v>
      </c>
      <c r="N347" s="1" t="s">
        <v>151</v>
      </c>
      <c r="O347" s="1">
        <v>6900.0</v>
      </c>
      <c r="P347" s="1" t="s">
        <v>151</v>
      </c>
      <c r="Q347" s="1" t="str">
        <f>IF(ISERROR(VLOOKUP(P347,'unique fed agency names'!A:C,3,FALSE)),P347,VLOOKUP(P347,'unique fed agency names'!A:C,3,FALSE))
</f>
        <v>U.S. Department of Transportation (DOT)</v>
      </c>
      <c r="R347" s="1">
        <v>1.1855476E8</v>
      </c>
      <c r="S347" s="1" t="s">
        <v>983</v>
      </c>
      <c r="T347" s="1" t="str">
        <f>IF(ISERROR(VLOOKUP(S347,'unique org names'!A:C,3,FALSE)),S347,VLOOKUP(S347,'unique org names'!A:C,3,FALSE))
</f>
        <v>City of Detroit</v>
      </c>
      <c r="U347" s="1" t="s">
        <v>984</v>
      </c>
      <c r="V347" s="1" t="s">
        <v>227</v>
      </c>
      <c r="W347" s="1" t="s">
        <v>44</v>
      </c>
      <c r="X347" s="1" t="s">
        <v>45</v>
      </c>
      <c r="Y347" s="1">
        <v>4.82262886E8</v>
      </c>
      <c r="AA347" s="1" t="s">
        <v>46</v>
      </c>
      <c r="AB347" s="1" t="s">
        <v>45</v>
      </c>
      <c r="AC347" s="1">
        <v>4.82262886E8</v>
      </c>
      <c r="AD347" s="1">
        <v>6530661.0</v>
      </c>
      <c r="AE347" s="1" t="s">
        <v>76</v>
      </c>
      <c r="AF347" s="1">
        <v>400000.0</v>
      </c>
      <c r="AG347" s="2">
        <v>41514.0</v>
      </c>
      <c r="AH347" s="1">
        <v>6900.0</v>
      </c>
      <c r="AI347" s="1" t="s">
        <v>151</v>
      </c>
      <c r="AJ347" s="1">
        <v>1.0</v>
      </c>
      <c r="AK347" s="1" t="s">
        <v>1041</v>
      </c>
      <c r="AL347" s="1">
        <v>10.0</v>
      </c>
      <c r="AM347" s="1">
        <v>2013.0</v>
      </c>
      <c r="AN347" s="1">
        <v>2013.0</v>
      </c>
      <c r="AO347" s="1" t="s">
        <v>229</v>
      </c>
    </row>
    <row r="348">
      <c r="A348" s="5">
        <v>1.0</v>
      </c>
      <c r="B348" s="1">
        <f t="shared" si="1"/>
        <v>348</v>
      </c>
      <c r="C348" s="1" t="s">
        <v>1042</v>
      </c>
      <c r="D348" s="1" t="s">
        <v>1042</v>
      </c>
      <c r="E348" s="1" t="s">
        <v>224</v>
      </c>
      <c r="G348" s="1">
        <v>33328.0</v>
      </c>
      <c r="H348" s="2">
        <v>41506.0</v>
      </c>
      <c r="I348" s="1" t="s">
        <v>1014</v>
      </c>
      <c r="K348" s="1" t="s">
        <v>1014</v>
      </c>
      <c r="N348" s="1" t="s">
        <v>151</v>
      </c>
      <c r="O348" s="1">
        <v>6900.0</v>
      </c>
      <c r="P348" s="1" t="s">
        <v>151</v>
      </c>
      <c r="Q348" s="1" t="str">
        <f>IF(ISERROR(VLOOKUP(P348,'unique fed agency names'!A:C,3,FALSE)),P348,VLOOKUP(P348,'unique fed agency names'!A:C,3,FALSE))
</f>
        <v>U.S. Department of Transportation (DOT)</v>
      </c>
      <c r="R348" s="1">
        <v>1.1855476E8</v>
      </c>
      <c r="S348" s="1" t="s">
        <v>983</v>
      </c>
      <c r="T348" s="1" t="str">
        <f>IF(ISERROR(VLOOKUP(S348,'unique org names'!A:C,3,FALSE)),S348,VLOOKUP(S348,'unique org names'!A:C,3,FALSE))
</f>
        <v>City of Detroit</v>
      </c>
      <c r="U348" s="1" t="s">
        <v>984</v>
      </c>
      <c r="V348" s="1" t="s">
        <v>227</v>
      </c>
      <c r="W348" s="1" t="s">
        <v>44</v>
      </c>
      <c r="X348" s="1" t="s">
        <v>45</v>
      </c>
      <c r="Y348" s="1">
        <v>4.82262886E8</v>
      </c>
      <c r="AA348" s="1" t="s">
        <v>46</v>
      </c>
      <c r="AB348" s="1" t="s">
        <v>45</v>
      </c>
      <c r="AC348" s="1">
        <v>4.82262886E8</v>
      </c>
      <c r="AD348" s="1">
        <v>6530661.0</v>
      </c>
      <c r="AE348" s="1" t="s">
        <v>76</v>
      </c>
      <c r="AF348" s="1">
        <v>33328.9</v>
      </c>
      <c r="AG348" s="2">
        <v>41506.0</v>
      </c>
      <c r="AH348" s="1">
        <v>6900.0</v>
      </c>
      <c r="AI348" s="1" t="s">
        <v>151</v>
      </c>
      <c r="AJ348" s="1">
        <v>1.0</v>
      </c>
      <c r="AK348" s="1" t="s">
        <v>1015</v>
      </c>
      <c r="AL348" s="1">
        <v>10.0</v>
      </c>
      <c r="AM348" s="1">
        <v>2013.0</v>
      </c>
      <c r="AN348" s="1">
        <v>2013.0</v>
      </c>
      <c r="AO348" s="1" t="s">
        <v>229</v>
      </c>
    </row>
    <row r="349">
      <c r="A349" s="5">
        <v>1.0</v>
      </c>
      <c r="B349" s="1">
        <f t="shared" si="1"/>
        <v>349</v>
      </c>
      <c r="C349" s="1" t="s">
        <v>992</v>
      </c>
      <c r="D349" s="1" t="s">
        <v>992</v>
      </c>
      <c r="E349" s="1" t="s">
        <v>159</v>
      </c>
      <c r="G349" s="1">
        <v>3.4836676E7</v>
      </c>
      <c r="H349" s="2">
        <v>41394.0</v>
      </c>
      <c r="I349" s="1" t="s">
        <v>993</v>
      </c>
      <c r="K349" s="1" t="s">
        <v>993</v>
      </c>
      <c r="N349" s="1" t="s">
        <v>40</v>
      </c>
      <c r="O349" s="1">
        <v>7500.0</v>
      </c>
      <c r="P349" s="1" t="s">
        <v>40</v>
      </c>
      <c r="Q349" s="1" t="str">
        <f>IF(ISERROR(VLOOKUP(P349,'unique fed agency names'!A:C,3,FALSE)),P349,VLOOKUP(P349,'unique fed agency names'!A:C,3,FALSE))
</f>
        <v>U.S. Department of Health and Human Services (DHHS)</v>
      </c>
      <c r="R349" s="1">
        <v>9.29292464E8</v>
      </c>
      <c r="S349" s="1" t="s">
        <v>1043</v>
      </c>
      <c r="T349" s="1" t="str">
        <f>IF(ISERROR(VLOOKUP(S349,'unique org names'!A:C,3,FALSE)),S349,VLOOKUP(S349,'unique org names'!A:C,3,FALSE))
</f>
        <v>HEALTH EMERGENCY LIFELINE PROGRAM</v>
      </c>
      <c r="V349" s="1" t="s">
        <v>1044</v>
      </c>
      <c r="W349" s="1" t="s">
        <v>44</v>
      </c>
      <c r="X349" s="1" t="s">
        <v>45</v>
      </c>
      <c r="Y349" s="1">
        <v>4.82161921E8</v>
      </c>
      <c r="AA349" s="1" t="s">
        <v>46</v>
      </c>
      <c r="AB349" s="1" t="s">
        <v>45</v>
      </c>
      <c r="AC349" s="1">
        <v>4.82161921E8</v>
      </c>
      <c r="AF349" s="1">
        <v>390749.0</v>
      </c>
      <c r="AG349" s="2">
        <v>41394.0</v>
      </c>
      <c r="AH349" s="1">
        <v>7500.0</v>
      </c>
      <c r="AI349" s="1" t="s">
        <v>40</v>
      </c>
      <c r="AJ349" s="1">
        <v>3.827119621E9</v>
      </c>
      <c r="AK349" s="1" t="s">
        <v>1045</v>
      </c>
      <c r="AL349" s="1">
        <v>6.0</v>
      </c>
      <c r="AM349" s="1">
        <v>2013.0</v>
      </c>
      <c r="AN349" s="1">
        <v>2013.0</v>
      </c>
      <c r="AO349" s="1" t="s">
        <v>997</v>
      </c>
    </row>
    <row r="350">
      <c r="A350" s="5">
        <v>1.0</v>
      </c>
      <c r="B350" s="1">
        <f t="shared" si="1"/>
        <v>350</v>
      </c>
      <c r="C350" s="1" t="s">
        <v>992</v>
      </c>
      <c r="D350" s="1" t="s">
        <v>992</v>
      </c>
      <c r="E350" s="1" t="s">
        <v>159</v>
      </c>
      <c r="G350" s="1">
        <v>3.4836676E7</v>
      </c>
      <c r="H350" s="2">
        <v>41528.0</v>
      </c>
      <c r="I350" s="1" t="s">
        <v>993</v>
      </c>
      <c r="K350" s="1" t="s">
        <v>993</v>
      </c>
      <c r="N350" s="1" t="s">
        <v>40</v>
      </c>
      <c r="O350" s="1">
        <v>7500.0</v>
      </c>
      <c r="P350" s="1" t="s">
        <v>40</v>
      </c>
      <c r="Q350" s="1" t="str">
        <f>IF(ISERROR(VLOOKUP(P350,'unique fed agency names'!A:C,3,FALSE)),P350,VLOOKUP(P350,'unique fed agency names'!A:C,3,FALSE))
</f>
        <v>U.S. Department of Health and Human Services (DHHS)</v>
      </c>
      <c r="R350" s="1">
        <v>2.1761763E7</v>
      </c>
      <c r="S350" s="1" t="s">
        <v>1046</v>
      </c>
      <c r="T350" s="1" t="str">
        <f>IF(ISERROR(VLOOKUP(S350,'unique org names'!A:C,3,FALSE)),S350,VLOOKUP(S350,'unique org names'!A:C,3,FALSE))
</f>
        <v>ADULT PSYCHIATRIC CLINIC</v>
      </c>
      <c r="U350" s="1" t="s">
        <v>1047</v>
      </c>
      <c r="V350" s="1" t="s">
        <v>1048</v>
      </c>
      <c r="W350" s="1" t="s">
        <v>44</v>
      </c>
      <c r="X350" s="1" t="s">
        <v>45</v>
      </c>
      <c r="Y350" s="1">
        <v>4.82121112E8</v>
      </c>
      <c r="AA350" s="1" t="s">
        <v>46</v>
      </c>
      <c r="AB350" s="1" t="s">
        <v>45</v>
      </c>
      <c r="AC350" s="1">
        <v>4.82121112E8</v>
      </c>
      <c r="AF350" s="1">
        <v>34303.0</v>
      </c>
      <c r="AG350" s="2">
        <v>41528.0</v>
      </c>
      <c r="AH350" s="1">
        <v>7500.0</v>
      </c>
      <c r="AI350" s="1" t="s">
        <v>40</v>
      </c>
      <c r="AJ350" s="1">
        <v>3.8171546E8</v>
      </c>
      <c r="AK350" s="1" t="s">
        <v>1049</v>
      </c>
      <c r="AL350" s="1">
        <v>6.0</v>
      </c>
      <c r="AM350" s="1">
        <v>2013.0</v>
      </c>
      <c r="AN350" s="1">
        <v>2013.0</v>
      </c>
      <c r="AO350" s="1" t="s">
        <v>997</v>
      </c>
    </row>
    <row r="351">
      <c r="A351" s="5">
        <v>1.0</v>
      </c>
      <c r="B351" s="1">
        <f t="shared" si="1"/>
        <v>351</v>
      </c>
      <c r="C351" s="1" t="s">
        <v>992</v>
      </c>
      <c r="D351" s="1" t="s">
        <v>992</v>
      </c>
      <c r="E351" s="1" t="s">
        <v>159</v>
      </c>
      <c r="G351" s="1">
        <v>3.4836676E7</v>
      </c>
      <c r="H351" s="2">
        <v>41514.0</v>
      </c>
      <c r="I351" s="1" t="s">
        <v>993</v>
      </c>
      <c r="K351" s="1" t="s">
        <v>993</v>
      </c>
      <c r="N351" s="1" t="s">
        <v>40</v>
      </c>
      <c r="O351" s="1">
        <v>7500.0</v>
      </c>
      <c r="P351" s="1" t="s">
        <v>40</v>
      </c>
      <c r="Q351" s="1" t="str">
        <f>IF(ISERROR(VLOOKUP(P351,'unique fed agency names'!A:C,3,FALSE)),P351,VLOOKUP(P351,'unique fed agency names'!A:C,3,FALSE))
</f>
        <v>U.S. Department of Health and Human Services (DHHS)</v>
      </c>
      <c r="R351" s="1">
        <v>8.48764171E8</v>
      </c>
      <c r="S351" s="1" t="s">
        <v>1050</v>
      </c>
      <c r="T351" s="1" t="str">
        <f>IF(ISERROR(VLOOKUP(S351,'unique org names'!A:C,3,FALSE)),S351,VLOOKUP(S351,'unique org names'!A:C,3,FALSE))
</f>
        <v>AIDS Partnership Michigan, Inc</v>
      </c>
      <c r="U351" s="1" t="s">
        <v>1051</v>
      </c>
      <c r="V351" s="1" t="s">
        <v>1052</v>
      </c>
      <c r="W351" s="1" t="s">
        <v>44</v>
      </c>
      <c r="X351" s="1" t="s">
        <v>45</v>
      </c>
      <c r="Y351" s="1">
        <v>4.820741E8</v>
      </c>
      <c r="AA351" s="1" t="s">
        <v>46</v>
      </c>
      <c r="AB351" s="1" t="s">
        <v>45</v>
      </c>
      <c r="AC351" s="1">
        <v>4.820741E8</v>
      </c>
      <c r="AF351" s="1">
        <v>777367.0</v>
      </c>
      <c r="AG351" s="2">
        <v>41514.0</v>
      </c>
      <c r="AH351" s="1">
        <v>7500.0</v>
      </c>
      <c r="AI351" s="1" t="s">
        <v>40</v>
      </c>
      <c r="AJ351" s="1">
        <v>3.82464851E8</v>
      </c>
      <c r="AK351" s="1" t="s">
        <v>1053</v>
      </c>
      <c r="AL351" s="1">
        <v>6.0</v>
      </c>
      <c r="AM351" s="1">
        <v>2013.0</v>
      </c>
      <c r="AN351" s="1">
        <v>2013.0</v>
      </c>
      <c r="AO351" s="1" t="s">
        <v>997</v>
      </c>
    </row>
    <row r="352">
      <c r="A352" s="5">
        <v>1.0</v>
      </c>
      <c r="B352" s="1">
        <f t="shared" si="1"/>
        <v>352</v>
      </c>
      <c r="C352" s="1" t="s">
        <v>992</v>
      </c>
      <c r="D352" s="1" t="s">
        <v>992</v>
      </c>
      <c r="E352" s="1" t="s">
        <v>159</v>
      </c>
      <c r="G352" s="1">
        <v>3.4836676E7</v>
      </c>
      <c r="H352" s="2">
        <v>41528.0</v>
      </c>
      <c r="I352" s="1" t="s">
        <v>993</v>
      </c>
      <c r="K352" s="1" t="s">
        <v>993</v>
      </c>
      <c r="N352" s="1" t="s">
        <v>40</v>
      </c>
      <c r="O352" s="1">
        <v>7500.0</v>
      </c>
      <c r="P352" s="1" t="s">
        <v>40</v>
      </c>
      <c r="Q352" s="1" t="str">
        <f>IF(ISERROR(VLOOKUP(P352,'unique fed agency names'!A:C,3,FALSE)),P352,VLOOKUP(P352,'unique fed agency names'!A:C,3,FALSE))
</f>
        <v>U.S. Department of Health and Human Services (DHHS)</v>
      </c>
      <c r="R352" s="1">
        <v>1962224.0</v>
      </c>
      <c r="S352" s="1" t="s">
        <v>52</v>
      </c>
      <c r="T352" s="1" t="str">
        <f>IF(ISERROR(VLOOKUP(S352,'unique org names'!A:C,3,FALSE)),S352,VLOOKUP(S352,'unique org names'!A:C,3,FALSE))
</f>
        <v>WAYNE STATE UNIVERSITY</v>
      </c>
      <c r="V352" s="1" t="s">
        <v>53</v>
      </c>
      <c r="W352" s="1" t="s">
        <v>44</v>
      </c>
      <c r="X352" s="1" t="s">
        <v>45</v>
      </c>
      <c r="Y352" s="1">
        <v>4.82023692E8</v>
      </c>
      <c r="AA352" s="1" t="s">
        <v>46</v>
      </c>
      <c r="AB352" s="1" t="s">
        <v>45</v>
      </c>
      <c r="AC352" s="1">
        <v>4.8202405E8</v>
      </c>
      <c r="AD352" s="1">
        <v>1962224.0</v>
      </c>
      <c r="AE352" s="1" t="s">
        <v>52</v>
      </c>
      <c r="AF352" s="1">
        <v>474304.0</v>
      </c>
      <c r="AG352" s="2">
        <v>41528.0</v>
      </c>
      <c r="AH352" s="1">
        <v>7500.0</v>
      </c>
      <c r="AI352" s="1" t="s">
        <v>40</v>
      </c>
      <c r="AJ352" s="1">
        <v>3.86028429E8</v>
      </c>
      <c r="AK352" s="1" t="s">
        <v>1054</v>
      </c>
      <c r="AL352" s="1">
        <v>6.0</v>
      </c>
      <c r="AM352" s="1">
        <v>2013.0</v>
      </c>
      <c r="AN352" s="1">
        <v>2013.0</v>
      </c>
      <c r="AO352" s="1" t="s">
        <v>997</v>
      </c>
    </row>
    <row r="353">
      <c r="A353" s="5">
        <v>1.0</v>
      </c>
      <c r="B353" s="1">
        <f t="shared" si="1"/>
        <v>353</v>
      </c>
      <c r="C353" s="1" t="s">
        <v>1055</v>
      </c>
      <c r="D353" s="1" t="s">
        <v>1055</v>
      </c>
      <c r="E353" s="1" t="s">
        <v>224</v>
      </c>
      <c r="G353" s="1">
        <v>213373.0</v>
      </c>
      <c r="H353" s="2">
        <v>41514.0</v>
      </c>
      <c r="I353" s="1" t="s">
        <v>990</v>
      </c>
      <c r="K353" s="1" t="s">
        <v>990</v>
      </c>
      <c r="N353" s="1" t="s">
        <v>151</v>
      </c>
      <c r="O353" s="1">
        <v>6900.0</v>
      </c>
      <c r="P353" s="1" t="s">
        <v>151</v>
      </c>
      <c r="Q353" s="1" t="str">
        <f>IF(ISERROR(VLOOKUP(P353,'unique fed agency names'!A:C,3,FALSE)),P353,VLOOKUP(P353,'unique fed agency names'!A:C,3,FALSE))
</f>
        <v>U.S. Department of Transportation (DOT)</v>
      </c>
      <c r="R353" s="1">
        <v>9.63886101E8</v>
      </c>
      <c r="S353" s="1" t="s">
        <v>259</v>
      </c>
      <c r="T353" s="1" t="str">
        <f>IF(ISERROR(VLOOKUP(S353,'unique org names'!A:C,3,FALSE)),S353,VLOOKUP(S353,'unique org names'!A:C,3,FALSE))
</f>
        <v>Wayne County</v>
      </c>
      <c r="V353" s="1" t="s">
        <v>260</v>
      </c>
      <c r="W353" s="1" t="s">
        <v>44</v>
      </c>
      <c r="X353" s="1" t="s">
        <v>45</v>
      </c>
      <c r="Y353" s="1">
        <v>4.8226348E8</v>
      </c>
      <c r="AA353" s="1" t="s">
        <v>46</v>
      </c>
      <c r="AB353" s="1" t="s">
        <v>45</v>
      </c>
      <c r="AC353" s="1">
        <v>4.8226348E8</v>
      </c>
      <c r="AD353" s="1">
        <v>7.3134884E7</v>
      </c>
      <c r="AE353" s="1" t="s">
        <v>261</v>
      </c>
      <c r="AF353" s="1">
        <v>213373.13</v>
      </c>
      <c r="AG353" s="2">
        <v>41514.0</v>
      </c>
      <c r="AH353" s="1">
        <v>6900.0</v>
      </c>
      <c r="AI353" s="1" t="s">
        <v>151</v>
      </c>
      <c r="AJ353" s="1">
        <v>1.0</v>
      </c>
      <c r="AK353" s="1" t="s">
        <v>991</v>
      </c>
      <c r="AL353" s="1">
        <v>10.0</v>
      </c>
      <c r="AM353" s="1">
        <v>2013.0</v>
      </c>
      <c r="AN353" s="1">
        <v>2013.0</v>
      </c>
      <c r="AO353" s="1" t="s">
        <v>229</v>
      </c>
    </row>
    <row r="354">
      <c r="A354" s="5">
        <v>1.0</v>
      </c>
      <c r="B354" s="1">
        <f t="shared" si="1"/>
        <v>354</v>
      </c>
      <c r="C354" s="1" t="s">
        <v>992</v>
      </c>
      <c r="D354" s="1" t="s">
        <v>992</v>
      </c>
      <c r="E354" s="1" t="s">
        <v>159</v>
      </c>
      <c r="G354" s="1">
        <v>3.4836676E7</v>
      </c>
      <c r="H354" s="2">
        <v>41534.0</v>
      </c>
      <c r="I354" s="1" t="s">
        <v>993</v>
      </c>
      <c r="K354" s="1" t="s">
        <v>993</v>
      </c>
      <c r="N354" s="1" t="s">
        <v>40</v>
      </c>
      <c r="O354" s="1">
        <v>7500.0</v>
      </c>
      <c r="P354" s="1" t="s">
        <v>40</v>
      </c>
      <c r="Q354" s="1" t="str">
        <f>IF(ISERROR(VLOOKUP(P354,'unique fed agency names'!A:C,3,FALSE)),P354,VLOOKUP(P354,'unique fed agency names'!A:C,3,FALSE))
</f>
        <v>U.S. Department of Health and Human Services (DHHS)</v>
      </c>
      <c r="R354" s="1">
        <v>1.41947783E8</v>
      </c>
      <c r="S354" s="1" t="s">
        <v>144</v>
      </c>
      <c r="T354" s="1" t="str">
        <f>IF(ISERROR(VLOOKUP(S354,'unique org names'!A:C,3,FALSE)),S354,VLOOKUP(S354,'unique org names'!A:C,3,FALSE))
</f>
        <v>St John Community Health Investment Corporation</v>
      </c>
      <c r="V354" s="1" t="s">
        <v>145</v>
      </c>
      <c r="W354" s="1" t="s">
        <v>44</v>
      </c>
      <c r="X354" s="1" t="s">
        <v>45</v>
      </c>
      <c r="Y354" s="1">
        <v>4.82362148E8</v>
      </c>
      <c r="AA354" s="1" t="s">
        <v>46</v>
      </c>
      <c r="AB354" s="1" t="s">
        <v>45</v>
      </c>
      <c r="AC354" s="1">
        <v>4.82021732E8</v>
      </c>
      <c r="AF354" s="1">
        <v>550315.0</v>
      </c>
      <c r="AG354" s="2">
        <v>41534.0</v>
      </c>
      <c r="AH354" s="1">
        <v>7500.0</v>
      </c>
      <c r="AI354" s="1" t="s">
        <v>40</v>
      </c>
      <c r="AJ354" s="1">
        <v>3.82262856E8</v>
      </c>
      <c r="AK354" s="1" t="s">
        <v>1054</v>
      </c>
      <c r="AL354" s="1">
        <v>6.0</v>
      </c>
      <c r="AM354" s="1">
        <v>2013.0</v>
      </c>
      <c r="AN354" s="1">
        <v>2013.0</v>
      </c>
      <c r="AO354" s="1" t="s">
        <v>997</v>
      </c>
    </row>
    <row r="355">
      <c r="A355" s="5">
        <v>1.0</v>
      </c>
      <c r="B355" s="1">
        <f t="shared" si="1"/>
        <v>355</v>
      </c>
      <c r="C355" s="1" t="s">
        <v>992</v>
      </c>
      <c r="D355" s="1" t="s">
        <v>992</v>
      </c>
      <c r="E355" s="1" t="s">
        <v>159</v>
      </c>
      <c r="G355" s="1">
        <v>3.4836676E7</v>
      </c>
      <c r="H355" s="2">
        <v>41394.0</v>
      </c>
      <c r="I355" s="1" t="s">
        <v>993</v>
      </c>
      <c r="K355" s="1" t="s">
        <v>993</v>
      </c>
      <c r="N355" s="1" t="s">
        <v>40</v>
      </c>
      <c r="O355" s="1">
        <v>7500.0</v>
      </c>
      <c r="P355" s="1" t="s">
        <v>40</v>
      </c>
      <c r="Q355" s="1" t="str">
        <f>IF(ISERROR(VLOOKUP(P355,'unique fed agency names'!A:C,3,FALSE)),P355,VLOOKUP(P355,'unique fed agency names'!A:C,3,FALSE))
</f>
        <v>U.S. Department of Health and Human Services (DHHS)</v>
      </c>
      <c r="R355" s="1">
        <v>1.97862014E8</v>
      </c>
      <c r="S355" s="1" t="s">
        <v>1056</v>
      </c>
      <c r="T355" s="1" t="str">
        <f>IF(ISERROR(VLOOKUP(S355,'unique org names'!A:C,3,FALSE)),S355,VLOOKUP(S355,'unique org names'!A:C,3,FALSE))
</f>
        <v>WAYNE COUNTY NEIGHBORHOOD LEGAL SERVICES</v>
      </c>
      <c r="U355" s="1" t="s">
        <v>1057</v>
      </c>
      <c r="V355" s="1" t="s">
        <v>1058</v>
      </c>
      <c r="W355" s="1" t="s">
        <v>44</v>
      </c>
      <c r="X355" s="1" t="s">
        <v>45</v>
      </c>
      <c r="Y355" s="1">
        <v>4.82023165E8</v>
      </c>
      <c r="AA355" s="1" t="s">
        <v>46</v>
      </c>
      <c r="AB355" s="1" t="s">
        <v>45</v>
      </c>
      <c r="AC355" s="1">
        <v>4.82023165E8</v>
      </c>
      <c r="AD355" s="1">
        <v>1.97862014E8</v>
      </c>
      <c r="AE355" s="1" t="s">
        <v>1056</v>
      </c>
      <c r="AF355" s="1">
        <v>30082.0</v>
      </c>
      <c r="AG355" s="2">
        <v>41394.0</v>
      </c>
      <c r="AH355" s="1">
        <v>7500.0</v>
      </c>
      <c r="AI355" s="1" t="s">
        <v>40</v>
      </c>
      <c r="AJ355" s="1">
        <v>1.97862014E8</v>
      </c>
      <c r="AK355" s="1" t="s">
        <v>1059</v>
      </c>
      <c r="AL355" s="1">
        <v>6.0</v>
      </c>
      <c r="AM355" s="1">
        <v>2013.0</v>
      </c>
      <c r="AN355" s="1">
        <v>2013.0</v>
      </c>
      <c r="AO355" s="1" t="s">
        <v>997</v>
      </c>
    </row>
    <row r="356">
      <c r="A356" s="5">
        <v>1.0</v>
      </c>
      <c r="B356" s="1">
        <f t="shared" si="1"/>
        <v>356</v>
      </c>
      <c r="C356" s="1" t="s">
        <v>317</v>
      </c>
      <c r="D356" s="1" t="s">
        <v>317</v>
      </c>
      <c r="E356" s="1" t="s">
        <v>38</v>
      </c>
      <c r="G356" s="1">
        <v>1514326.0</v>
      </c>
      <c r="H356" s="2">
        <v>41527.0</v>
      </c>
      <c r="I356" s="1" t="s">
        <v>318</v>
      </c>
      <c r="K356" s="1" t="s">
        <v>318</v>
      </c>
      <c r="N356" s="1" t="s">
        <v>40</v>
      </c>
      <c r="O356" s="1">
        <v>7500.0</v>
      </c>
      <c r="P356" s="1" t="s">
        <v>40</v>
      </c>
      <c r="Q356" s="1" t="str">
        <f>IF(ISERROR(VLOOKUP(P356,'unique fed agency names'!A:C,3,FALSE)),P356,VLOOKUP(P356,'unique fed agency names'!A:C,3,FALSE))
</f>
        <v>U.S. Department of Health and Human Services (DHHS)</v>
      </c>
      <c r="R356" s="1">
        <v>7.3134603E7</v>
      </c>
      <c r="S356" s="1" t="s">
        <v>41</v>
      </c>
      <c r="T356" s="1" t="str">
        <f>IF(ISERROR(VLOOKUP(S356,'unique org names'!A:C,3,FALSE)),S356,VLOOKUP(S356,'unique org names'!A:C,3,FALSE))
</f>
        <v>Henry Ford Health System</v>
      </c>
      <c r="U356" s="1" t="s">
        <v>252</v>
      </c>
      <c r="V356" s="1" t="s">
        <v>253</v>
      </c>
      <c r="W356" s="1" t="s">
        <v>44</v>
      </c>
      <c r="X356" s="1" t="s">
        <v>45</v>
      </c>
      <c r="Y356" s="1">
        <v>4.8202345E8</v>
      </c>
      <c r="AA356" s="1" t="s">
        <v>44</v>
      </c>
      <c r="AB356" s="1" t="s">
        <v>45</v>
      </c>
      <c r="AC356" s="1">
        <v>4.8202345E8</v>
      </c>
      <c r="AD356" s="1">
        <v>7.3134603E7</v>
      </c>
      <c r="AE356" s="1" t="s">
        <v>41</v>
      </c>
      <c r="AF356" s="1">
        <v>43360.0</v>
      </c>
      <c r="AG356" s="2">
        <v>41527.0</v>
      </c>
      <c r="AH356" s="1">
        <v>7500.0</v>
      </c>
      <c r="AI356" s="1" t="s">
        <v>40</v>
      </c>
      <c r="AJ356" s="1" t="s">
        <v>1060</v>
      </c>
      <c r="AK356" s="1" t="s">
        <v>320</v>
      </c>
      <c r="AL356" s="1">
        <v>10.0</v>
      </c>
      <c r="AM356" s="1">
        <v>2013.0</v>
      </c>
      <c r="AN356" s="1">
        <v>2013.0</v>
      </c>
      <c r="AO356" s="1" t="s">
        <v>256</v>
      </c>
    </row>
    <row r="357">
      <c r="A357" s="5">
        <v>1.0</v>
      </c>
      <c r="B357" s="1">
        <f t="shared" si="1"/>
        <v>357</v>
      </c>
      <c r="C357" s="1" t="s">
        <v>992</v>
      </c>
      <c r="D357" s="1" t="s">
        <v>992</v>
      </c>
      <c r="E357" s="1" t="s">
        <v>159</v>
      </c>
      <c r="G357" s="1">
        <v>3.4836676E7</v>
      </c>
      <c r="H357" s="2">
        <v>41394.0</v>
      </c>
      <c r="I357" s="1" t="s">
        <v>993</v>
      </c>
      <c r="K357" s="1" t="s">
        <v>993</v>
      </c>
      <c r="N357" s="1" t="s">
        <v>40</v>
      </c>
      <c r="O357" s="1">
        <v>7500.0</v>
      </c>
      <c r="P357" s="1" t="s">
        <v>40</v>
      </c>
      <c r="Q357" s="1" t="str">
        <f>IF(ISERROR(VLOOKUP(P357,'unique fed agency names'!A:C,3,FALSE)),P357,VLOOKUP(P357,'unique fed agency names'!A:C,3,FALSE))
</f>
        <v>U.S. Department of Health and Human Services (DHHS)</v>
      </c>
      <c r="R357" s="1">
        <v>7.3134603E7</v>
      </c>
      <c r="S357" s="1" t="s">
        <v>41</v>
      </c>
      <c r="T357" s="1" t="str">
        <f>IF(ISERROR(VLOOKUP(S357,'unique org names'!A:C,3,FALSE)),S357,VLOOKUP(S357,'unique org names'!A:C,3,FALSE))
</f>
        <v>Henry Ford Health System</v>
      </c>
      <c r="U357" s="1" t="s">
        <v>252</v>
      </c>
      <c r="V357" s="1" t="s">
        <v>253</v>
      </c>
      <c r="W357" s="1" t="s">
        <v>44</v>
      </c>
      <c r="X357" s="1" t="s">
        <v>45</v>
      </c>
      <c r="Y357" s="1">
        <v>4.8202345E8</v>
      </c>
      <c r="AA357" s="1" t="s">
        <v>46</v>
      </c>
      <c r="AB357" s="1" t="s">
        <v>45</v>
      </c>
      <c r="AC357" s="1">
        <v>4.82022689E8</v>
      </c>
      <c r="AD357" s="1">
        <v>7.3134603E7</v>
      </c>
      <c r="AE357" s="1" t="s">
        <v>41</v>
      </c>
      <c r="AF357" s="1">
        <v>311486.0</v>
      </c>
      <c r="AG357" s="2">
        <v>41394.0</v>
      </c>
      <c r="AH357" s="1">
        <v>7500.0</v>
      </c>
      <c r="AI357" s="1" t="s">
        <v>40</v>
      </c>
      <c r="AJ357" s="1">
        <v>3.8135702E8</v>
      </c>
      <c r="AK357" s="1" t="s">
        <v>1061</v>
      </c>
      <c r="AL357" s="1">
        <v>6.0</v>
      </c>
      <c r="AM357" s="1">
        <v>2013.0</v>
      </c>
      <c r="AN357" s="1">
        <v>2013.0</v>
      </c>
      <c r="AO357" s="1" t="s">
        <v>997</v>
      </c>
    </row>
    <row r="358">
      <c r="A358" s="5">
        <v>1.0</v>
      </c>
      <c r="B358" s="1">
        <f t="shared" si="1"/>
        <v>358</v>
      </c>
      <c r="C358" s="1" t="s">
        <v>992</v>
      </c>
      <c r="D358" s="1" t="s">
        <v>992</v>
      </c>
      <c r="E358" s="1" t="s">
        <v>159</v>
      </c>
      <c r="G358" s="1">
        <v>3.4836676E7</v>
      </c>
      <c r="H358" s="2">
        <v>41394.0</v>
      </c>
      <c r="I358" s="1" t="s">
        <v>993</v>
      </c>
      <c r="K358" s="1" t="s">
        <v>993</v>
      </c>
      <c r="N358" s="1" t="s">
        <v>40</v>
      </c>
      <c r="O358" s="1">
        <v>7500.0</v>
      </c>
      <c r="P358" s="1" t="s">
        <v>40</v>
      </c>
      <c r="Q358" s="1" t="str">
        <f>IF(ISERROR(VLOOKUP(P358,'unique fed agency names'!A:C,3,FALSE)),P358,VLOOKUP(P358,'unique fed agency names'!A:C,3,FALSE))
</f>
        <v>U.S. Department of Health and Human Services (DHHS)</v>
      </c>
      <c r="R358" s="1">
        <v>3.8775243E7</v>
      </c>
      <c r="S358" s="1" t="s">
        <v>209</v>
      </c>
      <c r="T358" s="1" t="str">
        <f>IF(ISERROR(VLOOKUP(S358,'unique org names'!A:C,3,FALSE)),S358,VLOOKUP(S358,'unique org names'!A:C,3,FALSE))
</f>
        <v>SOUTHEASTERN MICHIGAN HEALTH ASSOCIATION</v>
      </c>
      <c r="U358" s="1" t="s">
        <v>210</v>
      </c>
      <c r="V358" s="1" t="s">
        <v>211</v>
      </c>
      <c r="W358" s="1" t="s">
        <v>44</v>
      </c>
      <c r="X358" s="1" t="s">
        <v>45</v>
      </c>
      <c r="Y358" s="1">
        <v>4.82023068E8</v>
      </c>
      <c r="AA358" s="1" t="s">
        <v>46</v>
      </c>
      <c r="AB358" s="1" t="s">
        <v>45</v>
      </c>
      <c r="AC358" s="1">
        <v>4.82023449E8</v>
      </c>
      <c r="AD358" s="1">
        <v>3.8775243E7</v>
      </c>
      <c r="AE358" s="1" t="s">
        <v>209</v>
      </c>
      <c r="AF358" s="1">
        <v>487697.0</v>
      </c>
      <c r="AG358" s="2">
        <v>41394.0</v>
      </c>
      <c r="AH358" s="1">
        <v>7500.0</v>
      </c>
      <c r="AI358" s="1" t="s">
        <v>40</v>
      </c>
      <c r="AJ358" s="1">
        <v>1120190.0</v>
      </c>
      <c r="AK358" s="1" t="s">
        <v>1062</v>
      </c>
      <c r="AL358" s="1">
        <v>6.0</v>
      </c>
      <c r="AM358" s="1">
        <v>2013.0</v>
      </c>
      <c r="AN358" s="1">
        <v>2013.0</v>
      </c>
      <c r="AO358" s="1" t="s">
        <v>997</v>
      </c>
    </row>
    <row r="359">
      <c r="A359" s="5">
        <v>1.0</v>
      </c>
      <c r="B359" s="1">
        <f t="shared" si="1"/>
        <v>359</v>
      </c>
      <c r="C359" s="1" t="s">
        <v>992</v>
      </c>
      <c r="D359" s="1" t="s">
        <v>992</v>
      </c>
      <c r="E359" s="1" t="s">
        <v>159</v>
      </c>
      <c r="G359" s="1">
        <v>3.4836676E7</v>
      </c>
      <c r="H359" s="2">
        <v>41394.0</v>
      </c>
      <c r="I359" s="1" t="s">
        <v>993</v>
      </c>
      <c r="K359" s="1" t="s">
        <v>993</v>
      </c>
      <c r="N359" s="1" t="s">
        <v>40</v>
      </c>
      <c r="O359" s="1">
        <v>7500.0</v>
      </c>
      <c r="P359" s="1" t="s">
        <v>40</v>
      </c>
      <c r="Q359" s="1" t="str">
        <f>IF(ISERROR(VLOOKUP(P359,'unique fed agency names'!A:C,3,FALSE)),P359,VLOOKUP(P359,'unique fed agency names'!A:C,3,FALSE))
</f>
        <v>U.S. Department of Health and Human Services (DHHS)</v>
      </c>
      <c r="R359" s="1">
        <v>1.41947783E8</v>
      </c>
      <c r="S359" s="1" t="s">
        <v>144</v>
      </c>
      <c r="T359" s="1" t="str">
        <f>IF(ISERROR(VLOOKUP(S359,'unique org names'!A:C,3,FALSE)),S359,VLOOKUP(S359,'unique org names'!A:C,3,FALSE))
</f>
        <v>St John Community Health Investment Corporation</v>
      </c>
      <c r="V359" s="1" t="s">
        <v>145</v>
      </c>
      <c r="W359" s="1" t="s">
        <v>44</v>
      </c>
      <c r="X359" s="1" t="s">
        <v>45</v>
      </c>
      <c r="Y359" s="1">
        <v>4.82362148E8</v>
      </c>
      <c r="AA359" s="1" t="s">
        <v>46</v>
      </c>
      <c r="AB359" s="1" t="s">
        <v>45</v>
      </c>
      <c r="AC359" s="1">
        <v>4.82021732E8</v>
      </c>
      <c r="AF359" s="1">
        <v>0.0</v>
      </c>
      <c r="AG359" s="2">
        <v>41394.0</v>
      </c>
      <c r="AH359" s="1">
        <v>7500.0</v>
      </c>
      <c r="AI359" s="1" t="s">
        <v>40</v>
      </c>
      <c r="AJ359" s="1">
        <v>3.82262856E8</v>
      </c>
      <c r="AK359" s="1" t="s">
        <v>1063</v>
      </c>
      <c r="AL359" s="1">
        <v>6.0</v>
      </c>
      <c r="AM359" s="1">
        <v>2013.0</v>
      </c>
      <c r="AN359" s="1">
        <v>2013.0</v>
      </c>
      <c r="AO359" s="1" t="s">
        <v>997</v>
      </c>
    </row>
    <row r="360">
      <c r="A360" s="5">
        <v>1.0</v>
      </c>
      <c r="B360" s="1">
        <f t="shared" si="1"/>
        <v>360</v>
      </c>
      <c r="C360" s="1" t="s">
        <v>1064</v>
      </c>
      <c r="D360" s="1" t="s">
        <v>1064</v>
      </c>
      <c r="E360" s="1" t="s">
        <v>38</v>
      </c>
      <c r="G360" s="1">
        <v>6302707.0</v>
      </c>
      <c r="H360" s="2">
        <v>41484.0</v>
      </c>
      <c r="I360" s="1" t="s">
        <v>1065</v>
      </c>
      <c r="K360" s="1" t="s">
        <v>1065</v>
      </c>
      <c r="N360" s="1" t="s">
        <v>40</v>
      </c>
      <c r="O360" s="1">
        <v>7500.0</v>
      </c>
      <c r="P360" s="1" t="s">
        <v>40</v>
      </c>
      <c r="Q360" s="1" t="str">
        <f>IF(ISERROR(VLOOKUP(P360,'unique fed agency names'!A:C,3,FALSE)),P360,VLOOKUP(P360,'unique fed agency names'!A:C,3,FALSE))
</f>
        <v>U.S. Department of Health and Human Services (DHHS)</v>
      </c>
      <c r="R360" s="1">
        <v>1962224.0</v>
      </c>
      <c r="S360" s="1" t="s">
        <v>52</v>
      </c>
      <c r="T360" s="1" t="str">
        <f>IF(ISERROR(VLOOKUP(S360,'unique org names'!A:C,3,FALSE)),S360,VLOOKUP(S360,'unique org names'!A:C,3,FALSE))
</f>
        <v>WAYNE STATE UNIVERSITY</v>
      </c>
      <c r="V360" s="1" t="s">
        <v>53</v>
      </c>
      <c r="W360" s="1" t="s">
        <v>44</v>
      </c>
      <c r="X360" s="1" t="s">
        <v>45</v>
      </c>
      <c r="Y360" s="1">
        <v>4.82023692E8</v>
      </c>
      <c r="AA360" s="1" t="s">
        <v>46</v>
      </c>
      <c r="AB360" s="1" t="s">
        <v>45</v>
      </c>
      <c r="AC360" s="1">
        <v>4.8202405E8</v>
      </c>
      <c r="AD360" s="1">
        <v>1962224.0</v>
      </c>
      <c r="AE360" s="1" t="s">
        <v>52</v>
      </c>
      <c r="AF360" s="1">
        <v>114000.0</v>
      </c>
      <c r="AG360" s="2">
        <v>41484.0</v>
      </c>
      <c r="AH360" s="1">
        <v>7500.0</v>
      </c>
      <c r="AI360" s="1" t="s">
        <v>40</v>
      </c>
      <c r="AJ360" s="1" t="s">
        <v>1066</v>
      </c>
      <c r="AK360" s="1" t="s">
        <v>1067</v>
      </c>
      <c r="AL360" s="1">
        <v>8.0</v>
      </c>
      <c r="AM360" s="1">
        <v>2013.0</v>
      </c>
      <c r="AN360" s="1">
        <v>2013.0</v>
      </c>
      <c r="AO360" s="1" t="s">
        <v>415</v>
      </c>
    </row>
    <row r="361">
      <c r="A361" s="5">
        <v>1.0</v>
      </c>
      <c r="B361" s="1">
        <f t="shared" si="1"/>
        <v>361</v>
      </c>
      <c r="C361" s="1" t="s">
        <v>992</v>
      </c>
      <c r="D361" s="1" t="s">
        <v>992</v>
      </c>
      <c r="E361" s="1" t="s">
        <v>159</v>
      </c>
      <c r="G361" s="1">
        <v>3.481772E7</v>
      </c>
      <c r="H361" s="2">
        <v>41394.0</v>
      </c>
      <c r="I361" s="1" t="s">
        <v>993</v>
      </c>
      <c r="K361" s="1" t="s">
        <v>993</v>
      </c>
      <c r="N361" s="1" t="s">
        <v>40</v>
      </c>
      <c r="O361" s="1">
        <v>7500.0</v>
      </c>
      <c r="P361" s="1" t="s">
        <v>40</v>
      </c>
      <c r="Q361" s="1" t="str">
        <f>IF(ISERROR(VLOOKUP(P361,'unique fed agency names'!A:C,3,FALSE)),P361,VLOOKUP(P361,'unique fed agency names'!A:C,3,FALSE))
</f>
        <v>U.S. Department of Health and Human Services (DHHS)</v>
      </c>
      <c r="R361" s="1">
        <v>1.41947783E8</v>
      </c>
      <c r="S361" s="1" t="s">
        <v>144</v>
      </c>
      <c r="T361" s="1" t="str">
        <f>IF(ISERROR(VLOOKUP(S361,'unique org names'!A:C,3,FALSE)),S361,VLOOKUP(S361,'unique org names'!A:C,3,FALSE))
</f>
        <v>St John Community Health Investment Corporation</v>
      </c>
      <c r="V361" s="1" t="s">
        <v>145</v>
      </c>
      <c r="W361" s="1" t="s">
        <v>44</v>
      </c>
      <c r="X361" s="1" t="s">
        <v>45</v>
      </c>
      <c r="Y361" s="1">
        <v>4.82362148E8</v>
      </c>
      <c r="AA361" s="1" t="s">
        <v>46</v>
      </c>
      <c r="AB361" s="1" t="s">
        <v>45</v>
      </c>
      <c r="AC361" s="1">
        <v>4.82021732E8</v>
      </c>
      <c r="AF361" s="1">
        <v>0.0</v>
      </c>
      <c r="AG361" s="2">
        <v>41394.0</v>
      </c>
      <c r="AH361" s="1">
        <v>7500.0</v>
      </c>
      <c r="AI361" s="1" t="s">
        <v>40</v>
      </c>
      <c r="AJ361" s="1">
        <v>3.82262856E8</v>
      </c>
      <c r="AK361" s="1" t="s">
        <v>1063</v>
      </c>
      <c r="AL361" s="1">
        <v>10.0</v>
      </c>
      <c r="AM361" s="1">
        <v>2013.0</v>
      </c>
      <c r="AN361" s="1">
        <v>2013.0</v>
      </c>
      <c r="AO361" s="1" t="s">
        <v>997</v>
      </c>
    </row>
    <row r="362">
      <c r="A362" s="5">
        <v>1.0</v>
      </c>
      <c r="B362" s="1">
        <f t="shared" si="1"/>
        <v>362</v>
      </c>
      <c r="C362" s="1" t="s">
        <v>992</v>
      </c>
      <c r="D362" s="1" t="s">
        <v>992</v>
      </c>
      <c r="E362" s="1" t="s">
        <v>159</v>
      </c>
      <c r="G362" s="1">
        <v>3.481772E7</v>
      </c>
      <c r="H362" s="2">
        <v>41528.0</v>
      </c>
      <c r="I362" s="1" t="s">
        <v>993</v>
      </c>
      <c r="K362" s="1" t="s">
        <v>993</v>
      </c>
      <c r="N362" s="1" t="s">
        <v>40</v>
      </c>
      <c r="O362" s="1">
        <v>7500.0</v>
      </c>
      <c r="P362" s="1" t="s">
        <v>40</v>
      </c>
      <c r="Q362" s="1" t="str">
        <f>IF(ISERROR(VLOOKUP(P362,'unique fed agency names'!A:C,3,FALSE)),P362,VLOOKUP(P362,'unique fed agency names'!A:C,3,FALSE))
</f>
        <v>U.S. Department of Health and Human Services (DHHS)</v>
      </c>
      <c r="R362" s="1">
        <v>1.98999146E8</v>
      </c>
      <c r="S362" s="1" t="s">
        <v>999</v>
      </c>
      <c r="T362" s="1" t="str">
        <f>IF(ISERROR(VLOOKUP(S362,'unique org names'!A:C,3,FALSE)),S362,VLOOKUP(S362,'unique org names'!A:C,3,FALSE))
</f>
        <v>COMMUNITY HEALTH AWARENESS GROUP</v>
      </c>
      <c r="V362" s="1" t="s">
        <v>1000</v>
      </c>
      <c r="W362" s="1" t="s">
        <v>44</v>
      </c>
      <c r="X362" s="1" t="s">
        <v>45</v>
      </c>
      <c r="Y362" s="1">
        <v>4.82263007E8</v>
      </c>
      <c r="AA362" s="1" t="s">
        <v>46</v>
      </c>
      <c r="AB362" s="1" t="s">
        <v>45</v>
      </c>
      <c r="AC362" s="1">
        <v>4.82263007E8</v>
      </c>
      <c r="AF362" s="1">
        <v>693365.0</v>
      </c>
      <c r="AG362" s="2">
        <v>41528.0</v>
      </c>
      <c r="AH362" s="1">
        <v>7500.0</v>
      </c>
      <c r="AI362" s="1" t="s">
        <v>40</v>
      </c>
      <c r="AJ362" s="1">
        <v>3.82704374E8</v>
      </c>
      <c r="AK362" s="1" t="s">
        <v>1001</v>
      </c>
      <c r="AL362" s="1">
        <v>10.0</v>
      </c>
      <c r="AM362" s="1">
        <v>2013.0</v>
      </c>
      <c r="AN362" s="1">
        <v>2013.0</v>
      </c>
      <c r="AO362" s="1" t="s">
        <v>997</v>
      </c>
    </row>
    <row r="363">
      <c r="A363" s="5">
        <v>1.0</v>
      </c>
      <c r="B363" s="1">
        <f t="shared" si="1"/>
        <v>363</v>
      </c>
      <c r="C363" s="1" t="s">
        <v>128</v>
      </c>
      <c r="D363" s="1" t="s">
        <v>128</v>
      </c>
      <c r="E363" s="1" t="s">
        <v>129</v>
      </c>
      <c r="G363" s="1">
        <v>1.86131E7</v>
      </c>
      <c r="H363" s="2">
        <v>41547.0</v>
      </c>
      <c r="I363" s="1" t="s">
        <v>1068</v>
      </c>
      <c r="K363" s="1" t="s">
        <v>1068</v>
      </c>
      <c r="N363" s="1" t="s">
        <v>40</v>
      </c>
      <c r="O363" s="1">
        <v>7500.0</v>
      </c>
      <c r="P363" s="1" t="s">
        <v>40</v>
      </c>
      <c r="Q363" s="1" t="str">
        <f>IF(ISERROR(VLOOKUP(P363,'unique fed agency names'!A:C,3,FALSE)),P363,VLOOKUP(P363,'unique fed agency names'!A:C,3,FALSE))
</f>
        <v>U.S. Department of Health and Human Services (DHHS)</v>
      </c>
      <c r="R363" s="1">
        <v>6.9840817E7</v>
      </c>
      <c r="S363" s="1" t="s">
        <v>131</v>
      </c>
      <c r="T363" s="1" t="str">
        <f>IF(ISERROR(VLOOKUP(S363,'unique org names'!A:C,3,FALSE)),S363,VLOOKUP(S363,'unique org names'!A:C,3,FALSE))
</f>
        <v>LUTHERAN SOCIAL SERVICES OF MICHIGAN</v>
      </c>
      <c r="V363" s="1" t="s">
        <v>132</v>
      </c>
      <c r="W363" s="1" t="s">
        <v>44</v>
      </c>
      <c r="X363" s="1" t="s">
        <v>45</v>
      </c>
      <c r="Y363" s="1">
        <v>4.8214261E8</v>
      </c>
      <c r="AA363" s="1" t="s">
        <v>133</v>
      </c>
      <c r="AB363" s="1" t="s">
        <v>45</v>
      </c>
      <c r="AC363" s="1">
        <v>4.8214261E8</v>
      </c>
      <c r="AD363" s="1">
        <v>6.9840817E7</v>
      </c>
      <c r="AE363" s="1" t="s">
        <v>131</v>
      </c>
      <c r="AF363" s="1">
        <v>228000.0</v>
      </c>
      <c r="AG363" s="2">
        <v>41547.0</v>
      </c>
      <c r="AH363" s="1">
        <v>7500.0</v>
      </c>
      <c r="AI363" s="1" t="s">
        <v>40</v>
      </c>
      <c r="AJ363" s="1" t="s">
        <v>1069</v>
      </c>
      <c r="AK363" s="1" t="s">
        <v>135</v>
      </c>
      <c r="AL363" s="1">
        <v>9.0</v>
      </c>
      <c r="AM363" s="1">
        <v>2013.0</v>
      </c>
      <c r="AN363" s="1">
        <v>2013.0</v>
      </c>
      <c r="AO363" s="1" t="s">
        <v>136</v>
      </c>
    </row>
    <row r="364">
      <c r="A364" s="5">
        <v>1.0</v>
      </c>
      <c r="B364" s="1">
        <f t="shared" si="1"/>
        <v>364</v>
      </c>
      <c r="C364" s="1" t="s">
        <v>1070</v>
      </c>
      <c r="D364" s="1" t="s">
        <v>1070</v>
      </c>
      <c r="E364" s="1" t="s">
        <v>38</v>
      </c>
      <c r="G364" s="1">
        <v>1785122.0</v>
      </c>
      <c r="H364" s="2">
        <v>41214.0</v>
      </c>
      <c r="I364" s="1" t="s">
        <v>1071</v>
      </c>
      <c r="K364" s="1" t="s">
        <v>1071</v>
      </c>
      <c r="N364" s="1" t="s">
        <v>40</v>
      </c>
      <c r="O364" s="1">
        <v>7500.0</v>
      </c>
      <c r="P364" s="1" t="s">
        <v>40</v>
      </c>
      <c r="Q364" s="1" t="str">
        <f>IF(ISERROR(VLOOKUP(P364,'unique fed agency names'!A:C,3,FALSE)),P364,VLOOKUP(P364,'unique fed agency names'!A:C,3,FALSE))
</f>
        <v>U.S. Department of Health and Human Services (DHHS)</v>
      </c>
      <c r="R364" s="1">
        <v>7.3134603E7</v>
      </c>
      <c r="S364" s="1" t="s">
        <v>41</v>
      </c>
      <c r="T364" s="1" t="str">
        <f>IF(ISERROR(VLOOKUP(S364,'unique org names'!A:C,3,FALSE)),S364,VLOOKUP(S364,'unique org names'!A:C,3,FALSE))
</f>
        <v>Henry Ford Health System</v>
      </c>
      <c r="U364" s="1" t="s">
        <v>252</v>
      </c>
      <c r="V364" s="1" t="s">
        <v>253</v>
      </c>
      <c r="W364" s="1" t="s">
        <v>44</v>
      </c>
      <c r="X364" s="1" t="s">
        <v>45</v>
      </c>
      <c r="Y364" s="1">
        <v>4.8202345E8</v>
      </c>
      <c r="AA364" s="1" t="s">
        <v>46</v>
      </c>
      <c r="AB364" s="1" t="s">
        <v>45</v>
      </c>
      <c r="AC364" s="1">
        <v>4.82022689E8</v>
      </c>
      <c r="AD364" s="1">
        <v>7.3134603E7</v>
      </c>
      <c r="AE364" s="1" t="s">
        <v>41</v>
      </c>
      <c r="AF364" s="1">
        <v>151643.0</v>
      </c>
      <c r="AG364" s="2">
        <v>41214.0</v>
      </c>
      <c r="AH364" s="1">
        <v>7500.0</v>
      </c>
      <c r="AI364" s="1" t="s">
        <v>40</v>
      </c>
      <c r="AJ364" s="1" t="s">
        <v>1072</v>
      </c>
      <c r="AK364" s="1" t="s">
        <v>1073</v>
      </c>
      <c r="AL364" s="1">
        <v>3.0</v>
      </c>
      <c r="AM364" s="1">
        <v>2013.0</v>
      </c>
      <c r="AN364" s="1">
        <v>2013.0</v>
      </c>
      <c r="AO364" s="1" t="s">
        <v>973</v>
      </c>
    </row>
    <row r="365">
      <c r="A365" s="5">
        <v>1.0</v>
      </c>
      <c r="B365" s="1">
        <f t="shared" si="1"/>
        <v>365</v>
      </c>
      <c r="C365" s="1" t="s">
        <v>992</v>
      </c>
      <c r="D365" s="1" t="s">
        <v>992</v>
      </c>
      <c r="E365" s="1" t="s">
        <v>159</v>
      </c>
      <c r="G365" s="1">
        <v>3.481772E7</v>
      </c>
      <c r="H365" s="2">
        <v>41558.0</v>
      </c>
      <c r="I365" s="1" t="s">
        <v>993</v>
      </c>
      <c r="K365" s="1" t="s">
        <v>993</v>
      </c>
      <c r="N365" s="1" t="s">
        <v>40</v>
      </c>
      <c r="O365" s="1">
        <v>7500.0</v>
      </c>
      <c r="P365" s="1" t="s">
        <v>40</v>
      </c>
      <c r="Q365" s="1" t="str">
        <f>IF(ISERROR(VLOOKUP(P365,'unique fed agency names'!A:C,3,FALSE)),P365,VLOOKUP(P365,'unique fed agency names'!A:C,3,FALSE))
</f>
        <v>U.S. Department of Health and Human Services (DHHS)</v>
      </c>
      <c r="R365" s="1">
        <v>1962224.0</v>
      </c>
      <c r="S365" s="1" t="s">
        <v>52</v>
      </c>
      <c r="T365" s="1" t="str">
        <f>IF(ISERROR(VLOOKUP(S365,'unique org names'!A:C,3,FALSE)),S365,VLOOKUP(S365,'unique org names'!A:C,3,FALSE))
</f>
        <v>WAYNE STATE UNIVERSITY</v>
      </c>
      <c r="V365" s="1" t="s">
        <v>53</v>
      </c>
      <c r="W365" s="1" t="s">
        <v>44</v>
      </c>
      <c r="X365" s="1" t="s">
        <v>45</v>
      </c>
      <c r="Y365" s="1">
        <v>4.82023692E8</v>
      </c>
      <c r="AA365" s="1" t="s">
        <v>46</v>
      </c>
      <c r="AB365" s="1" t="s">
        <v>45</v>
      </c>
      <c r="AC365" s="1">
        <v>4.8202405E8</v>
      </c>
      <c r="AD365" s="1">
        <v>1962224.0</v>
      </c>
      <c r="AE365" s="1" t="s">
        <v>52</v>
      </c>
      <c r="AF365" s="1">
        <v>808834.0</v>
      </c>
      <c r="AG365" s="2">
        <v>41558.0</v>
      </c>
      <c r="AH365" s="1">
        <v>7500.0</v>
      </c>
      <c r="AI365" s="1" t="s">
        <v>40</v>
      </c>
      <c r="AJ365" s="1" t="s">
        <v>1074</v>
      </c>
      <c r="AK365" s="1" t="s">
        <v>1075</v>
      </c>
      <c r="AL365" s="1">
        <v>10.0</v>
      </c>
      <c r="AM365" s="1">
        <v>2013.0</v>
      </c>
      <c r="AN365" s="1">
        <v>2014.0</v>
      </c>
      <c r="AO365" s="1" t="s">
        <v>997</v>
      </c>
    </row>
    <row r="366">
      <c r="A366" s="5">
        <v>1.0</v>
      </c>
      <c r="B366" s="1">
        <f t="shared" si="1"/>
        <v>366</v>
      </c>
      <c r="C366" s="1" t="s">
        <v>992</v>
      </c>
      <c r="D366" s="1" t="s">
        <v>992</v>
      </c>
      <c r="E366" s="1" t="s">
        <v>159</v>
      </c>
      <c r="G366" s="1">
        <v>3.481772E7</v>
      </c>
      <c r="H366" s="2">
        <v>41534.0</v>
      </c>
      <c r="I366" s="1" t="s">
        <v>993</v>
      </c>
      <c r="K366" s="1" t="s">
        <v>993</v>
      </c>
      <c r="N366" s="1" t="s">
        <v>40</v>
      </c>
      <c r="O366" s="1">
        <v>7500.0</v>
      </c>
      <c r="P366" s="1" t="s">
        <v>40</v>
      </c>
      <c r="Q366" s="1" t="str">
        <f>IF(ISERROR(VLOOKUP(P366,'unique fed agency names'!A:C,3,FALSE)),P366,VLOOKUP(P366,'unique fed agency names'!A:C,3,FALSE))
</f>
        <v>U.S. Department of Health and Human Services (DHHS)</v>
      </c>
      <c r="R366" s="1">
        <v>1.41947783E8</v>
      </c>
      <c r="S366" s="1" t="s">
        <v>144</v>
      </c>
      <c r="T366" s="1" t="str">
        <f>IF(ISERROR(VLOOKUP(S366,'unique org names'!A:C,3,FALSE)),S366,VLOOKUP(S366,'unique org names'!A:C,3,FALSE))
</f>
        <v>St John Community Health Investment Corporation</v>
      </c>
      <c r="V366" s="1" t="s">
        <v>145</v>
      </c>
      <c r="W366" s="1" t="s">
        <v>44</v>
      </c>
      <c r="X366" s="1" t="s">
        <v>45</v>
      </c>
      <c r="Y366" s="1">
        <v>4.82362148E8</v>
      </c>
      <c r="AA366" s="1" t="s">
        <v>46</v>
      </c>
      <c r="AB366" s="1" t="s">
        <v>45</v>
      </c>
      <c r="AC366" s="1">
        <v>4.82021732E8</v>
      </c>
      <c r="AF366" s="1">
        <v>550315.0</v>
      </c>
      <c r="AG366" s="2">
        <v>41534.0</v>
      </c>
      <c r="AH366" s="1">
        <v>7500.0</v>
      </c>
      <c r="AI366" s="1" t="s">
        <v>40</v>
      </c>
      <c r="AJ366" s="1">
        <v>3.82262856E8</v>
      </c>
      <c r="AK366" s="1" t="s">
        <v>1054</v>
      </c>
      <c r="AL366" s="1">
        <v>10.0</v>
      </c>
      <c r="AM366" s="1">
        <v>2013.0</v>
      </c>
      <c r="AN366" s="1">
        <v>2013.0</v>
      </c>
      <c r="AO366" s="1" t="s">
        <v>997</v>
      </c>
    </row>
    <row r="367">
      <c r="A367" s="5">
        <v>1.0</v>
      </c>
      <c r="B367" s="1">
        <f t="shared" si="1"/>
        <v>367</v>
      </c>
      <c r="C367" s="1" t="s">
        <v>992</v>
      </c>
      <c r="D367" s="1" t="s">
        <v>992</v>
      </c>
      <c r="E367" s="1" t="s">
        <v>159</v>
      </c>
      <c r="G367" s="1">
        <v>3.481772E7</v>
      </c>
      <c r="H367" s="2">
        <v>41558.0</v>
      </c>
      <c r="I367" s="1" t="s">
        <v>993</v>
      </c>
      <c r="K367" s="1" t="s">
        <v>993</v>
      </c>
      <c r="N367" s="1" t="s">
        <v>40</v>
      </c>
      <c r="O367" s="1">
        <v>7500.0</v>
      </c>
      <c r="P367" s="1" t="s">
        <v>40</v>
      </c>
      <c r="Q367" s="1" t="str">
        <f>IF(ISERROR(VLOOKUP(P367,'unique fed agency names'!A:C,3,FALSE)),P367,VLOOKUP(P367,'unique fed agency names'!A:C,3,FALSE))
</f>
        <v>U.S. Department of Health and Human Services (DHHS)</v>
      </c>
      <c r="R367" s="1">
        <v>7.3134603E7</v>
      </c>
      <c r="S367" s="1" t="s">
        <v>41</v>
      </c>
      <c r="T367" s="1" t="str">
        <f>IF(ISERROR(VLOOKUP(S367,'unique org names'!A:C,3,FALSE)),S367,VLOOKUP(S367,'unique org names'!A:C,3,FALSE))
</f>
        <v>Henry Ford Health System</v>
      </c>
      <c r="U367" s="1" t="s">
        <v>252</v>
      </c>
      <c r="V367" s="1" t="s">
        <v>253</v>
      </c>
      <c r="W367" s="1" t="s">
        <v>44</v>
      </c>
      <c r="X367" s="1" t="s">
        <v>45</v>
      </c>
      <c r="Y367" s="1">
        <v>4.8202345E8</v>
      </c>
      <c r="AA367" s="1" t="s">
        <v>46</v>
      </c>
      <c r="AB367" s="1" t="s">
        <v>45</v>
      </c>
      <c r="AC367" s="1">
        <v>4.82022689E8</v>
      </c>
      <c r="AD367" s="1">
        <v>7.3134603E7</v>
      </c>
      <c r="AE367" s="1" t="s">
        <v>41</v>
      </c>
      <c r="AF367" s="1">
        <v>737625.0</v>
      </c>
      <c r="AG367" s="2">
        <v>41558.0</v>
      </c>
      <c r="AH367" s="1">
        <v>7500.0</v>
      </c>
      <c r="AI367" s="1" t="s">
        <v>40</v>
      </c>
      <c r="AJ367" s="1">
        <v>3.8135702E8</v>
      </c>
      <c r="AK367" s="1" t="s">
        <v>1061</v>
      </c>
      <c r="AL367" s="1">
        <v>10.0</v>
      </c>
      <c r="AM367" s="1">
        <v>2013.0</v>
      </c>
      <c r="AN367" s="1">
        <v>2014.0</v>
      </c>
      <c r="AO367" s="1" t="s">
        <v>997</v>
      </c>
    </row>
    <row r="368">
      <c r="A368" s="5">
        <v>1.0</v>
      </c>
      <c r="B368" s="1">
        <f t="shared" si="1"/>
        <v>368</v>
      </c>
      <c r="C368" s="1" t="s">
        <v>992</v>
      </c>
      <c r="D368" s="1" t="s">
        <v>992</v>
      </c>
      <c r="E368" s="1" t="s">
        <v>159</v>
      </c>
      <c r="G368" s="1">
        <v>3.481772E7</v>
      </c>
      <c r="H368" s="2">
        <v>41558.0</v>
      </c>
      <c r="I368" s="1" t="s">
        <v>993</v>
      </c>
      <c r="K368" s="1" t="s">
        <v>993</v>
      </c>
      <c r="N368" s="1" t="s">
        <v>40</v>
      </c>
      <c r="O368" s="1">
        <v>7500.0</v>
      </c>
      <c r="P368" s="1" t="s">
        <v>40</v>
      </c>
      <c r="Q368" s="1" t="str">
        <f>IF(ISERROR(VLOOKUP(P368,'unique fed agency names'!A:C,3,FALSE)),P368,VLOOKUP(P368,'unique fed agency names'!A:C,3,FALSE))
</f>
        <v>U.S. Department of Health and Human Services (DHHS)</v>
      </c>
      <c r="R368" s="1">
        <v>1.97862014E8</v>
      </c>
      <c r="S368" s="1" t="s">
        <v>1056</v>
      </c>
      <c r="T368" s="1" t="str">
        <f>IF(ISERROR(VLOOKUP(S368,'unique org names'!A:C,3,FALSE)),S368,VLOOKUP(S368,'unique org names'!A:C,3,FALSE))
</f>
        <v>WAYNE COUNTY NEIGHBORHOOD LEGAL SERVICES</v>
      </c>
      <c r="U368" s="1" t="s">
        <v>1057</v>
      </c>
      <c r="V368" s="1" t="s">
        <v>1058</v>
      </c>
      <c r="W368" s="1" t="s">
        <v>44</v>
      </c>
      <c r="X368" s="1" t="s">
        <v>45</v>
      </c>
      <c r="Y368" s="1">
        <v>4.82023165E8</v>
      </c>
      <c r="AA368" s="1" t="s">
        <v>46</v>
      </c>
      <c r="AB368" s="1" t="s">
        <v>45</v>
      </c>
      <c r="AC368" s="1">
        <v>4.82023165E8</v>
      </c>
      <c r="AD368" s="1">
        <v>1.97862014E8</v>
      </c>
      <c r="AE368" s="1" t="s">
        <v>1056</v>
      </c>
      <c r="AF368" s="1">
        <v>46594.0</v>
      </c>
      <c r="AG368" s="2">
        <v>41558.0</v>
      </c>
      <c r="AH368" s="1">
        <v>7500.0</v>
      </c>
      <c r="AI368" s="1" t="s">
        <v>40</v>
      </c>
      <c r="AJ368" s="1">
        <v>1.97862014E8</v>
      </c>
      <c r="AK368" s="1" t="s">
        <v>1059</v>
      </c>
      <c r="AL368" s="1">
        <v>10.0</v>
      </c>
      <c r="AM368" s="1">
        <v>2013.0</v>
      </c>
      <c r="AN368" s="1">
        <v>2014.0</v>
      </c>
      <c r="AO368" s="1" t="s">
        <v>997</v>
      </c>
    </row>
    <row r="369">
      <c r="A369" s="5">
        <v>1.0</v>
      </c>
      <c r="B369" s="1">
        <f t="shared" si="1"/>
        <v>369</v>
      </c>
      <c r="C369" s="1" t="s">
        <v>992</v>
      </c>
      <c r="D369" s="1" t="s">
        <v>992</v>
      </c>
      <c r="E369" s="1" t="s">
        <v>159</v>
      </c>
      <c r="G369" s="1">
        <v>3.481772E7</v>
      </c>
      <c r="H369" s="2">
        <v>41558.0</v>
      </c>
      <c r="I369" s="1" t="s">
        <v>993</v>
      </c>
      <c r="K369" s="1" t="s">
        <v>993</v>
      </c>
      <c r="N369" s="1" t="s">
        <v>40</v>
      </c>
      <c r="O369" s="1">
        <v>7500.0</v>
      </c>
      <c r="P369" s="1" t="s">
        <v>40</v>
      </c>
      <c r="Q369" s="1" t="str">
        <f>IF(ISERROR(VLOOKUP(P369,'unique fed agency names'!A:C,3,FALSE)),P369,VLOOKUP(P369,'unique fed agency names'!A:C,3,FALSE))
</f>
        <v>U.S. Department of Health and Human Services (DHHS)</v>
      </c>
      <c r="R369" s="1">
        <v>2.0830303E7</v>
      </c>
      <c r="S369" s="1" t="s">
        <v>424</v>
      </c>
      <c r="T369" s="1" t="str">
        <f>IF(ISERROR(VLOOKUP(S369,'unique org names'!A:C,3,FALSE)),S369,VLOOKUP(S369,'unique org names'!A:C,3,FALSE))
</f>
        <v>MATRIX HUMAN SERVICES</v>
      </c>
      <c r="U369" s="1" t="s">
        <v>425</v>
      </c>
      <c r="V369" s="1" t="s">
        <v>426</v>
      </c>
      <c r="W369" s="1" t="s">
        <v>44</v>
      </c>
      <c r="X369" s="1" t="s">
        <v>45</v>
      </c>
      <c r="Y369" s="1">
        <v>4.82012002E8</v>
      </c>
      <c r="AA369" s="1" t="s">
        <v>46</v>
      </c>
      <c r="AB369" s="1" t="s">
        <v>45</v>
      </c>
      <c r="AC369" s="1">
        <v>4.82012002E8</v>
      </c>
      <c r="AD369" s="1">
        <v>2.0830303E7</v>
      </c>
      <c r="AE369" s="1" t="s">
        <v>424</v>
      </c>
      <c r="AF369" s="1">
        <v>1171745.0</v>
      </c>
      <c r="AG369" s="2">
        <v>41558.0</v>
      </c>
      <c r="AH369" s="1">
        <v>7500.0</v>
      </c>
      <c r="AI369" s="1" t="s">
        <v>40</v>
      </c>
      <c r="AJ369" s="1">
        <v>3.81358015E8</v>
      </c>
      <c r="AK369" s="1" t="s">
        <v>998</v>
      </c>
      <c r="AL369" s="1">
        <v>10.0</v>
      </c>
      <c r="AM369" s="1">
        <v>2013.0</v>
      </c>
      <c r="AN369" s="1">
        <v>2014.0</v>
      </c>
      <c r="AO369" s="1" t="s">
        <v>997</v>
      </c>
    </row>
    <row r="370">
      <c r="A370" s="5">
        <v>1.0</v>
      </c>
      <c r="B370" s="1">
        <f t="shared" si="1"/>
        <v>370</v>
      </c>
      <c r="C370" s="1" t="s">
        <v>1076</v>
      </c>
      <c r="D370" s="1" t="s">
        <v>1076</v>
      </c>
      <c r="E370" s="1" t="s">
        <v>1077</v>
      </c>
      <c r="G370" s="1">
        <v>108182.0</v>
      </c>
      <c r="H370" s="2">
        <v>41542.0</v>
      </c>
      <c r="I370" s="1" t="s">
        <v>1078</v>
      </c>
      <c r="K370" s="1" t="s">
        <v>1078</v>
      </c>
      <c r="N370" s="1" t="s">
        <v>1079</v>
      </c>
      <c r="O370" s="1">
        <v>7000.0</v>
      </c>
      <c r="P370" s="1" t="s">
        <v>1079</v>
      </c>
      <c r="Q370" s="1" t="str">
        <f>IF(ISERROR(VLOOKUP(P370,'unique fed agency names'!A:C,3,FALSE)),P370,VLOOKUP(P370,'unique fed agency names'!A:C,3,FALSE))
</f>
        <v>U.S. Department of Homeland Security (DHS)</v>
      </c>
      <c r="R370" s="1">
        <v>7.3134884E7</v>
      </c>
      <c r="S370" s="1" t="s">
        <v>259</v>
      </c>
      <c r="T370" s="1" t="str">
        <f>IF(ISERROR(VLOOKUP(S370,'unique org names'!A:C,3,FALSE)),S370,VLOOKUP(S370,'unique org names'!A:C,3,FALSE))
</f>
        <v>Wayne County</v>
      </c>
      <c r="V370" s="1" t="s">
        <v>286</v>
      </c>
      <c r="W370" s="1" t="s">
        <v>44</v>
      </c>
      <c r="X370" s="1" t="s">
        <v>45</v>
      </c>
      <c r="Y370" s="1">
        <v>4.82262841E8</v>
      </c>
      <c r="AA370" s="1" t="s">
        <v>46</v>
      </c>
      <c r="AB370" s="1" t="s">
        <v>45</v>
      </c>
      <c r="AC370" s="1">
        <v>4.82262841E8</v>
      </c>
      <c r="AD370" s="1">
        <v>7.3134884E7</v>
      </c>
      <c r="AE370" s="1" t="s">
        <v>261</v>
      </c>
      <c r="AF370" s="1">
        <v>68182.0</v>
      </c>
      <c r="AG370" s="2">
        <v>41542.0</v>
      </c>
      <c r="AH370" s="1">
        <v>7000.0</v>
      </c>
      <c r="AI370" s="1" t="s">
        <v>1079</v>
      </c>
      <c r="AJ370" s="1" t="s">
        <v>1080</v>
      </c>
      <c r="AK370" s="1" t="s">
        <v>1080</v>
      </c>
      <c r="AL370" s="1">
        <v>10.0</v>
      </c>
      <c r="AM370" s="1">
        <v>2013.0</v>
      </c>
      <c r="AN370" s="1">
        <v>2013.0</v>
      </c>
      <c r="AO370" s="1" t="s">
        <v>1081</v>
      </c>
    </row>
    <row r="371">
      <c r="A371" s="5">
        <v>1.0</v>
      </c>
      <c r="B371" s="1">
        <f t="shared" si="1"/>
        <v>371</v>
      </c>
      <c r="C371" s="1" t="s">
        <v>992</v>
      </c>
      <c r="D371" s="1" t="s">
        <v>992</v>
      </c>
      <c r="E371" s="1" t="s">
        <v>159</v>
      </c>
      <c r="G371" s="1">
        <v>3.481772E7</v>
      </c>
      <c r="H371" s="2">
        <v>41528.0</v>
      </c>
      <c r="I371" s="1" t="s">
        <v>993</v>
      </c>
      <c r="K371" s="1" t="s">
        <v>993</v>
      </c>
      <c r="N371" s="1" t="s">
        <v>40</v>
      </c>
      <c r="O371" s="1">
        <v>7500.0</v>
      </c>
      <c r="P371" s="1" t="s">
        <v>40</v>
      </c>
      <c r="Q371" s="1" t="str">
        <f>IF(ISERROR(VLOOKUP(P371,'unique fed agency names'!A:C,3,FALSE)),P371,VLOOKUP(P371,'unique fed agency names'!A:C,3,FALSE))
</f>
        <v>U.S. Department of Health and Human Services (DHHS)</v>
      </c>
      <c r="R371" s="1">
        <v>2.1761763E7</v>
      </c>
      <c r="S371" s="1" t="s">
        <v>1046</v>
      </c>
      <c r="T371" s="1" t="str">
        <f>IF(ISERROR(VLOOKUP(S371,'unique org names'!A:C,3,FALSE)),S371,VLOOKUP(S371,'unique org names'!A:C,3,FALSE))
</f>
        <v>ADULT PSYCHIATRIC CLINIC</v>
      </c>
      <c r="U371" s="1" t="s">
        <v>1047</v>
      </c>
      <c r="V371" s="1" t="s">
        <v>1048</v>
      </c>
      <c r="W371" s="1" t="s">
        <v>44</v>
      </c>
      <c r="X371" s="1" t="s">
        <v>45</v>
      </c>
      <c r="Y371" s="1">
        <v>4.82121112E8</v>
      </c>
      <c r="AA371" s="1" t="s">
        <v>46</v>
      </c>
      <c r="AB371" s="1" t="s">
        <v>45</v>
      </c>
      <c r="AC371" s="1">
        <v>4.82121112E8</v>
      </c>
      <c r="AF371" s="1">
        <v>34303.0</v>
      </c>
      <c r="AG371" s="2">
        <v>41528.0</v>
      </c>
      <c r="AH371" s="1">
        <v>7500.0</v>
      </c>
      <c r="AI371" s="1" t="s">
        <v>40</v>
      </c>
      <c r="AJ371" s="1">
        <v>3.8171546E8</v>
      </c>
      <c r="AK371" s="1" t="s">
        <v>1049</v>
      </c>
      <c r="AL371" s="1">
        <v>10.0</v>
      </c>
      <c r="AM371" s="1">
        <v>2013.0</v>
      </c>
      <c r="AN371" s="1">
        <v>2013.0</v>
      </c>
      <c r="AO371" s="1" t="s">
        <v>997</v>
      </c>
    </row>
    <row r="372">
      <c r="A372" s="5">
        <v>1.0</v>
      </c>
      <c r="B372" s="1">
        <f t="shared" si="1"/>
        <v>372</v>
      </c>
      <c r="C372" s="1" t="s">
        <v>992</v>
      </c>
      <c r="D372" s="1" t="s">
        <v>992</v>
      </c>
      <c r="E372" s="1" t="s">
        <v>159</v>
      </c>
      <c r="G372" s="1">
        <v>3.481772E7</v>
      </c>
      <c r="H372" s="2">
        <v>41518.0</v>
      </c>
      <c r="I372" s="1" t="s">
        <v>993</v>
      </c>
      <c r="K372" s="1" t="s">
        <v>993</v>
      </c>
      <c r="N372" s="1" t="s">
        <v>40</v>
      </c>
      <c r="O372" s="1">
        <v>7500.0</v>
      </c>
      <c r="P372" s="1" t="s">
        <v>40</v>
      </c>
      <c r="Q372" s="1" t="str">
        <f>IF(ISERROR(VLOOKUP(P372,'unique fed agency names'!A:C,3,FALSE)),P372,VLOOKUP(P372,'unique fed agency names'!A:C,3,FALSE))
</f>
        <v>U.S. Department of Health and Human Services (DHHS)</v>
      </c>
      <c r="R372" s="1">
        <v>3.8775243E7</v>
      </c>
      <c r="S372" s="1" t="s">
        <v>209</v>
      </c>
      <c r="T372" s="1" t="str">
        <f>IF(ISERROR(VLOOKUP(S372,'unique org names'!A:C,3,FALSE)),S372,VLOOKUP(S372,'unique org names'!A:C,3,FALSE))
</f>
        <v>SOUTHEASTERN MICHIGAN HEALTH ASSOCIATION</v>
      </c>
      <c r="U372" s="1" t="s">
        <v>210</v>
      </c>
      <c r="V372" s="1" t="s">
        <v>211</v>
      </c>
      <c r="W372" s="1" t="s">
        <v>44</v>
      </c>
      <c r="X372" s="1" t="s">
        <v>45</v>
      </c>
      <c r="Y372" s="1">
        <v>4.82023068E8</v>
      </c>
      <c r="AA372" s="1" t="s">
        <v>46</v>
      </c>
      <c r="AB372" s="1" t="s">
        <v>45</v>
      </c>
      <c r="AC372" s="1">
        <v>4.82023449E8</v>
      </c>
      <c r="AD372" s="1">
        <v>3.8775243E7</v>
      </c>
      <c r="AE372" s="1" t="s">
        <v>209</v>
      </c>
      <c r="AF372" s="1">
        <v>1273271.0</v>
      </c>
      <c r="AG372" s="2">
        <v>41518.0</v>
      </c>
      <c r="AH372" s="1">
        <v>7500.0</v>
      </c>
      <c r="AI372" s="1" t="s">
        <v>40</v>
      </c>
      <c r="AJ372" s="1">
        <v>1120190.0</v>
      </c>
      <c r="AK372" s="1" t="s">
        <v>1062</v>
      </c>
      <c r="AL372" s="1">
        <v>10.0</v>
      </c>
      <c r="AM372" s="1">
        <v>2013.0</v>
      </c>
      <c r="AN372" s="1">
        <v>2013.0</v>
      </c>
      <c r="AO372" s="1" t="s">
        <v>997</v>
      </c>
    </row>
    <row r="373">
      <c r="A373" s="5">
        <v>1.0</v>
      </c>
      <c r="B373" s="1">
        <f t="shared" si="1"/>
        <v>373</v>
      </c>
      <c r="C373" s="1" t="s">
        <v>1082</v>
      </c>
      <c r="D373" s="1" t="s">
        <v>1082</v>
      </c>
      <c r="E373" s="1" t="s">
        <v>70</v>
      </c>
      <c r="G373" s="1">
        <v>6550517.0</v>
      </c>
      <c r="H373" s="2">
        <v>41548.0</v>
      </c>
      <c r="I373" s="1" t="s">
        <v>1083</v>
      </c>
      <c r="K373" s="1" t="s">
        <v>1083</v>
      </c>
      <c r="N373" s="1" t="s">
        <v>72</v>
      </c>
      <c r="O373" s="1">
        <v>1500.0</v>
      </c>
      <c r="P373" s="1" t="s">
        <v>72</v>
      </c>
      <c r="Q373" s="1" t="str">
        <f>IF(ISERROR(VLOOKUP(P373,'unique fed agency names'!A:C,3,FALSE)),P373,VLOOKUP(P373,'unique fed agency names'!A:C,3,FALSE))
</f>
        <v>U.S. Department of Justice (DOJ)</v>
      </c>
      <c r="R373" s="1">
        <v>8.08939396E8</v>
      </c>
      <c r="S373" s="1" t="s">
        <v>1084</v>
      </c>
      <c r="T373" s="1" t="str">
        <f>IF(ISERROR(VLOOKUP(S373,'unique org names'!A:C,3,FALSE)),S373,VLOOKUP(S373,'unique org names'!A:C,3,FALSE))
</f>
        <v>JUDICIARY COURTS OF THE STATE OF MICHIGAN</v>
      </c>
      <c r="U373" s="1" t="s">
        <v>1085</v>
      </c>
      <c r="V373" s="1" t="s">
        <v>1086</v>
      </c>
      <c r="W373" s="1" t="s">
        <v>44</v>
      </c>
      <c r="X373" s="1" t="s">
        <v>45</v>
      </c>
      <c r="Y373" s="1">
        <v>4.82264215E8</v>
      </c>
      <c r="AA373" s="1" t="s">
        <v>1087</v>
      </c>
      <c r="AB373" s="1" t="s">
        <v>45</v>
      </c>
      <c r="AC373" s="1">
        <v>4.89151741E8</v>
      </c>
      <c r="AD373" s="1">
        <v>5.4698428E7</v>
      </c>
      <c r="AF373" s="1">
        <v>110051.0</v>
      </c>
      <c r="AG373" s="2">
        <v>41548.0</v>
      </c>
      <c r="AH373" s="1">
        <v>1500.0</v>
      </c>
      <c r="AI373" s="1" t="s">
        <v>72</v>
      </c>
      <c r="AJ373" s="1" t="s">
        <v>1088</v>
      </c>
      <c r="AK373" s="1" t="s">
        <v>1089</v>
      </c>
      <c r="AL373" s="1">
        <v>10.0</v>
      </c>
      <c r="AM373" s="1">
        <v>2013.0</v>
      </c>
      <c r="AN373" s="1">
        <v>2014.0</v>
      </c>
      <c r="AO373" s="1" t="s">
        <v>79</v>
      </c>
    </row>
    <row r="374">
      <c r="A374" s="5">
        <v>1.0</v>
      </c>
      <c r="B374" s="1">
        <f t="shared" si="1"/>
        <v>374</v>
      </c>
      <c r="C374" s="1" t="s">
        <v>992</v>
      </c>
      <c r="D374" s="1" t="s">
        <v>992</v>
      </c>
      <c r="E374" s="1" t="s">
        <v>159</v>
      </c>
      <c r="G374" s="1">
        <v>3.481772E7</v>
      </c>
      <c r="H374" s="2">
        <v>41558.0</v>
      </c>
      <c r="I374" s="1" t="s">
        <v>993</v>
      </c>
      <c r="K374" s="1" t="s">
        <v>993</v>
      </c>
      <c r="N374" s="1" t="s">
        <v>40</v>
      </c>
      <c r="O374" s="1">
        <v>7500.0</v>
      </c>
      <c r="P374" s="1" t="s">
        <v>40</v>
      </c>
      <c r="Q374" s="1" t="str">
        <f>IF(ISERROR(VLOOKUP(P374,'unique fed agency names'!A:C,3,FALSE)),P374,VLOOKUP(P374,'unique fed agency names'!A:C,3,FALSE))
</f>
        <v>U.S. Department of Health and Human Services (DHHS)</v>
      </c>
      <c r="R374" s="1">
        <v>8.48764171E8</v>
      </c>
      <c r="S374" s="1" t="s">
        <v>1050</v>
      </c>
      <c r="T374" s="1" t="str">
        <f>IF(ISERROR(VLOOKUP(S374,'unique org names'!A:C,3,FALSE)),S374,VLOOKUP(S374,'unique org names'!A:C,3,FALSE))
</f>
        <v>AIDS Partnership Michigan, Inc</v>
      </c>
      <c r="U374" s="1" t="s">
        <v>1051</v>
      </c>
      <c r="V374" s="1" t="s">
        <v>1052</v>
      </c>
      <c r="W374" s="1" t="s">
        <v>44</v>
      </c>
      <c r="X374" s="1" t="s">
        <v>45</v>
      </c>
      <c r="Y374" s="1">
        <v>4.820741E8</v>
      </c>
      <c r="AA374" s="1" t="s">
        <v>46</v>
      </c>
      <c r="AB374" s="1" t="s">
        <v>45</v>
      </c>
      <c r="AC374" s="1">
        <v>4.820741E8</v>
      </c>
      <c r="AF374" s="1">
        <v>818868.0</v>
      </c>
      <c r="AG374" s="2">
        <v>41558.0</v>
      </c>
      <c r="AH374" s="1">
        <v>7500.0</v>
      </c>
      <c r="AI374" s="1" t="s">
        <v>40</v>
      </c>
      <c r="AJ374" s="1">
        <v>3.82464851E8</v>
      </c>
      <c r="AK374" s="1" t="s">
        <v>1053</v>
      </c>
      <c r="AL374" s="1">
        <v>10.0</v>
      </c>
      <c r="AM374" s="1">
        <v>2013.0</v>
      </c>
      <c r="AN374" s="1">
        <v>2014.0</v>
      </c>
      <c r="AO374" s="1" t="s">
        <v>997</v>
      </c>
    </row>
    <row r="375">
      <c r="A375" s="5">
        <v>1.0</v>
      </c>
      <c r="B375" s="1">
        <f t="shared" si="1"/>
        <v>375</v>
      </c>
      <c r="C375" s="1" t="s">
        <v>992</v>
      </c>
      <c r="D375" s="1" t="s">
        <v>992</v>
      </c>
      <c r="E375" s="1" t="s">
        <v>159</v>
      </c>
      <c r="G375" s="1">
        <v>3.481772E7</v>
      </c>
      <c r="H375" s="2">
        <v>41558.0</v>
      </c>
      <c r="I375" s="1" t="s">
        <v>993</v>
      </c>
      <c r="K375" s="1" t="s">
        <v>993</v>
      </c>
      <c r="N375" s="1" t="s">
        <v>40</v>
      </c>
      <c r="O375" s="1">
        <v>7500.0</v>
      </c>
      <c r="P375" s="1" t="s">
        <v>40</v>
      </c>
      <c r="Q375" s="1" t="str">
        <f>IF(ISERROR(VLOOKUP(P375,'unique fed agency names'!A:C,3,FALSE)),P375,VLOOKUP(P375,'unique fed agency names'!A:C,3,FALSE))
</f>
        <v>U.S. Department of Health and Human Services (DHHS)</v>
      </c>
      <c r="R375" s="1">
        <v>9.29292464E8</v>
      </c>
      <c r="S375" s="1" t="s">
        <v>1043</v>
      </c>
      <c r="T375" s="1" t="str">
        <f>IF(ISERROR(VLOOKUP(S375,'unique org names'!A:C,3,FALSE)),S375,VLOOKUP(S375,'unique org names'!A:C,3,FALSE))
</f>
        <v>HEALTH EMERGENCY LIFELINE PROGRAM</v>
      </c>
      <c r="V375" s="1" t="s">
        <v>1044</v>
      </c>
      <c r="W375" s="1" t="s">
        <v>44</v>
      </c>
      <c r="X375" s="1" t="s">
        <v>45</v>
      </c>
      <c r="Y375" s="1">
        <v>4.82161921E8</v>
      </c>
      <c r="AA375" s="1" t="s">
        <v>46</v>
      </c>
      <c r="AB375" s="1" t="s">
        <v>45</v>
      </c>
      <c r="AC375" s="1">
        <v>4.82161921E8</v>
      </c>
      <c r="AF375" s="1">
        <v>1093491.0</v>
      </c>
      <c r="AG375" s="2">
        <v>41558.0</v>
      </c>
      <c r="AH375" s="1">
        <v>7500.0</v>
      </c>
      <c r="AI375" s="1" t="s">
        <v>40</v>
      </c>
      <c r="AJ375" s="1">
        <v>3.827119621E9</v>
      </c>
      <c r="AK375" s="1" t="s">
        <v>1045</v>
      </c>
      <c r="AL375" s="1">
        <v>10.0</v>
      </c>
      <c r="AM375" s="1">
        <v>2013.0</v>
      </c>
      <c r="AN375" s="1">
        <v>2014.0</v>
      </c>
      <c r="AO375" s="1" t="s">
        <v>997</v>
      </c>
    </row>
    <row r="376">
      <c r="A376" s="5">
        <v>1.0</v>
      </c>
      <c r="B376" s="1">
        <f t="shared" si="1"/>
        <v>376</v>
      </c>
      <c r="C376" s="1" t="s">
        <v>992</v>
      </c>
      <c r="D376" s="1" t="s">
        <v>992</v>
      </c>
      <c r="E376" s="1" t="s">
        <v>159</v>
      </c>
      <c r="G376" s="1">
        <v>3.481772E7</v>
      </c>
      <c r="H376" s="2">
        <v>41528.0</v>
      </c>
      <c r="I376" s="1" t="s">
        <v>993</v>
      </c>
      <c r="K376" s="1" t="s">
        <v>993</v>
      </c>
      <c r="N376" s="1" t="s">
        <v>40</v>
      </c>
      <c r="O376" s="1">
        <v>7500.0</v>
      </c>
      <c r="P376" s="1" t="s">
        <v>40</v>
      </c>
      <c r="Q376" s="1" t="str">
        <f>IF(ISERROR(VLOOKUP(P376,'unique fed agency names'!A:C,3,FALSE)),P376,VLOOKUP(P376,'unique fed agency names'!A:C,3,FALSE))
</f>
        <v>U.S. Department of Health and Human Services (DHHS)</v>
      </c>
      <c r="R376" s="1">
        <v>1.42793053E8</v>
      </c>
      <c r="S376" s="1" t="s">
        <v>994</v>
      </c>
      <c r="T376" s="1" t="str">
        <f>IF(ISERROR(VLOOKUP(S376,'unique org names'!A:C,3,FALSE)),S376,VLOOKUP(S376,'unique org names'!A:C,3,FALSE))
</f>
        <v>CARE FIRST COMMUNITY HEALTH SERVICES</v>
      </c>
      <c r="V376" s="1" t="s">
        <v>995</v>
      </c>
      <c r="W376" s="1" t="s">
        <v>44</v>
      </c>
      <c r="X376" s="1" t="s">
        <v>45</v>
      </c>
      <c r="Y376" s="1">
        <v>4.82282721E8</v>
      </c>
      <c r="AA376" s="1" t="s">
        <v>46</v>
      </c>
      <c r="AB376" s="1" t="s">
        <v>45</v>
      </c>
      <c r="AC376" s="1">
        <v>4.82282721E8</v>
      </c>
      <c r="AF376" s="1">
        <v>51598.0</v>
      </c>
      <c r="AG376" s="2">
        <v>41528.0</v>
      </c>
      <c r="AH376" s="1">
        <v>7500.0</v>
      </c>
      <c r="AI376" s="1" t="s">
        <v>40</v>
      </c>
      <c r="AJ376" s="1">
        <v>2.0606865E7</v>
      </c>
      <c r="AK376" s="1" t="s">
        <v>996</v>
      </c>
      <c r="AL376" s="1">
        <v>10.0</v>
      </c>
      <c r="AM376" s="1">
        <v>2013.0</v>
      </c>
      <c r="AN376" s="1">
        <v>2013.0</v>
      </c>
      <c r="AO376" s="1" t="s">
        <v>997</v>
      </c>
    </row>
    <row r="377">
      <c r="A377" s="5">
        <v>1.0</v>
      </c>
      <c r="B377" s="1">
        <f t="shared" si="1"/>
        <v>377</v>
      </c>
      <c r="C377" s="1" t="s">
        <v>1090</v>
      </c>
      <c r="D377" s="1" t="s">
        <v>1090</v>
      </c>
      <c r="E377" s="1" t="s">
        <v>431</v>
      </c>
      <c r="G377" s="1">
        <v>2052597.0</v>
      </c>
      <c r="H377" s="2">
        <v>41521.0</v>
      </c>
      <c r="I377" s="1" t="s">
        <v>1091</v>
      </c>
      <c r="K377" s="1" t="s">
        <v>1091</v>
      </c>
      <c r="N377" s="1" t="s">
        <v>431</v>
      </c>
      <c r="O377" s="1">
        <v>9700.0</v>
      </c>
      <c r="P377" s="1" t="s">
        <v>431</v>
      </c>
      <c r="Q377" s="1" t="str">
        <f>IF(ISERROR(VLOOKUP(P377,'unique fed agency names'!A:C,3,FALSE)),P377,VLOOKUP(P377,'unique fed agency names'!A:C,3,FALSE))
</f>
        <v>U.S. Department of Defense (DOD)</v>
      </c>
      <c r="R377" s="1">
        <v>1962224.0</v>
      </c>
      <c r="S377" s="1" t="s">
        <v>52</v>
      </c>
      <c r="T377" s="1" t="str">
        <f>IF(ISERROR(VLOOKUP(S377,'unique org names'!A:C,3,FALSE)),S377,VLOOKUP(S377,'unique org names'!A:C,3,FALSE))
</f>
        <v>WAYNE STATE UNIVERSITY</v>
      </c>
      <c r="V377" s="1" t="s">
        <v>53</v>
      </c>
      <c r="W377" s="1" t="s">
        <v>44</v>
      </c>
      <c r="X377" s="1" t="s">
        <v>45</v>
      </c>
      <c r="Y377" s="1">
        <v>4.82023692E8</v>
      </c>
      <c r="AA377" s="1" t="s">
        <v>44</v>
      </c>
      <c r="AB377" s="1" t="s">
        <v>45</v>
      </c>
      <c r="AC377" s="1">
        <v>4.82023692E8</v>
      </c>
      <c r="AD377" s="1">
        <v>1962224.0</v>
      </c>
      <c r="AE377" s="1" t="s">
        <v>52</v>
      </c>
      <c r="AF377" s="1">
        <v>39983.0</v>
      </c>
      <c r="AG377" s="2">
        <v>41521.0</v>
      </c>
      <c r="AH377" s="1">
        <v>9700.0</v>
      </c>
      <c r="AI377" s="1" t="s">
        <v>431</v>
      </c>
      <c r="AJ377" s="1" t="s">
        <v>1092</v>
      </c>
      <c r="AK377" s="1" t="s">
        <v>1093</v>
      </c>
      <c r="AL377" s="1">
        <v>10.0</v>
      </c>
      <c r="AM377" s="1">
        <v>2013.0</v>
      </c>
      <c r="AN377" s="1">
        <v>2013.0</v>
      </c>
      <c r="AO377" s="1" t="s">
        <v>1094</v>
      </c>
    </row>
    <row r="378">
      <c r="A378" s="5">
        <v>1.0</v>
      </c>
      <c r="B378" s="1">
        <f t="shared" si="1"/>
        <v>378</v>
      </c>
      <c r="C378" s="1" t="s">
        <v>187</v>
      </c>
      <c r="D378" s="1" t="s">
        <v>187</v>
      </c>
      <c r="E378" s="1" t="s">
        <v>188</v>
      </c>
      <c r="G378" s="1">
        <v>2.2770804E7</v>
      </c>
      <c r="H378" s="2">
        <v>41547.0</v>
      </c>
      <c r="I378" s="1" t="s">
        <v>189</v>
      </c>
      <c r="K378" s="1" t="s">
        <v>189</v>
      </c>
      <c r="N378" s="1" t="s">
        <v>188</v>
      </c>
      <c r="O378" s="1">
        <v>1900.0</v>
      </c>
      <c r="P378" s="1" t="s">
        <v>188</v>
      </c>
      <c r="Q378" s="1" t="str">
        <f>IF(ISERROR(VLOOKUP(P378,'unique fed agency names'!A:C,3,FALSE)),P378,VLOOKUP(P378,'unique fed agency names'!A:C,3,FALSE))
</f>
        <v>U.S. Department of State</v>
      </c>
      <c r="R378" s="1">
        <v>6.9840817E7</v>
      </c>
      <c r="S378" s="1" t="s">
        <v>131</v>
      </c>
      <c r="T378" s="1" t="str">
        <f>IF(ISERROR(VLOOKUP(S378,'unique org names'!A:C,3,FALSE)),S378,VLOOKUP(S378,'unique org names'!A:C,3,FALSE))
</f>
        <v>LUTHERAN SOCIAL SERVICES OF MICHIGAN</v>
      </c>
      <c r="V378" s="1" t="s">
        <v>132</v>
      </c>
      <c r="W378" s="1" t="s">
        <v>44</v>
      </c>
      <c r="X378" s="1" t="s">
        <v>45</v>
      </c>
      <c r="Y378" s="1">
        <v>4.8214261E8</v>
      </c>
      <c r="AA378" s="1" t="s">
        <v>46</v>
      </c>
      <c r="AB378" s="1" t="s">
        <v>45</v>
      </c>
      <c r="AC378" s="1">
        <v>4.8214261E8</v>
      </c>
      <c r="AD378" s="1">
        <v>6.9840817E7</v>
      </c>
      <c r="AE378" s="1" t="s">
        <v>131</v>
      </c>
      <c r="AF378" s="1">
        <v>744375.0</v>
      </c>
      <c r="AG378" s="2">
        <v>41547.0</v>
      </c>
      <c r="AH378" s="1">
        <v>1900.0</v>
      </c>
      <c r="AI378" s="1" t="s">
        <v>188</v>
      </c>
      <c r="AJ378" s="1" t="s">
        <v>1095</v>
      </c>
      <c r="AK378" s="1" t="s">
        <v>191</v>
      </c>
      <c r="AL378" s="1">
        <v>9.0</v>
      </c>
      <c r="AM378" s="1">
        <v>2013.0</v>
      </c>
      <c r="AN378" s="1">
        <v>2013.0</v>
      </c>
      <c r="AO378" s="1" t="s">
        <v>192</v>
      </c>
    </row>
    <row r="379">
      <c r="A379" s="5">
        <v>1.0</v>
      </c>
      <c r="B379" s="1">
        <f t="shared" si="1"/>
        <v>379</v>
      </c>
      <c r="C379" s="1" t="s">
        <v>1096</v>
      </c>
      <c r="D379" s="1" t="s">
        <v>1096</v>
      </c>
      <c r="E379" s="1" t="s">
        <v>85</v>
      </c>
      <c r="G379" s="1">
        <v>1.3557223E7</v>
      </c>
      <c r="H379" s="2">
        <v>41183.0</v>
      </c>
      <c r="I379" s="1" t="s">
        <v>1097</v>
      </c>
      <c r="K379" s="1" t="s">
        <v>1097</v>
      </c>
      <c r="N379" s="1" t="s">
        <v>40</v>
      </c>
      <c r="O379" s="1">
        <v>7500.0</v>
      </c>
      <c r="P379" s="1" t="s">
        <v>40</v>
      </c>
      <c r="Q379" s="1" t="str">
        <f>IF(ISERROR(VLOOKUP(P379,'unique fed agency names'!A:C,3,FALSE)),P379,VLOOKUP(P379,'unique fed agency names'!A:C,3,FALSE))
</f>
        <v>U.S. Department of Health and Human Services (DHHS)</v>
      </c>
      <c r="R379" s="1">
        <v>3.8775243E7</v>
      </c>
      <c r="S379" s="1" t="s">
        <v>209</v>
      </c>
      <c r="T379" s="1" t="str">
        <f>IF(ISERROR(VLOOKUP(S379,'unique org names'!A:C,3,FALSE)),S379,VLOOKUP(S379,'unique org names'!A:C,3,FALSE))
</f>
        <v>SOUTHEASTERN MICHIGAN HEALTH ASSOCIATION</v>
      </c>
      <c r="U379" s="1" t="s">
        <v>210</v>
      </c>
      <c r="V379" s="1" t="s">
        <v>211</v>
      </c>
      <c r="W379" s="1" t="s">
        <v>44</v>
      </c>
      <c r="X379" s="1" t="s">
        <v>45</v>
      </c>
      <c r="Y379" s="1">
        <v>4.82023068E8</v>
      </c>
      <c r="AA379" s="1" t="s">
        <v>46</v>
      </c>
      <c r="AB379" s="1" t="s">
        <v>45</v>
      </c>
      <c r="AC379" s="1">
        <v>4.82023068E8</v>
      </c>
      <c r="AD379" s="1">
        <v>3.8775243E7</v>
      </c>
      <c r="AE379" s="1" t="s">
        <v>209</v>
      </c>
      <c r="AF379" s="1">
        <v>124537.73</v>
      </c>
      <c r="AG379" s="2">
        <v>41183.0</v>
      </c>
      <c r="AH379" s="1">
        <v>7500.0</v>
      </c>
      <c r="AI379" s="1" t="s">
        <v>40</v>
      </c>
      <c r="AJ379" s="1">
        <v>2.0131084E7</v>
      </c>
      <c r="AK379" s="1" t="s">
        <v>1098</v>
      </c>
      <c r="AL379" s="1">
        <v>10.0</v>
      </c>
      <c r="AM379" s="1">
        <v>2011.0</v>
      </c>
      <c r="AN379" s="1">
        <v>2013.0</v>
      </c>
      <c r="AO379" s="1" t="s">
        <v>1099</v>
      </c>
    </row>
    <row r="380">
      <c r="A380" s="5">
        <v>1.0</v>
      </c>
      <c r="B380" s="1">
        <f t="shared" si="1"/>
        <v>380</v>
      </c>
      <c r="C380" s="1" t="s">
        <v>1100</v>
      </c>
      <c r="D380" s="1" t="s">
        <v>1100</v>
      </c>
      <c r="E380" s="1" t="s">
        <v>100</v>
      </c>
      <c r="G380" s="1">
        <v>1.5204729E7</v>
      </c>
      <c r="H380" s="2">
        <v>41542.0</v>
      </c>
      <c r="I380" s="1" t="s">
        <v>122</v>
      </c>
      <c r="K380" s="1" t="s">
        <v>122</v>
      </c>
      <c r="N380" s="1" t="s">
        <v>102</v>
      </c>
      <c r="O380" s="1">
        <v>8600.0</v>
      </c>
      <c r="P380" s="1" t="s">
        <v>102</v>
      </c>
      <c r="Q380" s="1" t="str">
        <f>IF(ISERROR(VLOOKUP(P380,'unique fed agency names'!A:C,3,FALSE)),P380,VLOOKUP(P380,'unique fed agency names'!A:C,3,FALSE))
</f>
        <v>U.S. Department of Housing and Urban Development (HUD)</v>
      </c>
      <c r="R380" s="1">
        <v>9.64523815E8</v>
      </c>
      <c r="S380" s="1" t="s">
        <v>123</v>
      </c>
      <c r="T380" s="1" t="str">
        <f>IF(ISERROR(VLOOKUP(S380,'unique org names'!A:C,3,FALSE)),S380,VLOOKUP(S380,'unique org names'!A:C,3,FALSE))
</f>
        <v>GRANDMONT ROSEDALE DEVELOPMENT CORPORATION</v>
      </c>
      <c r="U380" s="1" t="s">
        <v>124</v>
      </c>
      <c r="V380" s="1" t="s">
        <v>125</v>
      </c>
      <c r="W380" s="1" t="s">
        <v>44</v>
      </c>
      <c r="X380" s="1" t="s">
        <v>45</v>
      </c>
      <c r="Y380" s="1">
        <v>4.82231227E8</v>
      </c>
      <c r="AA380" s="1" t="s">
        <v>46</v>
      </c>
      <c r="AB380" s="1" t="s">
        <v>45</v>
      </c>
      <c r="AC380" s="1">
        <v>4.82231227E8</v>
      </c>
      <c r="AF380" s="1">
        <v>133500.0</v>
      </c>
      <c r="AG380" s="2">
        <v>41542.0</v>
      </c>
      <c r="AH380" s="1">
        <v>8600.0</v>
      </c>
      <c r="AI380" s="1" t="s">
        <v>102</v>
      </c>
      <c r="AJ380" s="1" t="s">
        <v>1101</v>
      </c>
      <c r="AK380" s="1" t="s">
        <v>1102</v>
      </c>
      <c r="AL380" s="1">
        <v>9.0</v>
      </c>
      <c r="AM380" s="1">
        <v>2013.0</v>
      </c>
      <c r="AN380" s="1">
        <v>2013.0</v>
      </c>
      <c r="AO380" s="1" t="s">
        <v>127</v>
      </c>
    </row>
    <row r="381">
      <c r="A381" s="5">
        <v>1.0</v>
      </c>
      <c r="B381" s="1">
        <f t="shared" si="1"/>
        <v>381</v>
      </c>
      <c r="C381" s="1" t="s">
        <v>1103</v>
      </c>
      <c r="D381" s="1" t="s">
        <v>1103</v>
      </c>
      <c r="E381" s="1">
        <v>7545.0</v>
      </c>
      <c r="G381" s="1">
        <v>6758859.0</v>
      </c>
      <c r="H381" s="2">
        <v>41183.0</v>
      </c>
      <c r="I381" s="1" t="s">
        <v>1104</v>
      </c>
      <c r="K381" s="1" t="s">
        <v>1104</v>
      </c>
      <c r="N381" s="1" t="s">
        <v>40</v>
      </c>
      <c r="O381" s="1">
        <v>7500.0</v>
      </c>
      <c r="P381" s="1" t="s">
        <v>40</v>
      </c>
      <c r="Q381" s="1" t="str">
        <f>IF(ISERROR(VLOOKUP(P381,'unique fed agency names'!A:C,3,FALSE)),P381,VLOOKUP(P381,'unique fed agency names'!A:C,3,FALSE))
</f>
        <v>U.S. Department of Health and Human Services (DHHS)</v>
      </c>
      <c r="R381" s="1">
        <v>4.6842605E7</v>
      </c>
      <c r="S381" s="1" t="s">
        <v>165</v>
      </c>
      <c r="T381" s="1" t="str">
        <f>IF(ISERROR(VLOOKUP(S381,'unique org names'!A:C,3,FALSE)),S381,VLOOKUP(S381,'unique org names'!A:C,3,FALSE))
</f>
        <v>DETROIT AREA AGENCY ON AGING</v>
      </c>
      <c r="U381" s="1" t="s">
        <v>166</v>
      </c>
      <c r="V381" s="1" t="s">
        <v>167</v>
      </c>
      <c r="W381" s="1" t="s">
        <v>44</v>
      </c>
      <c r="X381" s="1" t="s">
        <v>45</v>
      </c>
      <c r="Y381" s="1">
        <v>4.82074544E8</v>
      </c>
      <c r="AA381" s="1" t="s">
        <v>46</v>
      </c>
      <c r="AB381" s="1" t="s">
        <v>45</v>
      </c>
      <c r="AC381" s="1">
        <v>4.82074544E8</v>
      </c>
      <c r="AF381" s="1">
        <v>596807.0</v>
      </c>
      <c r="AG381" s="2">
        <v>41183.0</v>
      </c>
      <c r="AH381" s="1">
        <v>7500.0</v>
      </c>
      <c r="AI381" s="1" t="s">
        <v>40</v>
      </c>
      <c r="AJ381" s="1">
        <v>2.0131585E7</v>
      </c>
      <c r="AK381" s="1" t="s">
        <v>1105</v>
      </c>
      <c r="AL381" s="1">
        <v>10.0</v>
      </c>
      <c r="AM381" s="1">
        <v>2012.0</v>
      </c>
      <c r="AN381" s="1">
        <v>2013.0</v>
      </c>
      <c r="AO381" s="1" t="s">
        <v>1106</v>
      </c>
    </row>
    <row r="382">
      <c r="A382" s="5">
        <v>1.0</v>
      </c>
      <c r="B382" s="1">
        <f t="shared" si="1"/>
        <v>382</v>
      </c>
      <c r="C382" s="1" t="s">
        <v>1107</v>
      </c>
      <c r="D382" s="1" t="s">
        <v>1107</v>
      </c>
      <c r="E382" s="1">
        <v>7545.0</v>
      </c>
      <c r="G382" s="1">
        <v>3.5955108E7</v>
      </c>
      <c r="H382" s="2">
        <v>41183.0</v>
      </c>
      <c r="I382" s="1" t="s">
        <v>1108</v>
      </c>
      <c r="K382" s="1" t="s">
        <v>1108</v>
      </c>
      <c r="N382" s="1" t="s">
        <v>40</v>
      </c>
      <c r="O382" s="1">
        <v>7500.0</v>
      </c>
      <c r="P382" s="1" t="s">
        <v>40</v>
      </c>
      <c r="Q382" s="1" t="str">
        <f>IF(ISERROR(VLOOKUP(P382,'unique fed agency names'!A:C,3,FALSE)),P382,VLOOKUP(P382,'unique fed agency names'!A:C,3,FALSE))
</f>
        <v>U.S. Department of Health and Human Services (DHHS)</v>
      </c>
      <c r="R382" s="1">
        <v>4.6842605E7</v>
      </c>
      <c r="S382" s="1" t="s">
        <v>165</v>
      </c>
      <c r="T382" s="1" t="str">
        <f>IF(ISERROR(VLOOKUP(S382,'unique org names'!A:C,3,FALSE)),S382,VLOOKUP(S382,'unique org names'!A:C,3,FALSE))
</f>
        <v>DETROIT AREA AGENCY ON AGING</v>
      </c>
      <c r="U382" s="1" t="s">
        <v>166</v>
      </c>
      <c r="V382" s="1" t="s">
        <v>167</v>
      </c>
      <c r="W382" s="1" t="s">
        <v>44</v>
      </c>
      <c r="X382" s="1" t="s">
        <v>45</v>
      </c>
      <c r="Y382" s="1">
        <v>4.82074544E8</v>
      </c>
      <c r="AA382" s="1" t="s">
        <v>46</v>
      </c>
      <c r="AB382" s="1" t="s">
        <v>45</v>
      </c>
      <c r="AC382" s="1">
        <v>4.82074544E8</v>
      </c>
      <c r="AF382" s="1">
        <v>3936008.0</v>
      </c>
      <c r="AG382" s="2">
        <v>41183.0</v>
      </c>
      <c r="AH382" s="1">
        <v>7500.0</v>
      </c>
      <c r="AI382" s="1" t="s">
        <v>40</v>
      </c>
      <c r="AJ382" s="1">
        <v>2.0131585E7</v>
      </c>
      <c r="AK382" s="1" t="s">
        <v>392</v>
      </c>
      <c r="AL382" s="1">
        <v>10.0</v>
      </c>
      <c r="AM382" s="1">
        <v>2012.0</v>
      </c>
      <c r="AN382" s="1">
        <v>2013.0</v>
      </c>
      <c r="AO382" s="1" t="s">
        <v>1109</v>
      </c>
    </row>
    <row r="383">
      <c r="A383" s="5">
        <v>1.0</v>
      </c>
      <c r="B383" s="1">
        <f t="shared" si="1"/>
        <v>383</v>
      </c>
      <c r="C383" s="1" t="s">
        <v>1096</v>
      </c>
      <c r="D383" s="1" t="s">
        <v>1096</v>
      </c>
      <c r="E383" s="1" t="s">
        <v>85</v>
      </c>
      <c r="G383" s="1">
        <v>1.3557223E7</v>
      </c>
      <c r="H383" s="2">
        <v>41183.0</v>
      </c>
      <c r="I383" s="1" t="s">
        <v>1097</v>
      </c>
      <c r="K383" s="1" t="s">
        <v>1097</v>
      </c>
      <c r="N383" s="1" t="s">
        <v>40</v>
      </c>
      <c r="O383" s="1">
        <v>7500.0</v>
      </c>
      <c r="P383" s="1" t="s">
        <v>40</v>
      </c>
      <c r="Q383" s="1" t="str">
        <f>IF(ISERROR(VLOOKUP(P383,'unique fed agency names'!A:C,3,FALSE)),P383,VLOOKUP(P383,'unique fed agency names'!A:C,3,FALSE))
</f>
        <v>U.S. Department of Health and Human Services (DHHS)</v>
      </c>
      <c r="R383" s="1">
        <v>7.3134884E7</v>
      </c>
      <c r="S383" s="1" t="s">
        <v>259</v>
      </c>
      <c r="T383" s="1" t="str">
        <f>IF(ISERROR(VLOOKUP(S383,'unique org names'!A:C,3,FALSE)),S383,VLOOKUP(S383,'unique org names'!A:C,3,FALSE))
</f>
        <v>Wayne County</v>
      </c>
      <c r="V383" s="1" t="s">
        <v>286</v>
      </c>
      <c r="W383" s="1" t="s">
        <v>44</v>
      </c>
      <c r="X383" s="1" t="s">
        <v>45</v>
      </c>
      <c r="Y383" s="1">
        <v>4.82262841E8</v>
      </c>
      <c r="AA383" s="1" t="s">
        <v>46</v>
      </c>
      <c r="AB383" s="1" t="s">
        <v>45</v>
      </c>
      <c r="AC383" s="1">
        <v>4.8226348E8</v>
      </c>
      <c r="AD383" s="1">
        <v>7.3134884E7</v>
      </c>
      <c r="AE383" s="1" t="s">
        <v>261</v>
      </c>
      <c r="AF383" s="1">
        <v>80000.0</v>
      </c>
      <c r="AG383" s="2">
        <v>41183.0</v>
      </c>
      <c r="AH383" s="1">
        <v>7500.0</v>
      </c>
      <c r="AI383" s="1" t="s">
        <v>40</v>
      </c>
      <c r="AJ383" s="1">
        <v>2.0131357E7</v>
      </c>
      <c r="AK383" s="1" t="s">
        <v>1098</v>
      </c>
      <c r="AL383" s="1">
        <v>10.0</v>
      </c>
      <c r="AM383" s="1">
        <v>2011.0</v>
      </c>
      <c r="AN383" s="1">
        <v>2013.0</v>
      </c>
      <c r="AO383" s="1" t="s">
        <v>1099</v>
      </c>
    </row>
    <row r="384">
      <c r="A384" s="5">
        <v>1.0</v>
      </c>
      <c r="B384" s="1">
        <f t="shared" si="1"/>
        <v>384</v>
      </c>
      <c r="C384" s="1" t="s">
        <v>1096</v>
      </c>
      <c r="D384" s="1" t="s">
        <v>1096</v>
      </c>
      <c r="E384" s="1" t="s">
        <v>85</v>
      </c>
      <c r="G384" s="1">
        <v>1.3557223E7</v>
      </c>
      <c r="H384" s="2">
        <v>41183.0</v>
      </c>
      <c r="I384" s="1" t="s">
        <v>1097</v>
      </c>
      <c r="K384" s="1" t="s">
        <v>1097</v>
      </c>
      <c r="N384" s="1" t="s">
        <v>40</v>
      </c>
      <c r="O384" s="1">
        <v>7500.0</v>
      </c>
      <c r="P384" s="1" t="s">
        <v>40</v>
      </c>
      <c r="Q384" s="1" t="str">
        <f>IF(ISERROR(VLOOKUP(P384,'unique fed agency names'!A:C,3,FALSE)),P384,VLOOKUP(P384,'unique fed agency names'!A:C,3,FALSE))
</f>
        <v>U.S. Department of Health and Human Services (DHHS)</v>
      </c>
      <c r="R384" s="1">
        <v>3.8775243E7</v>
      </c>
      <c r="S384" s="1" t="s">
        <v>209</v>
      </c>
      <c r="T384" s="1" t="str">
        <f>IF(ISERROR(VLOOKUP(S384,'unique org names'!A:C,3,FALSE)),S384,VLOOKUP(S384,'unique org names'!A:C,3,FALSE))
</f>
        <v>SOUTHEASTERN MICHIGAN HEALTH ASSOCIATION</v>
      </c>
      <c r="U384" s="1" t="s">
        <v>210</v>
      </c>
      <c r="V384" s="1" t="s">
        <v>211</v>
      </c>
      <c r="W384" s="1" t="s">
        <v>44</v>
      </c>
      <c r="X384" s="1" t="s">
        <v>45</v>
      </c>
      <c r="Y384" s="1">
        <v>4.82023068E8</v>
      </c>
      <c r="AA384" s="1" t="s">
        <v>46</v>
      </c>
      <c r="AB384" s="1" t="s">
        <v>45</v>
      </c>
      <c r="AC384" s="1">
        <v>4.82023068E8</v>
      </c>
      <c r="AD384" s="1">
        <v>3.8775243E7</v>
      </c>
      <c r="AE384" s="1" t="s">
        <v>209</v>
      </c>
      <c r="AF384" s="1">
        <v>34188.0</v>
      </c>
      <c r="AG384" s="2">
        <v>41183.0</v>
      </c>
      <c r="AH384" s="1">
        <v>7500.0</v>
      </c>
      <c r="AI384" s="1" t="s">
        <v>40</v>
      </c>
      <c r="AJ384" s="1">
        <v>2.0131086E7</v>
      </c>
      <c r="AK384" s="1" t="s">
        <v>1098</v>
      </c>
      <c r="AL384" s="1">
        <v>10.0</v>
      </c>
      <c r="AM384" s="1">
        <v>2011.0</v>
      </c>
      <c r="AN384" s="1">
        <v>2013.0</v>
      </c>
      <c r="AO384" s="1" t="s">
        <v>1099</v>
      </c>
    </row>
    <row r="385">
      <c r="A385" s="5">
        <v>1.0</v>
      </c>
      <c r="B385" s="1">
        <f t="shared" si="1"/>
        <v>385</v>
      </c>
      <c r="C385" s="1" t="s">
        <v>1100</v>
      </c>
      <c r="D385" s="1" t="s">
        <v>1100</v>
      </c>
      <c r="E385" s="1" t="s">
        <v>100</v>
      </c>
      <c r="G385" s="1">
        <v>1.5204729E7</v>
      </c>
      <c r="H385" s="2">
        <v>41544.0</v>
      </c>
      <c r="I385" s="1" t="s">
        <v>122</v>
      </c>
      <c r="K385" s="1" t="s">
        <v>122</v>
      </c>
      <c r="N385" s="1" t="s">
        <v>102</v>
      </c>
      <c r="O385" s="1">
        <v>8600.0</v>
      </c>
      <c r="P385" s="1" t="s">
        <v>102</v>
      </c>
      <c r="Q385" s="1" t="str">
        <f>IF(ISERROR(VLOOKUP(P385,'unique fed agency names'!A:C,3,FALSE)),P385,VLOOKUP(P385,'unique fed agency names'!A:C,3,FALSE))
</f>
        <v>U.S. Department of Housing and Urban Development (HUD)</v>
      </c>
      <c r="R385" s="1">
        <v>9.65680176E8</v>
      </c>
      <c r="S385" s="1" t="s">
        <v>353</v>
      </c>
      <c r="T385" s="1" t="str">
        <f>IF(ISERROR(VLOOKUP(S385,'unique org names'!A:C,3,FALSE)),S385,VLOOKUP(S385,'unique org names'!A:C,3,FALSE))
</f>
        <v>Urban Neighborhood Initiatives, Inc</v>
      </c>
      <c r="U385" s="1" t="s">
        <v>354</v>
      </c>
      <c r="V385" s="1" t="s">
        <v>355</v>
      </c>
      <c r="W385" s="1" t="s">
        <v>44</v>
      </c>
      <c r="X385" s="1" t="s">
        <v>45</v>
      </c>
      <c r="Y385" s="1">
        <v>4.8209344E8</v>
      </c>
      <c r="AA385" s="1" t="s">
        <v>46</v>
      </c>
      <c r="AB385" s="1" t="s">
        <v>45</v>
      </c>
      <c r="AC385" s="1">
        <v>4.82091859E8</v>
      </c>
      <c r="AF385" s="1">
        <v>116500.0</v>
      </c>
      <c r="AG385" s="2">
        <v>41544.0</v>
      </c>
      <c r="AH385" s="1">
        <v>8600.0</v>
      </c>
      <c r="AI385" s="1" t="s">
        <v>102</v>
      </c>
      <c r="AJ385" s="1" t="s">
        <v>1110</v>
      </c>
      <c r="AK385" s="1" t="s">
        <v>1111</v>
      </c>
      <c r="AL385" s="1">
        <v>9.0</v>
      </c>
      <c r="AM385" s="1">
        <v>2013.0</v>
      </c>
      <c r="AN385" s="1">
        <v>2013.0</v>
      </c>
      <c r="AO385" s="1" t="s">
        <v>127</v>
      </c>
    </row>
    <row r="386">
      <c r="A386" s="5">
        <v>1.0</v>
      </c>
      <c r="B386" s="1">
        <f t="shared" si="1"/>
        <v>386</v>
      </c>
      <c r="C386" s="1" t="s">
        <v>1112</v>
      </c>
      <c r="D386" s="1" t="s">
        <v>1112</v>
      </c>
      <c r="E386" s="1" t="s">
        <v>224</v>
      </c>
      <c r="G386" s="1">
        <v>355532.0</v>
      </c>
      <c r="H386" s="2">
        <v>41535.0</v>
      </c>
      <c r="I386" s="1" t="s">
        <v>1113</v>
      </c>
      <c r="K386" s="1" t="s">
        <v>1113</v>
      </c>
      <c r="N386" s="1" t="s">
        <v>151</v>
      </c>
      <c r="O386" s="1">
        <v>6900.0</v>
      </c>
      <c r="P386" s="1" t="s">
        <v>151</v>
      </c>
      <c r="Q386" s="1" t="str">
        <f>IF(ISERROR(VLOOKUP(P386,'unique fed agency names'!A:C,3,FALSE)),P386,VLOOKUP(P386,'unique fed agency names'!A:C,3,FALSE))
</f>
        <v>U.S. Department of Transportation (DOT)</v>
      </c>
      <c r="R386" s="1">
        <v>1.1855476E8</v>
      </c>
      <c r="S386" s="1" t="s">
        <v>983</v>
      </c>
      <c r="T386" s="1" t="str">
        <f>IF(ISERROR(VLOOKUP(S386,'unique org names'!A:C,3,FALSE)),S386,VLOOKUP(S386,'unique org names'!A:C,3,FALSE))
</f>
        <v>City of Detroit</v>
      </c>
      <c r="U386" s="1" t="s">
        <v>984</v>
      </c>
      <c r="V386" s="1" t="s">
        <v>227</v>
      </c>
      <c r="W386" s="1" t="s">
        <v>44</v>
      </c>
      <c r="X386" s="1" t="s">
        <v>45</v>
      </c>
      <c r="Y386" s="1">
        <v>4.82262886E8</v>
      </c>
      <c r="AA386" s="1" t="s">
        <v>46</v>
      </c>
      <c r="AB386" s="1" t="s">
        <v>45</v>
      </c>
      <c r="AC386" s="1">
        <v>4.82262886E8</v>
      </c>
      <c r="AD386" s="1">
        <v>6530661.0</v>
      </c>
      <c r="AE386" s="1" t="s">
        <v>76</v>
      </c>
      <c r="AF386" s="1">
        <v>355532.29</v>
      </c>
      <c r="AG386" s="2">
        <v>41535.0</v>
      </c>
      <c r="AH386" s="1">
        <v>6900.0</v>
      </c>
      <c r="AI386" s="1" t="s">
        <v>151</v>
      </c>
      <c r="AJ386" s="1">
        <v>1.0</v>
      </c>
      <c r="AK386" s="1" t="s">
        <v>1114</v>
      </c>
      <c r="AL386" s="1">
        <v>10.0</v>
      </c>
      <c r="AM386" s="1">
        <v>2013.0</v>
      </c>
      <c r="AN386" s="1">
        <v>2013.0</v>
      </c>
      <c r="AO386" s="1" t="s">
        <v>229</v>
      </c>
    </row>
    <row r="387">
      <c r="A387" s="5">
        <v>1.0</v>
      </c>
      <c r="B387" s="1">
        <f t="shared" si="1"/>
        <v>387</v>
      </c>
      <c r="C387" s="1" t="s">
        <v>1115</v>
      </c>
      <c r="D387" s="1" t="s">
        <v>1115</v>
      </c>
      <c r="E387" s="1" t="s">
        <v>224</v>
      </c>
      <c r="G387" s="1">
        <v>54400.0</v>
      </c>
      <c r="H387" s="2">
        <v>41535.0</v>
      </c>
      <c r="I387" s="1" t="s">
        <v>1113</v>
      </c>
      <c r="K387" s="1" t="s">
        <v>1113</v>
      </c>
      <c r="N387" s="1" t="s">
        <v>151</v>
      </c>
      <c r="O387" s="1">
        <v>6900.0</v>
      </c>
      <c r="P387" s="1" t="s">
        <v>151</v>
      </c>
      <c r="Q387" s="1" t="str">
        <f>IF(ISERROR(VLOOKUP(P387,'unique fed agency names'!A:C,3,FALSE)),P387,VLOOKUP(P387,'unique fed agency names'!A:C,3,FALSE))
</f>
        <v>U.S. Department of Transportation (DOT)</v>
      </c>
      <c r="R387" s="1">
        <v>1.1855476E8</v>
      </c>
      <c r="S387" s="1" t="s">
        <v>983</v>
      </c>
      <c r="T387" s="1" t="str">
        <f>IF(ISERROR(VLOOKUP(S387,'unique org names'!A:C,3,FALSE)),S387,VLOOKUP(S387,'unique org names'!A:C,3,FALSE))
</f>
        <v>City of Detroit</v>
      </c>
      <c r="U387" s="1" t="s">
        <v>984</v>
      </c>
      <c r="V387" s="1" t="s">
        <v>227</v>
      </c>
      <c r="W387" s="1" t="s">
        <v>44</v>
      </c>
      <c r="X387" s="1" t="s">
        <v>45</v>
      </c>
      <c r="Y387" s="1">
        <v>4.82262886E8</v>
      </c>
      <c r="AA387" s="1" t="s">
        <v>46</v>
      </c>
      <c r="AB387" s="1" t="s">
        <v>45</v>
      </c>
      <c r="AC387" s="1">
        <v>4.82262886E8</v>
      </c>
      <c r="AD387" s="1">
        <v>6530661.0</v>
      </c>
      <c r="AE387" s="1" t="s">
        <v>76</v>
      </c>
      <c r="AF387" s="1">
        <v>54400.72</v>
      </c>
      <c r="AG387" s="2">
        <v>41535.0</v>
      </c>
      <c r="AH387" s="1">
        <v>6900.0</v>
      </c>
      <c r="AI387" s="1" t="s">
        <v>151</v>
      </c>
      <c r="AJ387" s="1">
        <v>1.0</v>
      </c>
      <c r="AK387" s="1" t="s">
        <v>1114</v>
      </c>
      <c r="AL387" s="1">
        <v>10.0</v>
      </c>
      <c r="AM387" s="1">
        <v>2013.0</v>
      </c>
      <c r="AN387" s="1">
        <v>2013.0</v>
      </c>
      <c r="AO387" s="1" t="s">
        <v>229</v>
      </c>
    </row>
    <row r="388">
      <c r="A388" s="5">
        <v>1.0</v>
      </c>
      <c r="B388" s="1">
        <f t="shared" si="1"/>
        <v>388</v>
      </c>
      <c r="C388" s="1" t="s">
        <v>1116</v>
      </c>
      <c r="D388" s="1" t="s">
        <v>1116</v>
      </c>
      <c r="E388" s="1" t="s">
        <v>63</v>
      </c>
      <c r="G388" s="1">
        <v>2235044.0</v>
      </c>
      <c r="H388" s="2">
        <v>41183.0</v>
      </c>
      <c r="I388" s="1" t="s">
        <v>1117</v>
      </c>
      <c r="K388" s="1" t="s">
        <v>1117</v>
      </c>
      <c r="N388" s="1" t="s">
        <v>40</v>
      </c>
      <c r="O388" s="1">
        <v>7500.0</v>
      </c>
      <c r="P388" s="1" t="s">
        <v>40</v>
      </c>
      <c r="Q388" s="1" t="str">
        <f>IF(ISERROR(VLOOKUP(P388,'unique fed agency names'!A:C,3,FALSE)),P388,VLOOKUP(P388,'unique fed agency names'!A:C,3,FALSE))
</f>
        <v>U.S. Department of Health and Human Services (DHHS)</v>
      </c>
      <c r="R388" s="1">
        <v>8.68400255E8</v>
      </c>
      <c r="S388" s="1" t="s">
        <v>1118</v>
      </c>
      <c r="T388" s="1" t="str">
        <f>IF(ISERROR(VLOOKUP(S388,'unique org names'!A:C,3,FALSE)),S388,VLOOKUP(S388,'unique org names'!A:C,3,FALSE))
</f>
        <v>Institute For Black Family</v>
      </c>
      <c r="V388" s="1" t="s">
        <v>1119</v>
      </c>
      <c r="W388" s="1" t="s">
        <v>44</v>
      </c>
      <c r="X388" s="1" t="s">
        <v>45</v>
      </c>
      <c r="Y388" s="1">
        <v>4.82232302E8</v>
      </c>
      <c r="AA388" s="1" t="s">
        <v>46</v>
      </c>
      <c r="AB388" s="1" t="s">
        <v>45</v>
      </c>
      <c r="AC388" s="1">
        <v>4.82232302E8</v>
      </c>
      <c r="AF388" s="1">
        <v>76478.0</v>
      </c>
      <c r="AG388" s="2">
        <v>41183.0</v>
      </c>
      <c r="AH388" s="1">
        <v>7500.0</v>
      </c>
      <c r="AI388" s="1" t="s">
        <v>40</v>
      </c>
      <c r="AJ388" s="1">
        <v>2.0130136E7</v>
      </c>
      <c r="AK388" s="1" t="s">
        <v>1120</v>
      </c>
      <c r="AL388" s="1">
        <v>10.0</v>
      </c>
      <c r="AM388" s="1">
        <v>2010.0</v>
      </c>
      <c r="AN388" s="1">
        <v>2013.0</v>
      </c>
      <c r="AO388" s="1" t="s">
        <v>1121</v>
      </c>
    </row>
    <row r="389">
      <c r="A389" s="5">
        <v>1.0</v>
      </c>
      <c r="B389" s="1">
        <f t="shared" si="1"/>
        <v>389</v>
      </c>
      <c r="C389" s="1" t="s">
        <v>1122</v>
      </c>
      <c r="D389" s="1" t="s">
        <v>1122</v>
      </c>
      <c r="E389" s="1" t="s">
        <v>100</v>
      </c>
      <c r="G389" s="1">
        <v>1.9727792E7</v>
      </c>
      <c r="H389" s="2">
        <v>41487.0</v>
      </c>
      <c r="I389" s="1" t="s">
        <v>122</v>
      </c>
      <c r="K389" s="1" t="s">
        <v>122</v>
      </c>
      <c r="N389" s="1" t="s">
        <v>102</v>
      </c>
      <c r="O389" s="1">
        <v>8600.0</v>
      </c>
      <c r="P389" s="1" t="s">
        <v>102</v>
      </c>
      <c r="Q389" s="1" t="str">
        <f>IF(ISERROR(VLOOKUP(P389,'unique fed agency names'!A:C,3,FALSE)),P389,VLOOKUP(P389,'unique fed agency names'!A:C,3,FALSE))
</f>
        <v>U.S. Department of Housing and Urban Development (HUD)</v>
      </c>
      <c r="R389" s="1">
        <v>9.67940722E8</v>
      </c>
      <c r="S389" s="1" t="s">
        <v>1123</v>
      </c>
      <c r="T389" s="1" t="str">
        <f>IF(ISERROR(VLOOKUP(S389,'unique org names'!A:C,3,FALSE)),S389,VLOOKUP(S389,'unique org names'!A:C,3,FALSE))
</f>
        <v>Villages Community Development Corporation</v>
      </c>
      <c r="V389" s="1" t="s">
        <v>1124</v>
      </c>
      <c r="W389" s="1" t="s">
        <v>44</v>
      </c>
      <c r="X389" s="1" t="s">
        <v>45</v>
      </c>
      <c r="Y389" s="1">
        <v>4.82143969E8</v>
      </c>
      <c r="AA389" s="1" t="s">
        <v>46</v>
      </c>
      <c r="AB389" s="1" t="s">
        <v>45</v>
      </c>
      <c r="AC389" s="1">
        <v>4.82143969E8</v>
      </c>
      <c r="AF389" s="1">
        <v>45000.0</v>
      </c>
      <c r="AG389" s="2">
        <v>41487.0</v>
      </c>
      <c r="AH389" s="1">
        <v>8600.0</v>
      </c>
      <c r="AI389" s="1" t="s">
        <v>102</v>
      </c>
      <c r="AJ389" s="1" t="s">
        <v>1125</v>
      </c>
      <c r="AK389" s="1" t="s">
        <v>1126</v>
      </c>
      <c r="AL389" s="1">
        <v>10.0</v>
      </c>
      <c r="AM389" s="1">
        <v>2013.0</v>
      </c>
      <c r="AN389" s="1">
        <v>2013.0</v>
      </c>
      <c r="AO389" s="1" t="s">
        <v>127</v>
      </c>
    </row>
    <row r="390">
      <c r="A390" s="5">
        <v>1.0</v>
      </c>
      <c r="B390" s="1">
        <f t="shared" si="1"/>
        <v>390</v>
      </c>
      <c r="C390" s="1" t="s">
        <v>1127</v>
      </c>
      <c r="D390" s="1" t="s">
        <v>1127</v>
      </c>
      <c r="E390" s="1" t="s">
        <v>70</v>
      </c>
      <c r="G390" s="1">
        <v>1.3166814E7</v>
      </c>
      <c r="H390" s="2">
        <v>41183.0</v>
      </c>
      <c r="I390" s="1" t="s">
        <v>1128</v>
      </c>
      <c r="K390" s="1" t="s">
        <v>1128</v>
      </c>
      <c r="N390" s="1" t="s">
        <v>72</v>
      </c>
      <c r="O390" s="1">
        <v>1500.0</v>
      </c>
      <c r="P390" s="1" t="s">
        <v>72</v>
      </c>
      <c r="Q390" s="1" t="str">
        <f>IF(ISERROR(VLOOKUP(P390,'unique fed agency names'!A:C,3,FALSE)),P390,VLOOKUP(P390,'unique fed agency names'!A:C,3,FALSE))
</f>
        <v>U.S. Department of Justice (DOJ)</v>
      </c>
      <c r="R390" s="1">
        <v>8.5464519E7</v>
      </c>
      <c r="S390" s="1" t="s">
        <v>704</v>
      </c>
      <c r="T390" s="1" t="str">
        <f>IF(ISERROR(VLOOKUP(S390,'unique org names'!A:C,3,FALSE)),S390,VLOOKUP(S390,'unique org names'!A:C,3,FALSE))
</f>
        <v>Children's Center of Wayne County Inc.</v>
      </c>
      <c r="U390" s="1" t="s">
        <v>705</v>
      </c>
      <c r="V390" s="1" t="s">
        <v>706</v>
      </c>
      <c r="W390" s="1" t="s">
        <v>44</v>
      </c>
      <c r="X390" s="1" t="s">
        <v>45</v>
      </c>
      <c r="Y390" s="1">
        <v>4.82012015E8</v>
      </c>
      <c r="AA390" s="1" t="s">
        <v>46</v>
      </c>
      <c r="AB390" s="1" t="s">
        <v>45</v>
      </c>
      <c r="AC390" s="1">
        <v>4.82012015E8</v>
      </c>
      <c r="AF390" s="1">
        <v>168878.0</v>
      </c>
      <c r="AG390" s="2">
        <v>41183.0</v>
      </c>
      <c r="AH390" s="1">
        <v>1500.0</v>
      </c>
      <c r="AI390" s="1" t="s">
        <v>72</v>
      </c>
      <c r="AJ390" s="1">
        <v>2.0130629E7</v>
      </c>
      <c r="AK390" s="1" t="s">
        <v>1129</v>
      </c>
      <c r="AL390" s="1">
        <v>10.0</v>
      </c>
      <c r="AM390" s="1">
        <v>2010.0</v>
      </c>
      <c r="AN390" s="1">
        <v>2013.0</v>
      </c>
      <c r="AO390" s="1" t="s">
        <v>1130</v>
      </c>
    </row>
    <row r="391">
      <c r="A391" s="5">
        <v>1.0</v>
      </c>
      <c r="B391" s="1">
        <f t="shared" si="1"/>
        <v>391</v>
      </c>
      <c r="C391" s="1" t="s">
        <v>1096</v>
      </c>
      <c r="D391" s="1" t="s">
        <v>1096</v>
      </c>
      <c r="E391" s="1" t="s">
        <v>85</v>
      </c>
      <c r="G391" s="1">
        <v>1.3557223E7</v>
      </c>
      <c r="H391" s="2">
        <v>41183.0</v>
      </c>
      <c r="I391" s="1" t="s">
        <v>1097</v>
      </c>
      <c r="K391" s="1" t="s">
        <v>1097</v>
      </c>
      <c r="N391" s="1" t="s">
        <v>40</v>
      </c>
      <c r="O391" s="1">
        <v>7500.0</v>
      </c>
      <c r="P391" s="1" t="s">
        <v>40</v>
      </c>
      <c r="Q391" s="1" t="str">
        <f>IF(ISERROR(VLOOKUP(P391,'unique fed agency names'!A:C,3,FALSE)),P391,VLOOKUP(P391,'unique fed agency names'!A:C,3,FALSE))
</f>
        <v>U.S. Department of Health and Human Services (DHHS)</v>
      </c>
      <c r="R391" s="1">
        <v>7.3134884E7</v>
      </c>
      <c r="S391" s="1" t="s">
        <v>259</v>
      </c>
      <c r="T391" s="1" t="str">
        <f>IF(ISERROR(VLOOKUP(S391,'unique org names'!A:C,3,FALSE)),S391,VLOOKUP(S391,'unique org names'!A:C,3,FALSE))
</f>
        <v>Wayne County</v>
      </c>
      <c r="V391" s="1" t="s">
        <v>286</v>
      </c>
      <c r="W391" s="1" t="s">
        <v>44</v>
      </c>
      <c r="X391" s="1" t="s">
        <v>45</v>
      </c>
      <c r="Y391" s="1">
        <v>4.82262841E8</v>
      </c>
      <c r="AA391" s="1" t="s">
        <v>46</v>
      </c>
      <c r="AB391" s="1" t="s">
        <v>45</v>
      </c>
      <c r="AC391" s="1">
        <v>4.8226348E8</v>
      </c>
      <c r="AD391" s="1">
        <v>7.3134884E7</v>
      </c>
      <c r="AE391" s="1" t="s">
        <v>261</v>
      </c>
      <c r="AF391" s="1">
        <v>4612132.0</v>
      </c>
      <c r="AG391" s="2">
        <v>41183.0</v>
      </c>
      <c r="AH391" s="1">
        <v>7500.0</v>
      </c>
      <c r="AI391" s="1" t="s">
        <v>40</v>
      </c>
      <c r="AJ391" s="1">
        <v>2.0131865E7</v>
      </c>
      <c r="AK391" s="1" t="s">
        <v>1098</v>
      </c>
      <c r="AL391" s="1">
        <v>10.0</v>
      </c>
      <c r="AM391" s="1">
        <v>2011.0</v>
      </c>
      <c r="AN391" s="1">
        <v>2013.0</v>
      </c>
      <c r="AO391" s="1" t="s">
        <v>1099</v>
      </c>
    </row>
    <row r="392">
      <c r="A392" s="5">
        <v>1.0</v>
      </c>
      <c r="B392" s="1">
        <f t="shared" si="1"/>
        <v>392</v>
      </c>
      <c r="C392" s="1" t="s">
        <v>1096</v>
      </c>
      <c r="D392" s="1" t="s">
        <v>1096</v>
      </c>
      <c r="E392" s="1" t="s">
        <v>85</v>
      </c>
      <c r="G392" s="1">
        <v>1.3557223E7</v>
      </c>
      <c r="H392" s="2">
        <v>41183.0</v>
      </c>
      <c r="I392" s="1" t="s">
        <v>1097</v>
      </c>
      <c r="K392" s="1" t="s">
        <v>1097</v>
      </c>
      <c r="N392" s="1" t="s">
        <v>40</v>
      </c>
      <c r="O392" s="1">
        <v>7500.0</v>
      </c>
      <c r="P392" s="1" t="s">
        <v>40</v>
      </c>
      <c r="Q392" s="1" t="str">
        <f>IF(ISERROR(VLOOKUP(P392,'unique fed agency names'!A:C,3,FALSE)),P392,VLOOKUP(P392,'unique fed agency names'!A:C,3,FALSE))
</f>
        <v>U.S. Department of Health and Human Services (DHHS)</v>
      </c>
      <c r="R392" s="1">
        <v>3.8775243E7</v>
      </c>
      <c r="S392" s="1" t="s">
        <v>209</v>
      </c>
      <c r="T392" s="1" t="str">
        <f>IF(ISERROR(VLOOKUP(S392,'unique org names'!A:C,3,FALSE)),S392,VLOOKUP(S392,'unique org names'!A:C,3,FALSE))
</f>
        <v>SOUTHEASTERN MICHIGAN HEALTH ASSOCIATION</v>
      </c>
      <c r="U392" s="1" t="s">
        <v>210</v>
      </c>
      <c r="V392" s="1" t="s">
        <v>211</v>
      </c>
      <c r="W392" s="1" t="s">
        <v>44</v>
      </c>
      <c r="X392" s="1" t="s">
        <v>45</v>
      </c>
      <c r="Y392" s="1">
        <v>4.82023068E8</v>
      </c>
      <c r="AA392" s="1" t="s">
        <v>46</v>
      </c>
      <c r="AB392" s="1" t="s">
        <v>45</v>
      </c>
      <c r="AC392" s="1">
        <v>4.82023068E8</v>
      </c>
      <c r="AD392" s="1">
        <v>3.8775243E7</v>
      </c>
      <c r="AE392" s="1" t="s">
        <v>209</v>
      </c>
      <c r="AF392" s="1">
        <v>0.0</v>
      </c>
      <c r="AG392" s="2">
        <v>41183.0</v>
      </c>
      <c r="AH392" s="1">
        <v>7500.0</v>
      </c>
      <c r="AI392" s="1" t="s">
        <v>40</v>
      </c>
      <c r="AJ392" s="1">
        <v>2.0131082E7</v>
      </c>
      <c r="AK392" s="1" t="s">
        <v>1098</v>
      </c>
      <c r="AL392" s="1">
        <v>10.0</v>
      </c>
      <c r="AM392" s="1">
        <v>2011.0</v>
      </c>
      <c r="AN392" s="1">
        <v>2013.0</v>
      </c>
      <c r="AO392" s="1" t="s">
        <v>1099</v>
      </c>
    </row>
    <row r="393">
      <c r="A393" s="5">
        <v>1.0</v>
      </c>
      <c r="B393" s="1">
        <f t="shared" si="1"/>
        <v>393</v>
      </c>
      <c r="C393" s="1" t="s">
        <v>1131</v>
      </c>
      <c r="D393" s="1" t="s">
        <v>1131</v>
      </c>
      <c r="E393" s="1" t="s">
        <v>224</v>
      </c>
      <c r="G393" s="1">
        <v>81153.0</v>
      </c>
      <c r="H393" s="2">
        <v>41521.0</v>
      </c>
      <c r="I393" s="1" t="s">
        <v>1132</v>
      </c>
      <c r="K393" s="1" t="s">
        <v>1132</v>
      </c>
      <c r="N393" s="1" t="s">
        <v>151</v>
      </c>
      <c r="O393" s="1">
        <v>6900.0</v>
      </c>
      <c r="P393" s="1" t="s">
        <v>151</v>
      </c>
      <c r="Q393" s="1" t="str">
        <f>IF(ISERROR(VLOOKUP(P393,'unique fed agency names'!A:C,3,FALSE)),P393,VLOOKUP(P393,'unique fed agency names'!A:C,3,FALSE))
</f>
        <v>U.S. Department of Transportation (DOT)</v>
      </c>
      <c r="R393" s="1">
        <v>1.1855476E8</v>
      </c>
      <c r="S393" s="1" t="s">
        <v>983</v>
      </c>
      <c r="T393" s="1" t="str">
        <f>IF(ISERROR(VLOOKUP(S393,'unique org names'!A:C,3,FALSE)),S393,VLOOKUP(S393,'unique org names'!A:C,3,FALSE))
</f>
        <v>City of Detroit</v>
      </c>
      <c r="U393" s="1" t="s">
        <v>984</v>
      </c>
      <c r="V393" s="1" t="s">
        <v>227</v>
      </c>
      <c r="W393" s="1" t="s">
        <v>44</v>
      </c>
      <c r="X393" s="1" t="s">
        <v>45</v>
      </c>
      <c r="Y393" s="1">
        <v>4.82262886E8</v>
      </c>
      <c r="AA393" s="1" t="s">
        <v>46</v>
      </c>
      <c r="AB393" s="1" t="s">
        <v>45</v>
      </c>
      <c r="AC393" s="1">
        <v>4.82262886E8</v>
      </c>
      <c r="AD393" s="1">
        <v>6530661.0</v>
      </c>
      <c r="AE393" s="1" t="s">
        <v>76</v>
      </c>
      <c r="AF393" s="1">
        <v>81153.25</v>
      </c>
      <c r="AG393" s="2">
        <v>41521.0</v>
      </c>
      <c r="AH393" s="1">
        <v>6900.0</v>
      </c>
      <c r="AI393" s="1" t="s">
        <v>151</v>
      </c>
      <c r="AJ393" s="1">
        <v>1.0</v>
      </c>
      <c r="AK393" s="1" t="s">
        <v>1133</v>
      </c>
      <c r="AL393" s="1">
        <v>10.0</v>
      </c>
      <c r="AM393" s="1">
        <v>2013.0</v>
      </c>
      <c r="AN393" s="1">
        <v>2013.0</v>
      </c>
      <c r="AO393" s="1" t="s">
        <v>229</v>
      </c>
    </row>
    <row r="394">
      <c r="A394" s="5">
        <v>1.0</v>
      </c>
      <c r="B394" s="1">
        <f t="shared" si="1"/>
        <v>394</v>
      </c>
      <c r="C394" s="1" t="s">
        <v>1134</v>
      </c>
      <c r="D394" s="1" t="s">
        <v>1134</v>
      </c>
      <c r="E394" s="1" t="s">
        <v>224</v>
      </c>
      <c r="G394" s="1">
        <v>89460.0</v>
      </c>
      <c r="H394" s="2">
        <v>41535.0</v>
      </c>
      <c r="I394" s="1" t="s">
        <v>1113</v>
      </c>
      <c r="K394" s="1" t="s">
        <v>1113</v>
      </c>
      <c r="N394" s="1" t="s">
        <v>151</v>
      </c>
      <c r="O394" s="1">
        <v>6900.0</v>
      </c>
      <c r="P394" s="1" t="s">
        <v>151</v>
      </c>
      <c r="Q394" s="1" t="str">
        <f>IF(ISERROR(VLOOKUP(P394,'unique fed agency names'!A:C,3,FALSE)),P394,VLOOKUP(P394,'unique fed agency names'!A:C,3,FALSE))
</f>
        <v>U.S. Department of Transportation (DOT)</v>
      </c>
      <c r="R394" s="1">
        <v>1.1855476E8</v>
      </c>
      <c r="S394" s="1" t="s">
        <v>983</v>
      </c>
      <c r="T394" s="1" t="str">
        <f>IF(ISERROR(VLOOKUP(S394,'unique org names'!A:C,3,FALSE)),S394,VLOOKUP(S394,'unique org names'!A:C,3,FALSE))
</f>
        <v>City of Detroit</v>
      </c>
      <c r="U394" s="1" t="s">
        <v>984</v>
      </c>
      <c r="V394" s="1" t="s">
        <v>227</v>
      </c>
      <c r="W394" s="1" t="s">
        <v>44</v>
      </c>
      <c r="X394" s="1" t="s">
        <v>45</v>
      </c>
      <c r="Y394" s="1">
        <v>4.82262886E8</v>
      </c>
      <c r="AA394" s="1" t="s">
        <v>46</v>
      </c>
      <c r="AB394" s="1" t="s">
        <v>45</v>
      </c>
      <c r="AC394" s="1">
        <v>4.82262886E8</v>
      </c>
      <c r="AD394" s="1">
        <v>6530661.0</v>
      </c>
      <c r="AE394" s="1" t="s">
        <v>76</v>
      </c>
      <c r="AF394" s="1">
        <v>89460.62</v>
      </c>
      <c r="AG394" s="2">
        <v>41535.0</v>
      </c>
      <c r="AH394" s="1">
        <v>6900.0</v>
      </c>
      <c r="AI394" s="1" t="s">
        <v>151</v>
      </c>
      <c r="AJ394" s="1">
        <v>1.0</v>
      </c>
      <c r="AK394" s="1" t="s">
        <v>1114</v>
      </c>
      <c r="AL394" s="1">
        <v>10.0</v>
      </c>
      <c r="AM394" s="1">
        <v>2013.0</v>
      </c>
      <c r="AN394" s="1">
        <v>2013.0</v>
      </c>
      <c r="AO394" s="1" t="s">
        <v>229</v>
      </c>
    </row>
    <row r="395">
      <c r="A395" s="5">
        <v>1.0</v>
      </c>
      <c r="B395" s="1">
        <f t="shared" si="1"/>
        <v>395</v>
      </c>
      <c r="C395" s="1" t="s">
        <v>1135</v>
      </c>
      <c r="D395" s="1" t="s">
        <v>1135</v>
      </c>
      <c r="E395" s="1">
        <v>7545.0</v>
      </c>
      <c r="G395" s="1">
        <v>3.7949128E7</v>
      </c>
      <c r="H395" s="2">
        <v>41183.0</v>
      </c>
      <c r="I395" s="1" t="s">
        <v>1136</v>
      </c>
      <c r="K395" s="1" t="s">
        <v>1136</v>
      </c>
      <c r="N395" s="1" t="s">
        <v>40</v>
      </c>
      <c r="O395" s="1">
        <v>7500.0</v>
      </c>
      <c r="P395" s="1" t="s">
        <v>40</v>
      </c>
      <c r="Q395" s="1" t="str">
        <f>IF(ISERROR(VLOOKUP(P395,'unique fed agency names'!A:C,3,FALSE)),P395,VLOOKUP(P395,'unique fed agency names'!A:C,3,FALSE))
</f>
        <v>U.S. Department of Health and Human Services (DHHS)</v>
      </c>
      <c r="R395" s="1">
        <v>4.6842605E7</v>
      </c>
      <c r="S395" s="1" t="s">
        <v>165</v>
      </c>
      <c r="T395" s="1" t="str">
        <f>IF(ISERROR(VLOOKUP(S395,'unique org names'!A:C,3,FALSE)),S395,VLOOKUP(S395,'unique org names'!A:C,3,FALSE))
</f>
        <v>DETROIT AREA AGENCY ON AGING</v>
      </c>
      <c r="U395" s="1" t="s">
        <v>166</v>
      </c>
      <c r="V395" s="1" t="s">
        <v>167</v>
      </c>
      <c r="W395" s="1" t="s">
        <v>44</v>
      </c>
      <c r="X395" s="1" t="s">
        <v>45</v>
      </c>
      <c r="Y395" s="1">
        <v>4.82074544E8</v>
      </c>
      <c r="AA395" s="1" t="s">
        <v>46</v>
      </c>
      <c r="AB395" s="1" t="s">
        <v>45</v>
      </c>
      <c r="AC395" s="1">
        <v>4.82074544E8</v>
      </c>
      <c r="AF395" s="1">
        <v>210375.0</v>
      </c>
      <c r="AG395" s="2">
        <v>41183.0</v>
      </c>
      <c r="AH395" s="1">
        <v>7500.0</v>
      </c>
      <c r="AI395" s="1" t="s">
        <v>40</v>
      </c>
      <c r="AJ395" s="1">
        <v>2.0131585E7</v>
      </c>
      <c r="AK395" s="1" t="s">
        <v>392</v>
      </c>
      <c r="AL395" s="1">
        <v>10.0</v>
      </c>
      <c r="AM395" s="1">
        <v>2011.0</v>
      </c>
      <c r="AN395" s="1">
        <v>2013.0</v>
      </c>
      <c r="AO395" s="1" t="s">
        <v>1109</v>
      </c>
    </row>
    <row r="396">
      <c r="A396" s="5">
        <v>1.0</v>
      </c>
      <c r="B396" s="1">
        <f t="shared" si="1"/>
        <v>396</v>
      </c>
      <c r="C396" s="1" t="s">
        <v>1137</v>
      </c>
      <c r="D396" s="1" t="s">
        <v>1137</v>
      </c>
      <c r="E396" s="1">
        <v>7545.0</v>
      </c>
      <c r="G396" s="1">
        <v>672465.0</v>
      </c>
      <c r="H396" s="2">
        <v>41183.0</v>
      </c>
      <c r="I396" s="1" t="s">
        <v>1138</v>
      </c>
      <c r="K396" s="1" t="s">
        <v>1138</v>
      </c>
      <c r="N396" s="1" t="s">
        <v>40</v>
      </c>
      <c r="O396" s="1">
        <v>7500.0</v>
      </c>
      <c r="P396" s="1" t="s">
        <v>40</v>
      </c>
      <c r="Q396" s="1" t="str">
        <f>IF(ISERROR(VLOOKUP(P396,'unique fed agency names'!A:C,3,FALSE)),P396,VLOOKUP(P396,'unique fed agency names'!A:C,3,FALSE))
</f>
        <v>U.S. Department of Health and Human Services (DHHS)</v>
      </c>
      <c r="R396" s="1">
        <v>4.6842605E7</v>
      </c>
      <c r="S396" s="1" t="s">
        <v>165</v>
      </c>
      <c r="T396" s="1" t="str">
        <f>IF(ISERROR(VLOOKUP(S396,'unique org names'!A:C,3,FALSE)),S396,VLOOKUP(S396,'unique org names'!A:C,3,FALSE))
</f>
        <v>DETROIT AREA AGENCY ON AGING</v>
      </c>
      <c r="U396" s="1" t="s">
        <v>166</v>
      </c>
      <c r="V396" s="1" t="s">
        <v>167</v>
      </c>
      <c r="W396" s="1" t="s">
        <v>44</v>
      </c>
      <c r="X396" s="1" t="s">
        <v>45</v>
      </c>
      <c r="Y396" s="1">
        <v>4.82074544E8</v>
      </c>
      <c r="AA396" s="1" t="s">
        <v>46</v>
      </c>
      <c r="AB396" s="1" t="s">
        <v>45</v>
      </c>
      <c r="AC396" s="1">
        <v>4.82074544E8</v>
      </c>
      <c r="AF396" s="1">
        <v>30679.0</v>
      </c>
      <c r="AG396" s="2">
        <v>41183.0</v>
      </c>
      <c r="AH396" s="1">
        <v>7500.0</v>
      </c>
      <c r="AI396" s="1" t="s">
        <v>40</v>
      </c>
      <c r="AJ396" s="1">
        <v>2.0131585E7</v>
      </c>
      <c r="AK396" s="1" t="s">
        <v>392</v>
      </c>
      <c r="AL396" s="1">
        <v>10.0</v>
      </c>
      <c r="AM396" s="1">
        <v>2012.0</v>
      </c>
      <c r="AN396" s="1">
        <v>2013.0</v>
      </c>
      <c r="AO396" s="1" t="s">
        <v>1139</v>
      </c>
    </row>
    <row r="397">
      <c r="A397" s="5">
        <v>1.0</v>
      </c>
      <c r="B397" s="1">
        <f t="shared" si="1"/>
        <v>397</v>
      </c>
      <c r="C397" s="1" t="s">
        <v>1140</v>
      </c>
      <c r="D397" s="1" t="s">
        <v>1140</v>
      </c>
      <c r="E397" s="1" t="s">
        <v>389</v>
      </c>
      <c r="G397" s="1">
        <v>2959853.0</v>
      </c>
      <c r="H397" s="2">
        <v>41183.0</v>
      </c>
      <c r="I397" s="1" t="s">
        <v>390</v>
      </c>
      <c r="K397" s="1" t="s">
        <v>390</v>
      </c>
      <c r="N397" s="1" t="s">
        <v>391</v>
      </c>
      <c r="O397" s="1">
        <v>1600.0</v>
      </c>
      <c r="P397" s="1" t="s">
        <v>391</v>
      </c>
      <c r="Q397" s="1" t="str">
        <f>IF(ISERROR(VLOOKUP(P397,'unique fed agency names'!A:C,3,FALSE)),P397,VLOOKUP(P397,'unique fed agency names'!A:C,3,FALSE))
</f>
        <v>U.S. Department of Labor (DOL)</v>
      </c>
      <c r="R397" s="1">
        <v>4.6842605E7</v>
      </c>
      <c r="S397" s="1" t="s">
        <v>165</v>
      </c>
      <c r="T397" s="1" t="str">
        <f>IF(ISERROR(VLOOKUP(S397,'unique org names'!A:C,3,FALSE)),S397,VLOOKUP(S397,'unique org names'!A:C,3,FALSE))
</f>
        <v>DETROIT AREA AGENCY ON AGING</v>
      </c>
      <c r="U397" s="1" t="s">
        <v>166</v>
      </c>
      <c r="V397" s="1" t="s">
        <v>167</v>
      </c>
      <c r="W397" s="1" t="s">
        <v>44</v>
      </c>
      <c r="X397" s="1" t="s">
        <v>45</v>
      </c>
      <c r="Y397" s="1">
        <v>4.82074544E8</v>
      </c>
      <c r="AA397" s="1" t="s">
        <v>46</v>
      </c>
      <c r="AB397" s="1" t="s">
        <v>45</v>
      </c>
      <c r="AC397" s="1">
        <v>4.82074544E8</v>
      </c>
      <c r="AF397" s="1">
        <v>743948.0</v>
      </c>
      <c r="AG397" s="2">
        <v>41183.0</v>
      </c>
      <c r="AH397" s="1">
        <v>1600.0</v>
      </c>
      <c r="AI397" s="1" t="s">
        <v>391</v>
      </c>
      <c r="AJ397" s="1">
        <v>2.0131585E7</v>
      </c>
      <c r="AK397" s="1" t="s">
        <v>390</v>
      </c>
      <c r="AL397" s="1">
        <v>10.0</v>
      </c>
      <c r="AM397" s="1">
        <v>2010.0</v>
      </c>
      <c r="AN397" s="1">
        <v>2013.0</v>
      </c>
      <c r="AO397" s="1" t="s">
        <v>393</v>
      </c>
    </row>
    <row r="398">
      <c r="A398" s="5">
        <v>1.0</v>
      </c>
      <c r="B398" s="1">
        <f t="shared" si="1"/>
        <v>398</v>
      </c>
      <c r="C398" s="1" t="s">
        <v>1127</v>
      </c>
      <c r="D398" s="1" t="s">
        <v>1127</v>
      </c>
      <c r="E398" s="1" t="s">
        <v>70</v>
      </c>
      <c r="G398" s="1">
        <v>1.3166814E7</v>
      </c>
      <c r="H398" s="2">
        <v>41183.0</v>
      </c>
      <c r="I398" s="1" t="s">
        <v>1128</v>
      </c>
      <c r="K398" s="1" t="s">
        <v>1128</v>
      </c>
      <c r="N398" s="1" t="s">
        <v>72</v>
      </c>
      <c r="O398" s="1">
        <v>1500.0</v>
      </c>
      <c r="P398" s="1" t="s">
        <v>72</v>
      </c>
      <c r="Q398" s="1" t="str">
        <f>IF(ISERROR(VLOOKUP(P398,'unique fed agency names'!A:C,3,FALSE)),P398,VLOOKUP(P398,'unique fed agency names'!A:C,3,FALSE))
</f>
        <v>U.S. Department of Justice (DOJ)</v>
      </c>
      <c r="R398" s="1">
        <v>7.3134884E7</v>
      </c>
      <c r="S398" s="1" t="s">
        <v>259</v>
      </c>
      <c r="T398" s="1" t="str">
        <f>IF(ISERROR(VLOOKUP(S398,'unique org names'!A:C,3,FALSE)),S398,VLOOKUP(S398,'unique org names'!A:C,3,FALSE))
</f>
        <v>Wayne County</v>
      </c>
      <c r="V398" s="1" t="s">
        <v>286</v>
      </c>
      <c r="W398" s="1" t="s">
        <v>44</v>
      </c>
      <c r="X398" s="1" t="s">
        <v>45</v>
      </c>
      <c r="Y398" s="1">
        <v>4.82262841E8</v>
      </c>
      <c r="AA398" s="1" t="s">
        <v>46</v>
      </c>
      <c r="AB398" s="1" t="s">
        <v>45</v>
      </c>
      <c r="AC398" s="1">
        <v>4.8226348E8</v>
      </c>
      <c r="AD398" s="1">
        <v>7.3134884E7</v>
      </c>
      <c r="AE398" s="1" t="s">
        <v>261</v>
      </c>
      <c r="AF398" s="1">
        <v>345398.0</v>
      </c>
      <c r="AG398" s="2">
        <v>41183.0</v>
      </c>
      <c r="AH398" s="1">
        <v>1500.0</v>
      </c>
      <c r="AI398" s="1" t="s">
        <v>72</v>
      </c>
      <c r="AJ398" s="1">
        <v>2.0130679E7</v>
      </c>
      <c r="AK398" s="1" t="s">
        <v>1129</v>
      </c>
      <c r="AL398" s="1">
        <v>10.0</v>
      </c>
      <c r="AM398" s="1">
        <v>2010.0</v>
      </c>
      <c r="AN398" s="1">
        <v>2013.0</v>
      </c>
      <c r="AO398" s="1" t="s">
        <v>1130</v>
      </c>
    </row>
    <row r="399">
      <c r="A399" s="5">
        <v>1.0</v>
      </c>
      <c r="B399" s="1">
        <f t="shared" si="1"/>
        <v>399</v>
      </c>
      <c r="C399" s="1" t="s">
        <v>1127</v>
      </c>
      <c r="D399" s="1" t="s">
        <v>1127</v>
      </c>
      <c r="E399" s="1" t="s">
        <v>70</v>
      </c>
      <c r="G399" s="1">
        <v>1.3166814E7</v>
      </c>
      <c r="H399" s="2">
        <v>41183.0</v>
      </c>
      <c r="I399" s="1" t="s">
        <v>1128</v>
      </c>
      <c r="K399" s="1" t="s">
        <v>1128</v>
      </c>
      <c r="N399" s="1" t="s">
        <v>72</v>
      </c>
      <c r="O399" s="1">
        <v>1500.0</v>
      </c>
      <c r="P399" s="1" t="s">
        <v>72</v>
      </c>
      <c r="Q399" s="1" t="str">
        <f>IF(ISERROR(VLOOKUP(P399,'unique fed agency names'!A:C,3,FALSE)),P399,VLOOKUP(P399,'unique fed agency names'!A:C,3,FALSE))
</f>
        <v>U.S. Department of Justice (DOJ)</v>
      </c>
      <c r="R399" s="1">
        <v>7.3134884E7</v>
      </c>
      <c r="S399" s="1" t="s">
        <v>259</v>
      </c>
      <c r="T399" s="1" t="str">
        <f>IF(ISERROR(VLOOKUP(S399,'unique org names'!A:C,3,FALSE)),S399,VLOOKUP(S399,'unique org names'!A:C,3,FALSE))
</f>
        <v>Wayne County</v>
      </c>
      <c r="V399" s="1" t="s">
        <v>286</v>
      </c>
      <c r="W399" s="1" t="s">
        <v>44</v>
      </c>
      <c r="X399" s="1" t="s">
        <v>45</v>
      </c>
      <c r="Y399" s="1">
        <v>4.82262841E8</v>
      </c>
      <c r="AA399" s="1" t="s">
        <v>46</v>
      </c>
      <c r="AB399" s="1" t="s">
        <v>45</v>
      </c>
      <c r="AC399" s="1">
        <v>4.8226348E8</v>
      </c>
      <c r="AD399" s="1">
        <v>7.3134884E7</v>
      </c>
      <c r="AE399" s="1" t="s">
        <v>261</v>
      </c>
      <c r="AF399" s="1">
        <v>455024.0</v>
      </c>
      <c r="AG399" s="2">
        <v>41183.0</v>
      </c>
      <c r="AH399" s="1">
        <v>1500.0</v>
      </c>
      <c r="AI399" s="1" t="s">
        <v>72</v>
      </c>
      <c r="AJ399" s="1">
        <v>2.0130656E7</v>
      </c>
      <c r="AK399" s="1" t="s">
        <v>1129</v>
      </c>
      <c r="AL399" s="1">
        <v>10.0</v>
      </c>
      <c r="AM399" s="1">
        <v>2010.0</v>
      </c>
      <c r="AN399" s="1">
        <v>2013.0</v>
      </c>
      <c r="AO399" s="1" t="s">
        <v>1130</v>
      </c>
    </row>
    <row r="400">
      <c r="A400" s="5">
        <v>1.0</v>
      </c>
      <c r="B400" s="1">
        <f t="shared" si="1"/>
        <v>400</v>
      </c>
      <c r="C400" s="1" t="s">
        <v>1141</v>
      </c>
      <c r="D400" s="1" t="s">
        <v>1141</v>
      </c>
      <c r="E400" s="1" t="s">
        <v>38</v>
      </c>
      <c r="G400" s="1">
        <v>441471.0</v>
      </c>
      <c r="H400" s="2">
        <v>41528.0</v>
      </c>
      <c r="I400" s="1" t="s">
        <v>1142</v>
      </c>
      <c r="K400" s="1" t="s">
        <v>1142</v>
      </c>
      <c r="N400" s="1" t="s">
        <v>40</v>
      </c>
      <c r="O400" s="1">
        <v>7500.0</v>
      </c>
      <c r="P400" s="1" t="s">
        <v>40</v>
      </c>
      <c r="Q400" s="1" t="str">
        <f>IF(ISERROR(VLOOKUP(P400,'unique fed agency names'!A:C,3,FALSE)),P400,VLOOKUP(P400,'unique fed agency names'!A:C,3,FALSE))
</f>
        <v>U.S. Department of Health and Human Services (DHHS)</v>
      </c>
      <c r="R400" s="1">
        <v>1962224.0</v>
      </c>
      <c r="S400" s="1" t="s">
        <v>52</v>
      </c>
      <c r="T400" s="1" t="str">
        <f>IF(ISERROR(VLOOKUP(S400,'unique org names'!A:C,3,FALSE)),S400,VLOOKUP(S400,'unique org names'!A:C,3,FALSE))
</f>
        <v>WAYNE STATE UNIVERSITY</v>
      </c>
      <c r="V400" s="1" t="s">
        <v>53</v>
      </c>
      <c r="W400" s="1" t="s">
        <v>44</v>
      </c>
      <c r="X400" s="1" t="s">
        <v>45</v>
      </c>
      <c r="Y400" s="1">
        <v>4.82023692E8</v>
      </c>
      <c r="AA400" s="1" t="s">
        <v>46</v>
      </c>
      <c r="AB400" s="1" t="s">
        <v>45</v>
      </c>
      <c r="AC400" s="1">
        <v>4.82011405E8</v>
      </c>
      <c r="AD400" s="1">
        <v>1962224.0</v>
      </c>
      <c r="AE400" s="1" t="s">
        <v>52</v>
      </c>
      <c r="AF400" s="1">
        <v>33086.0</v>
      </c>
      <c r="AG400" s="2">
        <v>41528.0</v>
      </c>
      <c r="AH400" s="1">
        <v>7500.0</v>
      </c>
      <c r="AI400" s="1" t="s">
        <v>40</v>
      </c>
      <c r="AJ400" s="1" t="s">
        <v>1143</v>
      </c>
      <c r="AK400" s="1" t="s">
        <v>1144</v>
      </c>
      <c r="AL400" s="1">
        <v>9.0</v>
      </c>
      <c r="AM400" s="1">
        <v>2013.0</v>
      </c>
      <c r="AN400" s="1">
        <v>2013.0</v>
      </c>
      <c r="AO400" s="1" t="s">
        <v>1145</v>
      </c>
    </row>
    <row r="401">
      <c r="A401" s="5">
        <v>1.0</v>
      </c>
      <c r="B401" s="1">
        <f t="shared" si="1"/>
        <v>401</v>
      </c>
      <c r="C401" s="1" t="s">
        <v>1127</v>
      </c>
      <c r="D401" s="1" t="s">
        <v>1127</v>
      </c>
      <c r="E401" s="1" t="s">
        <v>70</v>
      </c>
      <c r="G401" s="1">
        <v>1.3166814E7</v>
      </c>
      <c r="H401" s="2">
        <v>41183.0</v>
      </c>
      <c r="I401" s="1" t="s">
        <v>1128</v>
      </c>
      <c r="K401" s="1" t="s">
        <v>1128</v>
      </c>
      <c r="N401" s="1" t="s">
        <v>72</v>
      </c>
      <c r="O401" s="1">
        <v>1500.0</v>
      </c>
      <c r="P401" s="1" t="s">
        <v>72</v>
      </c>
      <c r="Q401" s="1" t="str">
        <f>IF(ISERROR(VLOOKUP(P401,'unique fed agency names'!A:C,3,FALSE)),P401,VLOOKUP(P401,'unique fed agency names'!A:C,3,FALSE))
</f>
        <v>U.S. Department of Justice (DOJ)</v>
      </c>
      <c r="R401" s="1">
        <v>1962224.0</v>
      </c>
      <c r="S401" s="1" t="s">
        <v>52</v>
      </c>
      <c r="T401" s="1" t="str">
        <f>IF(ISERROR(VLOOKUP(S401,'unique org names'!A:C,3,FALSE)),S401,VLOOKUP(S401,'unique org names'!A:C,3,FALSE))
</f>
        <v>WAYNE STATE UNIVERSITY</v>
      </c>
      <c r="V401" s="1" t="s">
        <v>53</v>
      </c>
      <c r="W401" s="1" t="s">
        <v>44</v>
      </c>
      <c r="X401" s="1" t="s">
        <v>45</v>
      </c>
      <c r="Y401" s="1">
        <v>4.82023692E8</v>
      </c>
      <c r="AA401" s="1" t="s">
        <v>46</v>
      </c>
      <c r="AB401" s="1" t="s">
        <v>45</v>
      </c>
      <c r="AC401" s="1">
        <v>4.82023692E8</v>
      </c>
      <c r="AD401" s="1">
        <v>1962224.0</v>
      </c>
      <c r="AE401" s="1" t="s">
        <v>52</v>
      </c>
      <c r="AF401" s="1">
        <v>284919.0</v>
      </c>
      <c r="AG401" s="2">
        <v>41183.0</v>
      </c>
      <c r="AH401" s="1">
        <v>1500.0</v>
      </c>
      <c r="AI401" s="1" t="s">
        <v>72</v>
      </c>
      <c r="AJ401" s="1">
        <v>2.0131068E7</v>
      </c>
      <c r="AK401" s="1" t="s">
        <v>1129</v>
      </c>
      <c r="AL401" s="1">
        <v>10.0</v>
      </c>
      <c r="AM401" s="1">
        <v>2010.0</v>
      </c>
      <c r="AN401" s="1">
        <v>2013.0</v>
      </c>
      <c r="AO401" s="1" t="s">
        <v>1130</v>
      </c>
    </row>
    <row r="402">
      <c r="A402" s="5">
        <v>1.0</v>
      </c>
      <c r="B402" s="1">
        <f t="shared" si="1"/>
        <v>402</v>
      </c>
      <c r="C402" s="1" t="s">
        <v>1146</v>
      </c>
      <c r="D402" s="1" t="s">
        <v>1146</v>
      </c>
      <c r="E402" s="1" t="s">
        <v>224</v>
      </c>
      <c r="G402" s="1">
        <v>84690.0</v>
      </c>
      <c r="H402" s="2">
        <v>41521.0</v>
      </c>
      <c r="I402" s="1" t="s">
        <v>1132</v>
      </c>
      <c r="K402" s="1" t="s">
        <v>1132</v>
      </c>
      <c r="N402" s="1" t="s">
        <v>151</v>
      </c>
      <c r="O402" s="1">
        <v>6900.0</v>
      </c>
      <c r="P402" s="1" t="s">
        <v>151</v>
      </c>
      <c r="Q402" s="1" t="str">
        <f>IF(ISERROR(VLOOKUP(P402,'unique fed agency names'!A:C,3,FALSE)),P402,VLOOKUP(P402,'unique fed agency names'!A:C,3,FALSE))
</f>
        <v>U.S. Department of Transportation (DOT)</v>
      </c>
      <c r="R402" s="1">
        <v>1.1855476E8</v>
      </c>
      <c r="S402" s="1" t="s">
        <v>983</v>
      </c>
      <c r="T402" s="1" t="str">
        <f>IF(ISERROR(VLOOKUP(S402,'unique org names'!A:C,3,FALSE)),S402,VLOOKUP(S402,'unique org names'!A:C,3,FALSE))
</f>
        <v>City of Detroit</v>
      </c>
      <c r="U402" s="1" t="s">
        <v>984</v>
      </c>
      <c r="V402" s="1" t="s">
        <v>227</v>
      </c>
      <c r="W402" s="1" t="s">
        <v>44</v>
      </c>
      <c r="X402" s="1" t="s">
        <v>45</v>
      </c>
      <c r="Y402" s="1">
        <v>4.82262886E8</v>
      </c>
      <c r="AA402" s="1" t="s">
        <v>46</v>
      </c>
      <c r="AB402" s="1" t="s">
        <v>45</v>
      </c>
      <c r="AC402" s="1">
        <v>4.82262886E8</v>
      </c>
      <c r="AD402" s="1">
        <v>6530661.0</v>
      </c>
      <c r="AE402" s="1" t="s">
        <v>76</v>
      </c>
      <c r="AF402" s="1">
        <v>84690.96</v>
      </c>
      <c r="AG402" s="2">
        <v>41521.0</v>
      </c>
      <c r="AH402" s="1">
        <v>6900.0</v>
      </c>
      <c r="AI402" s="1" t="s">
        <v>151</v>
      </c>
      <c r="AJ402" s="1">
        <v>1.0</v>
      </c>
      <c r="AK402" s="1" t="s">
        <v>1133</v>
      </c>
      <c r="AL402" s="1">
        <v>10.0</v>
      </c>
      <c r="AM402" s="1">
        <v>2013.0</v>
      </c>
      <c r="AN402" s="1">
        <v>2013.0</v>
      </c>
      <c r="AO402" s="1" t="s">
        <v>229</v>
      </c>
    </row>
    <row r="403">
      <c r="A403" s="5">
        <v>1.0</v>
      </c>
      <c r="B403" s="1">
        <f t="shared" si="1"/>
        <v>403</v>
      </c>
      <c r="C403" s="1" t="s">
        <v>1147</v>
      </c>
      <c r="D403" s="1" t="s">
        <v>1147</v>
      </c>
      <c r="E403" s="1" t="s">
        <v>224</v>
      </c>
      <c r="G403" s="1">
        <v>78114.0</v>
      </c>
      <c r="H403" s="2">
        <v>41535.0</v>
      </c>
      <c r="I403" s="1" t="s">
        <v>1113</v>
      </c>
      <c r="K403" s="1" t="s">
        <v>1113</v>
      </c>
      <c r="N403" s="1" t="s">
        <v>151</v>
      </c>
      <c r="O403" s="1">
        <v>6900.0</v>
      </c>
      <c r="P403" s="1" t="s">
        <v>151</v>
      </c>
      <c r="Q403" s="1" t="str">
        <f>IF(ISERROR(VLOOKUP(P403,'unique fed agency names'!A:C,3,FALSE)),P403,VLOOKUP(P403,'unique fed agency names'!A:C,3,FALSE))
</f>
        <v>U.S. Department of Transportation (DOT)</v>
      </c>
      <c r="R403" s="1">
        <v>1.1855476E8</v>
      </c>
      <c r="S403" s="1" t="s">
        <v>983</v>
      </c>
      <c r="T403" s="1" t="str">
        <f>IF(ISERROR(VLOOKUP(S403,'unique org names'!A:C,3,FALSE)),S403,VLOOKUP(S403,'unique org names'!A:C,3,FALSE))
</f>
        <v>City of Detroit</v>
      </c>
      <c r="U403" s="1" t="s">
        <v>984</v>
      </c>
      <c r="V403" s="1" t="s">
        <v>227</v>
      </c>
      <c r="W403" s="1" t="s">
        <v>44</v>
      </c>
      <c r="X403" s="1" t="s">
        <v>45</v>
      </c>
      <c r="Y403" s="1">
        <v>4.82262886E8</v>
      </c>
      <c r="AA403" s="1" t="s">
        <v>46</v>
      </c>
      <c r="AB403" s="1" t="s">
        <v>45</v>
      </c>
      <c r="AC403" s="1">
        <v>4.82262886E8</v>
      </c>
      <c r="AD403" s="1">
        <v>6530661.0</v>
      </c>
      <c r="AE403" s="1" t="s">
        <v>76</v>
      </c>
      <c r="AF403" s="1">
        <v>78114.53</v>
      </c>
      <c r="AG403" s="2">
        <v>41535.0</v>
      </c>
      <c r="AH403" s="1">
        <v>6900.0</v>
      </c>
      <c r="AI403" s="1" t="s">
        <v>151</v>
      </c>
      <c r="AJ403" s="1">
        <v>1.0</v>
      </c>
      <c r="AK403" s="1" t="s">
        <v>1148</v>
      </c>
      <c r="AL403" s="1">
        <v>10.0</v>
      </c>
      <c r="AM403" s="1">
        <v>2013.0</v>
      </c>
      <c r="AN403" s="1">
        <v>2013.0</v>
      </c>
      <c r="AO403" s="1" t="s">
        <v>229</v>
      </c>
    </row>
    <row r="404">
      <c r="A404" s="5">
        <v>1.0</v>
      </c>
      <c r="B404" s="1">
        <f t="shared" si="1"/>
        <v>404</v>
      </c>
      <c r="C404" s="1" t="s">
        <v>1149</v>
      </c>
      <c r="D404" s="1" t="s">
        <v>1149</v>
      </c>
      <c r="E404" s="1" t="s">
        <v>224</v>
      </c>
      <c r="G404" s="1">
        <v>625207.0</v>
      </c>
      <c r="H404" s="2">
        <v>41521.0</v>
      </c>
      <c r="I404" s="1" t="s">
        <v>1150</v>
      </c>
      <c r="K404" s="1" t="s">
        <v>1150</v>
      </c>
      <c r="N404" s="1" t="s">
        <v>151</v>
      </c>
      <c r="O404" s="1">
        <v>6900.0</v>
      </c>
      <c r="P404" s="1" t="s">
        <v>151</v>
      </c>
      <c r="Q404" s="1" t="str">
        <f>IF(ISERROR(VLOOKUP(P404,'unique fed agency names'!A:C,3,FALSE)),P404,VLOOKUP(P404,'unique fed agency names'!A:C,3,FALSE))
</f>
        <v>U.S. Department of Transportation (DOT)</v>
      </c>
      <c r="R404" s="1">
        <v>9.63886101E8</v>
      </c>
      <c r="S404" s="1" t="s">
        <v>259</v>
      </c>
      <c r="T404" s="1" t="str">
        <f>IF(ISERROR(VLOOKUP(S404,'unique org names'!A:C,3,FALSE)),S404,VLOOKUP(S404,'unique org names'!A:C,3,FALSE))
</f>
        <v>Wayne County</v>
      </c>
      <c r="V404" s="1" t="s">
        <v>260</v>
      </c>
      <c r="W404" s="1" t="s">
        <v>44</v>
      </c>
      <c r="X404" s="1" t="s">
        <v>45</v>
      </c>
      <c r="Y404" s="1">
        <v>4.8226348E8</v>
      </c>
      <c r="AA404" s="1" t="s">
        <v>46</v>
      </c>
      <c r="AB404" s="1" t="s">
        <v>45</v>
      </c>
      <c r="AC404" s="1">
        <v>4.8226348E8</v>
      </c>
      <c r="AD404" s="1">
        <v>7.3134884E7</v>
      </c>
      <c r="AE404" s="1" t="s">
        <v>261</v>
      </c>
      <c r="AF404" s="1">
        <v>625207.54</v>
      </c>
      <c r="AG404" s="2">
        <v>41521.0</v>
      </c>
      <c r="AH404" s="1">
        <v>6900.0</v>
      </c>
      <c r="AI404" s="1" t="s">
        <v>151</v>
      </c>
      <c r="AJ404" s="1">
        <v>1.0</v>
      </c>
      <c r="AK404" s="1" t="s">
        <v>1151</v>
      </c>
      <c r="AL404" s="1">
        <v>10.0</v>
      </c>
      <c r="AM404" s="1">
        <v>2013.0</v>
      </c>
      <c r="AN404" s="1">
        <v>2013.0</v>
      </c>
      <c r="AO404" s="1" t="s">
        <v>229</v>
      </c>
    </row>
    <row r="405">
      <c r="A405" s="5">
        <v>1.0</v>
      </c>
      <c r="B405" s="1">
        <f t="shared" si="1"/>
        <v>405</v>
      </c>
      <c r="C405" s="1" t="s">
        <v>1152</v>
      </c>
      <c r="D405" s="1" t="s">
        <v>1152</v>
      </c>
      <c r="E405" s="1" t="s">
        <v>224</v>
      </c>
      <c r="G405" s="1">
        <v>89805.0</v>
      </c>
      <c r="H405" s="2">
        <v>41521.0</v>
      </c>
      <c r="I405" s="1" t="s">
        <v>1153</v>
      </c>
      <c r="K405" s="1" t="s">
        <v>1153</v>
      </c>
      <c r="N405" s="1" t="s">
        <v>151</v>
      </c>
      <c r="O405" s="1">
        <v>6900.0</v>
      </c>
      <c r="P405" s="1" t="s">
        <v>151</v>
      </c>
      <c r="Q405" s="1" t="str">
        <f>IF(ISERROR(VLOOKUP(P405,'unique fed agency names'!A:C,3,FALSE)),P405,VLOOKUP(P405,'unique fed agency names'!A:C,3,FALSE))
</f>
        <v>U.S. Department of Transportation (DOT)</v>
      </c>
      <c r="R405" s="1">
        <v>9.63886101E8</v>
      </c>
      <c r="S405" s="1" t="s">
        <v>259</v>
      </c>
      <c r="T405" s="1" t="str">
        <f>IF(ISERROR(VLOOKUP(S405,'unique org names'!A:C,3,FALSE)),S405,VLOOKUP(S405,'unique org names'!A:C,3,FALSE))
</f>
        <v>Wayne County</v>
      </c>
      <c r="V405" s="1" t="s">
        <v>260</v>
      </c>
      <c r="W405" s="1" t="s">
        <v>44</v>
      </c>
      <c r="X405" s="1" t="s">
        <v>45</v>
      </c>
      <c r="Y405" s="1">
        <v>4.8226348E8</v>
      </c>
      <c r="AA405" s="1" t="s">
        <v>46</v>
      </c>
      <c r="AB405" s="1" t="s">
        <v>45</v>
      </c>
      <c r="AC405" s="1">
        <v>4.8226348E8</v>
      </c>
      <c r="AD405" s="1">
        <v>7.3134884E7</v>
      </c>
      <c r="AE405" s="1" t="s">
        <v>261</v>
      </c>
      <c r="AF405" s="1">
        <v>89805.0</v>
      </c>
      <c r="AG405" s="2">
        <v>41521.0</v>
      </c>
      <c r="AH405" s="1">
        <v>6900.0</v>
      </c>
      <c r="AI405" s="1" t="s">
        <v>151</v>
      </c>
      <c r="AJ405" s="1">
        <v>1.0</v>
      </c>
      <c r="AK405" s="1" t="s">
        <v>1154</v>
      </c>
      <c r="AL405" s="1">
        <v>10.0</v>
      </c>
      <c r="AM405" s="1">
        <v>2013.0</v>
      </c>
      <c r="AN405" s="1">
        <v>2013.0</v>
      </c>
      <c r="AO405" s="1" t="s">
        <v>229</v>
      </c>
    </row>
    <row r="406">
      <c r="A406" s="5">
        <v>1.0</v>
      </c>
      <c r="B406" s="1">
        <f t="shared" si="1"/>
        <v>406</v>
      </c>
      <c r="C406" s="1" t="s">
        <v>1155</v>
      </c>
      <c r="D406" s="1" t="s">
        <v>1155</v>
      </c>
      <c r="E406" s="1" t="s">
        <v>224</v>
      </c>
      <c r="G406" s="1">
        <v>613717.0</v>
      </c>
      <c r="H406" s="2">
        <v>41523.0</v>
      </c>
      <c r="I406" s="1" t="s">
        <v>1156</v>
      </c>
      <c r="K406" s="1" t="s">
        <v>1156</v>
      </c>
      <c r="N406" s="1" t="s">
        <v>151</v>
      </c>
      <c r="O406" s="1">
        <v>6900.0</v>
      </c>
      <c r="P406" s="1" t="s">
        <v>151</v>
      </c>
      <c r="Q406" s="1" t="str">
        <f>IF(ISERROR(VLOOKUP(P406,'unique fed agency names'!A:C,3,FALSE)),P406,VLOOKUP(P406,'unique fed agency names'!A:C,3,FALSE))
</f>
        <v>U.S. Department of Transportation (DOT)</v>
      </c>
      <c r="R406" s="1">
        <v>9.63886101E8</v>
      </c>
      <c r="S406" s="1" t="s">
        <v>259</v>
      </c>
      <c r="T406" s="1" t="str">
        <f>IF(ISERROR(VLOOKUP(S406,'unique org names'!A:C,3,FALSE)),S406,VLOOKUP(S406,'unique org names'!A:C,3,FALSE))
</f>
        <v>Wayne County</v>
      </c>
      <c r="V406" s="1" t="s">
        <v>260</v>
      </c>
      <c r="W406" s="1" t="s">
        <v>44</v>
      </c>
      <c r="X406" s="1" t="s">
        <v>45</v>
      </c>
      <c r="Y406" s="1">
        <v>4.8226348E8</v>
      </c>
      <c r="AA406" s="1" t="s">
        <v>46</v>
      </c>
      <c r="AB406" s="1" t="s">
        <v>45</v>
      </c>
      <c r="AC406" s="1">
        <v>4.8226348E8</v>
      </c>
      <c r="AD406" s="1">
        <v>7.3134884E7</v>
      </c>
      <c r="AE406" s="1" t="s">
        <v>261</v>
      </c>
      <c r="AF406" s="1">
        <v>613717.52</v>
      </c>
      <c r="AG406" s="2">
        <v>41523.0</v>
      </c>
      <c r="AH406" s="1">
        <v>6900.0</v>
      </c>
      <c r="AI406" s="1" t="s">
        <v>151</v>
      </c>
      <c r="AJ406" s="1">
        <v>1.0</v>
      </c>
      <c r="AK406" s="1" t="s">
        <v>1157</v>
      </c>
      <c r="AL406" s="1">
        <v>10.0</v>
      </c>
      <c r="AM406" s="1">
        <v>2013.0</v>
      </c>
      <c r="AN406" s="1">
        <v>2013.0</v>
      </c>
      <c r="AO406" s="1" t="s">
        <v>229</v>
      </c>
    </row>
    <row r="407">
      <c r="A407" s="5">
        <v>1.0</v>
      </c>
      <c r="B407" s="1">
        <f t="shared" si="1"/>
        <v>407</v>
      </c>
      <c r="C407" s="1" t="s">
        <v>1158</v>
      </c>
      <c r="D407" s="1" t="s">
        <v>1158</v>
      </c>
      <c r="E407" s="1" t="s">
        <v>224</v>
      </c>
      <c r="G407" s="1">
        <v>409260.0</v>
      </c>
      <c r="H407" s="2">
        <v>41523.0</v>
      </c>
      <c r="I407" s="1" t="s">
        <v>1159</v>
      </c>
      <c r="K407" s="1" t="s">
        <v>1159</v>
      </c>
      <c r="N407" s="1" t="s">
        <v>151</v>
      </c>
      <c r="O407" s="1">
        <v>6900.0</v>
      </c>
      <c r="P407" s="1" t="s">
        <v>151</v>
      </c>
      <c r="Q407" s="1" t="str">
        <f>IF(ISERROR(VLOOKUP(P407,'unique fed agency names'!A:C,3,FALSE)),P407,VLOOKUP(P407,'unique fed agency names'!A:C,3,FALSE))
</f>
        <v>U.S. Department of Transportation (DOT)</v>
      </c>
      <c r="R407" s="1">
        <v>9.63886101E8</v>
      </c>
      <c r="S407" s="1" t="s">
        <v>259</v>
      </c>
      <c r="T407" s="1" t="str">
        <f>IF(ISERROR(VLOOKUP(S407,'unique org names'!A:C,3,FALSE)),S407,VLOOKUP(S407,'unique org names'!A:C,3,FALSE))
</f>
        <v>Wayne County</v>
      </c>
      <c r="V407" s="1" t="s">
        <v>260</v>
      </c>
      <c r="W407" s="1" t="s">
        <v>44</v>
      </c>
      <c r="X407" s="1" t="s">
        <v>45</v>
      </c>
      <c r="Y407" s="1">
        <v>4.8226348E8</v>
      </c>
      <c r="AA407" s="1" t="s">
        <v>46</v>
      </c>
      <c r="AB407" s="1" t="s">
        <v>45</v>
      </c>
      <c r="AC407" s="1">
        <v>4.8226348E8</v>
      </c>
      <c r="AD407" s="1">
        <v>7.3134884E7</v>
      </c>
      <c r="AE407" s="1" t="s">
        <v>261</v>
      </c>
      <c r="AF407" s="1">
        <v>409260.83</v>
      </c>
      <c r="AG407" s="2">
        <v>41523.0</v>
      </c>
      <c r="AH407" s="1">
        <v>6900.0</v>
      </c>
      <c r="AI407" s="1" t="s">
        <v>151</v>
      </c>
      <c r="AJ407" s="1">
        <v>1.0</v>
      </c>
      <c r="AK407" s="1" t="s">
        <v>1160</v>
      </c>
      <c r="AL407" s="1">
        <v>10.0</v>
      </c>
      <c r="AM407" s="1">
        <v>2013.0</v>
      </c>
      <c r="AN407" s="1">
        <v>2013.0</v>
      </c>
      <c r="AO407" s="1" t="s">
        <v>229</v>
      </c>
    </row>
    <row r="408">
      <c r="A408" s="5">
        <v>1.0</v>
      </c>
      <c r="B408" s="1">
        <f t="shared" si="1"/>
        <v>408</v>
      </c>
      <c r="C408" s="1" t="s">
        <v>1161</v>
      </c>
      <c r="D408" s="1" t="s">
        <v>1161</v>
      </c>
      <c r="E408" s="1" t="s">
        <v>224</v>
      </c>
      <c r="G408" s="1">
        <v>38529.0</v>
      </c>
      <c r="H408" s="2">
        <v>41527.0</v>
      </c>
      <c r="I408" s="1" t="s">
        <v>1162</v>
      </c>
      <c r="K408" s="1" t="s">
        <v>1162</v>
      </c>
      <c r="N408" s="1" t="s">
        <v>151</v>
      </c>
      <c r="O408" s="1">
        <v>6900.0</v>
      </c>
      <c r="P408" s="1" t="s">
        <v>151</v>
      </c>
      <c r="Q408" s="1" t="str">
        <f>IF(ISERROR(VLOOKUP(P408,'unique fed agency names'!A:C,3,FALSE)),P408,VLOOKUP(P408,'unique fed agency names'!A:C,3,FALSE))
</f>
        <v>U.S. Department of Transportation (DOT)</v>
      </c>
      <c r="R408" s="1">
        <v>9.63886101E8</v>
      </c>
      <c r="S408" s="1" t="s">
        <v>259</v>
      </c>
      <c r="T408" s="1" t="str">
        <f>IF(ISERROR(VLOOKUP(S408,'unique org names'!A:C,3,FALSE)),S408,VLOOKUP(S408,'unique org names'!A:C,3,FALSE))
</f>
        <v>Wayne County</v>
      </c>
      <c r="V408" s="1" t="s">
        <v>260</v>
      </c>
      <c r="W408" s="1" t="s">
        <v>44</v>
      </c>
      <c r="X408" s="1" t="s">
        <v>45</v>
      </c>
      <c r="Y408" s="1">
        <v>4.8226348E8</v>
      </c>
      <c r="AA408" s="1" t="s">
        <v>46</v>
      </c>
      <c r="AB408" s="1" t="s">
        <v>45</v>
      </c>
      <c r="AC408" s="1">
        <v>4.8226348E8</v>
      </c>
      <c r="AD408" s="1">
        <v>7.3134884E7</v>
      </c>
      <c r="AE408" s="1" t="s">
        <v>261</v>
      </c>
      <c r="AF408" s="1">
        <v>38529.96</v>
      </c>
      <c r="AG408" s="2">
        <v>41527.0</v>
      </c>
      <c r="AH408" s="1">
        <v>6900.0</v>
      </c>
      <c r="AI408" s="1" t="s">
        <v>151</v>
      </c>
      <c r="AJ408" s="1">
        <v>1.0</v>
      </c>
      <c r="AK408" s="1" t="s">
        <v>1163</v>
      </c>
      <c r="AL408" s="1">
        <v>10.0</v>
      </c>
      <c r="AM408" s="1">
        <v>2013.0</v>
      </c>
      <c r="AN408" s="1">
        <v>2013.0</v>
      </c>
      <c r="AO408" s="1" t="s">
        <v>229</v>
      </c>
    </row>
    <row r="409">
      <c r="A409" s="5">
        <v>1.0</v>
      </c>
      <c r="B409" s="1">
        <f t="shared" si="1"/>
        <v>409</v>
      </c>
      <c r="C409" s="1" t="s">
        <v>1164</v>
      </c>
      <c r="D409" s="1" t="s">
        <v>1164</v>
      </c>
      <c r="E409" s="1" t="s">
        <v>224</v>
      </c>
      <c r="G409" s="1">
        <v>217503.0</v>
      </c>
      <c r="H409" s="2">
        <v>41529.0</v>
      </c>
      <c r="I409" s="1" t="s">
        <v>1165</v>
      </c>
      <c r="K409" s="1" t="s">
        <v>1165</v>
      </c>
      <c r="N409" s="1" t="s">
        <v>151</v>
      </c>
      <c r="O409" s="1">
        <v>6900.0</v>
      </c>
      <c r="P409" s="1" t="s">
        <v>151</v>
      </c>
      <c r="Q409" s="1" t="str">
        <f>IF(ISERROR(VLOOKUP(P409,'unique fed agency names'!A:C,3,FALSE)),P409,VLOOKUP(P409,'unique fed agency names'!A:C,3,FALSE))
</f>
        <v>U.S. Department of Transportation (DOT)</v>
      </c>
      <c r="R409" s="1">
        <v>9.63886101E8</v>
      </c>
      <c r="S409" s="1" t="s">
        <v>259</v>
      </c>
      <c r="T409" s="1" t="str">
        <f>IF(ISERROR(VLOOKUP(S409,'unique org names'!A:C,3,FALSE)),S409,VLOOKUP(S409,'unique org names'!A:C,3,FALSE))
</f>
        <v>Wayne County</v>
      </c>
      <c r="V409" s="1" t="s">
        <v>260</v>
      </c>
      <c r="W409" s="1" t="s">
        <v>44</v>
      </c>
      <c r="X409" s="1" t="s">
        <v>45</v>
      </c>
      <c r="Y409" s="1">
        <v>4.8226348E8</v>
      </c>
      <c r="AA409" s="1" t="s">
        <v>46</v>
      </c>
      <c r="AB409" s="1" t="s">
        <v>45</v>
      </c>
      <c r="AC409" s="1">
        <v>4.8226348E8</v>
      </c>
      <c r="AD409" s="1">
        <v>7.3134884E7</v>
      </c>
      <c r="AE409" s="1" t="s">
        <v>261</v>
      </c>
      <c r="AF409" s="1">
        <v>217503.75</v>
      </c>
      <c r="AG409" s="2">
        <v>41529.0</v>
      </c>
      <c r="AH409" s="1">
        <v>6900.0</v>
      </c>
      <c r="AI409" s="1" t="s">
        <v>151</v>
      </c>
      <c r="AJ409" s="1">
        <v>1.0</v>
      </c>
      <c r="AK409" s="1" t="s">
        <v>1166</v>
      </c>
      <c r="AL409" s="1">
        <v>10.0</v>
      </c>
      <c r="AM409" s="1">
        <v>2013.0</v>
      </c>
      <c r="AN409" s="1">
        <v>2013.0</v>
      </c>
      <c r="AO409" s="1" t="s">
        <v>229</v>
      </c>
    </row>
    <row r="410">
      <c r="A410" s="5">
        <v>1.0</v>
      </c>
      <c r="B410" s="1">
        <f t="shared" si="1"/>
        <v>410</v>
      </c>
      <c r="C410" s="1" t="s">
        <v>1167</v>
      </c>
      <c r="D410" s="1" t="s">
        <v>1167</v>
      </c>
      <c r="E410" s="1" t="s">
        <v>194</v>
      </c>
      <c r="G410" s="1">
        <v>5.38112E8</v>
      </c>
      <c r="H410" s="2">
        <v>41414.0</v>
      </c>
      <c r="I410" s="1" t="s">
        <v>1168</v>
      </c>
      <c r="K410" s="1" t="s">
        <v>1168</v>
      </c>
      <c r="N410" s="1" t="s">
        <v>194</v>
      </c>
      <c r="O410" s="1">
        <v>9100.0</v>
      </c>
      <c r="P410" s="1" t="s">
        <v>194</v>
      </c>
      <c r="Q410" s="1" t="str">
        <f>IF(ISERROR(VLOOKUP(P410,'unique fed agency names'!A:C,3,FALSE)),P410,VLOOKUP(P410,'unique fed agency names'!A:C,3,FALSE))
</f>
        <v>U.S. Department of Education (ED)</v>
      </c>
      <c r="R410" s="1">
        <v>7.6340843E7</v>
      </c>
      <c r="S410" s="1" t="s">
        <v>461</v>
      </c>
      <c r="T410" s="1" t="str">
        <f>IF(ISERROR(VLOOKUP(S410,'unique org names'!A:C,3,FALSE)),S410,VLOOKUP(S410,'unique org names'!A:C,3,FALSE))
</f>
        <v>BOARD OF EDUCATION OF THE CITY OF DETROIT</v>
      </c>
      <c r="U410" s="1" t="s">
        <v>459</v>
      </c>
      <c r="V410" s="1" t="s">
        <v>524</v>
      </c>
      <c r="W410" s="1" t="s">
        <v>44</v>
      </c>
      <c r="X410" s="1" t="s">
        <v>45</v>
      </c>
      <c r="Y410" s="1">
        <v>4.82023046E8</v>
      </c>
      <c r="AA410" s="1" t="s">
        <v>44</v>
      </c>
      <c r="AB410" s="1" t="s">
        <v>45</v>
      </c>
      <c r="AC410" s="1">
        <v>4.82023096E8</v>
      </c>
      <c r="AD410" s="1">
        <v>7.6340843E7</v>
      </c>
      <c r="AE410" s="1" t="s">
        <v>461</v>
      </c>
      <c r="AF410" s="1">
        <v>480963.0</v>
      </c>
      <c r="AG410" s="2">
        <v>41414.0</v>
      </c>
      <c r="AH410" s="1">
        <v>9100.0</v>
      </c>
      <c r="AI410" s="1" t="s">
        <v>194</v>
      </c>
      <c r="AJ410" s="1" t="s">
        <v>1169</v>
      </c>
      <c r="AK410" s="1" t="s">
        <v>1170</v>
      </c>
      <c r="AL410" s="1">
        <v>11.0</v>
      </c>
      <c r="AM410" s="1">
        <v>2013.0</v>
      </c>
      <c r="AN410" s="1">
        <v>2013.0</v>
      </c>
      <c r="AO410" s="1" t="s">
        <v>1171</v>
      </c>
    </row>
    <row r="411">
      <c r="A411" s="5">
        <v>1.0</v>
      </c>
      <c r="B411" s="1">
        <f t="shared" si="1"/>
        <v>411</v>
      </c>
      <c r="C411" s="1" t="s">
        <v>1167</v>
      </c>
      <c r="D411" s="1" t="s">
        <v>1167</v>
      </c>
      <c r="E411" s="1" t="s">
        <v>194</v>
      </c>
      <c r="G411" s="1">
        <v>5.38112E8</v>
      </c>
      <c r="H411" s="2">
        <v>41409.0</v>
      </c>
      <c r="I411" s="1" t="s">
        <v>1168</v>
      </c>
      <c r="K411" s="1" t="s">
        <v>1168</v>
      </c>
      <c r="N411" s="1" t="s">
        <v>194</v>
      </c>
      <c r="O411" s="1">
        <v>9100.0</v>
      </c>
      <c r="P411" s="1" t="s">
        <v>194</v>
      </c>
      <c r="Q411" s="1" t="str">
        <f>IF(ISERROR(VLOOKUP(P411,'unique fed agency names'!A:C,3,FALSE)),P411,VLOOKUP(P411,'unique fed agency names'!A:C,3,FALSE))
</f>
        <v>U.S. Department of Education (ED)</v>
      </c>
      <c r="R411" s="1">
        <v>1.9859285E7</v>
      </c>
      <c r="S411" s="1" t="s">
        <v>1172</v>
      </c>
      <c r="T411" s="1" t="str">
        <f>IF(ISERROR(VLOOKUP(S411,'unique org names'!A:C,3,FALSE)),S411,VLOOKUP(S411,'unique org names'!A:C,3,FALSE))
</f>
        <v>Madison Carver Academy</v>
      </c>
      <c r="V411" s="1" t="s">
        <v>1173</v>
      </c>
      <c r="W411" s="1" t="s">
        <v>44</v>
      </c>
      <c r="X411" s="1" t="s">
        <v>45</v>
      </c>
      <c r="Y411" s="1">
        <v>4.82191263E8</v>
      </c>
      <c r="AA411" s="1" t="s">
        <v>44</v>
      </c>
      <c r="AB411" s="1" t="s">
        <v>45</v>
      </c>
      <c r="AC411" s="1">
        <v>4.82191263E8</v>
      </c>
      <c r="AD411" s="1">
        <v>2.0836854E7</v>
      </c>
      <c r="AE411" s="1" t="s">
        <v>1174</v>
      </c>
      <c r="AF411" s="1">
        <v>48598.0</v>
      </c>
      <c r="AG411" s="2">
        <v>41409.0</v>
      </c>
      <c r="AH411" s="1">
        <v>9100.0</v>
      </c>
      <c r="AI411" s="1" t="s">
        <v>194</v>
      </c>
      <c r="AJ411" s="1" t="s">
        <v>1175</v>
      </c>
      <c r="AK411" s="1" t="s">
        <v>1170</v>
      </c>
      <c r="AL411" s="1">
        <v>11.0</v>
      </c>
      <c r="AM411" s="1">
        <v>2013.0</v>
      </c>
      <c r="AN411" s="1">
        <v>2013.0</v>
      </c>
      <c r="AO411" s="1" t="s">
        <v>1171</v>
      </c>
    </row>
    <row r="412">
      <c r="A412" s="5">
        <v>1.0</v>
      </c>
      <c r="B412" s="1">
        <f t="shared" si="1"/>
        <v>412</v>
      </c>
      <c r="C412" s="1" t="s">
        <v>1167</v>
      </c>
      <c r="D412" s="1" t="s">
        <v>1167</v>
      </c>
      <c r="E412" s="1" t="s">
        <v>194</v>
      </c>
      <c r="G412" s="1">
        <v>5.38112E8</v>
      </c>
      <c r="H412" s="2">
        <v>41386.0</v>
      </c>
      <c r="I412" s="1" t="s">
        <v>1168</v>
      </c>
      <c r="K412" s="1" t="s">
        <v>1168</v>
      </c>
      <c r="N412" s="1" t="s">
        <v>194</v>
      </c>
      <c r="O412" s="1">
        <v>9100.0</v>
      </c>
      <c r="P412" s="1" t="s">
        <v>194</v>
      </c>
      <c r="Q412" s="1" t="str">
        <f>IF(ISERROR(VLOOKUP(P412,'unique fed agency names'!A:C,3,FALSE)),P412,VLOOKUP(P412,'unique fed agency names'!A:C,3,FALSE))
</f>
        <v>U.S. Department of Education (ED)</v>
      </c>
      <c r="R412" s="1">
        <v>7.8465647E7</v>
      </c>
      <c r="S412" s="1" t="s">
        <v>1176</v>
      </c>
      <c r="T412" s="1" t="str">
        <f>IF(ISERROR(VLOOKUP(S412,'unique org names'!A:C,3,FALSE)),S412,VLOOKUP(S412,'unique org names'!A:C,3,FALSE))
</f>
        <v>DETROIT INNOVATION ACADEMY</v>
      </c>
      <c r="U412" s="1" t="s">
        <v>1177</v>
      </c>
      <c r="V412" s="1" t="s">
        <v>1178</v>
      </c>
      <c r="W412" s="1" t="s">
        <v>44</v>
      </c>
      <c r="X412" s="1" t="s">
        <v>45</v>
      </c>
      <c r="Y412" s="1">
        <v>4.82281142E8</v>
      </c>
      <c r="AA412" s="1" t="s">
        <v>44</v>
      </c>
      <c r="AB412" s="1" t="s">
        <v>45</v>
      </c>
      <c r="AC412" s="1">
        <v>4.82281142E8</v>
      </c>
      <c r="AD412" s="1">
        <v>7.2590433E7</v>
      </c>
      <c r="AE412" s="1" t="s">
        <v>1179</v>
      </c>
      <c r="AF412" s="1">
        <v>108748.0</v>
      </c>
      <c r="AG412" s="2">
        <v>41386.0</v>
      </c>
      <c r="AH412" s="1">
        <v>9100.0</v>
      </c>
      <c r="AI412" s="1" t="s">
        <v>194</v>
      </c>
      <c r="AJ412" s="1" t="s">
        <v>1180</v>
      </c>
      <c r="AK412" s="1" t="s">
        <v>1170</v>
      </c>
      <c r="AL412" s="1">
        <v>11.0</v>
      </c>
      <c r="AM412" s="1">
        <v>2013.0</v>
      </c>
      <c r="AN412" s="1">
        <v>2013.0</v>
      </c>
      <c r="AO412" s="1" t="s">
        <v>1171</v>
      </c>
    </row>
    <row r="413">
      <c r="A413" s="5">
        <v>1.0</v>
      </c>
      <c r="B413" s="1">
        <f t="shared" si="1"/>
        <v>413</v>
      </c>
      <c r="C413" s="1" t="s">
        <v>1167</v>
      </c>
      <c r="D413" s="1" t="s">
        <v>1167</v>
      </c>
      <c r="E413" s="1" t="s">
        <v>194</v>
      </c>
      <c r="G413" s="1">
        <v>5.38112E8</v>
      </c>
      <c r="H413" s="2">
        <v>41367.0</v>
      </c>
      <c r="I413" s="1" t="s">
        <v>1168</v>
      </c>
      <c r="K413" s="1" t="s">
        <v>1168</v>
      </c>
      <c r="N413" s="1" t="s">
        <v>194</v>
      </c>
      <c r="O413" s="1">
        <v>9100.0</v>
      </c>
      <c r="P413" s="1" t="s">
        <v>194</v>
      </c>
      <c r="Q413" s="1" t="str">
        <f>IF(ISERROR(VLOOKUP(P413,'unique fed agency names'!A:C,3,FALSE)),P413,VLOOKUP(P413,'unique fed agency names'!A:C,3,FALSE))
</f>
        <v>U.S. Department of Education (ED)</v>
      </c>
      <c r="R413" s="1">
        <v>2.496865E7</v>
      </c>
      <c r="S413" s="1" t="s">
        <v>609</v>
      </c>
      <c r="T413" s="1" t="str">
        <f>IF(ISERROR(VLOOKUP(S413,'unique org names'!A:C,3,FALSE)),S413,VLOOKUP(S413,'unique org names'!A:C,3,FALSE))
</f>
        <v>Jalen Rose Leadership Academy</v>
      </c>
      <c r="U413" s="1" t="s">
        <v>1181</v>
      </c>
      <c r="V413" s="1" t="s">
        <v>610</v>
      </c>
      <c r="W413" s="1" t="s">
        <v>44</v>
      </c>
      <c r="X413" s="1" t="s">
        <v>45</v>
      </c>
      <c r="Y413" s="1">
        <v>4.8235168E8</v>
      </c>
      <c r="AA413" s="1" t="s">
        <v>46</v>
      </c>
      <c r="AB413" s="1" t="s">
        <v>45</v>
      </c>
      <c r="AC413" s="1">
        <v>4.8235168E8</v>
      </c>
      <c r="AD413" s="1">
        <v>3.9866926E7</v>
      </c>
      <c r="AE413" s="1" t="s">
        <v>1182</v>
      </c>
      <c r="AF413" s="1">
        <v>163848.0</v>
      </c>
      <c r="AG413" s="2">
        <v>41367.0</v>
      </c>
      <c r="AH413" s="1">
        <v>9100.0</v>
      </c>
      <c r="AI413" s="1" t="s">
        <v>194</v>
      </c>
      <c r="AJ413" s="1" t="s">
        <v>1183</v>
      </c>
      <c r="AK413" s="1" t="s">
        <v>1170</v>
      </c>
      <c r="AL413" s="1">
        <v>11.0</v>
      </c>
      <c r="AM413" s="1">
        <v>2013.0</v>
      </c>
      <c r="AN413" s="1">
        <v>2013.0</v>
      </c>
      <c r="AO413" s="1" t="s">
        <v>1171</v>
      </c>
    </row>
    <row r="414">
      <c r="A414" s="5">
        <v>1.0</v>
      </c>
      <c r="B414" s="1">
        <f t="shared" si="1"/>
        <v>414</v>
      </c>
      <c r="C414" s="1" t="s">
        <v>1167</v>
      </c>
      <c r="D414" s="1" t="s">
        <v>1167</v>
      </c>
      <c r="E414" s="1" t="s">
        <v>194</v>
      </c>
      <c r="G414" s="1">
        <v>5.38112E8</v>
      </c>
      <c r="H414" s="2">
        <v>41358.0</v>
      </c>
      <c r="I414" s="1" t="s">
        <v>1168</v>
      </c>
      <c r="K414" s="1" t="s">
        <v>1168</v>
      </c>
      <c r="N414" s="1" t="s">
        <v>194</v>
      </c>
      <c r="O414" s="1">
        <v>9100.0</v>
      </c>
      <c r="P414" s="1" t="s">
        <v>194</v>
      </c>
      <c r="Q414" s="1" t="str">
        <f>IF(ISERROR(VLOOKUP(P414,'unique fed agency names'!A:C,3,FALSE)),P414,VLOOKUP(P414,'unique fed agency names'!A:C,3,FALSE))
</f>
        <v>U.S. Department of Education (ED)</v>
      </c>
      <c r="R414" s="1">
        <v>7.8498569E7</v>
      </c>
      <c r="S414" s="1" t="s">
        <v>1184</v>
      </c>
      <c r="T414" s="1" t="str">
        <f>IF(ISERROR(VLOOKUP(S414,'unique org names'!A:C,3,FALSE)),S414,VLOOKUP(S414,'unique org names'!A:C,3,FALSE))
</f>
        <v>Academy Of International Studies</v>
      </c>
      <c r="V414" s="1" t="s">
        <v>506</v>
      </c>
      <c r="W414" s="1" t="s">
        <v>44</v>
      </c>
      <c r="X414" s="1" t="s">
        <v>45</v>
      </c>
      <c r="Y414" s="1">
        <v>4.82123572E8</v>
      </c>
      <c r="AA414" s="1" t="s">
        <v>498</v>
      </c>
      <c r="AB414" s="1" t="s">
        <v>45</v>
      </c>
      <c r="AC414" s="1">
        <v>4.82123572E8</v>
      </c>
      <c r="AD414" s="1">
        <v>8.0492697E7</v>
      </c>
      <c r="AE414" s="1" t="s">
        <v>499</v>
      </c>
      <c r="AF414" s="1">
        <v>46932.0</v>
      </c>
      <c r="AG414" s="2">
        <v>41358.0</v>
      </c>
      <c r="AH414" s="1">
        <v>9100.0</v>
      </c>
      <c r="AI414" s="1" t="s">
        <v>194</v>
      </c>
      <c r="AJ414" s="1" t="s">
        <v>1185</v>
      </c>
      <c r="AK414" s="1" t="s">
        <v>1170</v>
      </c>
      <c r="AL414" s="1">
        <v>11.0</v>
      </c>
      <c r="AM414" s="1">
        <v>2013.0</v>
      </c>
      <c r="AN414" s="1">
        <v>2013.0</v>
      </c>
      <c r="AO414" s="1" t="s">
        <v>1171</v>
      </c>
    </row>
    <row r="415">
      <c r="A415" s="5">
        <v>1.0</v>
      </c>
      <c r="B415" s="1">
        <f t="shared" si="1"/>
        <v>415</v>
      </c>
      <c r="C415" s="1" t="s">
        <v>1167</v>
      </c>
      <c r="D415" s="1" t="s">
        <v>1167</v>
      </c>
      <c r="E415" s="1" t="s">
        <v>194</v>
      </c>
      <c r="G415" s="1">
        <v>5.38112E8</v>
      </c>
      <c r="H415" s="2">
        <v>41353.0</v>
      </c>
      <c r="I415" s="1" t="s">
        <v>1168</v>
      </c>
      <c r="K415" s="1" t="s">
        <v>1168</v>
      </c>
      <c r="N415" s="1" t="s">
        <v>194</v>
      </c>
      <c r="O415" s="1">
        <v>9100.0</v>
      </c>
      <c r="P415" s="1" t="s">
        <v>194</v>
      </c>
      <c r="Q415" s="1" t="str">
        <f>IF(ISERROR(VLOOKUP(P415,'unique fed agency names'!A:C,3,FALSE)),P415,VLOOKUP(P415,'unique fed agency names'!A:C,3,FALSE))
</f>
        <v>U.S. Department of Education (ED)</v>
      </c>
      <c r="R415" s="1">
        <v>1.47777952E8</v>
      </c>
      <c r="S415" s="1" t="s">
        <v>459</v>
      </c>
      <c r="T415" s="1" t="str">
        <f>IF(ISERROR(VLOOKUP(S415,'unique org names'!A:C,3,FALSE)),S415,VLOOKUP(S415,'unique org names'!A:C,3,FALSE))
</f>
        <v>DETROIT PUBLIC SCHOOLS</v>
      </c>
      <c r="U415" s="1" t="s">
        <v>626</v>
      </c>
      <c r="V415" s="1" t="s">
        <v>627</v>
      </c>
      <c r="W415" s="1" t="s">
        <v>44</v>
      </c>
      <c r="X415" s="1" t="s">
        <v>45</v>
      </c>
      <c r="Y415" s="1">
        <v>4.82072112E8</v>
      </c>
      <c r="AA415" s="1" t="s">
        <v>44</v>
      </c>
      <c r="AB415" s="1" t="s">
        <v>45</v>
      </c>
      <c r="AC415" s="1">
        <v>4.82072112E8</v>
      </c>
      <c r="AD415" s="1">
        <v>7.6340843E7</v>
      </c>
      <c r="AE415" s="1" t="s">
        <v>461</v>
      </c>
      <c r="AF415" s="1">
        <v>397088.0</v>
      </c>
      <c r="AG415" s="2">
        <v>41353.0</v>
      </c>
      <c r="AH415" s="1">
        <v>9100.0</v>
      </c>
      <c r="AI415" s="1" t="s">
        <v>194</v>
      </c>
      <c r="AJ415" s="1" t="s">
        <v>1186</v>
      </c>
      <c r="AK415" s="1" t="s">
        <v>1170</v>
      </c>
      <c r="AL415" s="1">
        <v>11.0</v>
      </c>
      <c r="AM415" s="1">
        <v>2013.0</v>
      </c>
      <c r="AN415" s="1">
        <v>2013.0</v>
      </c>
      <c r="AO415" s="1" t="s">
        <v>1171</v>
      </c>
    </row>
    <row r="416">
      <c r="A416" s="5">
        <v>1.0</v>
      </c>
      <c r="B416" s="1">
        <f t="shared" si="1"/>
        <v>416</v>
      </c>
      <c r="C416" s="1" t="s">
        <v>1167</v>
      </c>
      <c r="D416" s="1" t="s">
        <v>1167</v>
      </c>
      <c r="E416" s="1" t="s">
        <v>194</v>
      </c>
      <c r="G416" s="1">
        <v>5.38112E8</v>
      </c>
      <c r="H416" s="2">
        <v>41351.0</v>
      </c>
      <c r="I416" s="1" t="s">
        <v>1168</v>
      </c>
      <c r="K416" s="1" t="s">
        <v>1168</v>
      </c>
      <c r="N416" s="1" t="s">
        <v>194</v>
      </c>
      <c r="O416" s="1">
        <v>9100.0</v>
      </c>
      <c r="P416" s="1" t="s">
        <v>194</v>
      </c>
      <c r="Q416" s="1" t="str">
        <f>IF(ISERROR(VLOOKUP(P416,'unique fed agency names'!A:C,3,FALSE)),P416,VLOOKUP(P416,'unique fed agency names'!A:C,3,FALSE))
</f>
        <v>U.S. Department of Education (ED)</v>
      </c>
      <c r="R416" s="1">
        <v>8.0463354E7</v>
      </c>
      <c r="S416" s="1" t="s">
        <v>518</v>
      </c>
      <c r="T416" s="1" t="str">
        <f>IF(ISERROR(VLOOKUP(S416,'unique org names'!A:C,3,FALSE)),S416,VLOOKUP(S416,'unique org names'!A:C,3,FALSE))
</f>
        <v>UNIVERSAL ACADEMY</v>
      </c>
      <c r="V416" s="1" t="s">
        <v>519</v>
      </c>
      <c r="W416" s="1" t="s">
        <v>44</v>
      </c>
      <c r="X416" s="1" t="s">
        <v>45</v>
      </c>
      <c r="Y416" s="1">
        <v>4.82102105E8</v>
      </c>
      <c r="AA416" s="1" t="s">
        <v>44</v>
      </c>
      <c r="AB416" s="1" t="s">
        <v>45</v>
      </c>
      <c r="AC416" s="1">
        <v>4.82102105E8</v>
      </c>
      <c r="AD416" s="1">
        <v>9.6829635E7</v>
      </c>
      <c r="AE416" s="1" t="s">
        <v>1187</v>
      </c>
      <c r="AF416" s="1">
        <v>634152.0</v>
      </c>
      <c r="AG416" s="2">
        <v>41351.0</v>
      </c>
      <c r="AH416" s="1">
        <v>9100.0</v>
      </c>
      <c r="AI416" s="1" t="s">
        <v>194</v>
      </c>
      <c r="AJ416" s="1" t="s">
        <v>1188</v>
      </c>
      <c r="AK416" s="1" t="s">
        <v>1170</v>
      </c>
      <c r="AL416" s="1">
        <v>11.0</v>
      </c>
      <c r="AM416" s="1">
        <v>2013.0</v>
      </c>
      <c r="AN416" s="1">
        <v>2013.0</v>
      </c>
      <c r="AO416" s="1" t="s">
        <v>1171</v>
      </c>
    </row>
    <row r="417">
      <c r="A417" s="5">
        <v>1.0</v>
      </c>
      <c r="B417" s="1">
        <f t="shared" si="1"/>
        <v>417</v>
      </c>
      <c r="C417" s="1" t="s">
        <v>1167</v>
      </c>
      <c r="D417" s="1" t="s">
        <v>1167</v>
      </c>
      <c r="E417" s="1" t="s">
        <v>194</v>
      </c>
      <c r="G417" s="1">
        <v>5.38112E8</v>
      </c>
      <c r="H417" s="2">
        <v>41351.0</v>
      </c>
      <c r="I417" s="1" t="s">
        <v>1168</v>
      </c>
      <c r="K417" s="1" t="s">
        <v>1168</v>
      </c>
      <c r="N417" s="1" t="s">
        <v>194</v>
      </c>
      <c r="O417" s="1">
        <v>9100.0</v>
      </c>
      <c r="P417" s="1" t="s">
        <v>194</v>
      </c>
      <c r="Q417" s="1" t="str">
        <f>IF(ISERROR(VLOOKUP(P417,'unique fed agency names'!A:C,3,FALSE)),P417,VLOOKUP(P417,'unique fed agency names'!A:C,3,FALSE))
</f>
        <v>U.S. Department of Education (ED)</v>
      </c>
      <c r="R417" s="1">
        <v>9.6578333E8</v>
      </c>
      <c r="S417" s="1" t="s">
        <v>641</v>
      </c>
      <c r="T417" s="1" t="str">
        <f>IF(ISERROR(VLOOKUP(S417,'unique org names'!A:C,3,FALSE)),S417,VLOOKUP(S417,'unique org names'!A:C,3,FALSE))
</f>
        <v>COVENANT HOUSE ACADEMY EAST</v>
      </c>
      <c r="V417" s="1" t="s">
        <v>642</v>
      </c>
      <c r="W417" s="1" t="s">
        <v>44</v>
      </c>
      <c r="X417" s="1" t="s">
        <v>45</v>
      </c>
      <c r="Y417" s="1">
        <v>4.82141762E8</v>
      </c>
      <c r="AA417" s="1" t="s">
        <v>44</v>
      </c>
      <c r="AB417" s="1" t="s">
        <v>45</v>
      </c>
      <c r="AC417" s="1">
        <v>4.82141762E8</v>
      </c>
      <c r="AD417" s="1">
        <v>9.6318522E7</v>
      </c>
      <c r="AE417" s="1" t="s">
        <v>1189</v>
      </c>
      <c r="AF417" s="1">
        <v>547791.0</v>
      </c>
      <c r="AG417" s="2">
        <v>41351.0</v>
      </c>
      <c r="AH417" s="1">
        <v>9100.0</v>
      </c>
      <c r="AI417" s="1" t="s">
        <v>194</v>
      </c>
      <c r="AJ417" s="1" t="s">
        <v>1190</v>
      </c>
      <c r="AK417" s="1" t="s">
        <v>1170</v>
      </c>
      <c r="AL417" s="1">
        <v>11.0</v>
      </c>
      <c r="AM417" s="1">
        <v>2013.0</v>
      </c>
      <c r="AN417" s="1">
        <v>2013.0</v>
      </c>
      <c r="AO417" s="1" t="s">
        <v>1171</v>
      </c>
    </row>
    <row r="418">
      <c r="A418" s="5">
        <v>1.0</v>
      </c>
      <c r="B418" s="1">
        <f t="shared" si="1"/>
        <v>418</v>
      </c>
      <c r="C418" s="1" t="s">
        <v>1167</v>
      </c>
      <c r="D418" s="1" t="s">
        <v>1167</v>
      </c>
      <c r="E418" s="1" t="s">
        <v>194</v>
      </c>
      <c r="G418" s="1">
        <v>5.38112E8</v>
      </c>
      <c r="H418" s="2">
        <v>41351.0</v>
      </c>
      <c r="I418" s="1" t="s">
        <v>1168</v>
      </c>
      <c r="K418" s="1" t="s">
        <v>1168</v>
      </c>
      <c r="N418" s="1" t="s">
        <v>194</v>
      </c>
      <c r="O418" s="1">
        <v>9100.0</v>
      </c>
      <c r="P418" s="1" t="s">
        <v>194</v>
      </c>
      <c r="Q418" s="1" t="str">
        <f>IF(ISERROR(VLOOKUP(P418,'unique fed agency names'!A:C,3,FALSE)),P418,VLOOKUP(P418,'unique fed agency names'!A:C,3,FALSE))
</f>
        <v>U.S. Department of Education (ED)</v>
      </c>
      <c r="R418" s="1">
        <v>9.65778702E8</v>
      </c>
      <c r="S418" s="1" t="s">
        <v>493</v>
      </c>
      <c r="T418" s="1" t="str">
        <f>IF(ISERROR(VLOOKUP(S418,'unique org names'!A:C,3,FALSE)),S418,VLOOKUP(S418,'unique org names'!A:C,3,FALSE))
</f>
        <v>COVENANT HOUSE ACADEMY CENTRAL</v>
      </c>
      <c r="U418" s="1" t="s">
        <v>1191</v>
      </c>
      <c r="V418" s="1" t="s">
        <v>494</v>
      </c>
      <c r="W418" s="1" t="s">
        <v>44</v>
      </c>
      <c r="X418" s="1" t="s">
        <v>45</v>
      </c>
      <c r="Y418" s="1">
        <v>4.82082475E8</v>
      </c>
      <c r="AA418" s="1" t="s">
        <v>44</v>
      </c>
      <c r="AB418" s="1" t="s">
        <v>45</v>
      </c>
      <c r="AC418" s="1">
        <v>4.82082475E8</v>
      </c>
      <c r="AD418" s="1">
        <v>3.9867288E7</v>
      </c>
      <c r="AE418" s="1" t="s">
        <v>1192</v>
      </c>
      <c r="AF418" s="1">
        <v>312605.0</v>
      </c>
      <c r="AG418" s="2">
        <v>41351.0</v>
      </c>
      <c r="AH418" s="1">
        <v>9100.0</v>
      </c>
      <c r="AI418" s="1" t="s">
        <v>194</v>
      </c>
      <c r="AJ418" s="1" t="s">
        <v>1193</v>
      </c>
      <c r="AK418" s="1" t="s">
        <v>1170</v>
      </c>
      <c r="AL418" s="1">
        <v>11.0</v>
      </c>
      <c r="AM418" s="1">
        <v>2013.0</v>
      </c>
      <c r="AN418" s="1">
        <v>2013.0</v>
      </c>
      <c r="AO418" s="1" t="s">
        <v>1171</v>
      </c>
    </row>
    <row r="419">
      <c r="A419" s="5">
        <v>1.0</v>
      </c>
      <c r="B419" s="1">
        <f t="shared" si="1"/>
        <v>419</v>
      </c>
      <c r="C419" s="1" t="s">
        <v>1167</v>
      </c>
      <c r="D419" s="1" t="s">
        <v>1167</v>
      </c>
      <c r="E419" s="1" t="s">
        <v>194</v>
      </c>
      <c r="G419" s="1">
        <v>5.38112E8</v>
      </c>
      <c r="H419" s="2">
        <v>41348.0</v>
      </c>
      <c r="I419" s="1" t="s">
        <v>1168</v>
      </c>
      <c r="K419" s="1" t="s">
        <v>1168</v>
      </c>
      <c r="N419" s="1" t="s">
        <v>194</v>
      </c>
      <c r="O419" s="1">
        <v>9100.0</v>
      </c>
      <c r="P419" s="1" t="s">
        <v>194</v>
      </c>
      <c r="Q419" s="1" t="str">
        <f>IF(ISERROR(VLOOKUP(P419,'unique fed agency names'!A:C,3,FALSE)),P419,VLOOKUP(P419,'unique fed agency names'!A:C,3,FALSE))
</f>
        <v>U.S. Department of Education (ED)</v>
      </c>
      <c r="R419" s="1">
        <v>7.93697355E8</v>
      </c>
      <c r="S419" s="1" t="s">
        <v>691</v>
      </c>
      <c r="T419" s="1" t="str">
        <f>IF(ISERROR(VLOOKUP(S419,'unique org names'!A:C,3,FALSE)),S419,VLOOKUP(S419,'unique org names'!A:C,3,FALSE))
</f>
        <v>OAKLAND INTERNATIONAL ACADEMY</v>
      </c>
      <c r="U419" s="1" t="s">
        <v>1194</v>
      </c>
      <c r="V419" s="1" t="s">
        <v>692</v>
      </c>
      <c r="W419" s="1" t="s">
        <v>44</v>
      </c>
      <c r="X419" s="1" t="s">
        <v>45</v>
      </c>
      <c r="Y419" s="1">
        <v>4.82111554E8</v>
      </c>
      <c r="AA419" s="1" t="s">
        <v>44</v>
      </c>
      <c r="AB419" s="1" t="s">
        <v>45</v>
      </c>
      <c r="AC419" s="1">
        <v>4.82111552E8</v>
      </c>
      <c r="AD419" s="1">
        <v>7.6367846E7</v>
      </c>
      <c r="AE419" s="1" t="s">
        <v>1195</v>
      </c>
      <c r="AF419" s="1">
        <v>636750.0</v>
      </c>
      <c r="AG419" s="2">
        <v>41348.0</v>
      </c>
      <c r="AH419" s="1">
        <v>9100.0</v>
      </c>
      <c r="AI419" s="1" t="s">
        <v>194</v>
      </c>
      <c r="AJ419" s="1" t="s">
        <v>1196</v>
      </c>
      <c r="AK419" s="1" t="s">
        <v>1170</v>
      </c>
      <c r="AL419" s="1">
        <v>11.0</v>
      </c>
      <c r="AM419" s="1">
        <v>2013.0</v>
      </c>
      <c r="AN419" s="1">
        <v>2013.0</v>
      </c>
      <c r="AO419" s="1" t="s">
        <v>1171</v>
      </c>
    </row>
    <row r="420">
      <c r="A420" s="5">
        <v>1.0</v>
      </c>
      <c r="B420" s="1">
        <f t="shared" si="1"/>
        <v>420</v>
      </c>
      <c r="C420" s="1" t="s">
        <v>1167</v>
      </c>
      <c r="D420" s="1" t="s">
        <v>1167</v>
      </c>
      <c r="E420" s="1" t="s">
        <v>194</v>
      </c>
      <c r="G420" s="1">
        <v>5.38112E8</v>
      </c>
      <c r="H420" s="2">
        <v>41326.0</v>
      </c>
      <c r="I420" s="1" t="s">
        <v>1168</v>
      </c>
      <c r="K420" s="1" t="s">
        <v>1168</v>
      </c>
      <c r="N420" s="1" t="s">
        <v>194</v>
      </c>
      <c r="O420" s="1">
        <v>9100.0</v>
      </c>
      <c r="P420" s="1" t="s">
        <v>194</v>
      </c>
      <c r="Q420" s="1" t="str">
        <f>IF(ISERROR(VLOOKUP(P420,'unique fed agency names'!A:C,3,FALSE)),P420,VLOOKUP(P420,'unique fed agency names'!A:C,3,FALSE))
</f>
        <v>U.S. Department of Education (ED)</v>
      </c>
      <c r="R420" s="1">
        <v>6.6707493E7</v>
      </c>
      <c r="S420" s="1" t="s">
        <v>541</v>
      </c>
      <c r="T420" s="1" t="str">
        <f>IF(ISERROR(VLOOKUP(S420,'unique org names'!A:C,3,FALSE)),S420,VLOOKUP(S420,'unique org names'!A:C,3,FALSE))
</f>
        <v>HOPE OF DETROIT ACADEMY</v>
      </c>
      <c r="U420" s="1" t="s">
        <v>1197</v>
      </c>
      <c r="V420" s="1" t="s">
        <v>542</v>
      </c>
      <c r="W420" s="1" t="s">
        <v>44</v>
      </c>
      <c r="X420" s="1" t="s">
        <v>45</v>
      </c>
      <c r="Y420" s="1">
        <v>4.8210252E8</v>
      </c>
      <c r="AA420" s="1" t="s">
        <v>44</v>
      </c>
      <c r="AB420" s="1" t="s">
        <v>45</v>
      </c>
      <c r="AC420" s="1">
        <v>4.8210252E8</v>
      </c>
      <c r="AD420" s="1">
        <v>7496979.0</v>
      </c>
      <c r="AE420" s="1" t="s">
        <v>488</v>
      </c>
      <c r="AF420" s="1">
        <v>460240.0</v>
      </c>
      <c r="AG420" s="2">
        <v>41326.0</v>
      </c>
      <c r="AH420" s="1">
        <v>9100.0</v>
      </c>
      <c r="AI420" s="1" t="s">
        <v>194</v>
      </c>
      <c r="AJ420" s="1" t="s">
        <v>1198</v>
      </c>
      <c r="AK420" s="1" t="s">
        <v>1170</v>
      </c>
      <c r="AL420" s="1">
        <v>11.0</v>
      </c>
      <c r="AM420" s="1">
        <v>2013.0</v>
      </c>
      <c r="AN420" s="1">
        <v>2013.0</v>
      </c>
      <c r="AO420" s="1" t="s">
        <v>1171</v>
      </c>
    </row>
    <row r="421">
      <c r="A421" s="5">
        <v>1.0</v>
      </c>
      <c r="B421" s="1">
        <f t="shared" si="1"/>
        <v>421</v>
      </c>
      <c r="C421" s="1" t="s">
        <v>1167</v>
      </c>
      <c r="D421" s="1" t="s">
        <v>1167</v>
      </c>
      <c r="E421" s="1" t="s">
        <v>194</v>
      </c>
      <c r="G421" s="1">
        <v>5.38112E8</v>
      </c>
      <c r="H421" s="2">
        <v>41311.0</v>
      </c>
      <c r="I421" s="1" t="s">
        <v>1168</v>
      </c>
      <c r="K421" s="1" t="s">
        <v>1168</v>
      </c>
      <c r="N421" s="1" t="s">
        <v>194</v>
      </c>
      <c r="O421" s="1">
        <v>9100.0</v>
      </c>
      <c r="P421" s="1" t="s">
        <v>194</v>
      </c>
      <c r="Q421" s="1" t="str">
        <f>IF(ISERROR(VLOOKUP(P421,'unique fed agency names'!A:C,3,FALSE)),P421,VLOOKUP(P421,'unique fed agency names'!A:C,3,FALSE))
</f>
        <v>U.S. Department of Education (ED)</v>
      </c>
      <c r="R421" s="1">
        <v>8.76992343E8</v>
      </c>
      <c r="S421" s="1" t="s">
        <v>550</v>
      </c>
      <c r="T421" s="1" t="str">
        <f>IF(ISERROR(VLOOKUP(S421,'unique org names'!A:C,3,FALSE)),S421,VLOOKUP(S421,'unique org names'!A:C,3,FALSE))
</f>
        <v>VOYAGEUR ACADEMY</v>
      </c>
      <c r="V421" s="1" t="s">
        <v>551</v>
      </c>
      <c r="W421" s="1" t="s">
        <v>44</v>
      </c>
      <c r="X421" s="1" t="s">
        <v>45</v>
      </c>
      <c r="Y421" s="1">
        <v>4.82102451E8</v>
      </c>
      <c r="AA421" s="1" t="s">
        <v>44</v>
      </c>
      <c r="AB421" s="1" t="s">
        <v>45</v>
      </c>
      <c r="AC421" s="1">
        <v>4.82102451E8</v>
      </c>
      <c r="AD421" s="1">
        <v>8.0352495E7</v>
      </c>
      <c r="AE421" s="1" t="s">
        <v>1199</v>
      </c>
      <c r="AF421" s="1">
        <v>727480.0</v>
      </c>
      <c r="AG421" s="2">
        <v>41311.0</v>
      </c>
      <c r="AH421" s="1">
        <v>9100.0</v>
      </c>
      <c r="AI421" s="1" t="s">
        <v>194</v>
      </c>
      <c r="AJ421" s="1" t="s">
        <v>1200</v>
      </c>
      <c r="AK421" s="1" t="s">
        <v>1170</v>
      </c>
      <c r="AL421" s="1">
        <v>11.0</v>
      </c>
      <c r="AM421" s="1">
        <v>2013.0</v>
      </c>
      <c r="AN421" s="1">
        <v>2013.0</v>
      </c>
      <c r="AO421" s="1" t="s">
        <v>1171</v>
      </c>
    </row>
    <row r="422">
      <c r="A422" s="5">
        <v>1.0</v>
      </c>
      <c r="B422" s="1">
        <f t="shared" si="1"/>
        <v>422</v>
      </c>
      <c r="C422" s="1" t="s">
        <v>1167</v>
      </c>
      <c r="D422" s="1" t="s">
        <v>1167</v>
      </c>
      <c r="E422" s="1" t="s">
        <v>194</v>
      </c>
      <c r="G422" s="1">
        <v>5.38112E8</v>
      </c>
      <c r="H422" s="2">
        <v>41306.0</v>
      </c>
      <c r="I422" s="1" t="s">
        <v>1168</v>
      </c>
      <c r="K422" s="1" t="s">
        <v>1168</v>
      </c>
      <c r="N422" s="1" t="s">
        <v>194</v>
      </c>
      <c r="O422" s="1">
        <v>9100.0</v>
      </c>
      <c r="P422" s="1" t="s">
        <v>194</v>
      </c>
      <c r="Q422" s="1" t="str">
        <f>IF(ISERROR(VLOOKUP(P422,'unique fed agency names'!A:C,3,FALSE)),P422,VLOOKUP(P422,'unique fed agency names'!A:C,3,FALSE))
</f>
        <v>U.S. Department of Education (ED)</v>
      </c>
      <c r="R422" s="1">
        <v>8.30792151E8</v>
      </c>
      <c r="S422" s="1" t="s">
        <v>594</v>
      </c>
      <c r="T422" s="1" t="str">
        <f>IF(ISERROR(VLOOKUP(S422,'unique org names'!A:C,3,FALSE)),S422,VLOOKUP(S422,'unique org names'!A:C,3,FALSE))
</f>
        <v>FLAGSHIP CHARTER ACADEMY</v>
      </c>
      <c r="U422" s="1" t="s">
        <v>1201</v>
      </c>
      <c r="V422" s="1" t="s">
        <v>596</v>
      </c>
      <c r="W422" s="1" t="s">
        <v>44</v>
      </c>
      <c r="X422" s="1" t="s">
        <v>45</v>
      </c>
      <c r="Y422" s="1">
        <v>4.82382356E8</v>
      </c>
      <c r="AA422" s="1" t="s">
        <v>44</v>
      </c>
      <c r="AB422" s="1" t="s">
        <v>45</v>
      </c>
      <c r="AC422" s="1">
        <v>4.82382356E8</v>
      </c>
      <c r="AD422" s="1">
        <v>9.60742484E8</v>
      </c>
      <c r="AF422" s="1">
        <v>481885.0</v>
      </c>
      <c r="AG422" s="2">
        <v>41306.0</v>
      </c>
      <c r="AH422" s="1">
        <v>9100.0</v>
      </c>
      <c r="AI422" s="1" t="s">
        <v>194</v>
      </c>
      <c r="AJ422" s="1" t="s">
        <v>1202</v>
      </c>
      <c r="AK422" s="1" t="s">
        <v>1170</v>
      </c>
      <c r="AL422" s="1">
        <v>11.0</v>
      </c>
      <c r="AM422" s="1">
        <v>2013.0</v>
      </c>
      <c r="AN422" s="1">
        <v>2013.0</v>
      </c>
      <c r="AO422" s="1" t="s">
        <v>1171</v>
      </c>
    </row>
    <row r="423">
      <c r="A423" s="5">
        <v>1.0</v>
      </c>
      <c r="B423" s="1">
        <f t="shared" si="1"/>
        <v>423</v>
      </c>
      <c r="C423" s="1" t="s">
        <v>1167</v>
      </c>
      <c r="D423" s="1" t="s">
        <v>1167</v>
      </c>
      <c r="E423" s="1" t="s">
        <v>194</v>
      </c>
      <c r="G423" s="1">
        <v>5.38112E8</v>
      </c>
      <c r="H423" s="2">
        <v>41304.0</v>
      </c>
      <c r="I423" s="1" t="s">
        <v>1168</v>
      </c>
      <c r="K423" s="1" t="s">
        <v>1168</v>
      </c>
      <c r="N423" s="1" t="s">
        <v>194</v>
      </c>
      <c r="O423" s="1">
        <v>9100.0</v>
      </c>
      <c r="P423" s="1" t="s">
        <v>194</v>
      </c>
      <c r="Q423" s="1" t="str">
        <f>IF(ISERROR(VLOOKUP(P423,'unique fed agency names'!A:C,3,FALSE)),P423,VLOOKUP(P423,'unique fed agency names'!A:C,3,FALSE))
</f>
        <v>U.S. Department of Education (ED)</v>
      </c>
      <c r="R423" s="1">
        <v>1.68568132E8</v>
      </c>
      <c r="S423" s="1" t="s">
        <v>588</v>
      </c>
      <c r="T423" s="1" t="str">
        <f>IF(ISERROR(VLOOKUP(S423,'unique org names'!A:C,3,FALSE)),S423,VLOOKUP(S423,'unique org names'!A:C,3,FALSE))
</f>
        <v>DETROIT ENTERPRISE ACADEMY</v>
      </c>
      <c r="V423" s="1" t="s">
        <v>589</v>
      </c>
      <c r="W423" s="1" t="s">
        <v>44</v>
      </c>
      <c r="X423" s="1" t="s">
        <v>45</v>
      </c>
      <c r="Y423" s="1">
        <v>4.82143323E8</v>
      </c>
      <c r="AA423" s="1" t="s">
        <v>44</v>
      </c>
      <c r="AB423" s="1" t="s">
        <v>45</v>
      </c>
      <c r="AC423" s="1">
        <v>4.82143323E8</v>
      </c>
      <c r="AD423" s="1">
        <v>9.60742484E8</v>
      </c>
      <c r="AF423" s="1">
        <v>522973.0</v>
      </c>
      <c r="AG423" s="2">
        <v>41304.0</v>
      </c>
      <c r="AH423" s="1">
        <v>9100.0</v>
      </c>
      <c r="AI423" s="1" t="s">
        <v>194</v>
      </c>
      <c r="AJ423" s="1" t="s">
        <v>1203</v>
      </c>
      <c r="AK423" s="1" t="s">
        <v>1170</v>
      </c>
      <c r="AL423" s="1">
        <v>11.0</v>
      </c>
      <c r="AM423" s="1">
        <v>2013.0</v>
      </c>
      <c r="AN423" s="1">
        <v>2013.0</v>
      </c>
      <c r="AO423" s="1" t="s">
        <v>1171</v>
      </c>
    </row>
    <row r="424">
      <c r="A424" s="5">
        <v>1.0</v>
      </c>
      <c r="B424" s="1">
        <f t="shared" si="1"/>
        <v>424</v>
      </c>
      <c r="C424" s="1" t="s">
        <v>1167</v>
      </c>
      <c r="D424" s="1" t="s">
        <v>1167</v>
      </c>
      <c r="E424" s="1" t="s">
        <v>194</v>
      </c>
      <c r="G424" s="1">
        <v>5.38112E8</v>
      </c>
      <c r="H424" s="2">
        <v>41302.0</v>
      </c>
      <c r="I424" s="1" t="s">
        <v>1168</v>
      </c>
      <c r="K424" s="1" t="s">
        <v>1168</v>
      </c>
      <c r="N424" s="1" t="s">
        <v>194</v>
      </c>
      <c r="O424" s="1">
        <v>9100.0</v>
      </c>
      <c r="P424" s="1" t="s">
        <v>194</v>
      </c>
      <c r="Q424" s="1" t="str">
        <f>IF(ISERROR(VLOOKUP(P424,'unique fed agency names'!A:C,3,FALSE)),P424,VLOOKUP(P424,'unique fed agency names'!A:C,3,FALSE))
</f>
        <v>U.S. Department of Education (ED)</v>
      </c>
      <c r="R424" s="1">
        <v>8.31014068E8</v>
      </c>
      <c r="S424" s="1" t="s">
        <v>515</v>
      </c>
      <c r="T424" s="1" t="str">
        <f>IF(ISERROR(VLOOKUP(S424,'unique org names'!A:C,3,FALSE)),S424,VLOOKUP(S424,'unique org names'!A:C,3,FALSE))
</f>
        <v>DETROIT PREMIER ACADEMY</v>
      </c>
      <c r="U424" s="1" t="s">
        <v>1204</v>
      </c>
      <c r="V424" s="1" t="s">
        <v>516</v>
      </c>
      <c r="W424" s="1" t="s">
        <v>44</v>
      </c>
      <c r="X424" s="1" t="s">
        <v>45</v>
      </c>
      <c r="Y424" s="1">
        <v>4.82283685E8</v>
      </c>
      <c r="AA424" s="1" t="s">
        <v>46</v>
      </c>
      <c r="AB424" s="1" t="s">
        <v>45</v>
      </c>
      <c r="AC424" s="1">
        <v>4.82283685E8</v>
      </c>
      <c r="AD424" s="1">
        <v>9.60742484E8</v>
      </c>
      <c r="AF424" s="1">
        <v>535216.0</v>
      </c>
      <c r="AG424" s="2">
        <v>41302.0</v>
      </c>
      <c r="AH424" s="1">
        <v>9100.0</v>
      </c>
      <c r="AI424" s="1" t="s">
        <v>194</v>
      </c>
      <c r="AJ424" s="1" t="s">
        <v>1205</v>
      </c>
      <c r="AK424" s="1" t="s">
        <v>1170</v>
      </c>
      <c r="AL424" s="1">
        <v>11.0</v>
      </c>
      <c r="AM424" s="1">
        <v>2013.0</v>
      </c>
      <c r="AN424" s="1">
        <v>2013.0</v>
      </c>
      <c r="AO424" s="1" t="s">
        <v>1171</v>
      </c>
    </row>
    <row r="425">
      <c r="A425" s="5">
        <v>1.0</v>
      </c>
      <c r="B425" s="1">
        <f t="shared" si="1"/>
        <v>425</v>
      </c>
      <c r="C425" s="1" t="s">
        <v>1167</v>
      </c>
      <c r="D425" s="1" t="s">
        <v>1167</v>
      </c>
      <c r="E425" s="1" t="s">
        <v>194</v>
      </c>
      <c r="G425" s="1">
        <v>5.38112E8</v>
      </c>
      <c r="H425" s="2">
        <v>41282.0</v>
      </c>
      <c r="I425" s="1" t="s">
        <v>1168</v>
      </c>
      <c r="K425" s="1" t="s">
        <v>1168</v>
      </c>
      <c r="N425" s="1" t="s">
        <v>194</v>
      </c>
      <c r="O425" s="1">
        <v>9100.0</v>
      </c>
      <c r="P425" s="1" t="s">
        <v>194</v>
      </c>
      <c r="Q425" s="1" t="str">
        <f>IF(ISERROR(VLOOKUP(P425,'unique fed agency names'!A:C,3,FALSE)),P425,VLOOKUP(P425,'unique fed agency names'!A:C,3,FALSE))
</f>
        <v>U.S. Department of Education (ED)</v>
      </c>
      <c r="R425" s="1">
        <v>9.62949843E8</v>
      </c>
      <c r="S425" s="1" t="s">
        <v>619</v>
      </c>
      <c r="T425" s="1" t="str">
        <f>IF(ISERROR(VLOOKUP(S425,'unique org names'!A:C,3,FALSE)),S425,VLOOKUP(S425,'unique org names'!A:C,3,FALSE))
</f>
        <v>ALLEN ACADEMY</v>
      </c>
      <c r="V425" s="1" t="s">
        <v>620</v>
      </c>
      <c r="W425" s="1" t="s">
        <v>44</v>
      </c>
      <c r="X425" s="1" t="s">
        <v>45</v>
      </c>
      <c r="Y425" s="1">
        <v>4.82042306E8</v>
      </c>
      <c r="AA425" s="1" t="s">
        <v>44</v>
      </c>
      <c r="AB425" s="1" t="s">
        <v>45</v>
      </c>
      <c r="AC425" s="1">
        <v>4.82042306E8</v>
      </c>
      <c r="AF425" s="1">
        <v>914892.0</v>
      </c>
      <c r="AG425" s="2">
        <v>41282.0</v>
      </c>
      <c r="AH425" s="1">
        <v>9100.0</v>
      </c>
      <c r="AI425" s="1" t="s">
        <v>194</v>
      </c>
      <c r="AJ425" s="1" t="s">
        <v>1206</v>
      </c>
      <c r="AK425" s="1" t="s">
        <v>1170</v>
      </c>
      <c r="AL425" s="1">
        <v>11.0</v>
      </c>
      <c r="AM425" s="1">
        <v>2013.0</v>
      </c>
      <c r="AN425" s="1">
        <v>2013.0</v>
      </c>
      <c r="AO425" s="1" t="s">
        <v>1171</v>
      </c>
    </row>
    <row r="426">
      <c r="A426" s="5">
        <v>1.0</v>
      </c>
      <c r="B426" s="1">
        <f t="shared" si="1"/>
        <v>426</v>
      </c>
      <c r="C426" s="1" t="s">
        <v>1167</v>
      </c>
      <c r="D426" s="1" t="s">
        <v>1167</v>
      </c>
      <c r="E426" s="1" t="s">
        <v>194</v>
      </c>
      <c r="G426" s="1">
        <v>5.38112E8</v>
      </c>
      <c r="H426" s="2">
        <v>41277.0</v>
      </c>
      <c r="I426" s="1" t="s">
        <v>1168</v>
      </c>
      <c r="K426" s="1" t="s">
        <v>1168</v>
      </c>
      <c r="N426" s="1" t="s">
        <v>194</v>
      </c>
      <c r="O426" s="1">
        <v>9100.0</v>
      </c>
      <c r="P426" s="1" t="s">
        <v>194</v>
      </c>
      <c r="Q426" s="1" t="str">
        <f>IF(ISERROR(VLOOKUP(P426,'unique fed agency names'!A:C,3,FALSE)),P426,VLOOKUP(P426,'unique fed agency names'!A:C,3,FALSE))
</f>
        <v>U.S. Department of Education (ED)</v>
      </c>
      <c r="R426" s="1">
        <v>8.29630537E8</v>
      </c>
      <c r="S426" s="1" t="s">
        <v>531</v>
      </c>
      <c r="T426" s="1" t="str">
        <f>IF(ISERROR(VLOOKUP(S426,'unique org names'!A:C,3,FALSE)),S426,VLOOKUP(S426,'unique org names'!A:C,3,FALSE))
</f>
        <v>DETROIT SERVICE LEARNING ACADEMY</v>
      </c>
      <c r="U426" s="1" t="s">
        <v>532</v>
      </c>
      <c r="V426" s="1" t="s">
        <v>533</v>
      </c>
      <c r="W426" s="1" t="s">
        <v>44</v>
      </c>
      <c r="X426" s="1" t="s">
        <v>45</v>
      </c>
      <c r="Y426" s="1">
        <v>4.8219181E8</v>
      </c>
      <c r="AA426" s="1" t="s">
        <v>44</v>
      </c>
      <c r="AB426" s="1" t="s">
        <v>45</v>
      </c>
      <c r="AC426" s="1">
        <v>4.8219181E8</v>
      </c>
      <c r="AD426" s="1">
        <v>7.927823E7</v>
      </c>
      <c r="AE426" s="1" t="s">
        <v>1207</v>
      </c>
      <c r="AF426" s="1">
        <v>698775.0</v>
      </c>
      <c r="AG426" s="2">
        <v>41277.0</v>
      </c>
      <c r="AH426" s="1">
        <v>9100.0</v>
      </c>
      <c r="AI426" s="1" t="s">
        <v>194</v>
      </c>
      <c r="AJ426" s="1" t="s">
        <v>1208</v>
      </c>
      <c r="AK426" s="1" t="s">
        <v>1170</v>
      </c>
      <c r="AL426" s="1">
        <v>11.0</v>
      </c>
      <c r="AM426" s="1">
        <v>2013.0</v>
      </c>
      <c r="AN426" s="1">
        <v>2013.0</v>
      </c>
      <c r="AO426" s="1" t="s">
        <v>1171</v>
      </c>
    </row>
    <row r="427">
      <c r="A427" s="5">
        <v>1.0</v>
      </c>
      <c r="B427" s="1">
        <f t="shared" si="1"/>
        <v>427</v>
      </c>
      <c r="C427" s="1" t="s">
        <v>1167</v>
      </c>
      <c r="D427" s="1" t="s">
        <v>1167</v>
      </c>
      <c r="E427" s="1" t="s">
        <v>194</v>
      </c>
      <c r="G427" s="1">
        <v>5.38112E8</v>
      </c>
      <c r="H427" s="2">
        <v>41277.0</v>
      </c>
      <c r="I427" s="1" t="s">
        <v>1168</v>
      </c>
      <c r="K427" s="1" t="s">
        <v>1168</v>
      </c>
      <c r="N427" s="1" t="s">
        <v>194</v>
      </c>
      <c r="O427" s="1">
        <v>9100.0</v>
      </c>
      <c r="P427" s="1" t="s">
        <v>194</v>
      </c>
      <c r="Q427" s="1" t="str">
        <f>IF(ISERROR(VLOOKUP(P427,'unique fed agency names'!A:C,3,FALSE)),P427,VLOOKUP(P427,'unique fed agency names'!A:C,3,FALSE))
</f>
        <v>U.S. Department of Education (ED)</v>
      </c>
      <c r="R427" s="1">
        <v>3790107.0</v>
      </c>
      <c r="S427" s="1" t="s">
        <v>576</v>
      </c>
      <c r="T427" s="1" t="str">
        <f>IF(ISERROR(VLOOKUP(S427,'unique org names'!A:C,3,FALSE)),S427,VLOOKUP(S427,'unique org names'!A:C,3,FALSE))
</f>
        <v>MARVIN L. WINANS ACADEMY OF PERFORMING ARTS</v>
      </c>
      <c r="V427" s="1" t="s">
        <v>577</v>
      </c>
      <c r="W427" s="1" t="s">
        <v>44</v>
      </c>
      <c r="X427" s="1" t="s">
        <v>45</v>
      </c>
      <c r="Y427" s="1">
        <v>4.82343284E8</v>
      </c>
      <c r="AA427" s="1" t="s">
        <v>44</v>
      </c>
      <c r="AB427" s="1" t="s">
        <v>45</v>
      </c>
      <c r="AC427" s="1">
        <v>4.82343284E8</v>
      </c>
      <c r="AF427" s="1">
        <v>681084.0</v>
      </c>
      <c r="AG427" s="2">
        <v>41277.0</v>
      </c>
      <c r="AH427" s="1">
        <v>9100.0</v>
      </c>
      <c r="AI427" s="1" t="s">
        <v>194</v>
      </c>
      <c r="AJ427" s="1" t="s">
        <v>1209</v>
      </c>
      <c r="AK427" s="1" t="s">
        <v>1170</v>
      </c>
      <c r="AL427" s="1">
        <v>11.0</v>
      </c>
      <c r="AM427" s="1">
        <v>2013.0</v>
      </c>
      <c r="AN427" s="1">
        <v>2013.0</v>
      </c>
      <c r="AO427" s="1" t="s">
        <v>1171</v>
      </c>
    </row>
    <row r="428">
      <c r="A428" s="5">
        <v>1.0</v>
      </c>
      <c r="B428" s="1">
        <f t="shared" si="1"/>
        <v>428</v>
      </c>
      <c r="C428" s="1" t="s">
        <v>1167</v>
      </c>
      <c r="D428" s="1" t="s">
        <v>1167</v>
      </c>
      <c r="E428" s="1" t="s">
        <v>194</v>
      </c>
      <c r="G428" s="1">
        <v>5.38112E8</v>
      </c>
      <c r="H428" s="2">
        <v>41248.0</v>
      </c>
      <c r="I428" s="1" t="s">
        <v>1168</v>
      </c>
      <c r="K428" s="1" t="s">
        <v>1168</v>
      </c>
      <c r="N428" s="1" t="s">
        <v>194</v>
      </c>
      <c r="O428" s="1">
        <v>9100.0</v>
      </c>
      <c r="P428" s="1" t="s">
        <v>194</v>
      </c>
      <c r="Q428" s="1" t="str">
        <f>IF(ISERROR(VLOOKUP(P428,'unique fed agency names'!A:C,3,FALSE)),P428,VLOOKUP(P428,'unique fed agency names'!A:C,3,FALSE))
</f>
        <v>U.S. Department of Education (ED)</v>
      </c>
      <c r="R428" s="1">
        <v>1.39436518E8</v>
      </c>
      <c r="S428" s="1" t="s">
        <v>1210</v>
      </c>
      <c r="T428" s="1" t="str">
        <f>IF(ISERROR(VLOOKUP(S428,'unique org names'!A:C,3,FALSE)),S428,VLOOKUP(S428,'unique org names'!A:C,3,FALSE))
</f>
        <v>AISHA SHULE/ W.E.B. DUBOIS CHARTER SCHOOL</v>
      </c>
      <c r="U428" s="1" t="s">
        <v>1211</v>
      </c>
      <c r="V428" s="1" t="s">
        <v>1212</v>
      </c>
      <c r="W428" s="1" t="s">
        <v>44</v>
      </c>
      <c r="X428" s="1" t="s">
        <v>45</v>
      </c>
      <c r="Y428" s="1">
        <v>4.82211132E8</v>
      </c>
      <c r="AA428" s="1" t="s">
        <v>44</v>
      </c>
      <c r="AB428" s="1" t="s">
        <v>45</v>
      </c>
      <c r="AC428" s="1">
        <v>4.82211132E8</v>
      </c>
      <c r="AD428" s="1">
        <v>1.39436518E8</v>
      </c>
      <c r="AE428" s="1" t="s">
        <v>1210</v>
      </c>
      <c r="AF428" s="1">
        <v>163457.0</v>
      </c>
      <c r="AG428" s="2">
        <v>41248.0</v>
      </c>
      <c r="AH428" s="1">
        <v>9100.0</v>
      </c>
      <c r="AI428" s="1" t="s">
        <v>194</v>
      </c>
      <c r="AJ428" s="1" t="s">
        <v>1213</v>
      </c>
      <c r="AK428" s="1" t="s">
        <v>1170</v>
      </c>
      <c r="AL428" s="1">
        <v>11.0</v>
      </c>
      <c r="AM428" s="1">
        <v>2013.0</v>
      </c>
      <c r="AN428" s="1">
        <v>2013.0</v>
      </c>
      <c r="AO428" s="1" t="s">
        <v>1171</v>
      </c>
    </row>
    <row r="429">
      <c r="A429" s="5">
        <v>1.0</v>
      </c>
      <c r="B429" s="1">
        <f t="shared" si="1"/>
        <v>429</v>
      </c>
      <c r="C429" s="1" t="s">
        <v>1167</v>
      </c>
      <c r="D429" s="1" t="s">
        <v>1167</v>
      </c>
      <c r="E429" s="1" t="s">
        <v>194</v>
      </c>
      <c r="G429" s="1">
        <v>5.38112E8</v>
      </c>
      <c r="H429" s="2">
        <v>41190.0</v>
      </c>
      <c r="I429" s="1" t="s">
        <v>1168</v>
      </c>
      <c r="K429" s="1" t="s">
        <v>1168</v>
      </c>
      <c r="N429" s="1" t="s">
        <v>194</v>
      </c>
      <c r="O429" s="1">
        <v>9100.0</v>
      </c>
      <c r="P429" s="1" t="s">
        <v>194</v>
      </c>
      <c r="Q429" s="1" t="str">
        <f>IF(ISERROR(VLOOKUP(P429,'unique fed agency names'!A:C,3,FALSE)),P429,VLOOKUP(P429,'unique fed agency names'!A:C,3,FALSE))
</f>
        <v>U.S. Department of Education (ED)</v>
      </c>
      <c r="R429" s="1">
        <v>7.97527715E8</v>
      </c>
      <c r="S429" s="1" t="s">
        <v>567</v>
      </c>
      <c r="T429" s="1" t="str">
        <f>IF(ISERROR(VLOOKUP(S429,'unique org names'!A:C,3,FALSE)),S429,VLOOKUP(S429,'unique org names'!A:C,3,FALSE))
</f>
        <v>HAMTRAMCK ACADEMY</v>
      </c>
      <c r="V429" s="1" t="s">
        <v>568</v>
      </c>
      <c r="W429" s="1" t="s">
        <v>44</v>
      </c>
      <c r="X429" s="1" t="s">
        <v>45</v>
      </c>
      <c r="Y429" s="1">
        <v>4.82123134E8</v>
      </c>
      <c r="AA429" s="1" t="s">
        <v>498</v>
      </c>
      <c r="AB429" s="1" t="s">
        <v>45</v>
      </c>
      <c r="AC429" s="1">
        <v>4.82123134E8</v>
      </c>
      <c r="AD429" s="1">
        <v>9.60742484E8</v>
      </c>
      <c r="AF429" s="1">
        <v>347484.0</v>
      </c>
      <c r="AG429" s="2">
        <v>41190.0</v>
      </c>
      <c r="AH429" s="1">
        <v>9100.0</v>
      </c>
      <c r="AI429" s="1" t="s">
        <v>194</v>
      </c>
      <c r="AJ429" s="1" t="s">
        <v>1214</v>
      </c>
      <c r="AK429" s="1" t="s">
        <v>1170</v>
      </c>
      <c r="AL429" s="1">
        <v>11.0</v>
      </c>
      <c r="AM429" s="1">
        <v>2013.0</v>
      </c>
      <c r="AN429" s="1">
        <v>2013.0</v>
      </c>
      <c r="AO429" s="1" t="s">
        <v>1171</v>
      </c>
    </row>
    <row r="430">
      <c r="A430" s="5">
        <v>1.0</v>
      </c>
      <c r="B430" s="1">
        <f t="shared" si="1"/>
        <v>430</v>
      </c>
      <c r="C430" s="1" t="s">
        <v>1215</v>
      </c>
      <c r="D430" s="1" t="s">
        <v>1215</v>
      </c>
      <c r="E430" s="1" t="s">
        <v>224</v>
      </c>
      <c r="G430" s="1">
        <v>61212.0</v>
      </c>
      <c r="H430" s="2">
        <v>41523.0</v>
      </c>
      <c r="I430" s="1" t="s">
        <v>1216</v>
      </c>
      <c r="K430" s="1" t="s">
        <v>1216</v>
      </c>
      <c r="N430" s="1" t="s">
        <v>151</v>
      </c>
      <c r="O430" s="1">
        <v>6900.0</v>
      </c>
      <c r="P430" s="1" t="s">
        <v>151</v>
      </c>
      <c r="Q430" s="1" t="str">
        <f>IF(ISERROR(VLOOKUP(P430,'unique fed agency names'!A:C,3,FALSE)),P430,VLOOKUP(P430,'unique fed agency names'!A:C,3,FALSE))
</f>
        <v>U.S. Department of Transportation (DOT)</v>
      </c>
      <c r="R430" s="1">
        <v>9.63886101E8</v>
      </c>
      <c r="S430" s="1" t="s">
        <v>259</v>
      </c>
      <c r="T430" s="1" t="str">
        <f>IF(ISERROR(VLOOKUP(S430,'unique org names'!A:C,3,FALSE)),S430,VLOOKUP(S430,'unique org names'!A:C,3,FALSE))
</f>
        <v>Wayne County</v>
      </c>
      <c r="V430" s="1" t="s">
        <v>260</v>
      </c>
      <c r="W430" s="1" t="s">
        <v>44</v>
      </c>
      <c r="X430" s="1" t="s">
        <v>45</v>
      </c>
      <c r="Y430" s="1">
        <v>4.8226348E8</v>
      </c>
      <c r="AA430" s="1" t="s">
        <v>46</v>
      </c>
      <c r="AB430" s="1" t="s">
        <v>45</v>
      </c>
      <c r="AC430" s="1">
        <v>4.8226348E8</v>
      </c>
      <c r="AD430" s="1">
        <v>7.3134884E7</v>
      </c>
      <c r="AE430" s="1" t="s">
        <v>261</v>
      </c>
      <c r="AF430" s="1">
        <v>61212.97</v>
      </c>
      <c r="AG430" s="2">
        <v>41523.0</v>
      </c>
      <c r="AH430" s="1">
        <v>6900.0</v>
      </c>
      <c r="AI430" s="1" t="s">
        <v>151</v>
      </c>
      <c r="AJ430" s="1">
        <v>1.0</v>
      </c>
      <c r="AK430" s="1" t="s">
        <v>1217</v>
      </c>
      <c r="AL430" s="1">
        <v>10.0</v>
      </c>
      <c r="AM430" s="1">
        <v>2013.0</v>
      </c>
      <c r="AN430" s="1">
        <v>2013.0</v>
      </c>
      <c r="AO430" s="1" t="s">
        <v>229</v>
      </c>
    </row>
    <row r="431">
      <c r="A431" s="5">
        <v>1.0</v>
      </c>
      <c r="B431" s="1">
        <f t="shared" si="1"/>
        <v>431</v>
      </c>
      <c r="C431" s="1" t="s">
        <v>1218</v>
      </c>
      <c r="D431" s="1" t="s">
        <v>1218</v>
      </c>
      <c r="E431" s="1" t="s">
        <v>224</v>
      </c>
      <c r="G431" s="1">
        <v>179765.0</v>
      </c>
      <c r="H431" s="2">
        <v>41523.0</v>
      </c>
      <c r="I431" s="1" t="s">
        <v>1159</v>
      </c>
      <c r="K431" s="1" t="s">
        <v>1159</v>
      </c>
      <c r="N431" s="1" t="s">
        <v>151</v>
      </c>
      <c r="O431" s="1">
        <v>6900.0</v>
      </c>
      <c r="P431" s="1" t="s">
        <v>151</v>
      </c>
      <c r="Q431" s="1" t="str">
        <f>IF(ISERROR(VLOOKUP(P431,'unique fed agency names'!A:C,3,FALSE)),P431,VLOOKUP(P431,'unique fed agency names'!A:C,3,FALSE))
</f>
        <v>U.S. Department of Transportation (DOT)</v>
      </c>
      <c r="R431" s="1">
        <v>9.63886101E8</v>
      </c>
      <c r="S431" s="1" t="s">
        <v>259</v>
      </c>
      <c r="T431" s="1" t="str">
        <f>IF(ISERROR(VLOOKUP(S431,'unique org names'!A:C,3,FALSE)),S431,VLOOKUP(S431,'unique org names'!A:C,3,FALSE))
</f>
        <v>Wayne County</v>
      </c>
      <c r="V431" s="1" t="s">
        <v>260</v>
      </c>
      <c r="W431" s="1" t="s">
        <v>44</v>
      </c>
      <c r="X431" s="1" t="s">
        <v>45</v>
      </c>
      <c r="Y431" s="1">
        <v>4.8226348E8</v>
      </c>
      <c r="AA431" s="1" t="s">
        <v>46</v>
      </c>
      <c r="AB431" s="1" t="s">
        <v>45</v>
      </c>
      <c r="AC431" s="1">
        <v>4.8226348E8</v>
      </c>
      <c r="AD431" s="1">
        <v>7.3134884E7</v>
      </c>
      <c r="AE431" s="1" t="s">
        <v>261</v>
      </c>
      <c r="AF431" s="1">
        <v>179765.29</v>
      </c>
      <c r="AG431" s="2">
        <v>41523.0</v>
      </c>
      <c r="AH431" s="1">
        <v>6900.0</v>
      </c>
      <c r="AI431" s="1" t="s">
        <v>151</v>
      </c>
      <c r="AJ431" s="1">
        <v>1.0</v>
      </c>
      <c r="AK431" s="1" t="s">
        <v>1160</v>
      </c>
      <c r="AL431" s="1">
        <v>10.0</v>
      </c>
      <c r="AM431" s="1">
        <v>2013.0</v>
      </c>
      <c r="AN431" s="1">
        <v>2013.0</v>
      </c>
      <c r="AO431" s="1" t="s">
        <v>229</v>
      </c>
    </row>
    <row r="432">
      <c r="A432" s="5">
        <v>1.0</v>
      </c>
      <c r="B432" s="1">
        <f t="shared" si="1"/>
        <v>432</v>
      </c>
      <c r="C432" s="1" t="s">
        <v>1219</v>
      </c>
      <c r="D432" s="1" t="s">
        <v>1219</v>
      </c>
      <c r="E432" s="1" t="s">
        <v>224</v>
      </c>
      <c r="G432" s="1">
        <v>1577804.0</v>
      </c>
      <c r="H432" s="2">
        <v>41523.0</v>
      </c>
      <c r="I432" s="1" t="s">
        <v>1220</v>
      </c>
      <c r="K432" s="1" t="s">
        <v>1220</v>
      </c>
      <c r="N432" s="1" t="s">
        <v>151</v>
      </c>
      <c r="O432" s="1">
        <v>6900.0</v>
      </c>
      <c r="P432" s="1" t="s">
        <v>151</v>
      </c>
      <c r="Q432" s="1" t="str">
        <f>IF(ISERROR(VLOOKUP(P432,'unique fed agency names'!A:C,3,FALSE)),P432,VLOOKUP(P432,'unique fed agency names'!A:C,3,FALSE))
</f>
        <v>U.S. Department of Transportation (DOT)</v>
      </c>
      <c r="R432" s="1">
        <v>9.63886101E8</v>
      </c>
      <c r="S432" s="1" t="s">
        <v>259</v>
      </c>
      <c r="T432" s="1" t="str">
        <f>IF(ISERROR(VLOOKUP(S432,'unique org names'!A:C,3,FALSE)),S432,VLOOKUP(S432,'unique org names'!A:C,3,FALSE))
</f>
        <v>Wayne County</v>
      </c>
      <c r="V432" s="1" t="s">
        <v>260</v>
      </c>
      <c r="W432" s="1" t="s">
        <v>44</v>
      </c>
      <c r="X432" s="1" t="s">
        <v>45</v>
      </c>
      <c r="Y432" s="1">
        <v>4.8226348E8</v>
      </c>
      <c r="AA432" s="1" t="s">
        <v>46</v>
      </c>
      <c r="AB432" s="1" t="s">
        <v>45</v>
      </c>
      <c r="AC432" s="1">
        <v>4.8226348E8</v>
      </c>
      <c r="AD432" s="1">
        <v>7.3134884E7</v>
      </c>
      <c r="AE432" s="1" t="s">
        <v>261</v>
      </c>
      <c r="AF432" s="1">
        <v>1577804.44</v>
      </c>
      <c r="AG432" s="2">
        <v>41523.0</v>
      </c>
      <c r="AH432" s="1">
        <v>6900.0</v>
      </c>
      <c r="AI432" s="1" t="s">
        <v>151</v>
      </c>
      <c r="AJ432" s="1">
        <v>1.0</v>
      </c>
      <c r="AK432" s="1" t="s">
        <v>1221</v>
      </c>
      <c r="AL432" s="1">
        <v>10.0</v>
      </c>
      <c r="AM432" s="1">
        <v>2013.0</v>
      </c>
      <c r="AN432" s="1">
        <v>2013.0</v>
      </c>
      <c r="AO432" s="1" t="s">
        <v>229</v>
      </c>
    </row>
    <row r="433">
      <c r="A433" s="5">
        <v>1.0</v>
      </c>
      <c r="B433" s="1">
        <f t="shared" si="1"/>
        <v>433</v>
      </c>
      <c r="C433" s="1" t="s">
        <v>1222</v>
      </c>
      <c r="D433" s="1" t="s">
        <v>1222</v>
      </c>
      <c r="E433" s="1" t="s">
        <v>224</v>
      </c>
      <c r="G433" s="1">
        <v>1008516.0</v>
      </c>
      <c r="H433" s="2">
        <v>41527.0</v>
      </c>
      <c r="I433" s="1" t="s">
        <v>1162</v>
      </c>
      <c r="K433" s="1" t="s">
        <v>1162</v>
      </c>
      <c r="N433" s="1" t="s">
        <v>151</v>
      </c>
      <c r="O433" s="1">
        <v>6900.0</v>
      </c>
      <c r="P433" s="1" t="s">
        <v>151</v>
      </c>
      <c r="Q433" s="1" t="str">
        <f>IF(ISERROR(VLOOKUP(P433,'unique fed agency names'!A:C,3,FALSE)),P433,VLOOKUP(P433,'unique fed agency names'!A:C,3,FALSE))
</f>
        <v>U.S. Department of Transportation (DOT)</v>
      </c>
      <c r="R433" s="1">
        <v>9.63886101E8</v>
      </c>
      <c r="S433" s="1" t="s">
        <v>259</v>
      </c>
      <c r="T433" s="1" t="str">
        <f>IF(ISERROR(VLOOKUP(S433,'unique org names'!A:C,3,FALSE)),S433,VLOOKUP(S433,'unique org names'!A:C,3,FALSE))
</f>
        <v>Wayne County</v>
      </c>
      <c r="V433" s="1" t="s">
        <v>260</v>
      </c>
      <c r="W433" s="1" t="s">
        <v>44</v>
      </c>
      <c r="X433" s="1" t="s">
        <v>45</v>
      </c>
      <c r="Y433" s="1">
        <v>4.8226348E8</v>
      </c>
      <c r="AA433" s="1" t="s">
        <v>46</v>
      </c>
      <c r="AB433" s="1" t="s">
        <v>45</v>
      </c>
      <c r="AC433" s="1">
        <v>4.8226348E8</v>
      </c>
      <c r="AD433" s="1">
        <v>7.3134884E7</v>
      </c>
      <c r="AE433" s="1" t="s">
        <v>261</v>
      </c>
      <c r="AF433" s="1">
        <v>1008516.36</v>
      </c>
      <c r="AG433" s="2">
        <v>41527.0</v>
      </c>
      <c r="AH433" s="1">
        <v>6900.0</v>
      </c>
      <c r="AI433" s="1" t="s">
        <v>151</v>
      </c>
      <c r="AJ433" s="1">
        <v>1.0</v>
      </c>
      <c r="AK433" s="1" t="s">
        <v>1163</v>
      </c>
      <c r="AL433" s="1">
        <v>10.0</v>
      </c>
      <c r="AM433" s="1">
        <v>2013.0</v>
      </c>
      <c r="AN433" s="1">
        <v>2013.0</v>
      </c>
      <c r="AO433" s="1" t="s">
        <v>229</v>
      </c>
    </row>
    <row r="434">
      <c r="A434" s="5">
        <v>1.0</v>
      </c>
      <c r="B434" s="1">
        <f t="shared" si="1"/>
        <v>434</v>
      </c>
      <c r="C434" s="1" t="s">
        <v>1223</v>
      </c>
      <c r="D434" s="1" t="s">
        <v>1223</v>
      </c>
      <c r="E434" s="1" t="s">
        <v>224</v>
      </c>
      <c r="G434" s="1">
        <v>612203.0</v>
      </c>
      <c r="H434" s="2">
        <v>41432.0</v>
      </c>
      <c r="I434" s="1" t="s">
        <v>1224</v>
      </c>
      <c r="K434" s="1" t="s">
        <v>1224</v>
      </c>
      <c r="N434" s="1" t="s">
        <v>151</v>
      </c>
      <c r="O434" s="1">
        <v>6900.0</v>
      </c>
      <c r="P434" s="1" t="s">
        <v>151</v>
      </c>
      <c r="Q434" s="1" t="str">
        <f>IF(ISERROR(VLOOKUP(P434,'unique fed agency names'!A:C,3,FALSE)),P434,VLOOKUP(P434,'unique fed agency names'!A:C,3,FALSE))
</f>
        <v>U.S. Department of Transportation (DOT)</v>
      </c>
      <c r="R434" s="1">
        <v>9.63886101E8</v>
      </c>
      <c r="S434" s="1" t="s">
        <v>259</v>
      </c>
      <c r="T434" s="1" t="str">
        <f>IF(ISERROR(VLOOKUP(S434,'unique org names'!A:C,3,FALSE)),S434,VLOOKUP(S434,'unique org names'!A:C,3,FALSE))
</f>
        <v>Wayne County</v>
      </c>
      <c r="V434" s="1" t="s">
        <v>260</v>
      </c>
      <c r="W434" s="1" t="s">
        <v>44</v>
      </c>
      <c r="X434" s="1" t="s">
        <v>45</v>
      </c>
      <c r="Y434" s="1">
        <v>4.8226348E8</v>
      </c>
      <c r="AA434" s="1" t="s">
        <v>46</v>
      </c>
      <c r="AB434" s="1" t="s">
        <v>45</v>
      </c>
      <c r="AC434" s="1">
        <v>4.8226348E8</v>
      </c>
      <c r="AD434" s="1">
        <v>7.3134884E7</v>
      </c>
      <c r="AE434" s="1" t="s">
        <v>261</v>
      </c>
      <c r="AF434" s="1">
        <v>612203.3</v>
      </c>
      <c r="AG434" s="2">
        <v>41432.0</v>
      </c>
      <c r="AH434" s="1">
        <v>6900.0</v>
      </c>
      <c r="AI434" s="1" t="s">
        <v>151</v>
      </c>
      <c r="AJ434" s="1">
        <v>1.0</v>
      </c>
      <c r="AK434" s="1" t="s">
        <v>1225</v>
      </c>
      <c r="AL434" s="1">
        <v>7.0</v>
      </c>
      <c r="AM434" s="1">
        <v>2013.0</v>
      </c>
      <c r="AN434" s="1">
        <v>2013.0</v>
      </c>
      <c r="AO434" s="1" t="s">
        <v>229</v>
      </c>
    </row>
    <row r="435">
      <c r="A435" s="5">
        <v>1.0</v>
      </c>
      <c r="B435" s="1">
        <f t="shared" si="1"/>
        <v>435</v>
      </c>
      <c r="C435" s="1" t="s">
        <v>1226</v>
      </c>
      <c r="D435" s="1" t="s">
        <v>1226</v>
      </c>
      <c r="E435" s="1" t="s">
        <v>224</v>
      </c>
      <c r="G435" s="1">
        <v>93406.0</v>
      </c>
      <c r="H435" s="2">
        <v>41432.0</v>
      </c>
      <c r="I435" s="1" t="s">
        <v>1224</v>
      </c>
      <c r="K435" s="1" t="s">
        <v>1224</v>
      </c>
      <c r="N435" s="1" t="s">
        <v>151</v>
      </c>
      <c r="O435" s="1">
        <v>6900.0</v>
      </c>
      <c r="P435" s="1" t="s">
        <v>151</v>
      </c>
      <c r="Q435" s="1" t="str">
        <f>IF(ISERROR(VLOOKUP(P435,'unique fed agency names'!A:C,3,FALSE)),P435,VLOOKUP(P435,'unique fed agency names'!A:C,3,FALSE))
</f>
        <v>U.S. Department of Transportation (DOT)</v>
      </c>
      <c r="R435" s="1">
        <v>9.63886101E8</v>
      </c>
      <c r="S435" s="1" t="s">
        <v>259</v>
      </c>
      <c r="T435" s="1" t="str">
        <f>IF(ISERROR(VLOOKUP(S435,'unique org names'!A:C,3,FALSE)),S435,VLOOKUP(S435,'unique org names'!A:C,3,FALSE))
</f>
        <v>Wayne County</v>
      </c>
      <c r="V435" s="1" t="s">
        <v>260</v>
      </c>
      <c r="W435" s="1" t="s">
        <v>44</v>
      </c>
      <c r="X435" s="1" t="s">
        <v>45</v>
      </c>
      <c r="Y435" s="1">
        <v>4.8226348E8</v>
      </c>
      <c r="AA435" s="1" t="s">
        <v>46</v>
      </c>
      <c r="AB435" s="1" t="s">
        <v>45</v>
      </c>
      <c r="AC435" s="1">
        <v>4.8226348E8</v>
      </c>
      <c r="AD435" s="1">
        <v>7.3134884E7</v>
      </c>
      <c r="AE435" s="1" t="s">
        <v>261</v>
      </c>
      <c r="AF435" s="1">
        <v>93406.11</v>
      </c>
      <c r="AG435" s="2">
        <v>41432.0</v>
      </c>
      <c r="AH435" s="1">
        <v>6900.0</v>
      </c>
      <c r="AI435" s="1" t="s">
        <v>151</v>
      </c>
      <c r="AJ435" s="1">
        <v>1.0</v>
      </c>
      <c r="AK435" s="1" t="s">
        <v>1225</v>
      </c>
      <c r="AL435" s="1">
        <v>7.0</v>
      </c>
      <c r="AM435" s="1">
        <v>2013.0</v>
      </c>
      <c r="AN435" s="1">
        <v>2013.0</v>
      </c>
      <c r="AO435" s="1" t="s">
        <v>229</v>
      </c>
    </row>
    <row r="436">
      <c r="A436" s="5">
        <v>1.0</v>
      </c>
      <c r="B436" s="1">
        <f t="shared" si="1"/>
        <v>436</v>
      </c>
      <c r="C436" s="1" t="s">
        <v>1227</v>
      </c>
      <c r="D436" s="1" t="s">
        <v>1227</v>
      </c>
      <c r="E436" s="1" t="s">
        <v>194</v>
      </c>
      <c r="G436" s="1">
        <v>1.3965116E7</v>
      </c>
      <c r="H436" s="2">
        <v>41338.0</v>
      </c>
      <c r="I436" s="1" t="s">
        <v>1228</v>
      </c>
      <c r="K436" s="1" t="s">
        <v>1228</v>
      </c>
      <c r="N436" s="1" t="s">
        <v>194</v>
      </c>
      <c r="O436" s="1">
        <v>9100.0</v>
      </c>
      <c r="P436" s="1" t="s">
        <v>194</v>
      </c>
      <c r="Q436" s="1" t="str">
        <f>IF(ISERROR(VLOOKUP(P436,'unique fed agency names'!A:C,3,FALSE)),P436,VLOOKUP(P436,'unique fed agency names'!A:C,3,FALSE))
</f>
        <v>U.S. Department of Education (ED)</v>
      </c>
      <c r="R436" s="1">
        <v>6.13353846E8</v>
      </c>
      <c r="S436" s="1" t="s">
        <v>1229</v>
      </c>
      <c r="T436" s="1" t="str">
        <f>IF(ISERROR(VLOOKUP(S436,'unique org names'!A:C,3,FALSE)),S436,VLOOKUP(S436,'unique org names'!A:C,3,FALSE))
</f>
        <v>Pro-Literacy Detroit</v>
      </c>
      <c r="V436" s="1" t="s">
        <v>1230</v>
      </c>
      <c r="W436" s="1" t="s">
        <v>44</v>
      </c>
      <c r="X436" s="1" t="s">
        <v>45</v>
      </c>
      <c r="Y436" s="1">
        <v>4.82013473E8</v>
      </c>
      <c r="AA436" s="1" t="s">
        <v>44</v>
      </c>
      <c r="AB436" s="1" t="s">
        <v>45</v>
      </c>
      <c r="AC436" s="1">
        <v>4.82013421E8</v>
      </c>
      <c r="AF436" s="1">
        <v>123000.0</v>
      </c>
      <c r="AG436" s="2">
        <v>41338.0</v>
      </c>
      <c r="AH436" s="1">
        <v>9100.0</v>
      </c>
      <c r="AI436" s="1" t="s">
        <v>194</v>
      </c>
      <c r="AJ436" s="1" t="s">
        <v>1231</v>
      </c>
      <c r="AK436" s="1" t="s">
        <v>1232</v>
      </c>
      <c r="AL436" s="1">
        <v>8.0</v>
      </c>
      <c r="AM436" s="1">
        <v>2013.0</v>
      </c>
      <c r="AN436" s="1">
        <v>2013.0</v>
      </c>
      <c r="AO436" s="1" t="s">
        <v>1233</v>
      </c>
    </row>
    <row r="437">
      <c r="A437" s="5">
        <v>1.0</v>
      </c>
      <c r="B437" s="1">
        <f t="shared" si="1"/>
        <v>437</v>
      </c>
      <c r="C437" s="1" t="s">
        <v>1227</v>
      </c>
      <c r="D437" s="1" t="s">
        <v>1227</v>
      </c>
      <c r="E437" s="1" t="s">
        <v>194</v>
      </c>
      <c r="G437" s="1">
        <v>1.3965116E7</v>
      </c>
      <c r="H437" s="2">
        <v>41366.0</v>
      </c>
      <c r="I437" s="1" t="s">
        <v>1228</v>
      </c>
      <c r="K437" s="1" t="s">
        <v>1228</v>
      </c>
      <c r="N437" s="1" t="s">
        <v>194</v>
      </c>
      <c r="O437" s="1">
        <v>9100.0</v>
      </c>
      <c r="P437" s="1" t="s">
        <v>194</v>
      </c>
      <c r="Q437" s="1" t="str">
        <f>IF(ISERROR(VLOOKUP(P437,'unique fed agency names'!A:C,3,FALSE)),P437,VLOOKUP(P437,'unique fed agency names'!A:C,3,FALSE))
</f>
        <v>U.S. Department of Education (ED)</v>
      </c>
      <c r="R437" s="1">
        <v>1962224.0</v>
      </c>
      <c r="S437" s="1" t="s">
        <v>52</v>
      </c>
      <c r="T437" s="1" t="str">
        <f>IF(ISERROR(VLOOKUP(S437,'unique org names'!A:C,3,FALSE)),S437,VLOOKUP(S437,'unique org names'!A:C,3,FALSE))
</f>
        <v>WAYNE STATE UNIVERSITY</v>
      </c>
      <c r="V437" s="1" t="s">
        <v>53</v>
      </c>
      <c r="W437" s="1" t="s">
        <v>44</v>
      </c>
      <c r="X437" s="1" t="s">
        <v>45</v>
      </c>
      <c r="Y437" s="1">
        <v>4.82023692E8</v>
      </c>
      <c r="AA437" s="1" t="s">
        <v>44</v>
      </c>
      <c r="AB437" s="1" t="s">
        <v>45</v>
      </c>
      <c r="AC437" s="1">
        <v>4.82023424E8</v>
      </c>
      <c r="AD437" s="1">
        <v>1962224.0</v>
      </c>
      <c r="AE437" s="1" t="s">
        <v>52</v>
      </c>
      <c r="AF437" s="1">
        <v>95000.0</v>
      </c>
      <c r="AG437" s="2">
        <v>41366.0</v>
      </c>
      <c r="AH437" s="1">
        <v>9100.0</v>
      </c>
      <c r="AI437" s="1" t="s">
        <v>194</v>
      </c>
      <c r="AJ437" s="1" t="s">
        <v>1234</v>
      </c>
      <c r="AK437" s="1" t="s">
        <v>1232</v>
      </c>
      <c r="AL437" s="1">
        <v>8.0</v>
      </c>
      <c r="AM437" s="1">
        <v>2013.0</v>
      </c>
      <c r="AN437" s="1">
        <v>2013.0</v>
      </c>
      <c r="AO437" s="1" t="s">
        <v>1233</v>
      </c>
    </row>
    <row r="438">
      <c r="A438" s="5">
        <v>1.0</v>
      </c>
      <c r="B438" s="1">
        <f t="shared" si="1"/>
        <v>438</v>
      </c>
      <c r="C438" s="1" t="s">
        <v>1235</v>
      </c>
      <c r="D438" s="1" t="s">
        <v>1235</v>
      </c>
      <c r="E438" s="1" t="s">
        <v>194</v>
      </c>
      <c r="G438" s="1">
        <v>8860681.0</v>
      </c>
      <c r="H438" s="2">
        <v>41253.0</v>
      </c>
      <c r="I438" s="1" t="s">
        <v>1236</v>
      </c>
      <c r="K438" s="1" t="s">
        <v>1236</v>
      </c>
      <c r="N438" s="1" t="s">
        <v>194</v>
      </c>
      <c r="O438" s="1">
        <v>9100.0</v>
      </c>
      <c r="P438" s="1" t="s">
        <v>194</v>
      </c>
      <c r="Q438" s="1" t="str">
        <f>IF(ISERROR(VLOOKUP(P438,'unique fed agency names'!A:C,3,FALSE)),P438,VLOOKUP(P438,'unique fed agency names'!A:C,3,FALSE))
</f>
        <v>U.S. Department of Education (ED)</v>
      </c>
      <c r="R438" s="1">
        <v>7.6340843E7</v>
      </c>
      <c r="S438" s="1" t="s">
        <v>461</v>
      </c>
      <c r="T438" s="1" t="str">
        <f>IF(ISERROR(VLOOKUP(S438,'unique org names'!A:C,3,FALSE)),S438,VLOOKUP(S438,'unique org names'!A:C,3,FALSE))
</f>
        <v>BOARD OF EDUCATION OF THE CITY OF DETROIT</v>
      </c>
      <c r="U438" s="1" t="s">
        <v>459</v>
      </c>
      <c r="V438" s="1" t="s">
        <v>524</v>
      </c>
      <c r="W438" s="1" t="s">
        <v>44</v>
      </c>
      <c r="X438" s="1" t="s">
        <v>45</v>
      </c>
      <c r="Y438" s="1">
        <v>4.82023046E8</v>
      </c>
      <c r="AA438" s="1" t="s">
        <v>44</v>
      </c>
      <c r="AB438" s="1" t="s">
        <v>45</v>
      </c>
      <c r="AC438" s="1">
        <v>4.82023096E8</v>
      </c>
      <c r="AD438" s="1">
        <v>7.6340843E7</v>
      </c>
      <c r="AE438" s="1" t="s">
        <v>461</v>
      </c>
      <c r="AF438" s="1">
        <v>41122.0</v>
      </c>
      <c r="AG438" s="2">
        <v>41253.0</v>
      </c>
      <c r="AH438" s="1">
        <v>9100.0</v>
      </c>
      <c r="AI438" s="1" t="s">
        <v>194</v>
      </c>
      <c r="AJ438" s="1" t="s">
        <v>1237</v>
      </c>
      <c r="AK438" s="1" t="s">
        <v>1238</v>
      </c>
      <c r="AL438" s="1">
        <v>8.0</v>
      </c>
      <c r="AM438" s="1">
        <v>2013.0</v>
      </c>
      <c r="AN438" s="1">
        <v>2013.0</v>
      </c>
      <c r="AO438" s="1" t="s">
        <v>1239</v>
      </c>
    </row>
    <row r="439">
      <c r="A439" s="5">
        <v>1.0</v>
      </c>
      <c r="B439" s="1">
        <f t="shared" si="1"/>
        <v>439</v>
      </c>
      <c r="C439" s="1" t="s">
        <v>1227</v>
      </c>
      <c r="D439" s="1" t="s">
        <v>1227</v>
      </c>
      <c r="E439" s="1" t="s">
        <v>194</v>
      </c>
      <c r="G439" s="1">
        <v>1.3965116E7</v>
      </c>
      <c r="H439" s="2">
        <v>41437.0</v>
      </c>
      <c r="I439" s="1" t="s">
        <v>1228</v>
      </c>
      <c r="K439" s="1" t="s">
        <v>1228</v>
      </c>
      <c r="N439" s="1" t="s">
        <v>194</v>
      </c>
      <c r="O439" s="1">
        <v>9100.0</v>
      </c>
      <c r="P439" s="1" t="s">
        <v>194</v>
      </c>
      <c r="Q439" s="1" t="str">
        <f>IF(ISERROR(VLOOKUP(P439,'unique fed agency names'!A:C,3,FALSE)),P439,VLOOKUP(P439,'unique fed agency names'!A:C,3,FALSE))
</f>
        <v>U.S. Department of Education (ED)</v>
      </c>
      <c r="R439" s="1">
        <v>3.9866801E7</v>
      </c>
      <c r="S439" s="1" t="s">
        <v>612</v>
      </c>
      <c r="T439" s="1" t="str">
        <f>IF(ISERROR(VLOOKUP(S439,'unique org names'!A:C,3,FALSE)),S439,VLOOKUP(S439,'unique org names'!A:C,3,FALSE))
</f>
        <v>HAMTRAMCK PUBLIC SCHOOLS</v>
      </c>
      <c r="V439" s="1" t="s">
        <v>613</v>
      </c>
      <c r="W439" s="1" t="s">
        <v>44</v>
      </c>
      <c r="X439" s="1" t="s">
        <v>45</v>
      </c>
      <c r="Y439" s="1">
        <v>4.82123753E8</v>
      </c>
      <c r="AA439" s="1" t="s">
        <v>607</v>
      </c>
      <c r="AB439" s="1" t="s">
        <v>45</v>
      </c>
      <c r="AC439" s="1">
        <v>4.82120012E8</v>
      </c>
      <c r="AD439" s="1">
        <v>3.9866801E7</v>
      </c>
      <c r="AE439" s="1" t="s">
        <v>612</v>
      </c>
      <c r="AF439" s="1">
        <v>163000.0</v>
      </c>
      <c r="AG439" s="2">
        <v>41437.0</v>
      </c>
      <c r="AH439" s="1">
        <v>9100.0</v>
      </c>
      <c r="AI439" s="1" t="s">
        <v>194</v>
      </c>
      <c r="AJ439" s="1" t="s">
        <v>1240</v>
      </c>
      <c r="AK439" s="1" t="s">
        <v>1232</v>
      </c>
      <c r="AL439" s="1">
        <v>8.0</v>
      </c>
      <c r="AM439" s="1">
        <v>2013.0</v>
      </c>
      <c r="AN439" s="1">
        <v>2013.0</v>
      </c>
      <c r="AO439" s="1" t="s">
        <v>1233</v>
      </c>
    </row>
    <row r="440">
      <c r="A440" s="5">
        <v>1.0</v>
      </c>
      <c r="B440" s="1">
        <f t="shared" si="1"/>
        <v>440</v>
      </c>
      <c r="C440" s="1" t="s">
        <v>1227</v>
      </c>
      <c r="D440" s="1" t="s">
        <v>1227</v>
      </c>
      <c r="E440" s="1" t="s">
        <v>194</v>
      </c>
      <c r="G440" s="1">
        <v>1.3965116E7</v>
      </c>
      <c r="H440" s="2">
        <v>41347.0</v>
      </c>
      <c r="I440" s="1" t="s">
        <v>1228</v>
      </c>
      <c r="K440" s="1" t="s">
        <v>1228</v>
      </c>
      <c r="N440" s="1" t="s">
        <v>194</v>
      </c>
      <c r="O440" s="1">
        <v>9100.0</v>
      </c>
      <c r="P440" s="1" t="s">
        <v>194</v>
      </c>
      <c r="Q440" s="1" t="str">
        <f>IF(ISERROR(VLOOKUP(P440,'unique fed agency names'!A:C,3,FALSE)),P440,VLOOKUP(P440,'unique fed agency names'!A:C,3,FALSE))
</f>
        <v>U.S. Department of Education (ED)</v>
      </c>
      <c r="R440" s="1">
        <v>7.6340843E7</v>
      </c>
      <c r="S440" s="1" t="s">
        <v>461</v>
      </c>
      <c r="T440" s="1" t="str">
        <f>IF(ISERROR(VLOOKUP(S440,'unique org names'!A:C,3,FALSE)),S440,VLOOKUP(S440,'unique org names'!A:C,3,FALSE))
</f>
        <v>BOARD OF EDUCATION OF THE CITY OF DETROIT</v>
      </c>
      <c r="U440" s="1" t="s">
        <v>459</v>
      </c>
      <c r="V440" s="1" t="s">
        <v>524</v>
      </c>
      <c r="W440" s="1" t="s">
        <v>44</v>
      </c>
      <c r="X440" s="1" t="s">
        <v>45</v>
      </c>
      <c r="Y440" s="1">
        <v>4.82023046E8</v>
      </c>
      <c r="AA440" s="1" t="s">
        <v>44</v>
      </c>
      <c r="AB440" s="1" t="s">
        <v>45</v>
      </c>
      <c r="AC440" s="1">
        <v>4.82023096E8</v>
      </c>
      <c r="AD440" s="1">
        <v>7.6340843E7</v>
      </c>
      <c r="AE440" s="1" t="s">
        <v>461</v>
      </c>
      <c r="AF440" s="1">
        <v>200000.0</v>
      </c>
      <c r="AG440" s="2">
        <v>41347.0</v>
      </c>
      <c r="AH440" s="1">
        <v>9100.0</v>
      </c>
      <c r="AI440" s="1" t="s">
        <v>194</v>
      </c>
      <c r="AJ440" s="1" t="s">
        <v>1241</v>
      </c>
      <c r="AK440" s="1" t="s">
        <v>1232</v>
      </c>
      <c r="AL440" s="1">
        <v>8.0</v>
      </c>
      <c r="AM440" s="1">
        <v>2013.0</v>
      </c>
      <c r="AN440" s="1">
        <v>2013.0</v>
      </c>
      <c r="AO440" s="1" t="s">
        <v>1233</v>
      </c>
    </row>
    <row r="441">
      <c r="A441" s="5">
        <v>1.0</v>
      </c>
      <c r="B441" s="1">
        <f t="shared" si="1"/>
        <v>441</v>
      </c>
      <c r="C441" s="1" t="s">
        <v>1227</v>
      </c>
      <c r="D441" s="1" t="s">
        <v>1227</v>
      </c>
      <c r="E441" s="1" t="s">
        <v>194</v>
      </c>
      <c r="G441" s="1">
        <v>1.3965116E7</v>
      </c>
      <c r="H441" s="2">
        <v>41466.0</v>
      </c>
      <c r="I441" s="1" t="s">
        <v>1228</v>
      </c>
      <c r="K441" s="1" t="s">
        <v>1228</v>
      </c>
      <c r="N441" s="1" t="s">
        <v>194</v>
      </c>
      <c r="O441" s="1">
        <v>9100.0</v>
      </c>
      <c r="P441" s="1" t="s">
        <v>194</v>
      </c>
      <c r="Q441" s="1" t="str">
        <f>IF(ISERROR(VLOOKUP(P441,'unique fed agency names'!A:C,3,FALSE)),P441,VLOOKUP(P441,'unique fed agency names'!A:C,3,FALSE))
</f>
        <v>U.S. Department of Education (ED)</v>
      </c>
      <c r="R441" s="1">
        <v>7.6386556E7</v>
      </c>
      <c r="S441" s="1" t="s">
        <v>1242</v>
      </c>
      <c r="T441" s="1" t="str">
        <f>IF(ISERROR(VLOOKUP(S441,'unique org names'!A:C,3,FALSE)),S441,VLOOKUP(S441,'unique org names'!A:C,3,FALSE))
</f>
        <v>WAYNE COUNTY COMMUNITY COLLEGE DISTRICT</v>
      </c>
      <c r="V441" s="1" t="s">
        <v>1243</v>
      </c>
      <c r="W441" s="1" t="s">
        <v>44</v>
      </c>
      <c r="X441" s="1" t="s">
        <v>45</v>
      </c>
      <c r="Y441" s="1">
        <v>4.8226301E8</v>
      </c>
      <c r="AA441" s="1" t="s">
        <v>44</v>
      </c>
      <c r="AB441" s="1" t="s">
        <v>45</v>
      </c>
      <c r="AC441" s="1">
        <v>4.8226301E8</v>
      </c>
      <c r="AD441" s="1">
        <v>7.6386556E7</v>
      </c>
      <c r="AE441" s="1" t="s">
        <v>1242</v>
      </c>
      <c r="AF441" s="1">
        <v>203100.0</v>
      </c>
      <c r="AG441" s="2">
        <v>41466.0</v>
      </c>
      <c r="AH441" s="1">
        <v>9100.0</v>
      </c>
      <c r="AI441" s="1" t="s">
        <v>194</v>
      </c>
      <c r="AJ441" s="1" t="s">
        <v>1244</v>
      </c>
      <c r="AK441" s="1" t="s">
        <v>1232</v>
      </c>
      <c r="AL441" s="1">
        <v>8.0</v>
      </c>
      <c r="AM441" s="1">
        <v>2013.0</v>
      </c>
      <c r="AN441" s="1">
        <v>2013.0</v>
      </c>
      <c r="AO441" s="1" t="s">
        <v>1233</v>
      </c>
    </row>
    <row r="442">
      <c r="A442" s="5">
        <v>1.0</v>
      </c>
      <c r="B442" s="1">
        <f t="shared" si="1"/>
        <v>442</v>
      </c>
      <c r="C442" s="1" t="s">
        <v>1227</v>
      </c>
      <c r="D442" s="1" t="s">
        <v>1227</v>
      </c>
      <c r="E442" s="1" t="s">
        <v>194</v>
      </c>
      <c r="G442" s="1">
        <v>1.3965116E7</v>
      </c>
      <c r="H442" s="2">
        <v>41437.0</v>
      </c>
      <c r="I442" s="1" t="s">
        <v>1228</v>
      </c>
      <c r="K442" s="1" t="s">
        <v>1228</v>
      </c>
      <c r="N442" s="1" t="s">
        <v>194</v>
      </c>
      <c r="O442" s="1">
        <v>9100.0</v>
      </c>
      <c r="P442" s="1" t="s">
        <v>194</v>
      </c>
      <c r="Q442" s="1" t="str">
        <f>IF(ISERROR(VLOOKUP(P442,'unique fed agency names'!A:C,3,FALSE)),P442,VLOOKUP(P442,'unique fed agency names'!A:C,3,FALSE))
</f>
        <v>U.S. Department of Education (ED)</v>
      </c>
      <c r="R442" s="1">
        <v>3.9866801E7</v>
      </c>
      <c r="S442" s="1" t="s">
        <v>612</v>
      </c>
      <c r="T442" s="1" t="str">
        <f>IF(ISERROR(VLOOKUP(S442,'unique org names'!A:C,3,FALSE)),S442,VLOOKUP(S442,'unique org names'!A:C,3,FALSE))
</f>
        <v>HAMTRAMCK PUBLIC SCHOOLS</v>
      </c>
      <c r="V442" s="1" t="s">
        <v>613</v>
      </c>
      <c r="W442" s="1" t="s">
        <v>44</v>
      </c>
      <c r="X442" s="1" t="s">
        <v>45</v>
      </c>
      <c r="Y442" s="1">
        <v>4.82123753E8</v>
      </c>
      <c r="AA442" s="1" t="s">
        <v>607</v>
      </c>
      <c r="AB442" s="1" t="s">
        <v>45</v>
      </c>
      <c r="AC442" s="1">
        <v>4.82120012E8</v>
      </c>
      <c r="AD442" s="1">
        <v>3.9866801E7</v>
      </c>
      <c r="AE442" s="1" t="s">
        <v>612</v>
      </c>
      <c r="AF442" s="1">
        <v>55000.0</v>
      </c>
      <c r="AG442" s="2">
        <v>41437.0</v>
      </c>
      <c r="AH442" s="1">
        <v>9100.0</v>
      </c>
      <c r="AI442" s="1" t="s">
        <v>194</v>
      </c>
      <c r="AJ442" s="1" t="s">
        <v>1245</v>
      </c>
      <c r="AK442" s="1" t="s">
        <v>1232</v>
      </c>
      <c r="AL442" s="1">
        <v>8.0</v>
      </c>
      <c r="AM442" s="1">
        <v>2013.0</v>
      </c>
      <c r="AN442" s="1">
        <v>2013.0</v>
      </c>
      <c r="AO442" s="1" t="s">
        <v>1233</v>
      </c>
    </row>
    <row r="443">
      <c r="A443" s="5">
        <v>1.0</v>
      </c>
      <c r="B443" s="1">
        <f t="shared" si="1"/>
        <v>443</v>
      </c>
      <c r="C443" s="1" t="s">
        <v>1227</v>
      </c>
      <c r="D443" s="1" t="s">
        <v>1227</v>
      </c>
      <c r="E443" s="1" t="s">
        <v>194</v>
      </c>
      <c r="G443" s="1">
        <v>1.3965116E7</v>
      </c>
      <c r="H443" s="2">
        <v>41338.0</v>
      </c>
      <c r="I443" s="1" t="s">
        <v>1228</v>
      </c>
      <c r="K443" s="1" t="s">
        <v>1228</v>
      </c>
      <c r="N443" s="1" t="s">
        <v>194</v>
      </c>
      <c r="O443" s="1">
        <v>9100.0</v>
      </c>
      <c r="P443" s="1" t="s">
        <v>194</v>
      </c>
      <c r="Q443" s="1" t="str">
        <f>IF(ISERROR(VLOOKUP(P443,'unique fed agency names'!A:C,3,FALSE)),P443,VLOOKUP(P443,'unique fed agency names'!A:C,3,FALSE))
</f>
        <v>U.S. Department of Education (ED)</v>
      </c>
      <c r="R443" s="1">
        <v>7840122.0</v>
      </c>
      <c r="S443" s="1" t="s">
        <v>1246</v>
      </c>
      <c r="T443" s="1" t="str">
        <f>IF(ISERROR(VLOOKUP(S443,'unique org names'!A:C,3,FALSE)),S443,VLOOKUP(S443,'unique org names'!A:C,3,FALSE))
</f>
        <v>DETROIT HISPANIC DEVELOPMENT CORPORATION</v>
      </c>
      <c r="V443" s="1" t="s">
        <v>1247</v>
      </c>
      <c r="W443" s="1" t="s">
        <v>44</v>
      </c>
      <c r="X443" s="1" t="s">
        <v>45</v>
      </c>
      <c r="Y443" s="1">
        <v>4.8216194E8</v>
      </c>
      <c r="AA443" s="1" t="s">
        <v>44</v>
      </c>
      <c r="AB443" s="1" t="s">
        <v>45</v>
      </c>
      <c r="AC443" s="1">
        <v>4.8216194E8</v>
      </c>
      <c r="AF443" s="1">
        <v>95000.0</v>
      </c>
      <c r="AG443" s="2">
        <v>41338.0</v>
      </c>
      <c r="AH443" s="1">
        <v>9100.0</v>
      </c>
      <c r="AI443" s="1" t="s">
        <v>194</v>
      </c>
      <c r="AJ443" s="1" t="s">
        <v>1248</v>
      </c>
      <c r="AK443" s="1" t="s">
        <v>1232</v>
      </c>
      <c r="AL443" s="1">
        <v>8.0</v>
      </c>
      <c r="AM443" s="1">
        <v>2013.0</v>
      </c>
      <c r="AN443" s="1">
        <v>2013.0</v>
      </c>
      <c r="AO443" s="1" t="s">
        <v>1233</v>
      </c>
    </row>
    <row r="444">
      <c r="A444" s="5">
        <v>1.0</v>
      </c>
      <c r="B444" s="1">
        <f t="shared" si="1"/>
        <v>444</v>
      </c>
      <c r="C444" s="1" t="s">
        <v>1227</v>
      </c>
      <c r="D444" s="1" t="s">
        <v>1227</v>
      </c>
      <c r="E444" s="1" t="s">
        <v>194</v>
      </c>
      <c r="G444" s="1">
        <v>1.3965116E7</v>
      </c>
      <c r="H444" s="2">
        <v>41404.0</v>
      </c>
      <c r="I444" s="1" t="s">
        <v>1228</v>
      </c>
      <c r="K444" s="1" t="s">
        <v>1228</v>
      </c>
      <c r="N444" s="1" t="s">
        <v>194</v>
      </c>
      <c r="O444" s="1">
        <v>9100.0</v>
      </c>
      <c r="P444" s="1" t="s">
        <v>194</v>
      </c>
      <c r="Q444" s="1" t="str">
        <f>IF(ISERROR(VLOOKUP(P444,'unique fed agency names'!A:C,3,FALSE)),P444,VLOOKUP(P444,'unique fed agency names'!A:C,3,FALSE))
</f>
        <v>U.S. Department of Education (ED)</v>
      </c>
      <c r="R444" s="1">
        <v>6.07770427E8</v>
      </c>
      <c r="S444" s="1" t="s">
        <v>1249</v>
      </c>
      <c r="T444" s="1" t="str">
        <f>IF(ISERROR(VLOOKUP(S444,'unique org names'!A:C,3,FALSE)),S444,VLOOKUP(S444,'unique org names'!A:C,3,FALSE))
</f>
        <v>Dominican Literacy Center</v>
      </c>
      <c r="V444" s="1" t="s">
        <v>1250</v>
      </c>
      <c r="W444" s="1" t="s">
        <v>44</v>
      </c>
      <c r="X444" s="1" t="s">
        <v>45</v>
      </c>
      <c r="Y444" s="1">
        <v>4.82133364E8</v>
      </c>
      <c r="AA444" s="1" t="s">
        <v>44</v>
      </c>
      <c r="AB444" s="1" t="s">
        <v>45</v>
      </c>
      <c r="AC444" s="1">
        <v>4.82242517E8</v>
      </c>
      <c r="AF444" s="1">
        <v>921001.0</v>
      </c>
      <c r="AG444" s="2">
        <v>41404.0</v>
      </c>
      <c r="AH444" s="1">
        <v>9100.0</v>
      </c>
      <c r="AI444" s="1" t="s">
        <v>194</v>
      </c>
      <c r="AJ444" s="1" t="s">
        <v>1251</v>
      </c>
      <c r="AK444" s="1" t="s">
        <v>1232</v>
      </c>
      <c r="AL444" s="1">
        <v>8.0</v>
      </c>
      <c r="AM444" s="1">
        <v>2013.0</v>
      </c>
      <c r="AN444" s="1">
        <v>2013.0</v>
      </c>
      <c r="AO444" s="1" t="s">
        <v>1233</v>
      </c>
    </row>
    <row r="445">
      <c r="A445" s="5">
        <v>1.0</v>
      </c>
      <c r="B445" s="1">
        <f t="shared" si="1"/>
        <v>445</v>
      </c>
      <c r="C445" s="1" t="s">
        <v>1227</v>
      </c>
      <c r="D445" s="1" t="s">
        <v>1227</v>
      </c>
      <c r="E445" s="1" t="s">
        <v>194</v>
      </c>
      <c r="G445" s="1">
        <v>1.3965116E7</v>
      </c>
      <c r="H445" s="2">
        <v>41450.0</v>
      </c>
      <c r="I445" s="1" t="s">
        <v>1228</v>
      </c>
      <c r="K445" s="1" t="s">
        <v>1228</v>
      </c>
      <c r="N445" s="1" t="s">
        <v>194</v>
      </c>
      <c r="O445" s="1">
        <v>9100.0</v>
      </c>
      <c r="P445" s="1" t="s">
        <v>194</v>
      </c>
      <c r="Q445" s="1" t="str">
        <f>IF(ISERROR(VLOOKUP(P445,'unique fed agency names'!A:C,3,FALSE)),P445,VLOOKUP(P445,'unique fed agency names'!A:C,3,FALSE))
</f>
        <v>U.S. Department of Education (ED)</v>
      </c>
      <c r="R445" s="1">
        <v>6.2962068E7</v>
      </c>
      <c r="S445" s="1" t="s">
        <v>1252</v>
      </c>
      <c r="T445" s="1" t="str">
        <f>IF(ISERROR(VLOOKUP(S445,'unique org names'!A:C,3,FALSE)),S445,VLOOKUP(S445,'unique org names'!A:C,3,FALSE))
</f>
        <v>MERCY EDUCATION PROJECT</v>
      </c>
      <c r="V445" s="1" t="s">
        <v>1253</v>
      </c>
      <c r="W445" s="1" t="s">
        <v>44</v>
      </c>
      <c r="X445" s="1" t="s">
        <v>45</v>
      </c>
      <c r="Y445" s="1">
        <v>4.82161917E8</v>
      </c>
      <c r="AA445" s="1" t="s">
        <v>44</v>
      </c>
      <c r="AB445" s="1" t="s">
        <v>45</v>
      </c>
      <c r="AC445" s="1">
        <v>4.82161917E8</v>
      </c>
      <c r="AF445" s="1">
        <v>63000.0</v>
      </c>
      <c r="AG445" s="2">
        <v>41450.0</v>
      </c>
      <c r="AH445" s="1">
        <v>9100.0</v>
      </c>
      <c r="AI445" s="1" t="s">
        <v>194</v>
      </c>
      <c r="AJ445" s="1" t="s">
        <v>1254</v>
      </c>
      <c r="AK445" s="1" t="s">
        <v>1232</v>
      </c>
      <c r="AL445" s="1">
        <v>8.0</v>
      </c>
      <c r="AM445" s="1">
        <v>2013.0</v>
      </c>
      <c r="AN445" s="1">
        <v>2013.0</v>
      </c>
      <c r="AO445" s="1" t="s">
        <v>1233</v>
      </c>
    </row>
    <row r="446">
      <c r="A446" s="5">
        <v>1.0</v>
      </c>
      <c r="B446" s="1">
        <f t="shared" si="1"/>
        <v>446</v>
      </c>
      <c r="C446" s="1" t="s">
        <v>1255</v>
      </c>
      <c r="D446" s="1" t="s">
        <v>1255</v>
      </c>
      <c r="E446" s="1" t="s">
        <v>224</v>
      </c>
      <c r="G446" s="1">
        <v>1542080.0</v>
      </c>
      <c r="H446" s="2">
        <v>41649.0</v>
      </c>
      <c r="I446" s="1" t="s">
        <v>1256</v>
      </c>
      <c r="K446" s="1" t="s">
        <v>1256</v>
      </c>
      <c r="N446" s="1" t="s">
        <v>151</v>
      </c>
      <c r="O446" s="1">
        <v>6900.0</v>
      </c>
      <c r="P446" s="1" t="s">
        <v>151</v>
      </c>
      <c r="Q446" s="1" t="str">
        <f>IF(ISERROR(VLOOKUP(P446,'unique fed agency names'!A:C,3,FALSE)),P446,VLOOKUP(P446,'unique fed agency names'!A:C,3,FALSE))
</f>
        <v>U.S. Department of Transportation (DOT)</v>
      </c>
      <c r="R446" s="1">
        <v>1.1855476E8</v>
      </c>
      <c r="S446" s="1" t="s">
        <v>983</v>
      </c>
      <c r="T446" s="1" t="str">
        <f>IF(ISERROR(VLOOKUP(S446,'unique org names'!A:C,3,FALSE)),S446,VLOOKUP(S446,'unique org names'!A:C,3,FALSE))
</f>
        <v>City of Detroit</v>
      </c>
      <c r="U446" s="1" t="s">
        <v>984</v>
      </c>
      <c r="V446" s="1" t="s">
        <v>227</v>
      </c>
      <c r="W446" s="1" t="s">
        <v>44</v>
      </c>
      <c r="X446" s="1" t="s">
        <v>45</v>
      </c>
      <c r="Y446" s="1">
        <v>4.82262886E8</v>
      </c>
      <c r="AA446" s="1" t="s">
        <v>46</v>
      </c>
      <c r="AB446" s="1" t="s">
        <v>45</v>
      </c>
      <c r="AC446" s="1">
        <v>4.82262886E8</v>
      </c>
      <c r="AD446" s="1">
        <v>6530661.0</v>
      </c>
      <c r="AE446" s="1" t="s">
        <v>76</v>
      </c>
      <c r="AF446" s="1">
        <v>1542080.71</v>
      </c>
      <c r="AG446" s="2">
        <v>41649.0</v>
      </c>
      <c r="AH446" s="1">
        <v>6900.0</v>
      </c>
      <c r="AI446" s="1" t="s">
        <v>151</v>
      </c>
      <c r="AJ446" s="1">
        <v>1.0</v>
      </c>
      <c r="AK446" s="1" t="s">
        <v>1257</v>
      </c>
      <c r="AL446" s="1">
        <v>1.0</v>
      </c>
      <c r="AM446" s="1">
        <v>2014.0</v>
      </c>
      <c r="AN446" s="1">
        <v>2014.0</v>
      </c>
      <c r="AO446" s="1" t="s">
        <v>229</v>
      </c>
    </row>
    <row r="447">
      <c r="A447" s="5">
        <v>1.0</v>
      </c>
      <c r="B447" s="1">
        <f t="shared" si="1"/>
        <v>447</v>
      </c>
      <c r="C447" s="1" t="s">
        <v>1258</v>
      </c>
      <c r="D447" s="1" t="s">
        <v>1258</v>
      </c>
      <c r="E447" s="1" t="s">
        <v>224</v>
      </c>
      <c r="G447" s="1">
        <v>1436433.0</v>
      </c>
      <c r="H447" s="2">
        <v>41667.0</v>
      </c>
      <c r="I447" s="1" t="s">
        <v>1259</v>
      </c>
      <c r="K447" s="1" t="s">
        <v>1259</v>
      </c>
      <c r="N447" s="1" t="s">
        <v>151</v>
      </c>
      <c r="O447" s="1">
        <v>6900.0</v>
      </c>
      <c r="P447" s="1" t="s">
        <v>151</v>
      </c>
      <c r="Q447" s="1" t="str">
        <f>IF(ISERROR(VLOOKUP(P447,'unique fed agency names'!A:C,3,FALSE)),P447,VLOOKUP(P447,'unique fed agency names'!A:C,3,FALSE))
</f>
        <v>U.S. Department of Transportation (DOT)</v>
      </c>
      <c r="R447" s="1">
        <v>7.84079899E8</v>
      </c>
      <c r="S447" s="1" t="s">
        <v>242</v>
      </c>
      <c r="T447" s="1" t="str">
        <f>IF(ISERROR(VLOOKUP(S447,'unique org names'!A:C,3,FALSE)),S447,VLOOKUP(S447,'unique org names'!A:C,3,FALSE))
</f>
        <v>City Of Eastpointe</v>
      </c>
      <c r="U447" s="1" t="s">
        <v>243</v>
      </c>
      <c r="V447" s="1" t="s">
        <v>244</v>
      </c>
      <c r="W447" s="1" t="s">
        <v>245</v>
      </c>
      <c r="X447" s="1" t="s">
        <v>45</v>
      </c>
      <c r="Y447" s="1">
        <v>4.80211683E8</v>
      </c>
      <c r="AA447" s="1" t="s">
        <v>245</v>
      </c>
      <c r="AB447" s="1" t="s">
        <v>45</v>
      </c>
      <c r="AC447" s="1">
        <v>4.80211683E8</v>
      </c>
      <c r="AD447" s="1">
        <v>6.9831964E7</v>
      </c>
      <c r="AF447" s="1">
        <v>1436433.84</v>
      </c>
      <c r="AG447" s="2">
        <v>41667.0</v>
      </c>
      <c r="AH447" s="1">
        <v>6900.0</v>
      </c>
      <c r="AI447" s="1" t="s">
        <v>151</v>
      </c>
      <c r="AJ447" s="1">
        <v>1.0</v>
      </c>
      <c r="AK447" s="1" t="s">
        <v>1260</v>
      </c>
      <c r="AL447" s="1">
        <v>1.0</v>
      </c>
      <c r="AM447" s="1">
        <v>2014.0</v>
      </c>
      <c r="AN447" s="1">
        <v>2014.0</v>
      </c>
      <c r="AO447" s="1" t="s">
        <v>229</v>
      </c>
    </row>
    <row r="448">
      <c r="A448" s="5">
        <v>1.0</v>
      </c>
      <c r="B448" s="1">
        <f t="shared" si="1"/>
        <v>448</v>
      </c>
      <c r="C448" s="1" t="s">
        <v>128</v>
      </c>
      <c r="D448" s="1" t="s">
        <v>128</v>
      </c>
      <c r="E448" s="1" t="s">
        <v>129</v>
      </c>
      <c r="G448" s="1">
        <v>1.66771E7</v>
      </c>
      <c r="H448" s="2">
        <v>41620.0</v>
      </c>
      <c r="I448" s="1" t="s">
        <v>1068</v>
      </c>
      <c r="K448" s="1" t="s">
        <v>1068</v>
      </c>
      <c r="N448" s="1" t="s">
        <v>40</v>
      </c>
      <c r="O448" s="1">
        <v>7500.0</v>
      </c>
      <c r="P448" s="1" t="s">
        <v>40</v>
      </c>
      <c r="Q448" s="1" t="str">
        <f>IF(ISERROR(VLOOKUP(P448,'unique fed agency names'!A:C,3,FALSE)),P448,VLOOKUP(P448,'unique fed agency names'!A:C,3,FALSE))
</f>
        <v>U.S. Department of Health and Human Services (DHHS)</v>
      </c>
      <c r="R448" s="1">
        <v>6.9840817E7</v>
      </c>
      <c r="S448" s="1" t="s">
        <v>131</v>
      </c>
      <c r="T448" s="1" t="str">
        <f>IF(ISERROR(VLOOKUP(S448,'unique org names'!A:C,3,FALSE)),S448,VLOOKUP(S448,'unique org names'!A:C,3,FALSE))
</f>
        <v>LUTHERAN SOCIAL SERVICES OF MICHIGAN</v>
      </c>
      <c r="V448" s="1" t="s">
        <v>132</v>
      </c>
      <c r="W448" s="1" t="s">
        <v>44</v>
      </c>
      <c r="X448" s="1" t="s">
        <v>45</v>
      </c>
      <c r="Y448" s="1">
        <v>4.8214261E8</v>
      </c>
      <c r="AA448" s="1" t="s">
        <v>133</v>
      </c>
      <c r="AB448" s="1" t="s">
        <v>45</v>
      </c>
      <c r="AC448" s="1">
        <v>4.8214261E8</v>
      </c>
      <c r="AD448" s="1">
        <v>6.9840817E7</v>
      </c>
      <c r="AE448" s="1" t="s">
        <v>131</v>
      </c>
      <c r="AF448" s="1">
        <v>186200.0</v>
      </c>
      <c r="AG448" s="2">
        <v>41620.0</v>
      </c>
      <c r="AH448" s="1">
        <v>7500.0</v>
      </c>
      <c r="AI448" s="1" t="s">
        <v>40</v>
      </c>
      <c r="AJ448" s="1" t="s">
        <v>1261</v>
      </c>
      <c r="AK448" s="1" t="s">
        <v>1262</v>
      </c>
      <c r="AL448" s="1">
        <v>1.0</v>
      </c>
      <c r="AM448" s="1">
        <v>2014.0</v>
      </c>
      <c r="AN448" s="1">
        <v>2014.0</v>
      </c>
      <c r="AO448" s="1" t="s">
        <v>136</v>
      </c>
    </row>
    <row r="449">
      <c r="A449" s="5">
        <v>1.0</v>
      </c>
      <c r="B449" s="1">
        <f t="shared" si="1"/>
        <v>449</v>
      </c>
      <c r="C449" s="1" t="s">
        <v>1263</v>
      </c>
      <c r="D449" s="1" t="s">
        <v>1263</v>
      </c>
      <c r="E449" s="1" t="s">
        <v>188</v>
      </c>
      <c r="G449" s="1">
        <v>1.6226899E7</v>
      </c>
      <c r="H449" s="2">
        <v>41677.0</v>
      </c>
      <c r="I449" s="1" t="s">
        <v>1264</v>
      </c>
      <c r="K449" s="1" t="s">
        <v>1264</v>
      </c>
      <c r="N449" s="1" t="s">
        <v>188</v>
      </c>
      <c r="O449" s="1">
        <v>1900.0</v>
      </c>
      <c r="P449" s="1" t="s">
        <v>188</v>
      </c>
      <c r="Q449" s="1" t="str">
        <f>IF(ISERROR(VLOOKUP(P449,'unique fed agency names'!A:C,3,FALSE)),P449,VLOOKUP(P449,'unique fed agency names'!A:C,3,FALSE))
</f>
        <v>U.S. Department of State</v>
      </c>
      <c r="R449" s="1">
        <v>6.9840817E7</v>
      </c>
      <c r="S449" s="1" t="s">
        <v>131</v>
      </c>
      <c r="T449" s="1" t="str">
        <f>IF(ISERROR(VLOOKUP(S449,'unique org names'!A:C,3,FALSE)),S449,VLOOKUP(S449,'unique org names'!A:C,3,FALSE))
</f>
        <v>LUTHERAN SOCIAL SERVICES OF MICHIGAN</v>
      </c>
      <c r="V449" s="1" t="s">
        <v>132</v>
      </c>
      <c r="W449" s="1" t="s">
        <v>44</v>
      </c>
      <c r="X449" s="1" t="s">
        <v>45</v>
      </c>
      <c r="Y449" s="1">
        <v>4.8214261E8</v>
      </c>
      <c r="AA449" s="1" t="s">
        <v>46</v>
      </c>
      <c r="AB449" s="1" t="s">
        <v>45</v>
      </c>
      <c r="AC449" s="1">
        <v>4.8214261E8</v>
      </c>
      <c r="AD449" s="1">
        <v>6.9840817E7</v>
      </c>
      <c r="AE449" s="1" t="s">
        <v>131</v>
      </c>
      <c r="AF449" s="1">
        <v>396550.0</v>
      </c>
      <c r="AG449" s="2">
        <v>41677.0</v>
      </c>
      <c r="AH449" s="1">
        <v>1900.0</v>
      </c>
      <c r="AI449" s="1" t="s">
        <v>188</v>
      </c>
      <c r="AJ449" s="1" t="s">
        <v>1265</v>
      </c>
      <c r="AK449" s="1" t="s">
        <v>1266</v>
      </c>
      <c r="AL449" s="1">
        <v>1.0</v>
      </c>
      <c r="AM449" s="1">
        <v>2014.0</v>
      </c>
      <c r="AN449" s="1">
        <v>2014.0</v>
      </c>
      <c r="AO449" s="1" t="s">
        <v>192</v>
      </c>
    </row>
    <row r="450">
      <c r="A450" s="5">
        <v>1.0</v>
      </c>
      <c r="B450" s="1">
        <f t="shared" si="1"/>
        <v>450</v>
      </c>
      <c r="C450" s="1" t="s">
        <v>1267</v>
      </c>
      <c r="D450" s="1" t="s">
        <v>1267</v>
      </c>
      <c r="E450" s="1" t="s">
        <v>224</v>
      </c>
      <c r="G450" s="1">
        <v>233237.0</v>
      </c>
      <c r="H450" s="2">
        <v>41649.0</v>
      </c>
      <c r="I450" s="1" t="s">
        <v>1256</v>
      </c>
      <c r="K450" s="1" t="s">
        <v>1256</v>
      </c>
      <c r="N450" s="1" t="s">
        <v>151</v>
      </c>
      <c r="O450" s="1">
        <v>6900.0</v>
      </c>
      <c r="P450" s="1" t="s">
        <v>151</v>
      </c>
      <c r="Q450" s="1" t="str">
        <f>IF(ISERROR(VLOOKUP(P450,'unique fed agency names'!A:C,3,FALSE)),P450,VLOOKUP(P450,'unique fed agency names'!A:C,3,FALSE))
</f>
        <v>U.S. Department of Transportation (DOT)</v>
      </c>
      <c r="R450" s="1">
        <v>1.1855476E8</v>
      </c>
      <c r="S450" s="1" t="s">
        <v>983</v>
      </c>
      <c r="T450" s="1" t="str">
        <f>IF(ISERROR(VLOOKUP(S450,'unique org names'!A:C,3,FALSE)),S450,VLOOKUP(S450,'unique org names'!A:C,3,FALSE))
</f>
        <v>City of Detroit</v>
      </c>
      <c r="U450" s="1" t="s">
        <v>984</v>
      </c>
      <c r="V450" s="1" t="s">
        <v>227</v>
      </c>
      <c r="W450" s="1" t="s">
        <v>44</v>
      </c>
      <c r="X450" s="1" t="s">
        <v>45</v>
      </c>
      <c r="Y450" s="1">
        <v>4.82262886E8</v>
      </c>
      <c r="AA450" s="1" t="s">
        <v>46</v>
      </c>
      <c r="AB450" s="1" t="s">
        <v>45</v>
      </c>
      <c r="AC450" s="1">
        <v>4.82262886E8</v>
      </c>
      <c r="AD450" s="1">
        <v>6530661.0</v>
      </c>
      <c r="AE450" s="1" t="s">
        <v>76</v>
      </c>
      <c r="AF450" s="1">
        <v>233237.11</v>
      </c>
      <c r="AG450" s="2">
        <v>41649.0</v>
      </c>
      <c r="AH450" s="1">
        <v>6900.0</v>
      </c>
      <c r="AI450" s="1" t="s">
        <v>151</v>
      </c>
      <c r="AJ450" s="1">
        <v>1.0</v>
      </c>
      <c r="AK450" s="1" t="s">
        <v>1256</v>
      </c>
      <c r="AL450" s="1">
        <v>1.0</v>
      </c>
      <c r="AM450" s="1">
        <v>2014.0</v>
      </c>
      <c r="AN450" s="1">
        <v>2014.0</v>
      </c>
      <c r="AO450" s="1" t="s">
        <v>229</v>
      </c>
    </row>
    <row r="451">
      <c r="A451" s="5">
        <v>1.0</v>
      </c>
      <c r="B451" s="1">
        <f t="shared" si="1"/>
        <v>451</v>
      </c>
      <c r="C451" s="1" t="s">
        <v>1268</v>
      </c>
      <c r="D451" s="1" t="s">
        <v>1268</v>
      </c>
      <c r="E451" s="1" t="s">
        <v>224</v>
      </c>
      <c r="G451" s="1">
        <v>352671.0</v>
      </c>
      <c r="H451" s="2">
        <v>41222.0</v>
      </c>
      <c r="I451" s="1" t="s">
        <v>1269</v>
      </c>
      <c r="K451" s="1" t="s">
        <v>1269</v>
      </c>
      <c r="N451" s="1" t="s">
        <v>151</v>
      </c>
      <c r="O451" s="1">
        <v>6900.0</v>
      </c>
      <c r="P451" s="1" t="s">
        <v>151</v>
      </c>
      <c r="Q451" s="1" t="str">
        <f>IF(ISERROR(VLOOKUP(P451,'unique fed agency names'!A:C,3,FALSE)),P451,VLOOKUP(P451,'unique fed agency names'!A:C,3,FALSE))
</f>
        <v>U.S. Department of Transportation (DOT)</v>
      </c>
      <c r="R451" s="1">
        <v>9.63886101E8</v>
      </c>
      <c r="S451" s="1" t="s">
        <v>259</v>
      </c>
      <c r="T451" s="1" t="str">
        <f>IF(ISERROR(VLOOKUP(S451,'unique org names'!A:C,3,FALSE)),S451,VLOOKUP(S451,'unique org names'!A:C,3,FALSE))
</f>
        <v>Wayne County</v>
      </c>
      <c r="V451" s="1" t="s">
        <v>260</v>
      </c>
      <c r="W451" s="1" t="s">
        <v>44</v>
      </c>
      <c r="X451" s="1" t="s">
        <v>45</v>
      </c>
      <c r="Y451" s="1">
        <v>4.8226348E8</v>
      </c>
      <c r="AA451" s="1" t="s">
        <v>46</v>
      </c>
      <c r="AB451" s="1" t="s">
        <v>45</v>
      </c>
      <c r="AC451" s="1">
        <v>4.8226348E8</v>
      </c>
      <c r="AD451" s="1">
        <v>7.3134884E7</v>
      </c>
      <c r="AE451" s="1" t="s">
        <v>261</v>
      </c>
      <c r="AF451" s="1">
        <v>352670.92</v>
      </c>
      <c r="AG451" s="2">
        <v>41222.0</v>
      </c>
      <c r="AH451" s="1">
        <v>6900.0</v>
      </c>
      <c r="AI451" s="1" t="s">
        <v>151</v>
      </c>
      <c r="AJ451" s="1">
        <v>1.0</v>
      </c>
      <c r="AK451" s="1" t="s">
        <v>1270</v>
      </c>
      <c r="AL451" s="1">
        <v>12.0</v>
      </c>
      <c r="AM451" s="1">
        <v>2012.0</v>
      </c>
      <c r="AN451" s="1">
        <v>2013.0</v>
      </c>
      <c r="AO451" s="1" t="s">
        <v>229</v>
      </c>
    </row>
    <row r="452">
      <c r="A452" s="5">
        <v>1.0</v>
      </c>
      <c r="B452" s="1">
        <f t="shared" si="1"/>
        <v>452</v>
      </c>
      <c r="C452" s="1" t="s">
        <v>1271</v>
      </c>
      <c r="D452" s="1" t="s">
        <v>1271</v>
      </c>
      <c r="E452" s="1" t="s">
        <v>129</v>
      </c>
      <c r="G452" s="1">
        <v>1.4377838E7</v>
      </c>
      <c r="H452" s="2">
        <v>41548.0</v>
      </c>
      <c r="I452" s="1" t="s">
        <v>1272</v>
      </c>
      <c r="K452" s="1" t="s">
        <v>1272</v>
      </c>
      <c r="N452" s="1" t="s">
        <v>40</v>
      </c>
      <c r="O452" s="1">
        <v>7500.0</v>
      </c>
      <c r="P452" s="1" t="s">
        <v>40</v>
      </c>
      <c r="Q452" s="1" t="str">
        <f>IF(ISERROR(VLOOKUP(P452,'unique fed agency names'!A:C,3,FALSE)),P452,VLOOKUP(P452,'unique fed agency names'!A:C,3,FALSE))
</f>
        <v>U.S. Department of Health and Human Services (DHHS)</v>
      </c>
      <c r="R452" s="1">
        <v>2.0830303E7</v>
      </c>
      <c r="S452" s="1" t="s">
        <v>424</v>
      </c>
      <c r="T452" s="1" t="str">
        <f>IF(ISERROR(VLOOKUP(S452,'unique org names'!A:C,3,FALSE)),S452,VLOOKUP(S452,'unique org names'!A:C,3,FALSE))
</f>
        <v>MATRIX HUMAN SERVICES</v>
      </c>
      <c r="U452" s="1" t="s">
        <v>425</v>
      </c>
      <c r="V452" s="1" t="s">
        <v>426</v>
      </c>
      <c r="W452" s="1" t="s">
        <v>44</v>
      </c>
      <c r="X452" s="1" t="s">
        <v>45</v>
      </c>
      <c r="Y452" s="1">
        <v>4.82012002E8</v>
      </c>
      <c r="AA452" s="1" t="s">
        <v>44</v>
      </c>
      <c r="AB452" s="1" t="s">
        <v>45</v>
      </c>
      <c r="AC452" s="1">
        <v>4.82012002E8</v>
      </c>
      <c r="AD452" s="1">
        <v>2.0830303E7</v>
      </c>
      <c r="AE452" s="1" t="s">
        <v>424</v>
      </c>
      <c r="AF452" s="1">
        <v>375015.0</v>
      </c>
      <c r="AG452" s="2">
        <v>41548.0</v>
      </c>
      <c r="AH452" s="1">
        <v>7500.0</v>
      </c>
      <c r="AI452" s="1" t="s">
        <v>40</v>
      </c>
      <c r="AJ452" s="1" t="s">
        <v>1273</v>
      </c>
      <c r="AK452" s="1" t="s">
        <v>1274</v>
      </c>
      <c r="AL452" s="1">
        <v>10.0</v>
      </c>
      <c r="AM452" s="1">
        <v>2013.0</v>
      </c>
      <c r="AN452" s="1">
        <v>2014.0</v>
      </c>
      <c r="AO452" s="1" t="s">
        <v>1275</v>
      </c>
    </row>
    <row r="453">
      <c r="A453" s="5">
        <v>1.0</v>
      </c>
      <c r="B453" s="1">
        <f t="shared" si="1"/>
        <v>453</v>
      </c>
      <c r="C453" s="1" t="s">
        <v>1271</v>
      </c>
      <c r="D453" s="1" t="s">
        <v>1271</v>
      </c>
      <c r="E453" s="1" t="s">
        <v>129</v>
      </c>
      <c r="G453" s="1">
        <v>1.4377838E7</v>
      </c>
      <c r="H453" s="2">
        <v>41548.0</v>
      </c>
      <c r="I453" s="1" t="s">
        <v>1272</v>
      </c>
      <c r="K453" s="1" t="s">
        <v>1272</v>
      </c>
      <c r="N453" s="1" t="s">
        <v>40</v>
      </c>
      <c r="O453" s="1">
        <v>7500.0</v>
      </c>
      <c r="P453" s="1" t="s">
        <v>40</v>
      </c>
      <c r="Q453" s="1" t="str">
        <f>IF(ISERROR(VLOOKUP(P453,'unique fed agency names'!A:C,3,FALSE)),P453,VLOOKUP(P453,'unique fed agency names'!A:C,3,FALSE))
</f>
        <v>U.S. Department of Health and Human Services (DHHS)</v>
      </c>
      <c r="R453" s="1">
        <v>2.0830303E7</v>
      </c>
      <c r="S453" s="1" t="s">
        <v>424</v>
      </c>
      <c r="T453" s="1" t="str">
        <f>IF(ISERROR(VLOOKUP(S453,'unique org names'!A:C,3,FALSE)),S453,VLOOKUP(S453,'unique org names'!A:C,3,FALSE))
</f>
        <v>MATRIX HUMAN SERVICES</v>
      </c>
      <c r="U453" s="1" t="s">
        <v>425</v>
      </c>
      <c r="V453" s="1" t="s">
        <v>426</v>
      </c>
      <c r="W453" s="1" t="s">
        <v>44</v>
      </c>
      <c r="X453" s="1" t="s">
        <v>45</v>
      </c>
      <c r="Y453" s="1">
        <v>4.82012002E8</v>
      </c>
      <c r="AA453" s="1" t="s">
        <v>44</v>
      </c>
      <c r="AB453" s="1" t="s">
        <v>45</v>
      </c>
      <c r="AC453" s="1">
        <v>4.82012002E8</v>
      </c>
      <c r="AD453" s="1">
        <v>2.0830303E7</v>
      </c>
      <c r="AE453" s="1" t="s">
        <v>424</v>
      </c>
      <c r="AF453" s="1">
        <v>178657.19</v>
      </c>
      <c r="AG453" s="2">
        <v>41548.0</v>
      </c>
      <c r="AH453" s="1">
        <v>7500.0</v>
      </c>
      <c r="AI453" s="1" t="s">
        <v>40</v>
      </c>
      <c r="AJ453" s="1" t="s">
        <v>1273</v>
      </c>
      <c r="AK453" s="1" t="s">
        <v>1274</v>
      </c>
      <c r="AL453" s="1">
        <v>10.0</v>
      </c>
      <c r="AM453" s="1">
        <v>2013.0</v>
      </c>
      <c r="AN453" s="1">
        <v>2014.0</v>
      </c>
      <c r="AO453" s="1" t="s">
        <v>1275</v>
      </c>
    </row>
    <row r="454">
      <c r="A454" s="5">
        <v>1.0</v>
      </c>
      <c r="B454" s="1">
        <f t="shared" si="1"/>
        <v>454</v>
      </c>
      <c r="C454" s="1" t="s">
        <v>1276</v>
      </c>
      <c r="D454" s="1" t="s">
        <v>1276</v>
      </c>
      <c r="E454" s="1" t="s">
        <v>63</v>
      </c>
      <c r="G454" s="1">
        <v>3254999.0</v>
      </c>
      <c r="H454" s="2">
        <v>41511.0</v>
      </c>
      <c r="I454" s="1" t="s">
        <v>1277</v>
      </c>
      <c r="K454" s="1" t="s">
        <v>1277</v>
      </c>
      <c r="N454" s="1" t="s">
        <v>40</v>
      </c>
      <c r="O454" s="1">
        <v>7500.0</v>
      </c>
      <c r="P454" s="1" t="s">
        <v>40</v>
      </c>
      <c r="Q454" s="1" t="str">
        <f>IF(ISERROR(VLOOKUP(P454,'unique fed agency names'!A:C,3,FALSE)),P454,VLOOKUP(P454,'unique fed agency names'!A:C,3,FALSE))
</f>
        <v>U.S. Department of Health and Human Services (DHHS)</v>
      </c>
      <c r="R454" s="1">
        <v>7.3134603E7</v>
      </c>
      <c r="S454" s="1" t="s">
        <v>41</v>
      </c>
      <c r="T454" s="1" t="str">
        <f>IF(ISERROR(VLOOKUP(S454,'unique org names'!A:C,3,FALSE)),S454,VLOOKUP(S454,'unique org names'!A:C,3,FALSE))
</f>
        <v>Henry Ford Health System</v>
      </c>
      <c r="U454" s="1" t="s">
        <v>252</v>
      </c>
      <c r="V454" s="1" t="s">
        <v>253</v>
      </c>
      <c r="W454" s="1" t="s">
        <v>44</v>
      </c>
      <c r="X454" s="1" t="s">
        <v>45</v>
      </c>
      <c r="Y454" s="1">
        <v>4.8202345E8</v>
      </c>
      <c r="AA454" s="1" t="s">
        <v>903</v>
      </c>
      <c r="AB454" s="1" t="s">
        <v>45</v>
      </c>
      <c r="AC454" s="1">
        <v>4.82022689E8</v>
      </c>
      <c r="AD454" s="1">
        <v>7.3134603E7</v>
      </c>
      <c r="AE454" s="1" t="s">
        <v>41</v>
      </c>
      <c r="AF454" s="1">
        <v>157262.0</v>
      </c>
      <c r="AG454" s="2">
        <v>41511.0</v>
      </c>
      <c r="AH454" s="1">
        <v>7500.0</v>
      </c>
      <c r="AI454" s="1" t="s">
        <v>40</v>
      </c>
      <c r="AJ454" s="1">
        <v>3.002147799E9</v>
      </c>
      <c r="AK454" s="1" t="s">
        <v>1278</v>
      </c>
      <c r="AL454" s="1">
        <v>8.0</v>
      </c>
      <c r="AM454" s="1">
        <v>2013.0</v>
      </c>
      <c r="AN454" s="1">
        <v>2013.0</v>
      </c>
      <c r="AO454" s="1" t="s">
        <v>1279</v>
      </c>
    </row>
    <row r="455">
      <c r="A455" s="5">
        <v>1.0</v>
      </c>
      <c r="B455" s="1">
        <f t="shared" si="1"/>
        <v>455</v>
      </c>
      <c r="C455" s="1" t="s">
        <v>1280</v>
      </c>
      <c r="D455" s="1" t="s">
        <v>1280</v>
      </c>
      <c r="E455" s="1" t="s">
        <v>1281</v>
      </c>
      <c r="G455" s="1">
        <v>6000000.0</v>
      </c>
      <c r="H455" s="2">
        <v>41518.0</v>
      </c>
      <c r="I455" s="1" t="s">
        <v>1282</v>
      </c>
      <c r="K455" s="1" t="s">
        <v>1282</v>
      </c>
      <c r="N455" s="1" t="s">
        <v>1281</v>
      </c>
      <c r="O455" s="1">
        <v>9577.0</v>
      </c>
      <c r="P455" s="1" t="s">
        <v>1281</v>
      </c>
      <c r="Q455" s="1" t="str">
        <f>IF(ISERROR(VLOOKUP(P455,'unique fed agency names'!A:C,3,FALSE)),P455,VLOOKUP(P455,'unique fed agency names'!A:C,3,FALSE))
</f>
        <v>Corporation for National and Community Service</v>
      </c>
      <c r="R455" s="1">
        <v>1.45406612E8</v>
      </c>
      <c r="S455" s="1" t="s">
        <v>327</v>
      </c>
      <c r="T455" s="1" t="str">
        <f>IF(ISERROR(VLOOKUP(S455,'unique org names'!A:C,3,FALSE)),S455,VLOOKUP(S455,'unique org names'!A:C,3,FALSE))
</f>
        <v>VANGUARD COMMUNITY DEVELOPMENT CORPORATION</v>
      </c>
      <c r="V455" s="1" t="s">
        <v>328</v>
      </c>
      <c r="W455" s="1" t="s">
        <v>44</v>
      </c>
      <c r="X455" s="1" t="s">
        <v>45</v>
      </c>
      <c r="Y455" s="1">
        <v>4.82112003E8</v>
      </c>
      <c r="AA455" s="1" t="s">
        <v>46</v>
      </c>
      <c r="AB455" s="1" t="s">
        <v>45</v>
      </c>
      <c r="AC455" s="1">
        <v>4.82112003E8</v>
      </c>
      <c r="AF455" s="1">
        <v>200000.0</v>
      </c>
      <c r="AG455" s="2">
        <v>41518.0</v>
      </c>
      <c r="AH455" s="1">
        <v>9577.0</v>
      </c>
      <c r="AI455" s="1" t="s">
        <v>1281</v>
      </c>
      <c r="AJ455" s="1">
        <v>11.0</v>
      </c>
      <c r="AK455" s="1" t="s">
        <v>1283</v>
      </c>
      <c r="AL455" s="1">
        <v>12.0</v>
      </c>
      <c r="AM455" s="1">
        <v>2013.0</v>
      </c>
      <c r="AN455" s="1">
        <v>2013.0</v>
      </c>
      <c r="AO455" s="1" t="s">
        <v>1284</v>
      </c>
    </row>
    <row r="456">
      <c r="A456" s="5">
        <v>1.0</v>
      </c>
      <c r="B456" s="1">
        <f t="shared" si="1"/>
        <v>456</v>
      </c>
      <c r="C456" s="1" t="s">
        <v>1285</v>
      </c>
      <c r="D456" s="1" t="s">
        <v>1285</v>
      </c>
      <c r="E456" s="1" t="s">
        <v>224</v>
      </c>
      <c r="G456" s="1">
        <v>774620.0</v>
      </c>
      <c r="H456" s="2">
        <v>41227.0</v>
      </c>
      <c r="I456" s="1" t="s">
        <v>1286</v>
      </c>
      <c r="K456" s="1" t="s">
        <v>1286</v>
      </c>
      <c r="N456" s="1" t="s">
        <v>151</v>
      </c>
      <c r="O456" s="1">
        <v>6900.0</v>
      </c>
      <c r="P456" s="1" t="s">
        <v>151</v>
      </c>
      <c r="Q456" s="1" t="str">
        <f>IF(ISERROR(VLOOKUP(P456,'unique fed agency names'!A:C,3,FALSE)),P456,VLOOKUP(P456,'unique fed agency names'!A:C,3,FALSE))
</f>
        <v>U.S. Department of Transportation (DOT)</v>
      </c>
      <c r="R456" s="1">
        <v>9.63886101E8</v>
      </c>
      <c r="S456" s="1" t="s">
        <v>259</v>
      </c>
      <c r="T456" s="1" t="str">
        <f>IF(ISERROR(VLOOKUP(S456,'unique org names'!A:C,3,FALSE)),S456,VLOOKUP(S456,'unique org names'!A:C,3,FALSE))
</f>
        <v>Wayne County</v>
      </c>
      <c r="V456" s="1" t="s">
        <v>260</v>
      </c>
      <c r="W456" s="1" t="s">
        <v>44</v>
      </c>
      <c r="X456" s="1" t="s">
        <v>45</v>
      </c>
      <c r="Y456" s="1">
        <v>4.8226348E8</v>
      </c>
      <c r="AA456" s="1" t="s">
        <v>46</v>
      </c>
      <c r="AB456" s="1" t="s">
        <v>45</v>
      </c>
      <c r="AC456" s="1">
        <v>4.8226348E8</v>
      </c>
      <c r="AD456" s="1">
        <v>7.3134884E7</v>
      </c>
      <c r="AE456" s="1" t="s">
        <v>261</v>
      </c>
      <c r="AF456" s="1">
        <v>774620.0</v>
      </c>
      <c r="AG456" s="2">
        <v>41227.0</v>
      </c>
      <c r="AH456" s="1">
        <v>6900.0</v>
      </c>
      <c r="AI456" s="1" t="s">
        <v>151</v>
      </c>
      <c r="AJ456" s="1">
        <v>1.0</v>
      </c>
      <c r="AK456" s="1" t="s">
        <v>1287</v>
      </c>
      <c r="AL456" s="1">
        <v>11.0</v>
      </c>
      <c r="AM456" s="1">
        <v>2013.0</v>
      </c>
      <c r="AN456" s="1">
        <v>2013.0</v>
      </c>
      <c r="AO456" s="1" t="s">
        <v>229</v>
      </c>
    </row>
    <row r="457">
      <c r="A457" s="5">
        <v>1.0</v>
      </c>
      <c r="B457" s="1">
        <f t="shared" si="1"/>
        <v>457</v>
      </c>
      <c r="C457" s="1" t="s">
        <v>1280</v>
      </c>
      <c r="D457" s="1" t="s">
        <v>1280</v>
      </c>
      <c r="E457" s="1" t="s">
        <v>1281</v>
      </c>
      <c r="G457" s="1">
        <v>6000000.0</v>
      </c>
      <c r="H457" s="2">
        <v>41518.0</v>
      </c>
      <c r="I457" s="1" t="s">
        <v>1282</v>
      </c>
      <c r="K457" s="1" t="s">
        <v>1282</v>
      </c>
      <c r="N457" s="1" t="s">
        <v>1281</v>
      </c>
      <c r="O457" s="1">
        <v>9577.0</v>
      </c>
      <c r="P457" s="1" t="s">
        <v>1281</v>
      </c>
      <c r="Q457" s="1" t="str">
        <f>IF(ISERROR(VLOOKUP(P457,'unique fed agency names'!A:C,3,FALSE)),P457,VLOOKUP(P457,'unique fed agency names'!A:C,3,FALSE))
</f>
        <v>Corporation for National and Community Service</v>
      </c>
      <c r="R457" s="1">
        <v>1.49048154E8</v>
      </c>
      <c r="S457" s="1" t="s">
        <v>1288</v>
      </c>
      <c r="T457" s="1" t="str">
        <f>IF(ISERROR(VLOOKUP(S457,'unique org names'!A:C,3,FALSE)),S457,VLOOKUP(S457,'unique org names'!A:C,3,FALSE))
</f>
        <v>LIVING ARTS</v>
      </c>
      <c r="V457" s="1" t="s">
        <v>1289</v>
      </c>
      <c r="W457" s="1" t="s">
        <v>44</v>
      </c>
      <c r="X457" s="1" t="s">
        <v>45</v>
      </c>
      <c r="Y457" s="1">
        <v>4.82091434E8</v>
      </c>
      <c r="AA457" s="1" t="s">
        <v>46</v>
      </c>
      <c r="AB457" s="1" t="s">
        <v>45</v>
      </c>
      <c r="AC457" s="1">
        <v>4.82091434E8</v>
      </c>
      <c r="AF457" s="1">
        <v>107413.18</v>
      </c>
      <c r="AG457" s="2">
        <v>41518.0</v>
      </c>
      <c r="AH457" s="1">
        <v>9577.0</v>
      </c>
      <c r="AI457" s="1" t="s">
        <v>1281</v>
      </c>
      <c r="AJ457" s="1">
        <v>5.0</v>
      </c>
      <c r="AK457" s="1" t="s">
        <v>1290</v>
      </c>
      <c r="AL457" s="1">
        <v>12.0</v>
      </c>
      <c r="AM457" s="1">
        <v>2013.0</v>
      </c>
      <c r="AN457" s="1">
        <v>2013.0</v>
      </c>
      <c r="AO457" s="1" t="s">
        <v>1284</v>
      </c>
    </row>
    <row r="458">
      <c r="A458" s="5">
        <v>1.0</v>
      </c>
      <c r="B458" s="1">
        <f t="shared" si="1"/>
        <v>458</v>
      </c>
      <c r="C458" s="1" t="s">
        <v>360</v>
      </c>
      <c r="D458" s="1" t="s">
        <v>360</v>
      </c>
      <c r="E458" s="1" t="s">
        <v>100</v>
      </c>
      <c r="G458" s="1">
        <v>5199118.0</v>
      </c>
      <c r="H458" s="2">
        <v>41206.0</v>
      </c>
      <c r="I458" s="1" t="s">
        <v>361</v>
      </c>
      <c r="K458" s="1" t="s">
        <v>361</v>
      </c>
      <c r="N458" s="1" t="s">
        <v>102</v>
      </c>
      <c r="O458" s="1">
        <v>8600.0</v>
      </c>
      <c r="P458" s="1" t="s">
        <v>102</v>
      </c>
      <c r="Q458" s="1" t="str">
        <f>IF(ISERROR(VLOOKUP(P458,'unique fed agency names'!A:C,3,FALSE)),P458,VLOOKUP(P458,'unique fed agency names'!A:C,3,FALSE))
</f>
        <v>U.S. Department of Housing and Urban Development (HUD)</v>
      </c>
      <c r="R458" s="1">
        <v>1.54693043E8</v>
      </c>
      <c r="S458" s="1" t="s">
        <v>362</v>
      </c>
      <c r="T458" s="1" t="str">
        <f>IF(ISERROR(VLOOKUP(S458,'unique org names'!A:C,3,FALSE)),S458,VLOOKUP(S458,'unique org names'!A:C,3,FALSE))
</f>
        <v>Homeless Action Network of Detroit (HAND)</v>
      </c>
      <c r="U458" s="1" t="s">
        <v>363</v>
      </c>
      <c r="V458" s="1" t="s">
        <v>364</v>
      </c>
      <c r="W458" s="1" t="s">
        <v>44</v>
      </c>
      <c r="X458" s="1" t="s">
        <v>45</v>
      </c>
      <c r="Y458" s="1">
        <v>4.82161936E8</v>
      </c>
      <c r="AA458" s="1" t="s">
        <v>46</v>
      </c>
      <c r="AB458" s="1" t="s">
        <v>45</v>
      </c>
      <c r="AC458" s="1">
        <v>4.82161936E8</v>
      </c>
      <c r="AF458" s="1">
        <v>416169.0</v>
      </c>
      <c r="AG458" s="2">
        <v>41206.0</v>
      </c>
      <c r="AH458" s="1">
        <v>8600.0</v>
      </c>
      <c r="AI458" s="1" t="s">
        <v>102</v>
      </c>
      <c r="AJ458" s="1" t="s">
        <v>365</v>
      </c>
      <c r="AK458" s="1" t="s">
        <v>366</v>
      </c>
      <c r="AL458" s="1">
        <v>1.0</v>
      </c>
      <c r="AM458" s="1">
        <v>2014.0</v>
      </c>
      <c r="AN458" s="1">
        <v>2013.0</v>
      </c>
      <c r="AO458" s="1" t="s">
        <v>367</v>
      </c>
    </row>
    <row r="459">
      <c r="A459" s="5">
        <v>1.0</v>
      </c>
      <c r="B459" s="1">
        <f t="shared" si="1"/>
        <v>459</v>
      </c>
      <c r="C459" s="1" t="s">
        <v>360</v>
      </c>
      <c r="D459" s="1" t="s">
        <v>360</v>
      </c>
      <c r="E459" s="1" t="s">
        <v>100</v>
      </c>
      <c r="G459" s="1">
        <v>5199118.0</v>
      </c>
      <c r="H459" s="2">
        <v>41206.0</v>
      </c>
      <c r="I459" s="1" t="s">
        <v>361</v>
      </c>
      <c r="K459" s="1" t="s">
        <v>361</v>
      </c>
      <c r="N459" s="1" t="s">
        <v>102</v>
      </c>
      <c r="O459" s="1">
        <v>8600.0</v>
      </c>
      <c r="P459" s="1" t="s">
        <v>102</v>
      </c>
      <c r="Q459" s="1" t="str">
        <f>IF(ISERROR(VLOOKUP(P459,'unique fed agency names'!A:C,3,FALSE)),P459,VLOOKUP(P459,'unique fed agency names'!A:C,3,FALSE))
</f>
        <v>U.S. Department of Housing and Urban Development (HUD)</v>
      </c>
      <c r="R459" s="1">
        <v>1.54693043E8</v>
      </c>
      <c r="S459" s="1" t="s">
        <v>362</v>
      </c>
      <c r="T459" s="1" t="str">
        <f>IF(ISERROR(VLOOKUP(S459,'unique org names'!A:C,3,FALSE)),S459,VLOOKUP(S459,'unique org names'!A:C,3,FALSE))
</f>
        <v>Homeless Action Network of Detroit (HAND)</v>
      </c>
      <c r="U459" s="1" t="s">
        <v>363</v>
      </c>
      <c r="V459" s="1" t="s">
        <v>364</v>
      </c>
      <c r="W459" s="1" t="s">
        <v>44</v>
      </c>
      <c r="X459" s="1" t="s">
        <v>45</v>
      </c>
      <c r="Y459" s="1">
        <v>4.82161936E8</v>
      </c>
      <c r="AA459" s="1" t="s">
        <v>46</v>
      </c>
      <c r="AB459" s="1" t="s">
        <v>45</v>
      </c>
      <c r="AC459" s="1">
        <v>4.82161936E8</v>
      </c>
      <c r="AF459" s="1">
        <v>416169.0</v>
      </c>
      <c r="AG459" s="2">
        <v>41206.0</v>
      </c>
      <c r="AH459" s="1">
        <v>8600.0</v>
      </c>
      <c r="AI459" s="1" t="s">
        <v>102</v>
      </c>
      <c r="AJ459" s="1" t="s">
        <v>365</v>
      </c>
      <c r="AK459" s="1" t="s">
        <v>366</v>
      </c>
      <c r="AL459" s="1">
        <v>11.0</v>
      </c>
      <c r="AM459" s="1">
        <v>2012.0</v>
      </c>
      <c r="AN459" s="1">
        <v>2013.0</v>
      </c>
      <c r="AO459" s="1" t="s">
        <v>367</v>
      </c>
    </row>
    <row r="460">
      <c r="A460" s="5">
        <v>1.0</v>
      </c>
      <c r="B460" s="1">
        <f t="shared" si="1"/>
        <v>460</v>
      </c>
      <c r="C460" s="1" t="s">
        <v>654</v>
      </c>
      <c r="D460" s="1" t="s">
        <v>654</v>
      </c>
      <c r="E460" s="1" t="s">
        <v>38</v>
      </c>
      <c r="G460" s="1">
        <v>931200.0</v>
      </c>
      <c r="H460" s="2">
        <v>41631.0</v>
      </c>
      <c r="I460" s="1" t="s">
        <v>655</v>
      </c>
      <c r="K460" s="1" t="s">
        <v>655</v>
      </c>
      <c r="N460" s="1" t="s">
        <v>40</v>
      </c>
      <c r="O460" s="1">
        <v>7500.0</v>
      </c>
      <c r="P460" s="1" t="s">
        <v>40</v>
      </c>
      <c r="Q460" s="1" t="str">
        <f>IF(ISERROR(VLOOKUP(P460,'unique fed agency names'!A:C,3,FALSE)),P460,VLOOKUP(P460,'unique fed agency names'!A:C,3,FALSE))
</f>
        <v>U.S. Department of Health and Human Services (DHHS)</v>
      </c>
      <c r="R460" s="1">
        <v>7.3134603E7</v>
      </c>
      <c r="S460" s="1" t="s">
        <v>41</v>
      </c>
      <c r="T460" s="1" t="str">
        <f>IF(ISERROR(VLOOKUP(S460,'unique org names'!A:C,3,FALSE)),S460,VLOOKUP(S460,'unique org names'!A:C,3,FALSE))
</f>
        <v>Henry Ford Health System</v>
      </c>
      <c r="U460" s="1" t="s">
        <v>252</v>
      </c>
      <c r="V460" s="1" t="s">
        <v>253</v>
      </c>
      <c r="W460" s="1" t="s">
        <v>44</v>
      </c>
      <c r="X460" s="1" t="s">
        <v>45</v>
      </c>
      <c r="Y460" s="1">
        <v>4.8202345E8</v>
      </c>
      <c r="AA460" s="1" t="s">
        <v>46</v>
      </c>
      <c r="AB460" s="1" t="s">
        <v>45</v>
      </c>
      <c r="AC460" s="1">
        <v>4.82022689E8</v>
      </c>
      <c r="AD460" s="1">
        <v>7.3134603E7</v>
      </c>
      <c r="AE460" s="1" t="s">
        <v>41</v>
      </c>
      <c r="AF460" s="1">
        <v>25000.0</v>
      </c>
      <c r="AG460" s="2">
        <v>41631.0</v>
      </c>
      <c r="AH460" s="1">
        <v>7500.0</v>
      </c>
      <c r="AI460" s="1" t="s">
        <v>40</v>
      </c>
      <c r="AJ460" s="1">
        <v>3.002735317E9</v>
      </c>
      <c r="AK460" s="1" t="s">
        <v>1291</v>
      </c>
      <c r="AL460" s="1">
        <v>12.0</v>
      </c>
      <c r="AM460" s="1">
        <v>2013.0</v>
      </c>
      <c r="AN460" s="1">
        <v>2014.0</v>
      </c>
      <c r="AO460" s="1" t="s">
        <v>415</v>
      </c>
    </row>
    <row r="461">
      <c r="A461" s="5">
        <v>1.0</v>
      </c>
      <c r="B461" s="1">
        <f t="shared" si="1"/>
        <v>461</v>
      </c>
      <c r="C461" s="1" t="s">
        <v>1280</v>
      </c>
      <c r="D461" s="1" t="s">
        <v>1280</v>
      </c>
      <c r="E461" s="1" t="s">
        <v>1281</v>
      </c>
      <c r="G461" s="1">
        <v>6000000.0</v>
      </c>
      <c r="H461" s="2">
        <v>41518.0</v>
      </c>
      <c r="I461" s="1" t="s">
        <v>1282</v>
      </c>
      <c r="K461" s="1" t="s">
        <v>1282</v>
      </c>
      <c r="N461" s="1" t="s">
        <v>1281</v>
      </c>
      <c r="O461" s="1">
        <v>9577.0</v>
      </c>
      <c r="P461" s="1" t="s">
        <v>1281</v>
      </c>
      <c r="Q461" s="1" t="str">
        <f>IF(ISERROR(VLOOKUP(P461,'unique fed agency names'!A:C,3,FALSE)),P461,VLOOKUP(P461,'unique fed agency names'!A:C,3,FALSE))
</f>
        <v>Corporation for National and Community Service</v>
      </c>
      <c r="R461" s="1">
        <v>1.5900083E8</v>
      </c>
      <c r="S461" s="1" t="s">
        <v>1292</v>
      </c>
      <c r="T461" s="1" t="str">
        <f>IF(ISERROR(VLOOKUP(S461,'unique org names'!A:C,3,FALSE)),S461,VLOOKUP(S461,'unique org names'!A:C,3,FALSE))
</f>
        <v>DETROIT PARENT NETWORK</v>
      </c>
      <c r="V461" s="1" t="s">
        <v>1293</v>
      </c>
      <c r="W461" s="1" t="s">
        <v>44</v>
      </c>
      <c r="X461" s="1" t="s">
        <v>45</v>
      </c>
      <c r="Y461" s="1">
        <v>4.82022715E8</v>
      </c>
      <c r="AA461" s="1" t="s">
        <v>46</v>
      </c>
      <c r="AB461" s="1" t="s">
        <v>45</v>
      </c>
      <c r="AC461" s="1">
        <v>4.82022715E8</v>
      </c>
      <c r="AF461" s="1">
        <v>217891.0</v>
      </c>
      <c r="AG461" s="2">
        <v>41518.0</v>
      </c>
      <c r="AH461" s="1">
        <v>9577.0</v>
      </c>
      <c r="AI461" s="1" t="s">
        <v>1281</v>
      </c>
      <c r="AJ461" s="1">
        <v>2.0</v>
      </c>
      <c r="AK461" s="1" t="s">
        <v>1294</v>
      </c>
      <c r="AL461" s="1">
        <v>12.0</v>
      </c>
      <c r="AM461" s="1">
        <v>2013.0</v>
      </c>
      <c r="AN461" s="1">
        <v>2013.0</v>
      </c>
      <c r="AO461" s="1" t="s">
        <v>1284</v>
      </c>
    </row>
    <row r="462">
      <c r="A462" s="5">
        <v>1.0</v>
      </c>
      <c r="B462" s="1">
        <f t="shared" si="1"/>
        <v>462</v>
      </c>
      <c r="C462" s="1" t="s">
        <v>1280</v>
      </c>
      <c r="D462" s="1" t="s">
        <v>1280</v>
      </c>
      <c r="E462" s="1" t="s">
        <v>1281</v>
      </c>
      <c r="G462" s="1">
        <v>6000000.0</v>
      </c>
      <c r="H462" s="2">
        <v>41518.0</v>
      </c>
      <c r="I462" s="1" t="s">
        <v>1282</v>
      </c>
      <c r="K462" s="1" t="s">
        <v>1282</v>
      </c>
      <c r="N462" s="1" t="s">
        <v>1281</v>
      </c>
      <c r="O462" s="1">
        <v>9577.0</v>
      </c>
      <c r="P462" s="1" t="s">
        <v>1281</v>
      </c>
      <c r="Q462" s="1" t="str">
        <f>IF(ISERROR(VLOOKUP(P462,'unique fed agency names'!A:C,3,FALSE)),P462,VLOOKUP(P462,'unique fed agency names'!A:C,3,FALSE))
</f>
        <v>Corporation for National and Community Service</v>
      </c>
      <c r="R462" s="1">
        <v>2.0830303E7</v>
      </c>
      <c r="S462" s="1" t="s">
        <v>424</v>
      </c>
      <c r="T462" s="1" t="str">
        <f>IF(ISERROR(VLOOKUP(S462,'unique org names'!A:C,3,FALSE)),S462,VLOOKUP(S462,'unique org names'!A:C,3,FALSE))
</f>
        <v>MATRIX HUMAN SERVICES</v>
      </c>
      <c r="U462" s="1" t="s">
        <v>425</v>
      </c>
      <c r="V462" s="1" t="s">
        <v>426</v>
      </c>
      <c r="W462" s="1" t="s">
        <v>44</v>
      </c>
      <c r="X462" s="1" t="s">
        <v>45</v>
      </c>
      <c r="Y462" s="1">
        <v>4.82012002E8</v>
      </c>
      <c r="AA462" s="1" t="s">
        <v>46</v>
      </c>
      <c r="AB462" s="1" t="s">
        <v>45</v>
      </c>
      <c r="AC462" s="1">
        <v>4.82012002E8</v>
      </c>
      <c r="AD462" s="1">
        <v>2.0830303E7</v>
      </c>
      <c r="AE462" s="1" t="s">
        <v>424</v>
      </c>
      <c r="AF462" s="1">
        <v>190990.0</v>
      </c>
      <c r="AG462" s="2">
        <v>41518.0</v>
      </c>
      <c r="AH462" s="1">
        <v>9577.0</v>
      </c>
      <c r="AI462" s="1" t="s">
        <v>1281</v>
      </c>
      <c r="AJ462" s="1">
        <v>7.0</v>
      </c>
      <c r="AK462" s="1" t="s">
        <v>1295</v>
      </c>
      <c r="AL462" s="1">
        <v>12.0</v>
      </c>
      <c r="AM462" s="1">
        <v>2013.0</v>
      </c>
      <c r="AN462" s="1">
        <v>2013.0</v>
      </c>
      <c r="AO462" s="1" t="s">
        <v>1284</v>
      </c>
    </row>
    <row r="463">
      <c r="A463" s="5">
        <v>1.0</v>
      </c>
      <c r="B463" s="1">
        <f t="shared" si="1"/>
        <v>463</v>
      </c>
      <c r="C463" s="1" t="s">
        <v>1280</v>
      </c>
      <c r="D463" s="1" t="s">
        <v>1280</v>
      </c>
      <c r="E463" s="1" t="s">
        <v>1281</v>
      </c>
      <c r="G463" s="1">
        <v>6000000.0</v>
      </c>
      <c r="H463" s="2">
        <v>41518.0</v>
      </c>
      <c r="I463" s="1" t="s">
        <v>1282</v>
      </c>
      <c r="K463" s="1" t="s">
        <v>1282</v>
      </c>
      <c r="N463" s="1" t="s">
        <v>1281</v>
      </c>
      <c r="O463" s="1">
        <v>9577.0</v>
      </c>
      <c r="P463" s="1" t="s">
        <v>1281</v>
      </c>
      <c r="Q463" s="1" t="str">
        <f>IF(ISERROR(VLOOKUP(P463,'unique fed agency names'!A:C,3,FALSE)),P463,VLOOKUP(P463,'unique fed agency names'!A:C,3,FALSE))
</f>
        <v>Corporation for National and Community Service</v>
      </c>
      <c r="R463" s="1">
        <v>7.6385699E7</v>
      </c>
      <c r="S463" s="1" t="s">
        <v>106</v>
      </c>
      <c r="T463" s="1" t="str">
        <f>IF(ISERROR(VLOOKUP(S463,'unique org names'!A:C,3,FALSE)),S463,VLOOKUP(S463,'unique org names'!A:C,3,FALSE))
</f>
        <v>Southwest Counseling Solutions, Inc</v>
      </c>
      <c r="U463" s="1" t="s">
        <v>1005</v>
      </c>
      <c r="V463" s="1" t="s">
        <v>1006</v>
      </c>
      <c r="W463" s="1" t="s">
        <v>44</v>
      </c>
      <c r="X463" s="1" t="s">
        <v>45</v>
      </c>
      <c r="Y463" s="1">
        <v>4.82092022E8</v>
      </c>
      <c r="AA463" s="1" t="s">
        <v>46</v>
      </c>
      <c r="AB463" s="1" t="s">
        <v>45</v>
      </c>
      <c r="AC463" s="1">
        <v>4.82092022E8</v>
      </c>
      <c r="AD463" s="1">
        <v>7.6385699E7</v>
      </c>
      <c r="AE463" s="1" t="s">
        <v>106</v>
      </c>
      <c r="AF463" s="1">
        <v>212470.0</v>
      </c>
      <c r="AG463" s="2">
        <v>41518.0</v>
      </c>
      <c r="AH463" s="1">
        <v>9577.0</v>
      </c>
      <c r="AI463" s="1" t="s">
        <v>1281</v>
      </c>
      <c r="AJ463" s="1">
        <v>9.0</v>
      </c>
      <c r="AK463" s="1" t="s">
        <v>1296</v>
      </c>
      <c r="AL463" s="1">
        <v>12.0</v>
      </c>
      <c r="AM463" s="1">
        <v>2013.0</v>
      </c>
      <c r="AN463" s="1">
        <v>2013.0</v>
      </c>
      <c r="AO463" s="1" t="s">
        <v>1284</v>
      </c>
    </row>
    <row r="464">
      <c r="A464" s="5">
        <v>1.0</v>
      </c>
      <c r="B464" s="1">
        <f t="shared" si="1"/>
        <v>464</v>
      </c>
      <c r="C464" s="1" t="s">
        <v>1297</v>
      </c>
      <c r="D464" s="1" t="s">
        <v>1297</v>
      </c>
      <c r="E464" s="1" t="s">
        <v>1281</v>
      </c>
      <c r="G464" s="1">
        <v>2399848.0</v>
      </c>
      <c r="H464" s="2">
        <v>41548.0</v>
      </c>
      <c r="I464" s="1" t="s">
        <v>1298</v>
      </c>
      <c r="K464" s="1" t="s">
        <v>1298</v>
      </c>
      <c r="N464" s="1" t="s">
        <v>1281</v>
      </c>
      <c r="O464" s="1">
        <v>9577.0</v>
      </c>
      <c r="P464" s="1" t="s">
        <v>1281</v>
      </c>
      <c r="Q464" s="1" t="str">
        <f>IF(ISERROR(VLOOKUP(P464,'unique fed agency names'!A:C,3,FALSE)),P464,VLOOKUP(P464,'unique fed agency names'!A:C,3,FALSE))
</f>
        <v>Corporation for National and Community Service</v>
      </c>
      <c r="R464" s="1">
        <v>1962224.0</v>
      </c>
      <c r="S464" s="1" t="s">
        <v>52</v>
      </c>
      <c r="T464" s="1" t="str">
        <f>IF(ISERROR(VLOOKUP(S464,'unique org names'!A:C,3,FALSE)),S464,VLOOKUP(S464,'unique org names'!A:C,3,FALSE))
</f>
        <v>WAYNE STATE UNIVERSITY</v>
      </c>
      <c r="V464" s="1" t="s">
        <v>53</v>
      </c>
      <c r="W464" s="1" t="s">
        <v>44</v>
      </c>
      <c r="X464" s="1" t="s">
        <v>45</v>
      </c>
      <c r="Y464" s="1">
        <v>4.82023692E8</v>
      </c>
      <c r="AA464" s="1" t="s">
        <v>44</v>
      </c>
      <c r="AB464" s="1" t="s">
        <v>45</v>
      </c>
      <c r="AC464" s="1">
        <v>4.8202405E8</v>
      </c>
      <c r="AD464" s="1">
        <v>1962224.0</v>
      </c>
      <c r="AE464" s="1" t="s">
        <v>52</v>
      </c>
      <c r="AF464" s="1">
        <v>374927.0</v>
      </c>
      <c r="AG464" s="2">
        <v>41548.0</v>
      </c>
      <c r="AH464" s="1">
        <v>9577.0</v>
      </c>
      <c r="AI464" s="1" t="s">
        <v>1281</v>
      </c>
      <c r="AJ464" s="1" t="s">
        <v>1299</v>
      </c>
      <c r="AK464" s="1" t="s">
        <v>1300</v>
      </c>
      <c r="AL464" s="1">
        <v>10.0</v>
      </c>
      <c r="AM464" s="1">
        <v>2013.0</v>
      </c>
      <c r="AN464" s="1">
        <v>2014.0</v>
      </c>
      <c r="AO464" s="1" t="s">
        <v>1301</v>
      </c>
    </row>
    <row r="465">
      <c r="A465" s="5">
        <v>1.0</v>
      </c>
      <c r="B465" s="1">
        <f t="shared" si="1"/>
        <v>465</v>
      </c>
      <c r="C465" s="1" t="s">
        <v>1302</v>
      </c>
      <c r="D465" s="1" t="s">
        <v>1302</v>
      </c>
      <c r="E465" s="1" t="s">
        <v>1303</v>
      </c>
      <c r="G465" s="1">
        <v>6480415.0</v>
      </c>
      <c r="H465" s="2">
        <v>41379.0</v>
      </c>
      <c r="I465" s="1" t="s">
        <v>1304</v>
      </c>
      <c r="K465" s="1" t="s">
        <v>1304</v>
      </c>
      <c r="N465" s="1" t="s">
        <v>1305</v>
      </c>
      <c r="O465" s="1">
        <v>1300.0</v>
      </c>
      <c r="P465" s="1" t="s">
        <v>1305</v>
      </c>
      <c r="Q465" s="1" t="str">
        <f>IF(ISERROR(VLOOKUP(P465,'unique fed agency names'!A:C,3,FALSE)),P465,VLOOKUP(P465,'unique fed agency names'!A:C,3,FALSE))
</f>
        <v>U.S. Department of Commerce (DOC)</v>
      </c>
      <c r="R465" s="1">
        <v>1962224.0</v>
      </c>
      <c r="S465" s="1" t="s">
        <v>52</v>
      </c>
      <c r="T465" s="1" t="str">
        <f>IF(ISERROR(VLOOKUP(S465,'unique org names'!A:C,3,FALSE)),S465,VLOOKUP(S465,'unique org names'!A:C,3,FALSE))
</f>
        <v>WAYNE STATE UNIVERSITY</v>
      </c>
      <c r="V465" s="1" t="s">
        <v>53</v>
      </c>
      <c r="W465" s="1" t="s">
        <v>44</v>
      </c>
      <c r="X465" s="1" t="s">
        <v>45</v>
      </c>
      <c r="Y465" s="1">
        <v>4.82023692E8</v>
      </c>
      <c r="AA465" s="1" t="s">
        <v>44</v>
      </c>
      <c r="AB465" s="1" t="s">
        <v>45</v>
      </c>
      <c r="AC465" s="1">
        <v>4.82023692E8</v>
      </c>
      <c r="AD465" s="1">
        <v>1962224.0</v>
      </c>
      <c r="AE465" s="1" t="s">
        <v>52</v>
      </c>
      <c r="AF465" s="1">
        <v>30000.0</v>
      </c>
      <c r="AG465" s="2">
        <v>41379.0</v>
      </c>
      <c r="AH465" s="1">
        <v>1300.0</v>
      </c>
      <c r="AI465" s="1" t="s">
        <v>1305</v>
      </c>
      <c r="AJ465" s="1">
        <v>3.002503276E9</v>
      </c>
      <c r="AK465" s="1" t="s">
        <v>1306</v>
      </c>
      <c r="AL465" s="1">
        <v>4.0</v>
      </c>
      <c r="AM465" s="1">
        <v>2013.0</v>
      </c>
      <c r="AN465" s="1">
        <v>2013.0</v>
      </c>
      <c r="AO465" s="1" t="s">
        <v>1307</v>
      </c>
    </row>
    <row r="466">
      <c r="A466" s="5">
        <v>1.0</v>
      </c>
      <c r="B466" s="1">
        <f t="shared" si="1"/>
        <v>466</v>
      </c>
      <c r="C466" s="1" t="s">
        <v>1308</v>
      </c>
      <c r="D466" s="1" t="s">
        <v>1308</v>
      </c>
      <c r="E466" s="1" t="s">
        <v>129</v>
      </c>
      <c r="G466" s="1">
        <v>2265546.0</v>
      </c>
      <c r="H466" s="2">
        <v>41548.0</v>
      </c>
      <c r="I466" s="1" t="s">
        <v>876</v>
      </c>
      <c r="K466" s="1" t="s">
        <v>876</v>
      </c>
      <c r="N466" s="1" t="s">
        <v>40</v>
      </c>
      <c r="O466" s="1">
        <v>7500.0</v>
      </c>
      <c r="P466" s="1" t="s">
        <v>40</v>
      </c>
      <c r="Q466" s="1" t="str">
        <f>IF(ISERROR(VLOOKUP(P466,'unique fed agency names'!A:C,3,FALSE)),P466,VLOOKUP(P466,'unique fed agency names'!A:C,3,FALSE))
</f>
        <v>U.S. Department of Health and Human Services (DHHS)</v>
      </c>
      <c r="R466" s="1">
        <v>1.21516199E8</v>
      </c>
      <c r="S466" s="1" t="s">
        <v>380</v>
      </c>
      <c r="T466" s="1" t="str">
        <f>IF(ISERROR(VLOOKUP(S466,'unique org names'!A:C,3,FALSE)),S466,VLOOKUP(S466,'unique org names'!A:C,3,FALSE))
</f>
        <v>YWCA of Metropolitan Detroit</v>
      </c>
      <c r="U466" s="1" t="s">
        <v>381</v>
      </c>
      <c r="V466" s="1" t="s">
        <v>382</v>
      </c>
      <c r="W466" s="1" t="s">
        <v>44</v>
      </c>
      <c r="X466" s="1" t="s">
        <v>45</v>
      </c>
      <c r="Y466" s="1">
        <v>4.82073156E8</v>
      </c>
      <c r="AA466" s="1" t="s">
        <v>44</v>
      </c>
      <c r="AB466" s="1" t="s">
        <v>45</v>
      </c>
      <c r="AC466" s="1">
        <v>4.82073127E8</v>
      </c>
      <c r="AD466" s="1">
        <v>1.21516199E8</v>
      </c>
      <c r="AE466" s="1" t="s">
        <v>380</v>
      </c>
      <c r="AF466" s="1">
        <v>200941.83</v>
      </c>
      <c r="AG466" s="2">
        <v>41548.0</v>
      </c>
      <c r="AH466" s="1">
        <v>7500.0</v>
      </c>
      <c r="AI466" s="1" t="s">
        <v>40</v>
      </c>
      <c r="AJ466" s="1" t="s">
        <v>1309</v>
      </c>
      <c r="AK466" s="1" t="s">
        <v>1310</v>
      </c>
      <c r="AL466" s="1">
        <v>10.0</v>
      </c>
      <c r="AM466" s="1">
        <v>2013.0</v>
      </c>
      <c r="AN466" s="1">
        <v>2014.0</v>
      </c>
      <c r="AO466" s="1" t="s">
        <v>1311</v>
      </c>
    </row>
    <row r="467">
      <c r="A467" s="5">
        <v>1.0</v>
      </c>
      <c r="B467" s="1">
        <f t="shared" si="1"/>
        <v>467</v>
      </c>
      <c r="C467" s="1" t="s">
        <v>49</v>
      </c>
      <c r="D467" s="1" t="s">
        <v>49</v>
      </c>
      <c r="E467" s="1" t="s">
        <v>50</v>
      </c>
      <c r="G467" s="1">
        <v>1532243.0</v>
      </c>
      <c r="H467" s="2">
        <v>41661.0</v>
      </c>
      <c r="I467" s="1" t="s">
        <v>51</v>
      </c>
      <c r="K467" s="1" t="s">
        <v>51</v>
      </c>
      <c r="N467" s="1" t="s">
        <v>50</v>
      </c>
      <c r="O467" s="1">
        <v>8900.0</v>
      </c>
      <c r="P467" s="1" t="s">
        <v>50</v>
      </c>
      <c r="Q467" s="1" t="str">
        <f>IF(ISERROR(VLOOKUP(P467,'unique fed agency names'!A:C,3,FALSE)),P467,VLOOKUP(P467,'unique fed agency names'!A:C,3,FALSE))
</f>
        <v>U.S. Department of Energy</v>
      </c>
      <c r="R467" s="1">
        <v>1962224.0</v>
      </c>
      <c r="S467" s="1" t="s">
        <v>52</v>
      </c>
      <c r="T467" s="1" t="str">
        <f>IF(ISERROR(VLOOKUP(S467,'unique org names'!A:C,3,FALSE)),S467,VLOOKUP(S467,'unique org names'!A:C,3,FALSE))
</f>
        <v>WAYNE STATE UNIVERSITY</v>
      </c>
      <c r="V467" s="1" t="s">
        <v>53</v>
      </c>
      <c r="W467" s="1" t="s">
        <v>44</v>
      </c>
      <c r="X467" s="1" t="s">
        <v>45</v>
      </c>
      <c r="Y467" s="1">
        <v>4.82023692E8</v>
      </c>
      <c r="AA467" s="1" t="s">
        <v>46</v>
      </c>
      <c r="AB467" s="1" t="s">
        <v>45</v>
      </c>
      <c r="AC467" s="1">
        <v>4.8202405E8</v>
      </c>
      <c r="AD467" s="1">
        <v>1962224.0</v>
      </c>
      <c r="AE467" s="1" t="s">
        <v>52</v>
      </c>
      <c r="AF467" s="1">
        <v>37921.0</v>
      </c>
      <c r="AG467" s="2">
        <v>41661.0</v>
      </c>
      <c r="AH467" s="1">
        <v>8900.0</v>
      </c>
      <c r="AI467" s="1" t="s">
        <v>50</v>
      </c>
      <c r="AJ467" s="1" t="s">
        <v>1312</v>
      </c>
      <c r="AK467" s="1" t="s">
        <v>1313</v>
      </c>
      <c r="AL467" s="1">
        <v>2.0</v>
      </c>
      <c r="AM467" s="1">
        <v>2014.0</v>
      </c>
      <c r="AN467" s="1">
        <v>2014.0</v>
      </c>
      <c r="AO467" s="1" t="s">
        <v>56</v>
      </c>
    </row>
    <row r="468">
      <c r="A468" s="5">
        <v>1.0</v>
      </c>
      <c r="B468" s="1">
        <f t="shared" si="1"/>
        <v>468</v>
      </c>
      <c r="C468" s="1" t="s">
        <v>1314</v>
      </c>
      <c r="D468" s="1" t="s">
        <v>1314</v>
      </c>
      <c r="E468" s="1" t="s">
        <v>70</v>
      </c>
      <c r="G468" s="1">
        <v>3726339.0</v>
      </c>
      <c r="H468" s="2">
        <v>41548.0</v>
      </c>
      <c r="I468" s="1" t="s">
        <v>1315</v>
      </c>
      <c r="K468" s="1" t="s">
        <v>1315</v>
      </c>
      <c r="N468" s="1" t="s">
        <v>72</v>
      </c>
      <c r="O468" s="1">
        <v>1500.0</v>
      </c>
      <c r="P468" s="1" t="s">
        <v>72</v>
      </c>
      <c r="Q468" s="1" t="str">
        <f>IF(ISERROR(VLOOKUP(P468,'unique fed agency names'!A:C,3,FALSE)),P468,VLOOKUP(P468,'unique fed agency names'!A:C,3,FALSE))
</f>
        <v>U.S. Department of Justice (DOJ)</v>
      </c>
      <c r="R468" s="1">
        <v>1.58142448E8</v>
      </c>
      <c r="S468" s="1" t="s">
        <v>1316</v>
      </c>
      <c r="T468" s="1" t="str">
        <f>IF(ISERROR(VLOOKUP(S468,'unique org names'!A:C,3,FALSE)),S468,VLOOKUP(S468,'unique org names'!A:C,3,FALSE))
</f>
        <v>Community Health and Social Services Center</v>
      </c>
      <c r="U468" s="1" t="s">
        <v>1317</v>
      </c>
      <c r="V468" s="1" t="s">
        <v>1318</v>
      </c>
      <c r="W468" s="1" t="s">
        <v>44</v>
      </c>
      <c r="X468" s="1" t="s">
        <v>45</v>
      </c>
      <c r="Y468" s="1">
        <v>4.82093154E8</v>
      </c>
      <c r="AA468" s="1" t="s">
        <v>46</v>
      </c>
      <c r="AB468" s="1" t="s">
        <v>45</v>
      </c>
      <c r="AC468" s="1">
        <v>4.82093154E8</v>
      </c>
      <c r="AD468" s="1">
        <v>1.58142448E8</v>
      </c>
      <c r="AE468" s="1" t="s">
        <v>1316</v>
      </c>
      <c r="AF468" s="1">
        <v>119951.0</v>
      </c>
      <c r="AG468" s="2">
        <v>41548.0</v>
      </c>
      <c r="AH468" s="1">
        <v>1500.0</v>
      </c>
      <c r="AI468" s="1" t="s">
        <v>72</v>
      </c>
      <c r="AJ468" s="1" t="s">
        <v>1319</v>
      </c>
      <c r="AK468" s="1" t="s">
        <v>1320</v>
      </c>
      <c r="AL468" s="1">
        <v>10.0</v>
      </c>
      <c r="AM468" s="1">
        <v>2013.0</v>
      </c>
      <c r="AN468" s="1">
        <v>2014.0</v>
      </c>
      <c r="AO468" s="1" t="s">
        <v>1321</v>
      </c>
    </row>
    <row r="469">
      <c r="A469" s="5">
        <v>1.0</v>
      </c>
      <c r="B469" s="1">
        <f t="shared" si="1"/>
        <v>469</v>
      </c>
      <c r="C469" s="1" t="s">
        <v>1314</v>
      </c>
      <c r="D469" s="1" t="s">
        <v>1314</v>
      </c>
      <c r="E469" s="1" t="s">
        <v>70</v>
      </c>
      <c r="G469" s="1">
        <v>3726339.0</v>
      </c>
      <c r="H469" s="2">
        <v>41548.0</v>
      </c>
      <c r="I469" s="1" t="s">
        <v>1315</v>
      </c>
      <c r="K469" s="1" t="s">
        <v>1315</v>
      </c>
      <c r="N469" s="1" t="s">
        <v>72</v>
      </c>
      <c r="O469" s="1">
        <v>1500.0</v>
      </c>
      <c r="P469" s="1" t="s">
        <v>72</v>
      </c>
      <c r="Q469" s="1" t="str">
        <f>IF(ISERROR(VLOOKUP(P469,'unique fed agency names'!A:C,3,FALSE)),P469,VLOOKUP(P469,'unique fed agency names'!A:C,3,FALSE))
</f>
        <v>U.S. Department of Justice (DOJ)</v>
      </c>
      <c r="R469" s="1">
        <v>7.89629859E8</v>
      </c>
      <c r="S469" s="1" t="s">
        <v>416</v>
      </c>
      <c r="T469" s="1" t="str">
        <f>IF(ISERROR(VLOOKUP(S469,'unique org names'!A:C,3,FALSE)),S469,VLOOKUP(S469,'unique org names'!A:C,3,FALSE))
</f>
        <v>Wayne County SAFE Program</v>
      </c>
      <c r="V469" s="1" t="s">
        <v>417</v>
      </c>
      <c r="W469" s="1" t="s">
        <v>44</v>
      </c>
      <c r="X469" s="1" t="s">
        <v>45</v>
      </c>
      <c r="Y469" s="1">
        <v>4.82343241E8</v>
      </c>
      <c r="AA469" s="1" t="s">
        <v>44</v>
      </c>
      <c r="AB469" s="1" t="s">
        <v>45</v>
      </c>
      <c r="AC469" s="1">
        <v>4.80673241E8</v>
      </c>
      <c r="AF469" s="1">
        <v>100000.0</v>
      </c>
      <c r="AG469" s="2">
        <v>41548.0</v>
      </c>
      <c r="AH469" s="1">
        <v>1500.0</v>
      </c>
      <c r="AI469" s="1" t="s">
        <v>72</v>
      </c>
      <c r="AJ469" s="1" t="s">
        <v>1322</v>
      </c>
      <c r="AK469" s="1" t="s">
        <v>1323</v>
      </c>
      <c r="AL469" s="1">
        <v>10.0</v>
      </c>
      <c r="AM469" s="1">
        <v>2013.0</v>
      </c>
      <c r="AN469" s="1">
        <v>2014.0</v>
      </c>
      <c r="AO469" s="1" t="s">
        <v>1321</v>
      </c>
    </row>
    <row r="470">
      <c r="A470" s="5">
        <v>1.0</v>
      </c>
      <c r="B470" s="1">
        <f t="shared" si="1"/>
        <v>470</v>
      </c>
      <c r="C470" s="1" t="s">
        <v>1314</v>
      </c>
      <c r="D470" s="1" t="s">
        <v>1314</v>
      </c>
      <c r="E470" s="1" t="s">
        <v>70</v>
      </c>
      <c r="G470" s="1">
        <v>3726339.0</v>
      </c>
      <c r="H470" s="2">
        <v>41548.0</v>
      </c>
      <c r="I470" s="1" t="s">
        <v>1315</v>
      </c>
      <c r="K470" s="1" t="s">
        <v>1315</v>
      </c>
      <c r="N470" s="1" t="s">
        <v>72</v>
      </c>
      <c r="O470" s="1">
        <v>1500.0</v>
      </c>
      <c r="P470" s="1" t="s">
        <v>72</v>
      </c>
      <c r="Q470" s="1" t="str">
        <f>IF(ISERROR(VLOOKUP(P470,'unique fed agency names'!A:C,3,FALSE)),P470,VLOOKUP(P470,'unique fed agency names'!A:C,3,FALSE))
</f>
        <v>U.S. Department of Justice (DOJ)</v>
      </c>
      <c r="R470" s="1">
        <v>1.21516199E8</v>
      </c>
      <c r="S470" s="1" t="s">
        <v>380</v>
      </c>
      <c r="T470" s="1" t="str">
        <f>IF(ISERROR(VLOOKUP(S470,'unique org names'!A:C,3,FALSE)),S470,VLOOKUP(S470,'unique org names'!A:C,3,FALSE))
</f>
        <v>YWCA of Metropolitan Detroit</v>
      </c>
      <c r="U470" s="1" t="s">
        <v>381</v>
      </c>
      <c r="V470" s="1" t="s">
        <v>382</v>
      </c>
      <c r="W470" s="1" t="s">
        <v>44</v>
      </c>
      <c r="X470" s="1" t="s">
        <v>45</v>
      </c>
      <c r="Y470" s="1">
        <v>4.82073156E8</v>
      </c>
      <c r="AA470" s="1" t="s">
        <v>44</v>
      </c>
      <c r="AB470" s="1" t="s">
        <v>45</v>
      </c>
      <c r="AC470" s="1">
        <v>4.82073156E8</v>
      </c>
      <c r="AD470" s="1">
        <v>1.21516199E8</v>
      </c>
      <c r="AE470" s="1" t="s">
        <v>380</v>
      </c>
      <c r="AF470" s="1">
        <v>105765.0</v>
      </c>
      <c r="AG470" s="2">
        <v>41548.0</v>
      </c>
      <c r="AH470" s="1">
        <v>1500.0</v>
      </c>
      <c r="AI470" s="1" t="s">
        <v>72</v>
      </c>
      <c r="AJ470" s="1" t="s">
        <v>1324</v>
      </c>
      <c r="AK470" s="1" t="s">
        <v>1323</v>
      </c>
      <c r="AL470" s="1">
        <v>10.0</v>
      </c>
      <c r="AM470" s="1">
        <v>2013.0</v>
      </c>
      <c r="AN470" s="1">
        <v>2014.0</v>
      </c>
      <c r="AO470" s="1" t="s">
        <v>1321</v>
      </c>
    </row>
    <row r="471">
      <c r="A471" s="5">
        <v>1.0</v>
      </c>
      <c r="B471" s="1">
        <f t="shared" si="1"/>
        <v>471</v>
      </c>
      <c r="C471" s="1" t="s">
        <v>1325</v>
      </c>
      <c r="D471" s="1" t="s">
        <v>1325</v>
      </c>
      <c r="E471" s="1" t="s">
        <v>129</v>
      </c>
      <c r="G471" s="1">
        <v>3.93293408E8</v>
      </c>
      <c r="H471" s="2">
        <v>41548.0</v>
      </c>
      <c r="I471" s="1" t="s">
        <v>1326</v>
      </c>
      <c r="K471" s="1" t="s">
        <v>1326</v>
      </c>
      <c r="N471" s="1" t="s">
        <v>40</v>
      </c>
      <c r="O471" s="1">
        <v>7500.0</v>
      </c>
      <c r="P471" s="1" t="s">
        <v>40</v>
      </c>
      <c r="Q471" s="1" t="str">
        <f>IF(ISERROR(VLOOKUP(P471,'unique fed agency names'!A:C,3,FALSE)),P471,VLOOKUP(P471,'unique fed agency names'!A:C,3,FALSE))
</f>
        <v>U.S. Department of Health and Human Services (DHHS)</v>
      </c>
      <c r="R471" s="1">
        <v>7.8074923E8</v>
      </c>
      <c r="S471" s="1" t="s">
        <v>419</v>
      </c>
      <c r="T471" s="1" t="str">
        <f>IF(ISERROR(VLOOKUP(S471,'unique org names'!A:C,3,FALSE)),S471,VLOOKUP(S471,'unique org names'!A:C,3,FALSE))
</f>
        <v>ALTERNATIVES FOR GIRLS</v>
      </c>
      <c r="V471" s="1" t="s">
        <v>420</v>
      </c>
      <c r="W471" s="1" t="s">
        <v>44</v>
      </c>
      <c r="X471" s="1" t="s">
        <v>45</v>
      </c>
      <c r="Y471" s="1">
        <v>4.82082365E8</v>
      </c>
      <c r="AA471" s="1" t="s">
        <v>44</v>
      </c>
      <c r="AB471" s="1" t="s">
        <v>45</v>
      </c>
      <c r="AC471" s="1">
        <v>4.82082365E8</v>
      </c>
      <c r="AF471" s="1">
        <v>198499.1</v>
      </c>
      <c r="AG471" s="2">
        <v>41548.0</v>
      </c>
      <c r="AH471" s="1">
        <v>7500.0</v>
      </c>
      <c r="AI471" s="1" t="s">
        <v>40</v>
      </c>
      <c r="AJ471" s="1" t="s">
        <v>1327</v>
      </c>
      <c r="AK471" s="1" t="s">
        <v>1274</v>
      </c>
      <c r="AL471" s="1">
        <v>11.0</v>
      </c>
      <c r="AM471" s="1">
        <v>2013.0</v>
      </c>
      <c r="AN471" s="1">
        <v>2014.0</v>
      </c>
      <c r="AO471" s="1" t="s">
        <v>385</v>
      </c>
    </row>
    <row r="472">
      <c r="A472" s="5">
        <v>1.0</v>
      </c>
      <c r="B472" s="1">
        <f t="shared" si="1"/>
        <v>472</v>
      </c>
      <c r="C472" s="1" t="s">
        <v>1325</v>
      </c>
      <c r="D472" s="1" t="s">
        <v>1325</v>
      </c>
      <c r="E472" s="1" t="s">
        <v>129</v>
      </c>
      <c r="G472" s="1">
        <v>3.93293408E8</v>
      </c>
      <c r="H472" s="2">
        <v>41548.0</v>
      </c>
      <c r="I472" s="1" t="s">
        <v>1326</v>
      </c>
      <c r="K472" s="1" t="s">
        <v>1326</v>
      </c>
      <c r="N472" s="1" t="s">
        <v>40</v>
      </c>
      <c r="O472" s="1">
        <v>7500.0</v>
      </c>
      <c r="P472" s="1" t="s">
        <v>40</v>
      </c>
      <c r="Q472" s="1" t="str">
        <f>IF(ISERROR(VLOOKUP(P472,'unique fed agency names'!A:C,3,FALSE)),P472,VLOOKUP(P472,'unique fed agency names'!A:C,3,FALSE))
</f>
        <v>U.S. Department of Health and Human Services (DHHS)</v>
      </c>
      <c r="R472" s="1">
        <v>6.9840817E7</v>
      </c>
      <c r="S472" s="1" t="s">
        <v>131</v>
      </c>
      <c r="T472" s="1" t="str">
        <f>IF(ISERROR(VLOOKUP(S472,'unique org names'!A:C,3,FALSE)),S472,VLOOKUP(S472,'unique org names'!A:C,3,FALSE))
</f>
        <v>LUTHERAN SOCIAL SERVICES OF MICHIGAN</v>
      </c>
      <c r="V472" s="1" t="s">
        <v>132</v>
      </c>
      <c r="W472" s="1" t="s">
        <v>44</v>
      </c>
      <c r="X472" s="1" t="s">
        <v>45</v>
      </c>
      <c r="Y472" s="1">
        <v>4.8214261E8</v>
      </c>
      <c r="AA472" s="1" t="s">
        <v>44</v>
      </c>
      <c r="AB472" s="1" t="s">
        <v>45</v>
      </c>
      <c r="AC472" s="1">
        <v>4.8214261E8</v>
      </c>
      <c r="AD472" s="1">
        <v>6.9840817E7</v>
      </c>
      <c r="AE472" s="1" t="s">
        <v>131</v>
      </c>
      <c r="AF472" s="1">
        <v>457342.0</v>
      </c>
      <c r="AG472" s="2">
        <v>41548.0</v>
      </c>
      <c r="AH472" s="1">
        <v>7500.0</v>
      </c>
      <c r="AI472" s="1" t="s">
        <v>40</v>
      </c>
      <c r="AJ472" s="1" t="s">
        <v>1328</v>
      </c>
      <c r="AK472" s="1" t="s">
        <v>1329</v>
      </c>
      <c r="AL472" s="1">
        <v>11.0</v>
      </c>
      <c r="AM472" s="1">
        <v>2013.0</v>
      </c>
      <c r="AN472" s="1">
        <v>2014.0</v>
      </c>
      <c r="AO472" s="1" t="s">
        <v>385</v>
      </c>
    </row>
    <row r="473">
      <c r="A473" s="5">
        <v>1.0</v>
      </c>
      <c r="B473" s="1">
        <f t="shared" si="1"/>
        <v>473</v>
      </c>
      <c r="C473" s="1" t="s">
        <v>1325</v>
      </c>
      <c r="D473" s="1" t="s">
        <v>1325</v>
      </c>
      <c r="E473" s="1" t="s">
        <v>129</v>
      </c>
      <c r="G473" s="1">
        <v>3.93293408E8</v>
      </c>
      <c r="H473" s="2">
        <v>41548.0</v>
      </c>
      <c r="I473" s="1" t="s">
        <v>1326</v>
      </c>
      <c r="K473" s="1" t="s">
        <v>1326</v>
      </c>
      <c r="N473" s="1" t="s">
        <v>40</v>
      </c>
      <c r="O473" s="1">
        <v>7500.0</v>
      </c>
      <c r="P473" s="1" t="s">
        <v>40</v>
      </c>
      <c r="Q473" s="1" t="str">
        <f>IF(ISERROR(VLOOKUP(P473,'unique fed agency names'!A:C,3,FALSE)),P473,VLOOKUP(P473,'unique fed agency names'!A:C,3,FALSE))
</f>
        <v>U.S. Department of Health and Human Services (DHHS)</v>
      </c>
      <c r="R473" s="1">
        <v>2.0830303E7</v>
      </c>
      <c r="S473" s="1" t="s">
        <v>424</v>
      </c>
      <c r="T473" s="1" t="str">
        <f>IF(ISERROR(VLOOKUP(S473,'unique org names'!A:C,3,FALSE)),S473,VLOOKUP(S473,'unique org names'!A:C,3,FALSE))
</f>
        <v>MATRIX HUMAN SERVICES</v>
      </c>
      <c r="U473" s="1" t="s">
        <v>425</v>
      </c>
      <c r="V473" s="1" t="s">
        <v>426</v>
      </c>
      <c r="W473" s="1" t="s">
        <v>44</v>
      </c>
      <c r="X473" s="1" t="s">
        <v>45</v>
      </c>
      <c r="Y473" s="1">
        <v>4.82012002E8</v>
      </c>
      <c r="AA473" s="1" t="s">
        <v>44</v>
      </c>
      <c r="AB473" s="1" t="s">
        <v>45</v>
      </c>
      <c r="AC473" s="1">
        <v>4.82012002E8</v>
      </c>
      <c r="AD473" s="1">
        <v>2.0830303E7</v>
      </c>
      <c r="AE473" s="1" t="s">
        <v>424</v>
      </c>
      <c r="AF473" s="1">
        <v>332938.25</v>
      </c>
      <c r="AG473" s="2">
        <v>41548.0</v>
      </c>
      <c r="AH473" s="1">
        <v>7500.0</v>
      </c>
      <c r="AI473" s="1" t="s">
        <v>40</v>
      </c>
      <c r="AJ473" s="1" t="s">
        <v>1273</v>
      </c>
      <c r="AK473" s="1" t="s">
        <v>1274</v>
      </c>
      <c r="AL473" s="1">
        <v>11.0</v>
      </c>
      <c r="AM473" s="1">
        <v>2013.0</v>
      </c>
      <c r="AN473" s="1">
        <v>2014.0</v>
      </c>
      <c r="AO473" s="1" t="s">
        <v>385</v>
      </c>
    </row>
    <row r="474">
      <c r="A474" s="5">
        <v>1.0</v>
      </c>
      <c r="B474" s="1">
        <f t="shared" si="1"/>
        <v>474</v>
      </c>
      <c r="C474" s="1" t="s">
        <v>1325</v>
      </c>
      <c r="D474" s="1" t="s">
        <v>1325</v>
      </c>
      <c r="E474" s="1" t="s">
        <v>129</v>
      </c>
      <c r="G474" s="1">
        <v>3.93293408E8</v>
      </c>
      <c r="H474" s="2">
        <v>41548.0</v>
      </c>
      <c r="I474" s="1" t="s">
        <v>1326</v>
      </c>
      <c r="K474" s="1" t="s">
        <v>1326</v>
      </c>
      <c r="N474" s="1" t="s">
        <v>40</v>
      </c>
      <c r="O474" s="1">
        <v>7500.0</v>
      </c>
      <c r="P474" s="1" t="s">
        <v>40</v>
      </c>
      <c r="Q474" s="1" t="str">
        <f>IF(ISERROR(VLOOKUP(P474,'unique fed agency names'!A:C,3,FALSE)),P474,VLOOKUP(P474,'unique fed agency names'!A:C,3,FALSE))
</f>
        <v>U.S. Department of Health and Human Services (DHHS)</v>
      </c>
      <c r="R474" s="1">
        <v>1.93540515E8</v>
      </c>
      <c r="S474" s="1" t="s">
        <v>1022</v>
      </c>
      <c r="T474" s="1" t="str">
        <f>IF(ISERROR(VLOOKUP(S474,'unique org names'!A:C,3,FALSE)),S474,VLOOKUP(S474,'unique org names'!A:C,3,FALSE))
</f>
        <v>Development Centers, Inc</v>
      </c>
      <c r="U474" s="1" t="s">
        <v>1330</v>
      </c>
      <c r="V474" s="1" t="s">
        <v>1023</v>
      </c>
      <c r="W474" s="1" t="s">
        <v>44</v>
      </c>
      <c r="X474" s="1" t="s">
        <v>45</v>
      </c>
      <c r="Y474" s="1">
        <v>4.82193653E8</v>
      </c>
      <c r="AA474" s="1" t="s">
        <v>44</v>
      </c>
      <c r="AB474" s="1" t="s">
        <v>45</v>
      </c>
      <c r="AC474" s="1">
        <v>4.82193165E8</v>
      </c>
      <c r="AD474" s="1">
        <v>1.93540515E8</v>
      </c>
      <c r="AE474" s="1" t="s">
        <v>1022</v>
      </c>
      <c r="AF474" s="1">
        <v>249761.0</v>
      </c>
      <c r="AG474" s="2">
        <v>41548.0</v>
      </c>
      <c r="AH474" s="1">
        <v>7500.0</v>
      </c>
      <c r="AI474" s="1" t="s">
        <v>40</v>
      </c>
      <c r="AJ474" s="1" t="s">
        <v>1331</v>
      </c>
      <c r="AK474" s="1" t="s">
        <v>1332</v>
      </c>
      <c r="AL474" s="1">
        <v>11.0</v>
      </c>
      <c r="AM474" s="1">
        <v>2013.0</v>
      </c>
      <c r="AN474" s="1">
        <v>2014.0</v>
      </c>
      <c r="AO474" s="1" t="s">
        <v>385</v>
      </c>
    </row>
    <row r="475">
      <c r="A475" s="5">
        <v>1.0</v>
      </c>
      <c r="B475" s="1">
        <f t="shared" si="1"/>
        <v>475</v>
      </c>
      <c r="C475" s="1" t="s">
        <v>1325</v>
      </c>
      <c r="D475" s="1" t="s">
        <v>1325</v>
      </c>
      <c r="E475" s="1" t="s">
        <v>129</v>
      </c>
      <c r="G475" s="1">
        <v>3.93293408E8</v>
      </c>
      <c r="H475" s="2">
        <v>41548.0</v>
      </c>
      <c r="I475" s="1" t="s">
        <v>1326</v>
      </c>
      <c r="K475" s="1" t="s">
        <v>1326</v>
      </c>
      <c r="N475" s="1" t="s">
        <v>40</v>
      </c>
      <c r="O475" s="1">
        <v>7500.0</v>
      </c>
      <c r="P475" s="1" t="s">
        <v>40</v>
      </c>
      <c r="Q475" s="1" t="str">
        <f>IF(ISERROR(VLOOKUP(P475,'unique fed agency names'!A:C,3,FALSE)),P475,VLOOKUP(P475,'unique fed agency names'!A:C,3,FALSE))
</f>
        <v>U.S. Department of Health and Human Services (DHHS)</v>
      </c>
      <c r="R475" s="1">
        <v>1.95614664E8</v>
      </c>
      <c r="S475" s="1" t="s">
        <v>1333</v>
      </c>
      <c r="T475" s="1" t="str">
        <f>IF(ISERROR(VLOOKUP(S475,'unique org names'!A:C,3,FALSE)),S475,VLOOKUP(S475,'unique org names'!A:C,3,FALSE))
</f>
        <v>Black Family Development, Inc</v>
      </c>
      <c r="V475" s="1" t="s">
        <v>1334</v>
      </c>
      <c r="W475" s="1" t="s">
        <v>44</v>
      </c>
      <c r="X475" s="1" t="s">
        <v>45</v>
      </c>
      <c r="Y475" s="1">
        <v>4.82023133E8</v>
      </c>
      <c r="AA475" s="1" t="s">
        <v>44</v>
      </c>
      <c r="AB475" s="1" t="s">
        <v>45</v>
      </c>
      <c r="AC475" s="1">
        <v>4.82023133E8</v>
      </c>
      <c r="AD475" s="1">
        <v>1.95614664E8</v>
      </c>
      <c r="AE475" s="1" t="s">
        <v>1333</v>
      </c>
      <c r="AF475" s="1">
        <v>807364.0</v>
      </c>
      <c r="AG475" s="2">
        <v>41548.0</v>
      </c>
      <c r="AH475" s="1">
        <v>7500.0</v>
      </c>
      <c r="AI475" s="1" t="s">
        <v>40</v>
      </c>
      <c r="AJ475" s="1" t="s">
        <v>1335</v>
      </c>
      <c r="AK475" s="1" t="s">
        <v>1329</v>
      </c>
      <c r="AL475" s="1">
        <v>11.0</v>
      </c>
      <c r="AM475" s="1">
        <v>2013.0</v>
      </c>
      <c r="AN475" s="1">
        <v>2014.0</v>
      </c>
      <c r="AO475" s="1" t="s">
        <v>385</v>
      </c>
    </row>
    <row r="476">
      <c r="A476" s="5">
        <v>1.0</v>
      </c>
      <c r="B476" s="1">
        <f t="shared" si="1"/>
        <v>476</v>
      </c>
      <c r="C476" s="1" t="s">
        <v>1325</v>
      </c>
      <c r="D476" s="1" t="s">
        <v>1325</v>
      </c>
      <c r="E476" s="1" t="s">
        <v>129</v>
      </c>
      <c r="G476" s="1">
        <v>3.93293408E8</v>
      </c>
      <c r="H476" s="2">
        <v>41548.0</v>
      </c>
      <c r="I476" s="1" t="s">
        <v>1326</v>
      </c>
      <c r="K476" s="1" t="s">
        <v>1326</v>
      </c>
      <c r="N476" s="1" t="s">
        <v>40</v>
      </c>
      <c r="O476" s="1">
        <v>7500.0</v>
      </c>
      <c r="P476" s="1" t="s">
        <v>40</v>
      </c>
      <c r="Q476" s="1" t="str">
        <f>IF(ISERROR(VLOOKUP(P476,'unique fed agency names'!A:C,3,FALSE)),P476,VLOOKUP(P476,'unique fed agency names'!A:C,3,FALSE))
</f>
        <v>U.S. Department of Health and Human Services (DHHS)</v>
      </c>
      <c r="R476" s="1">
        <v>6.9840817E7</v>
      </c>
      <c r="S476" s="1" t="s">
        <v>131</v>
      </c>
      <c r="T476" s="1" t="str">
        <f>IF(ISERROR(VLOOKUP(S476,'unique org names'!A:C,3,FALSE)),S476,VLOOKUP(S476,'unique org names'!A:C,3,FALSE))
</f>
        <v>LUTHERAN SOCIAL SERVICES OF MICHIGAN</v>
      </c>
      <c r="V476" s="1" t="s">
        <v>132</v>
      </c>
      <c r="W476" s="1" t="s">
        <v>44</v>
      </c>
      <c r="X476" s="1" t="s">
        <v>45</v>
      </c>
      <c r="Y476" s="1">
        <v>4.8214261E8</v>
      </c>
      <c r="AA476" s="1" t="s">
        <v>46</v>
      </c>
      <c r="AB476" s="1" t="s">
        <v>45</v>
      </c>
      <c r="AC476" s="1">
        <v>4.8214261E8</v>
      </c>
      <c r="AD476" s="1">
        <v>6.9840817E7</v>
      </c>
      <c r="AE476" s="1" t="s">
        <v>131</v>
      </c>
      <c r="AF476" s="1">
        <v>456590.0</v>
      </c>
      <c r="AG476" s="2">
        <v>41548.0</v>
      </c>
      <c r="AH476" s="1">
        <v>7500.0</v>
      </c>
      <c r="AI476" s="1" t="s">
        <v>40</v>
      </c>
      <c r="AJ476" s="1" t="s">
        <v>1336</v>
      </c>
      <c r="AK476" s="1" t="s">
        <v>1329</v>
      </c>
      <c r="AL476" s="1">
        <v>11.0</v>
      </c>
      <c r="AM476" s="1">
        <v>2013.0</v>
      </c>
      <c r="AN476" s="1">
        <v>2014.0</v>
      </c>
      <c r="AO476" s="1" t="s">
        <v>385</v>
      </c>
    </row>
    <row r="477">
      <c r="A477" s="5">
        <v>1.0</v>
      </c>
      <c r="B477" s="1">
        <f t="shared" si="1"/>
        <v>477</v>
      </c>
      <c r="C477" s="1" t="s">
        <v>1325</v>
      </c>
      <c r="D477" s="1" t="s">
        <v>1325</v>
      </c>
      <c r="E477" s="1" t="s">
        <v>129</v>
      </c>
      <c r="G477" s="1">
        <v>3.93293408E8</v>
      </c>
      <c r="H477" s="2">
        <v>41548.0</v>
      </c>
      <c r="I477" s="1" t="s">
        <v>1326</v>
      </c>
      <c r="K477" s="1" t="s">
        <v>1326</v>
      </c>
      <c r="N477" s="1" t="s">
        <v>40</v>
      </c>
      <c r="O477" s="1">
        <v>7500.0</v>
      </c>
      <c r="P477" s="1" t="s">
        <v>40</v>
      </c>
      <c r="Q477" s="1" t="str">
        <f>IF(ISERROR(VLOOKUP(P477,'unique fed agency names'!A:C,3,FALSE)),P477,VLOOKUP(P477,'unique fed agency names'!A:C,3,FALSE))
</f>
        <v>U.S. Department of Health and Human Services (DHHS)</v>
      </c>
      <c r="R477" s="1">
        <v>1.21516199E8</v>
      </c>
      <c r="S477" s="1" t="s">
        <v>380</v>
      </c>
      <c r="T477" s="1" t="str">
        <f>IF(ISERROR(VLOOKUP(S477,'unique org names'!A:C,3,FALSE)),S477,VLOOKUP(S477,'unique org names'!A:C,3,FALSE))
</f>
        <v>YWCA of Metropolitan Detroit</v>
      </c>
      <c r="U477" s="1" t="s">
        <v>381</v>
      </c>
      <c r="V477" s="1" t="s">
        <v>382</v>
      </c>
      <c r="W477" s="1" t="s">
        <v>44</v>
      </c>
      <c r="X477" s="1" t="s">
        <v>45</v>
      </c>
      <c r="Y477" s="1">
        <v>4.82073156E8</v>
      </c>
      <c r="AA477" s="1" t="s">
        <v>44</v>
      </c>
      <c r="AB477" s="1" t="s">
        <v>45</v>
      </c>
      <c r="AC477" s="1">
        <v>4.82073127E8</v>
      </c>
      <c r="AD477" s="1">
        <v>1.21516199E8</v>
      </c>
      <c r="AE477" s="1" t="s">
        <v>380</v>
      </c>
      <c r="AF477" s="1">
        <v>233094.58</v>
      </c>
      <c r="AG477" s="2">
        <v>41548.0</v>
      </c>
      <c r="AH477" s="1">
        <v>7500.0</v>
      </c>
      <c r="AI477" s="1" t="s">
        <v>40</v>
      </c>
      <c r="AJ477" s="1" t="s">
        <v>1309</v>
      </c>
      <c r="AK477" s="1" t="s">
        <v>1310</v>
      </c>
      <c r="AL477" s="1">
        <v>11.0</v>
      </c>
      <c r="AM477" s="1">
        <v>2013.0</v>
      </c>
      <c r="AN477" s="1">
        <v>2014.0</v>
      </c>
      <c r="AO477" s="1" t="s">
        <v>385</v>
      </c>
    </row>
    <row r="478">
      <c r="A478" s="5">
        <v>1.0</v>
      </c>
      <c r="B478" s="1">
        <f t="shared" si="1"/>
        <v>478</v>
      </c>
      <c r="C478" s="1" t="s">
        <v>1337</v>
      </c>
      <c r="D478" s="1" t="s">
        <v>1337</v>
      </c>
      <c r="E478" s="1" t="s">
        <v>1281</v>
      </c>
      <c r="G478" s="1">
        <v>262500.0</v>
      </c>
      <c r="H478" s="2">
        <v>41609.0</v>
      </c>
      <c r="I478" s="1" t="s">
        <v>1338</v>
      </c>
      <c r="K478" s="1" t="s">
        <v>1338</v>
      </c>
      <c r="N478" s="1" t="s">
        <v>1281</v>
      </c>
      <c r="O478" s="1">
        <v>9577.0</v>
      </c>
      <c r="P478" s="1" t="s">
        <v>1281</v>
      </c>
      <c r="Q478" s="1" t="str">
        <f>IF(ISERROR(VLOOKUP(P478,'unique fed agency names'!A:C,3,FALSE)),P478,VLOOKUP(P478,'unique fed agency names'!A:C,3,FALSE))
</f>
        <v>Corporation for National and Community Service</v>
      </c>
      <c r="R478" s="1">
        <v>8.59555054E8</v>
      </c>
      <c r="S478" s="1" t="s">
        <v>1339</v>
      </c>
      <c r="T478" s="1" t="str">
        <f>IF(ISERROR(VLOOKUP(S478,'unique org names'!A:C,3,FALSE)),S478,VLOOKUP(S478,'unique org names'!A:C,3,FALSE))
</f>
        <v>VOLUNTEERS IN PREVENTION, PROBATION AND PRISONS, INC</v>
      </c>
      <c r="U478" s="1" t="s">
        <v>1340</v>
      </c>
      <c r="V478" s="1" t="s">
        <v>1341</v>
      </c>
      <c r="W478" s="1" t="s">
        <v>44</v>
      </c>
      <c r="X478" s="1" t="s">
        <v>45</v>
      </c>
      <c r="Y478" s="1">
        <v>4.82261656E8</v>
      </c>
      <c r="AA478" s="1" t="s">
        <v>44</v>
      </c>
      <c r="AB478" s="1" t="s">
        <v>45</v>
      </c>
      <c r="AC478" s="1">
        <v>4.82241506E8</v>
      </c>
      <c r="AF478" s="1">
        <v>55000.0</v>
      </c>
      <c r="AG478" s="2">
        <v>41609.0</v>
      </c>
      <c r="AH478" s="1">
        <v>9577.0</v>
      </c>
      <c r="AI478" s="1" t="s">
        <v>1281</v>
      </c>
      <c r="AJ478" s="1" t="s">
        <v>1342</v>
      </c>
      <c r="AK478" s="1" t="s">
        <v>1343</v>
      </c>
      <c r="AL478" s="1">
        <v>12.0</v>
      </c>
      <c r="AM478" s="1">
        <v>2013.0</v>
      </c>
      <c r="AN478" s="1">
        <v>2014.0</v>
      </c>
      <c r="AO478" s="1" t="s">
        <v>1344</v>
      </c>
    </row>
    <row r="479">
      <c r="A479" s="5">
        <v>1.0</v>
      </c>
      <c r="B479" s="1">
        <f t="shared" si="1"/>
        <v>479</v>
      </c>
      <c r="C479" s="1" t="s">
        <v>1345</v>
      </c>
      <c r="D479" s="1" t="s">
        <v>1345</v>
      </c>
      <c r="E479" s="1" t="s">
        <v>159</v>
      </c>
      <c r="G479" s="1">
        <v>3893069.0</v>
      </c>
      <c r="H479" s="2">
        <v>41522.0</v>
      </c>
      <c r="I479" s="1" t="s">
        <v>1346</v>
      </c>
      <c r="K479" s="1" t="s">
        <v>1346</v>
      </c>
      <c r="N479" s="1" t="s">
        <v>40</v>
      </c>
      <c r="O479" s="1">
        <v>7500.0</v>
      </c>
      <c r="P479" s="1" t="s">
        <v>40</v>
      </c>
      <c r="Q479" s="1" t="str">
        <f>IF(ISERROR(VLOOKUP(P479,'unique fed agency names'!A:C,3,FALSE)),P479,VLOOKUP(P479,'unique fed agency names'!A:C,3,FALSE))
</f>
        <v>U.S. Department of Health and Human Services (DHHS)</v>
      </c>
      <c r="R479" s="1">
        <v>1962224.0</v>
      </c>
      <c r="S479" s="1" t="s">
        <v>52</v>
      </c>
      <c r="T479" s="1" t="str">
        <f>IF(ISERROR(VLOOKUP(S479,'unique org names'!A:C,3,FALSE)),S479,VLOOKUP(S479,'unique org names'!A:C,3,FALSE))
</f>
        <v>WAYNE STATE UNIVERSITY</v>
      </c>
      <c r="V479" s="1" t="s">
        <v>53</v>
      </c>
      <c r="W479" s="1" t="s">
        <v>44</v>
      </c>
      <c r="X479" s="1" t="s">
        <v>45</v>
      </c>
      <c r="Y479" s="1">
        <v>4.82023692E8</v>
      </c>
      <c r="AA479" s="1" t="s">
        <v>46</v>
      </c>
      <c r="AB479" s="1" t="s">
        <v>45</v>
      </c>
      <c r="AC479" s="1">
        <v>4.8202405E8</v>
      </c>
      <c r="AD479" s="1">
        <v>1962224.0</v>
      </c>
      <c r="AE479" s="1" t="s">
        <v>52</v>
      </c>
      <c r="AF479" s="1">
        <v>136923.0</v>
      </c>
      <c r="AG479" s="2">
        <v>41522.0</v>
      </c>
      <c r="AH479" s="1">
        <v>7500.0</v>
      </c>
      <c r="AI479" s="1" t="s">
        <v>40</v>
      </c>
      <c r="AJ479" s="1">
        <v>3.002120343E9</v>
      </c>
      <c r="AK479" s="1" t="s">
        <v>1347</v>
      </c>
      <c r="AL479" s="1">
        <v>9.0</v>
      </c>
      <c r="AM479" s="1">
        <v>2013.0</v>
      </c>
      <c r="AN479" s="1">
        <v>2013.0</v>
      </c>
      <c r="AO479" s="1" t="s">
        <v>1348</v>
      </c>
    </row>
    <row r="480">
      <c r="A480" s="5">
        <v>1.0</v>
      </c>
      <c r="B480" s="1">
        <f t="shared" si="1"/>
        <v>480</v>
      </c>
      <c r="C480" s="1" t="s">
        <v>1349</v>
      </c>
      <c r="D480" s="1" t="s">
        <v>1349</v>
      </c>
      <c r="E480" s="1" t="s">
        <v>389</v>
      </c>
      <c r="G480" s="1">
        <v>2.8721584E7</v>
      </c>
      <c r="H480" s="2">
        <v>41466.0</v>
      </c>
      <c r="I480" s="1" t="s">
        <v>397</v>
      </c>
      <c r="K480" s="1" t="s">
        <v>397</v>
      </c>
      <c r="N480" s="1" t="s">
        <v>391</v>
      </c>
      <c r="O480" s="1">
        <v>1600.0</v>
      </c>
      <c r="P480" s="1" t="s">
        <v>391</v>
      </c>
      <c r="Q480" s="1" t="str">
        <f>IF(ISERROR(VLOOKUP(P480,'unique fed agency names'!A:C,3,FALSE)),P480,VLOOKUP(P480,'unique fed agency names'!A:C,3,FALSE))
</f>
        <v>U.S. Department of Labor (DOL)</v>
      </c>
      <c r="R480" s="1">
        <v>9.68755756E8</v>
      </c>
      <c r="S480" s="1" t="s">
        <v>1350</v>
      </c>
      <c r="T480" s="1" t="str">
        <f>IF(ISERROR(VLOOKUP(S480,'unique org names'!A:C,3,FALSE)),S480,VLOOKUP(S480,'unique org names'!A:C,3,FALSE))
</f>
        <v>DETROIT WORKFORCE DEVELOPMENT BOARD, CORPORATION</v>
      </c>
      <c r="V480" s="1" t="s">
        <v>1351</v>
      </c>
      <c r="W480" s="1" t="s">
        <v>44</v>
      </c>
      <c r="X480" s="1" t="s">
        <v>45</v>
      </c>
      <c r="Y480" s="1">
        <v>4.82022943E8</v>
      </c>
      <c r="AA480" s="1" t="s">
        <v>46</v>
      </c>
      <c r="AB480" s="1" t="s">
        <v>45</v>
      </c>
      <c r="AC480" s="1">
        <v>4.82022943E8</v>
      </c>
      <c r="AF480" s="1">
        <v>337211.0</v>
      </c>
      <c r="AG480" s="2">
        <v>41466.0</v>
      </c>
      <c r="AH480" s="1">
        <v>1600.0</v>
      </c>
      <c r="AI480" s="1" t="s">
        <v>391</v>
      </c>
      <c r="AJ480" s="1" t="s">
        <v>1352</v>
      </c>
      <c r="AK480" s="1" t="s">
        <v>1353</v>
      </c>
      <c r="AL480" s="1">
        <v>2.0</v>
      </c>
      <c r="AM480" s="1">
        <v>2014.0</v>
      </c>
      <c r="AN480" s="1">
        <v>2013.0</v>
      </c>
      <c r="AO480" s="1" t="s">
        <v>1354</v>
      </c>
    </row>
    <row r="481">
      <c r="A481" s="5">
        <v>1.0</v>
      </c>
      <c r="B481" s="1">
        <f t="shared" si="1"/>
        <v>481</v>
      </c>
      <c r="C481" s="1" t="s">
        <v>1355</v>
      </c>
      <c r="D481" s="1" t="s">
        <v>1355</v>
      </c>
      <c r="E481" s="1" t="s">
        <v>129</v>
      </c>
      <c r="G481" s="1">
        <v>5.0849296E7</v>
      </c>
      <c r="H481" s="2">
        <v>41276.0</v>
      </c>
      <c r="I481" s="1" t="s">
        <v>1356</v>
      </c>
      <c r="K481" s="1" t="s">
        <v>1356</v>
      </c>
      <c r="N481" s="1" t="s">
        <v>40</v>
      </c>
      <c r="O481" s="1">
        <v>7500.0</v>
      </c>
      <c r="P481" s="1" t="s">
        <v>40</v>
      </c>
      <c r="Q481" s="1" t="str">
        <f>IF(ISERROR(VLOOKUP(P481,'unique fed agency names'!A:C,3,FALSE)),P481,VLOOKUP(P481,'unique fed agency names'!A:C,3,FALSE))
</f>
        <v>U.S. Department of Health and Human Services (DHHS)</v>
      </c>
      <c r="R481" s="1">
        <v>7.8074923E8</v>
      </c>
      <c r="S481" s="1" t="s">
        <v>419</v>
      </c>
      <c r="T481" s="1" t="str">
        <f>IF(ISERROR(VLOOKUP(S481,'unique org names'!A:C,3,FALSE)),S481,VLOOKUP(S481,'unique org names'!A:C,3,FALSE))
</f>
        <v>ALTERNATIVES FOR GIRLS</v>
      </c>
      <c r="V481" s="1" t="s">
        <v>420</v>
      </c>
      <c r="W481" s="1" t="s">
        <v>44</v>
      </c>
      <c r="X481" s="1" t="s">
        <v>45</v>
      </c>
      <c r="Y481" s="1">
        <v>4.82082365E8</v>
      </c>
      <c r="AA481" s="1" t="s">
        <v>46</v>
      </c>
      <c r="AB481" s="1" t="s">
        <v>45</v>
      </c>
      <c r="AC481" s="1">
        <v>4.82082365E8</v>
      </c>
      <c r="AF481" s="1">
        <v>37178.0</v>
      </c>
      <c r="AG481" s="2">
        <v>41276.0</v>
      </c>
      <c r="AH481" s="1">
        <v>7500.0</v>
      </c>
      <c r="AI481" s="1" t="s">
        <v>40</v>
      </c>
      <c r="AJ481" s="1" t="s">
        <v>422</v>
      </c>
      <c r="AK481" s="1" t="s">
        <v>428</v>
      </c>
      <c r="AL481" s="1">
        <v>1.0</v>
      </c>
      <c r="AM481" s="1">
        <v>2013.0</v>
      </c>
      <c r="AN481" s="1">
        <v>2013.0</v>
      </c>
      <c r="AO481" s="1" t="s">
        <v>1275</v>
      </c>
    </row>
    <row r="482">
      <c r="A482" s="5">
        <v>1.0</v>
      </c>
      <c r="B482" s="1">
        <f t="shared" si="1"/>
        <v>482</v>
      </c>
      <c r="C482" s="1" t="s">
        <v>1355</v>
      </c>
      <c r="D482" s="1" t="s">
        <v>1355</v>
      </c>
      <c r="E482" s="1" t="s">
        <v>129</v>
      </c>
      <c r="G482" s="1">
        <v>5.0849296E7</v>
      </c>
      <c r="H482" s="2">
        <v>41276.0</v>
      </c>
      <c r="I482" s="1" t="s">
        <v>1356</v>
      </c>
      <c r="K482" s="1" t="s">
        <v>1356</v>
      </c>
      <c r="N482" s="1" t="s">
        <v>40</v>
      </c>
      <c r="O482" s="1">
        <v>7500.0</v>
      </c>
      <c r="P482" s="1" t="s">
        <v>40</v>
      </c>
      <c r="Q482" s="1" t="str">
        <f>IF(ISERROR(VLOOKUP(P482,'unique fed agency names'!A:C,3,FALSE)),P482,VLOOKUP(P482,'unique fed agency names'!A:C,3,FALSE))
</f>
        <v>U.S. Department of Health and Human Services (DHHS)</v>
      </c>
      <c r="R482" s="1">
        <v>7.8074923E8</v>
      </c>
      <c r="S482" s="1" t="s">
        <v>419</v>
      </c>
      <c r="T482" s="1" t="str">
        <f>IF(ISERROR(VLOOKUP(S482,'unique org names'!A:C,3,FALSE)),S482,VLOOKUP(S482,'unique org names'!A:C,3,FALSE))
</f>
        <v>ALTERNATIVES FOR GIRLS</v>
      </c>
      <c r="V482" s="1" t="s">
        <v>420</v>
      </c>
      <c r="W482" s="1" t="s">
        <v>44</v>
      </c>
      <c r="X482" s="1" t="s">
        <v>45</v>
      </c>
      <c r="Y482" s="1">
        <v>4.82082365E8</v>
      </c>
      <c r="AA482" s="1" t="s">
        <v>46</v>
      </c>
      <c r="AB482" s="1" t="s">
        <v>45</v>
      </c>
      <c r="AC482" s="1">
        <v>4.82082365E8</v>
      </c>
      <c r="AF482" s="1">
        <v>225350.43</v>
      </c>
      <c r="AG482" s="2">
        <v>41276.0</v>
      </c>
      <c r="AH482" s="1">
        <v>7500.0</v>
      </c>
      <c r="AI482" s="1" t="s">
        <v>40</v>
      </c>
      <c r="AJ482" s="1" t="s">
        <v>449</v>
      </c>
      <c r="AK482" s="1" t="s">
        <v>450</v>
      </c>
      <c r="AL482" s="1">
        <v>1.0</v>
      </c>
      <c r="AM482" s="1">
        <v>2013.0</v>
      </c>
      <c r="AN482" s="1">
        <v>2013.0</v>
      </c>
      <c r="AO482" s="1" t="s">
        <v>1275</v>
      </c>
    </row>
    <row r="483">
      <c r="A483" s="5">
        <v>1.0</v>
      </c>
      <c r="B483" s="1">
        <f t="shared" si="1"/>
        <v>483</v>
      </c>
      <c r="C483" s="1" t="s">
        <v>1355</v>
      </c>
      <c r="D483" s="1" t="s">
        <v>1355</v>
      </c>
      <c r="E483" s="1" t="s">
        <v>129</v>
      </c>
      <c r="G483" s="1">
        <v>5.0849296E7</v>
      </c>
      <c r="H483" s="2">
        <v>41276.0</v>
      </c>
      <c r="I483" s="1" t="s">
        <v>1356</v>
      </c>
      <c r="K483" s="1" t="s">
        <v>1356</v>
      </c>
      <c r="N483" s="1" t="s">
        <v>40</v>
      </c>
      <c r="O483" s="1">
        <v>7500.0</v>
      </c>
      <c r="P483" s="1" t="s">
        <v>40</v>
      </c>
      <c r="Q483" s="1" t="str">
        <f>IF(ISERROR(VLOOKUP(P483,'unique fed agency names'!A:C,3,FALSE)),P483,VLOOKUP(P483,'unique fed agency names'!A:C,3,FALSE))
</f>
        <v>U.S. Department of Health and Human Services (DHHS)</v>
      </c>
      <c r="R483" s="1">
        <v>2.0830303E7</v>
      </c>
      <c r="S483" s="1" t="s">
        <v>424</v>
      </c>
      <c r="T483" s="1" t="str">
        <f>IF(ISERROR(VLOOKUP(S483,'unique org names'!A:C,3,FALSE)),S483,VLOOKUP(S483,'unique org names'!A:C,3,FALSE))
</f>
        <v>MATRIX HUMAN SERVICES</v>
      </c>
      <c r="U483" s="1" t="s">
        <v>425</v>
      </c>
      <c r="V483" s="1" t="s">
        <v>426</v>
      </c>
      <c r="W483" s="1" t="s">
        <v>44</v>
      </c>
      <c r="X483" s="1" t="s">
        <v>45</v>
      </c>
      <c r="Y483" s="1">
        <v>4.82012002E8</v>
      </c>
      <c r="AA483" s="1" t="s">
        <v>46</v>
      </c>
      <c r="AB483" s="1" t="s">
        <v>45</v>
      </c>
      <c r="AC483" s="1">
        <v>4.82012002E8</v>
      </c>
      <c r="AD483" s="1">
        <v>2.0830303E7</v>
      </c>
      <c r="AE483" s="1" t="s">
        <v>424</v>
      </c>
      <c r="AF483" s="1">
        <v>32759.0</v>
      </c>
      <c r="AG483" s="2">
        <v>41276.0</v>
      </c>
      <c r="AH483" s="1">
        <v>7500.0</v>
      </c>
      <c r="AI483" s="1" t="s">
        <v>40</v>
      </c>
      <c r="AJ483" s="1" t="s">
        <v>427</v>
      </c>
      <c r="AK483" s="1" t="s">
        <v>428</v>
      </c>
      <c r="AL483" s="1">
        <v>1.0</v>
      </c>
      <c r="AM483" s="1">
        <v>2013.0</v>
      </c>
      <c r="AN483" s="1">
        <v>2013.0</v>
      </c>
      <c r="AO483" s="1" t="s">
        <v>1275</v>
      </c>
    </row>
    <row r="484">
      <c r="A484" s="5">
        <v>1.0</v>
      </c>
      <c r="B484" s="1">
        <f t="shared" si="1"/>
        <v>484</v>
      </c>
      <c r="C484" s="1" t="s">
        <v>1355</v>
      </c>
      <c r="D484" s="1" t="s">
        <v>1355</v>
      </c>
      <c r="E484" s="1" t="s">
        <v>129</v>
      </c>
      <c r="G484" s="1">
        <v>5.0849296E7</v>
      </c>
      <c r="H484" s="2">
        <v>41276.0</v>
      </c>
      <c r="I484" s="1" t="s">
        <v>1356</v>
      </c>
      <c r="K484" s="1" t="s">
        <v>1356</v>
      </c>
      <c r="N484" s="1" t="s">
        <v>40</v>
      </c>
      <c r="O484" s="1">
        <v>7500.0</v>
      </c>
      <c r="P484" s="1" t="s">
        <v>40</v>
      </c>
      <c r="Q484" s="1" t="str">
        <f>IF(ISERROR(VLOOKUP(P484,'unique fed agency names'!A:C,3,FALSE)),P484,VLOOKUP(P484,'unique fed agency names'!A:C,3,FALSE))
</f>
        <v>U.S. Department of Health and Human Services (DHHS)</v>
      </c>
      <c r="R484" s="1">
        <v>2.0830303E7</v>
      </c>
      <c r="S484" s="1" t="s">
        <v>424</v>
      </c>
      <c r="T484" s="1" t="str">
        <f>IF(ISERROR(VLOOKUP(S484,'unique org names'!A:C,3,FALSE)),S484,VLOOKUP(S484,'unique org names'!A:C,3,FALSE))
</f>
        <v>MATRIX HUMAN SERVICES</v>
      </c>
      <c r="U484" s="1" t="s">
        <v>425</v>
      </c>
      <c r="V484" s="1" t="s">
        <v>426</v>
      </c>
      <c r="W484" s="1" t="s">
        <v>44</v>
      </c>
      <c r="X484" s="1" t="s">
        <v>45</v>
      </c>
      <c r="Y484" s="1">
        <v>4.82012002E8</v>
      </c>
      <c r="AA484" s="1" t="s">
        <v>46</v>
      </c>
      <c r="AB484" s="1" t="s">
        <v>45</v>
      </c>
      <c r="AC484" s="1">
        <v>4.82012002E8</v>
      </c>
      <c r="AD484" s="1">
        <v>2.0830303E7</v>
      </c>
      <c r="AE484" s="1" t="s">
        <v>424</v>
      </c>
      <c r="AF484" s="1">
        <v>173452.83</v>
      </c>
      <c r="AG484" s="2">
        <v>41276.0</v>
      </c>
      <c r="AH484" s="1">
        <v>7500.0</v>
      </c>
      <c r="AI484" s="1" t="s">
        <v>40</v>
      </c>
      <c r="AJ484" s="1" t="s">
        <v>456</v>
      </c>
      <c r="AK484" s="1" t="s">
        <v>450</v>
      </c>
      <c r="AL484" s="1">
        <v>1.0</v>
      </c>
      <c r="AM484" s="1">
        <v>2013.0</v>
      </c>
      <c r="AN484" s="1">
        <v>2013.0</v>
      </c>
      <c r="AO484" s="1" t="s">
        <v>1275</v>
      </c>
    </row>
    <row r="485">
      <c r="A485" s="5">
        <v>1.0</v>
      </c>
      <c r="B485" s="1">
        <f t="shared" si="1"/>
        <v>485</v>
      </c>
      <c r="C485" s="1" t="s">
        <v>1357</v>
      </c>
      <c r="D485" s="1" t="s">
        <v>1357</v>
      </c>
      <c r="E485" s="1" t="s">
        <v>85</v>
      </c>
      <c r="G485" s="1">
        <v>5.4410712E7</v>
      </c>
      <c r="H485" s="2">
        <v>41183.0</v>
      </c>
      <c r="I485" s="1" t="s">
        <v>1358</v>
      </c>
      <c r="K485" s="1" t="s">
        <v>1358</v>
      </c>
      <c r="N485" s="1" t="s">
        <v>40</v>
      </c>
      <c r="O485" s="1">
        <v>7500.0</v>
      </c>
      <c r="P485" s="1" t="s">
        <v>40</v>
      </c>
      <c r="Q485" s="1" t="str">
        <f>IF(ISERROR(VLOOKUP(P485,'unique fed agency names'!A:C,3,FALSE)),P485,VLOOKUP(P485,'unique fed agency names'!A:C,3,FALSE))
</f>
        <v>U.S. Department of Health and Human Services (DHHS)</v>
      </c>
      <c r="R485" s="1">
        <v>7.8583404E7</v>
      </c>
      <c r="S485" s="1" t="s">
        <v>65</v>
      </c>
      <c r="T485" s="1" t="str">
        <f>IF(ISERROR(VLOOKUP(S485,'unique org names'!A:C,3,FALSE)),S485,VLOOKUP(S485,'unique org names'!A:C,3,FALSE))
</f>
        <v>Institute for Population Health Inc.</v>
      </c>
      <c r="V485" s="1" t="s">
        <v>66</v>
      </c>
      <c r="W485" s="1" t="s">
        <v>44</v>
      </c>
      <c r="X485" s="1" t="s">
        <v>45</v>
      </c>
      <c r="Y485" s="1">
        <v>4.82021732E8</v>
      </c>
      <c r="AA485" s="1" t="s">
        <v>46</v>
      </c>
      <c r="AB485" s="1" t="s">
        <v>45</v>
      </c>
      <c r="AC485" s="1">
        <v>4.82021732E8</v>
      </c>
      <c r="AF485" s="1">
        <v>1.0289342E7</v>
      </c>
      <c r="AG485" s="2">
        <v>41183.0</v>
      </c>
      <c r="AH485" s="1">
        <v>7500.0</v>
      </c>
      <c r="AI485" s="1" t="s">
        <v>40</v>
      </c>
      <c r="AJ485" s="1">
        <v>2.0130787E7</v>
      </c>
      <c r="AK485" s="1" t="s">
        <v>1359</v>
      </c>
      <c r="AL485" s="1">
        <v>10.0</v>
      </c>
      <c r="AM485" s="1">
        <v>2012.0</v>
      </c>
      <c r="AN485" s="1">
        <v>2013.0</v>
      </c>
      <c r="AO485" s="1" t="s">
        <v>1360</v>
      </c>
    </row>
    <row r="486">
      <c r="A486" s="5">
        <v>1.0</v>
      </c>
      <c r="B486" s="1">
        <f t="shared" si="1"/>
        <v>486</v>
      </c>
      <c r="C486" s="1" t="s">
        <v>1361</v>
      </c>
      <c r="D486" s="1" t="s">
        <v>1361</v>
      </c>
      <c r="E486" s="1" t="s">
        <v>100</v>
      </c>
      <c r="G486" s="1">
        <v>1000500.0</v>
      </c>
      <c r="H486" s="2">
        <v>41183.0</v>
      </c>
      <c r="I486" s="1" t="s">
        <v>1362</v>
      </c>
      <c r="K486" s="1" t="s">
        <v>1362</v>
      </c>
      <c r="N486" s="1" t="s">
        <v>102</v>
      </c>
      <c r="O486" s="1">
        <v>8600.0</v>
      </c>
      <c r="P486" s="1" t="s">
        <v>102</v>
      </c>
      <c r="Q486" s="1" t="str">
        <f>IF(ISERROR(VLOOKUP(P486,'unique fed agency names'!A:C,3,FALSE)),P486,VLOOKUP(P486,'unique fed agency names'!A:C,3,FALSE))
</f>
        <v>U.S. Department of Housing and Urban Development (HUD)</v>
      </c>
      <c r="R486" s="1">
        <v>4.3419399E7</v>
      </c>
      <c r="S486" s="1" t="s">
        <v>979</v>
      </c>
      <c r="T486" s="1" t="str">
        <f>IF(ISERROR(VLOOKUP(S486,'unique org names'!A:C,3,FALSE)),S486,VLOOKUP(S486,'unique org names'!A:C,3,FALSE))
</f>
        <v>NEIGHBORHOOD SERVICE ORGANIZATION</v>
      </c>
      <c r="V486" s="1" t="s">
        <v>980</v>
      </c>
      <c r="W486" s="1" t="s">
        <v>44</v>
      </c>
      <c r="X486" s="1" t="s">
        <v>45</v>
      </c>
      <c r="Y486" s="1">
        <v>4.82261412E8</v>
      </c>
      <c r="AA486" s="1" t="s">
        <v>46</v>
      </c>
      <c r="AB486" s="1" t="s">
        <v>45</v>
      </c>
      <c r="AC486" s="1">
        <v>4.82261412E8</v>
      </c>
      <c r="AD486" s="1">
        <v>4.3419399E7</v>
      </c>
      <c r="AE486" s="1" t="s">
        <v>979</v>
      </c>
      <c r="AF486" s="1">
        <v>200100.0</v>
      </c>
      <c r="AG486" s="2">
        <v>41183.0</v>
      </c>
      <c r="AH486" s="1">
        <v>8600.0</v>
      </c>
      <c r="AI486" s="1" t="s">
        <v>102</v>
      </c>
      <c r="AJ486" s="1">
        <v>2.0131022E7</v>
      </c>
      <c r="AK486" s="1" t="s">
        <v>1363</v>
      </c>
      <c r="AL486" s="1">
        <v>10.0</v>
      </c>
      <c r="AM486" s="1">
        <v>2012.0</v>
      </c>
      <c r="AN486" s="1">
        <v>2013.0</v>
      </c>
      <c r="AO486" s="1" t="s">
        <v>108</v>
      </c>
    </row>
    <row r="487">
      <c r="A487" s="5">
        <v>1.0</v>
      </c>
      <c r="B487" s="1">
        <f t="shared" si="1"/>
        <v>487</v>
      </c>
      <c r="C487" s="1" t="s">
        <v>1364</v>
      </c>
      <c r="D487" s="1" t="s">
        <v>1364</v>
      </c>
      <c r="E487" s="1" t="s">
        <v>38</v>
      </c>
      <c r="G487" s="1">
        <v>418830.0</v>
      </c>
      <c r="H487" s="2">
        <v>41585.0</v>
      </c>
      <c r="I487" s="1" t="s">
        <v>1365</v>
      </c>
      <c r="K487" s="1" t="s">
        <v>1365</v>
      </c>
      <c r="N487" s="1" t="s">
        <v>40</v>
      </c>
      <c r="O487" s="1">
        <v>7500.0</v>
      </c>
      <c r="P487" s="1" t="s">
        <v>40</v>
      </c>
      <c r="Q487" s="1" t="str">
        <f>IF(ISERROR(VLOOKUP(P487,'unique fed agency names'!A:C,3,FALSE)),P487,VLOOKUP(P487,'unique fed agency names'!A:C,3,FALSE))
</f>
        <v>U.S. Department of Health and Human Services (DHHS)</v>
      </c>
      <c r="R487" s="1">
        <v>1962224.0</v>
      </c>
      <c r="S487" s="1" t="s">
        <v>52</v>
      </c>
      <c r="T487" s="1" t="str">
        <f>IF(ISERROR(VLOOKUP(S487,'unique org names'!A:C,3,FALSE)),S487,VLOOKUP(S487,'unique org names'!A:C,3,FALSE))
</f>
        <v>WAYNE STATE UNIVERSITY</v>
      </c>
      <c r="V487" s="1" t="s">
        <v>53</v>
      </c>
      <c r="W487" s="1" t="s">
        <v>44</v>
      </c>
      <c r="X487" s="1" t="s">
        <v>45</v>
      </c>
      <c r="Y487" s="1">
        <v>4.82023692E8</v>
      </c>
      <c r="AA487" s="1" t="s">
        <v>1366</v>
      </c>
      <c r="AB487" s="1" t="s">
        <v>45</v>
      </c>
      <c r="AC487" s="1">
        <v>4.8202405E8</v>
      </c>
      <c r="AD487" s="1">
        <v>1962224.0</v>
      </c>
      <c r="AE487" s="1" t="s">
        <v>52</v>
      </c>
      <c r="AF487" s="1">
        <v>117106.0</v>
      </c>
      <c r="AG487" s="2">
        <v>41585.0</v>
      </c>
      <c r="AH487" s="1">
        <v>7500.0</v>
      </c>
      <c r="AI487" s="1" t="s">
        <v>40</v>
      </c>
      <c r="AJ487" s="1" t="s">
        <v>1367</v>
      </c>
      <c r="AK487" s="1" t="s">
        <v>1368</v>
      </c>
      <c r="AL487" s="1">
        <v>12.0</v>
      </c>
      <c r="AM487" s="1">
        <v>2013.0</v>
      </c>
      <c r="AN487" s="1">
        <v>2014.0</v>
      </c>
      <c r="AO487" s="1" t="s">
        <v>338</v>
      </c>
    </row>
    <row r="488">
      <c r="A488" s="5">
        <v>1.0</v>
      </c>
      <c r="B488" s="1">
        <f t="shared" si="1"/>
        <v>488</v>
      </c>
      <c r="C488" s="1" t="s">
        <v>1369</v>
      </c>
      <c r="D488" s="1" t="s">
        <v>1369</v>
      </c>
      <c r="E488" s="1" t="s">
        <v>38</v>
      </c>
      <c r="G488" s="1">
        <v>1582052.0</v>
      </c>
      <c r="H488" s="2">
        <v>41614.0</v>
      </c>
      <c r="I488" s="1" t="s">
        <v>1370</v>
      </c>
      <c r="K488" s="1" t="s">
        <v>1370</v>
      </c>
      <c r="N488" s="1" t="s">
        <v>40</v>
      </c>
      <c r="O488" s="1">
        <v>7500.0</v>
      </c>
      <c r="P488" s="1" t="s">
        <v>40</v>
      </c>
      <c r="Q488" s="1" t="str">
        <f>IF(ISERROR(VLOOKUP(P488,'unique fed agency names'!A:C,3,FALSE)),P488,VLOOKUP(P488,'unique fed agency names'!A:C,3,FALSE))
</f>
        <v>U.S. Department of Health and Human Services (DHHS)</v>
      </c>
      <c r="R488" s="1">
        <v>1962224.0</v>
      </c>
      <c r="S488" s="1" t="s">
        <v>52</v>
      </c>
      <c r="T488" s="1" t="str">
        <f>IF(ISERROR(VLOOKUP(S488,'unique org names'!A:C,3,FALSE)),S488,VLOOKUP(S488,'unique org names'!A:C,3,FALSE))
</f>
        <v>WAYNE STATE UNIVERSITY</v>
      </c>
      <c r="V488" s="1" t="s">
        <v>53</v>
      </c>
      <c r="W488" s="1" t="s">
        <v>44</v>
      </c>
      <c r="X488" s="1" t="s">
        <v>45</v>
      </c>
      <c r="Y488" s="1">
        <v>4.82023692E8</v>
      </c>
      <c r="AA488" s="1" t="s">
        <v>46</v>
      </c>
      <c r="AB488" s="1" t="s">
        <v>45</v>
      </c>
      <c r="AC488" s="1">
        <v>4.8202405E8</v>
      </c>
      <c r="AD488" s="1">
        <v>1962224.0</v>
      </c>
      <c r="AE488" s="1" t="s">
        <v>52</v>
      </c>
      <c r="AF488" s="1">
        <v>30609.0</v>
      </c>
      <c r="AG488" s="2">
        <v>41614.0</v>
      </c>
      <c r="AH488" s="1">
        <v>7500.0</v>
      </c>
      <c r="AI488" s="1" t="s">
        <v>40</v>
      </c>
      <c r="AJ488" s="1" t="s">
        <v>1371</v>
      </c>
      <c r="AK488" s="1" t="s">
        <v>1372</v>
      </c>
      <c r="AL488" s="1">
        <v>12.0</v>
      </c>
      <c r="AM488" s="1">
        <v>2013.0</v>
      </c>
      <c r="AN488" s="1">
        <v>2014.0</v>
      </c>
      <c r="AO488" s="1" t="s">
        <v>973</v>
      </c>
    </row>
    <row r="489">
      <c r="A489" s="5">
        <v>1.0</v>
      </c>
      <c r="B489" s="1">
        <f t="shared" si="1"/>
        <v>489</v>
      </c>
      <c r="C489" s="1" t="s">
        <v>1373</v>
      </c>
      <c r="D489" s="1" t="s">
        <v>1373</v>
      </c>
      <c r="E489" s="1" t="s">
        <v>38</v>
      </c>
      <c r="G489" s="1">
        <v>2209384.0</v>
      </c>
      <c r="H489" s="2">
        <v>41605.0</v>
      </c>
      <c r="I489" s="1" t="s">
        <v>1374</v>
      </c>
      <c r="K489" s="1" t="s">
        <v>1374</v>
      </c>
      <c r="N489" s="1" t="s">
        <v>40</v>
      </c>
      <c r="O489" s="1">
        <v>7500.0</v>
      </c>
      <c r="P489" s="1" t="s">
        <v>40</v>
      </c>
      <c r="Q489" s="1" t="str">
        <f>IF(ISERROR(VLOOKUP(P489,'unique fed agency names'!A:C,3,FALSE)),P489,VLOOKUP(P489,'unique fed agency names'!A:C,3,FALSE))
</f>
        <v>U.S. Department of Health and Human Services (DHHS)</v>
      </c>
      <c r="R489" s="1">
        <v>1962224.0</v>
      </c>
      <c r="S489" s="1" t="s">
        <v>52</v>
      </c>
      <c r="T489" s="1" t="str">
        <f>IF(ISERROR(VLOOKUP(S489,'unique org names'!A:C,3,FALSE)),S489,VLOOKUP(S489,'unique org names'!A:C,3,FALSE))
</f>
        <v>WAYNE STATE UNIVERSITY</v>
      </c>
      <c r="V489" s="1" t="s">
        <v>53</v>
      </c>
      <c r="W489" s="1" t="s">
        <v>44</v>
      </c>
      <c r="X489" s="1" t="s">
        <v>45</v>
      </c>
      <c r="Y489" s="1">
        <v>4.82023692E8</v>
      </c>
      <c r="AA489" s="1" t="s">
        <v>46</v>
      </c>
      <c r="AB489" s="1" t="s">
        <v>45</v>
      </c>
      <c r="AC489" s="1">
        <v>4.82012153E8</v>
      </c>
      <c r="AD489" s="1">
        <v>1962224.0</v>
      </c>
      <c r="AE489" s="1" t="s">
        <v>52</v>
      </c>
      <c r="AF489" s="1">
        <v>137806.0</v>
      </c>
      <c r="AG489" s="2">
        <v>41605.0</v>
      </c>
      <c r="AH489" s="1">
        <v>7500.0</v>
      </c>
      <c r="AI489" s="1" t="s">
        <v>40</v>
      </c>
      <c r="AJ489" s="1">
        <v>532256.0</v>
      </c>
      <c r="AK489" s="1" t="s">
        <v>1375</v>
      </c>
      <c r="AL489" s="1">
        <v>11.0</v>
      </c>
      <c r="AM489" s="1">
        <v>2013.0</v>
      </c>
      <c r="AN489" s="1">
        <v>2014.0</v>
      </c>
      <c r="AO489" s="1" t="s">
        <v>372</v>
      </c>
    </row>
    <row r="490">
      <c r="A490" s="5">
        <v>1.0</v>
      </c>
      <c r="B490" s="1">
        <f t="shared" si="1"/>
        <v>490</v>
      </c>
      <c r="C490" s="1">
        <v>1120923.0</v>
      </c>
      <c r="D490" s="1">
        <v>1120923.0</v>
      </c>
      <c r="E490" s="1" t="s">
        <v>109</v>
      </c>
      <c r="G490" s="1">
        <v>9645000.0</v>
      </c>
      <c r="H490" s="2">
        <v>41533.0</v>
      </c>
      <c r="I490" s="1" t="s">
        <v>1376</v>
      </c>
      <c r="K490" s="1" t="s">
        <v>1376</v>
      </c>
      <c r="N490" s="1" t="s">
        <v>109</v>
      </c>
      <c r="O490" s="1">
        <v>4900.0</v>
      </c>
      <c r="P490" s="1" t="s">
        <v>109</v>
      </c>
      <c r="Q490" s="1" t="str">
        <f>IF(ISERROR(VLOOKUP(P490,'unique fed agency names'!A:C,3,FALSE)),P490,VLOOKUP(P490,'unique fed agency names'!A:C,3,FALSE))
</f>
        <v>National Science Foundation</v>
      </c>
      <c r="R490" s="1">
        <v>1962224.0</v>
      </c>
      <c r="S490" s="1" t="s">
        <v>52</v>
      </c>
      <c r="T490" s="1" t="str">
        <f>IF(ISERROR(VLOOKUP(S490,'unique org names'!A:C,3,FALSE)),S490,VLOOKUP(S490,'unique org names'!A:C,3,FALSE))
</f>
        <v>WAYNE STATE UNIVERSITY</v>
      </c>
      <c r="V490" s="1" t="s">
        <v>53</v>
      </c>
      <c r="W490" s="1" t="s">
        <v>44</v>
      </c>
      <c r="X490" s="1" t="s">
        <v>45</v>
      </c>
      <c r="Y490" s="1">
        <v>4.82023692E8</v>
      </c>
      <c r="AA490" s="1" t="s">
        <v>46</v>
      </c>
      <c r="AB490" s="1" t="s">
        <v>45</v>
      </c>
      <c r="AC490" s="1">
        <v>4.8202405E8</v>
      </c>
      <c r="AD490" s="1">
        <v>1962224.0</v>
      </c>
      <c r="AE490" s="1" t="s">
        <v>52</v>
      </c>
      <c r="AF490" s="1">
        <v>35000.0</v>
      </c>
      <c r="AG490" s="2">
        <v>41533.0</v>
      </c>
      <c r="AH490" s="1">
        <v>4900.0</v>
      </c>
      <c r="AI490" s="1" t="s">
        <v>109</v>
      </c>
      <c r="AJ490" s="1">
        <v>3.002109091E9</v>
      </c>
      <c r="AK490" s="1" t="s">
        <v>1377</v>
      </c>
      <c r="AL490" s="1">
        <v>9.0</v>
      </c>
      <c r="AM490" s="1">
        <v>2013.0</v>
      </c>
      <c r="AN490" s="1">
        <v>2013.0</v>
      </c>
      <c r="AO490" s="1" t="s">
        <v>1378</v>
      </c>
    </row>
    <row r="491">
      <c r="A491" s="5">
        <v>1.0</v>
      </c>
      <c r="B491" s="1">
        <f t="shared" si="1"/>
        <v>491</v>
      </c>
      <c r="C491" s="1" t="s">
        <v>1379</v>
      </c>
      <c r="D491" s="1" t="s">
        <v>1379</v>
      </c>
      <c r="E491" s="1" t="s">
        <v>194</v>
      </c>
      <c r="G491" s="1">
        <v>3.8708044E7</v>
      </c>
      <c r="H491" s="2">
        <v>41232.0</v>
      </c>
      <c r="I491" s="1" t="s">
        <v>1380</v>
      </c>
      <c r="K491" s="1" t="s">
        <v>1380</v>
      </c>
      <c r="N491" s="1" t="s">
        <v>194</v>
      </c>
      <c r="O491" s="1">
        <v>9100.0</v>
      </c>
      <c r="P491" s="1" t="s">
        <v>194</v>
      </c>
      <c r="Q491" s="1" t="str">
        <f>IF(ISERROR(VLOOKUP(P491,'unique fed agency names'!A:C,3,FALSE)),P491,VLOOKUP(P491,'unique fed agency names'!A:C,3,FALSE))
</f>
        <v>U.S. Department of Education (ED)</v>
      </c>
      <c r="R491" s="1">
        <v>7.6340843E7</v>
      </c>
      <c r="S491" s="1" t="s">
        <v>461</v>
      </c>
      <c r="T491" s="1" t="str">
        <f>IF(ISERROR(VLOOKUP(S491,'unique org names'!A:C,3,FALSE)),S491,VLOOKUP(S491,'unique org names'!A:C,3,FALSE))
</f>
        <v>BOARD OF EDUCATION OF THE CITY OF DETROIT</v>
      </c>
      <c r="U491" s="1" t="s">
        <v>459</v>
      </c>
      <c r="V491" s="1" t="s">
        <v>524</v>
      </c>
      <c r="W491" s="1" t="s">
        <v>44</v>
      </c>
      <c r="X491" s="1" t="s">
        <v>45</v>
      </c>
      <c r="Y491" s="1">
        <v>4.82023046E8</v>
      </c>
      <c r="AA491" s="1" t="s">
        <v>44</v>
      </c>
      <c r="AB491" s="1" t="s">
        <v>45</v>
      </c>
      <c r="AC491" s="1">
        <v>4.82023096E8</v>
      </c>
      <c r="AD491" s="1">
        <v>7.6340843E7</v>
      </c>
      <c r="AE491" s="1" t="s">
        <v>461</v>
      </c>
      <c r="AF491" s="1">
        <v>3286636.0</v>
      </c>
      <c r="AG491" s="2">
        <v>41232.0</v>
      </c>
      <c r="AH491" s="1">
        <v>9100.0</v>
      </c>
      <c r="AI491" s="1" t="s">
        <v>194</v>
      </c>
      <c r="AJ491" s="1" t="s">
        <v>1381</v>
      </c>
      <c r="AK491" s="1" t="s">
        <v>1382</v>
      </c>
      <c r="AL491" s="1">
        <v>12.0</v>
      </c>
      <c r="AM491" s="1">
        <v>2013.0</v>
      </c>
      <c r="AN491" s="1">
        <v>2013.0</v>
      </c>
      <c r="AO491" s="1" t="s">
        <v>1383</v>
      </c>
    </row>
    <row r="492">
      <c r="A492" s="5">
        <v>1.0</v>
      </c>
      <c r="B492" s="1">
        <f t="shared" si="1"/>
        <v>492</v>
      </c>
      <c r="C492" s="1" t="s">
        <v>1379</v>
      </c>
      <c r="D492" s="1" t="s">
        <v>1379</v>
      </c>
      <c r="E492" s="1" t="s">
        <v>194</v>
      </c>
      <c r="G492" s="1">
        <v>3.8708044E7</v>
      </c>
      <c r="H492" s="2">
        <v>41597.0</v>
      </c>
      <c r="I492" s="1" t="s">
        <v>1380</v>
      </c>
      <c r="K492" s="1" t="s">
        <v>1380</v>
      </c>
      <c r="N492" s="1" t="s">
        <v>194</v>
      </c>
      <c r="O492" s="1">
        <v>9100.0</v>
      </c>
      <c r="P492" s="1" t="s">
        <v>194</v>
      </c>
      <c r="Q492" s="1" t="str">
        <f>IF(ISERROR(VLOOKUP(P492,'unique fed agency names'!A:C,3,FALSE)),P492,VLOOKUP(P492,'unique fed agency names'!A:C,3,FALSE))
</f>
        <v>U.S. Department of Education (ED)</v>
      </c>
      <c r="R492" s="1">
        <v>7.6386556E7</v>
      </c>
      <c r="S492" s="1" t="s">
        <v>1242</v>
      </c>
      <c r="T492" s="1" t="str">
        <f>IF(ISERROR(VLOOKUP(S492,'unique org names'!A:C,3,FALSE)),S492,VLOOKUP(S492,'unique org names'!A:C,3,FALSE))
</f>
        <v>WAYNE COUNTY COMMUNITY COLLEGE DISTRICT</v>
      </c>
      <c r="V492" s="1" t="s">
        <v>1243</v>
      </c>
      <c r="W492" s="1" t="s">
        <v>44</v>
      </c>
      <c r="X492" s="1" t="s">
        <v>45</v>
      </c>
      <c r="Y492" s="1">
        <v>4.8226301E8</v>
      </c>
      <c r="AA492" s="1" t="s">
        <v>44</v>
      </c>
      <c r="AB492" s="1" t="s">
        <v>45</v>
      </c>
      <c r="AC492" s="1">
        <v>4.8226301E8</v>
      </c>
      <c r="AD492" s="1">
        <v>7.6386556E7</v>
      </c>
      <c r="AE492" s="1" t="s">
        <v>1242</v>
      </c>
      <c r="AF492" s="1">
        <v>1485463.0</v>
      </c>
      <c r="AG492" s="2">
        <v>41597.0</v>
      </c>
      <c r="AH492" s="1">
        <v>9100.0</v>
      </c>
      <c r="AI492" s="1" t="s">
        <v>194</v>
      </c>
      <c r="AJ492" s="1" t="s">
        <v>1384</v>
      </c>
      <c r="AK492" s="1" t="s">
        <v>1382</v>
      </c>
      <c r="AL492" s="1">
        <v>12.0</v>
      </c>
      <c r="AM492" s="1">
        <v>2013.0</v>
      </c>
      <c r="AN492" s="1">
        <v>2014.0</v>
      </c>
      <c r="AO492" s="1" t="s">
        <v>1383</v>
      </c>
    </row>
    <row r="493">
      <c r="A493" s="5">
        <v>1.0</v>
      </c>
      <c r="B493" s="1">
        <f t="shared" si="1"/>
        <v>493</v>
      </c>
      <c r="C493" s="1" t="s">
        <v>1385</v>
      </c>
      <c r="D493" s="1" t="s">
        <v>1385</v>
      </c>
      <c r="E493" s="1" t="s">
        <v>1386</v>
      </c>
      <c r="G493" s="1">
        <v>5920240.0</v>
      </c>
      <c r="H493" s="2">
        <v>41554.0</v>
      </c>
      <c r="I493" s="1" t="s">
        <v>1387</v>
      </c>
      <c r="K493" s="1" t="s">
        <v>1387</v>
      </c>
      <c r="N493" s="1" t="s">
        <v>40</v>
      </c>
      <c r="O493" s="1">
        <v>7500.0</v>
      </c>
      <c r="P493" s="1" t="s">
        <v>40</v>
      </c>
      <c r="Q493" s="1" t="str">
        <f>IF(ISERROR(VLOOKUP(P493,'unique fed agency names'!A:C,3,FALSE)),P493,VLOOKUP(P493,'unique fed agency names'!A:C,3,FALSE))
</f>
        <v>U.S. Department of Health and Human Services (DHHS)</v>
      </c>
      <c r="R493" s="1">
        <v>1962224.0</v>
      </c>
      <c r="S493" s="1" t="s">
        <v>52</v>
      </c>
      <c r="T493" s="1" t="str">
        <f>IF(ISERROR(VLOOKUP(S493,'unique org names'!A:C,3,FALSE)),S493,VLOOKUP(S493,'unique org names'!A:C,3,FALSE))
</f>
        <v>WAYNE STATE UNIVERSITY</v>
      </c>
      <c r="V493" s="1" t="s">
        <v>53</v>
      </c>
      <c r="W493" s="1" t="s">
        <v>44</v>
      </c>
      <c r="X493" s="1" t="s">
        <v>45</v>
      </c>
      <c r="Y493" s="1">
        <v>4.82023692E8</v>
      </c>
      <c r="AA493" s="1" t="s">
        <v>46</v>
      </c>
      <c r="AB493" s="1" t="s">
        <v>45</v>
      </c>
      <c r="AC493" s="1">
        <v>4.8202405E8</v>
      </c>
      <c r="AD493" s="1">
        <v>1962224.0</v>
      </c>
      <c r="AE493" s="1" t="s">
        <v>52</v>
      </c>
      <c r="AF493" s="1">
        <v>68283.0</v>
      </c>
      <c r="AG493" s="2">
        <v>41554.0</v>
      </c>
      <c r="AH493" s="1">
        <v>7500.0</v>
      </c>
      <c r="AI493" s="1" t="s">
        <v>40</v>
      </c>
      <c r="AJ493" s="1">
        <v>3.002803546E9</v>
      </c>
      <c r="AK493" s="1" t="s">
        <v>1388</v>
      </c>
      <c r="AL493" s="1">
        <v>11.0</v>
      </c>
      <c r="AM493" s="1">
        <v>2013.0</v>
      </c>
      <c r="AN493" s="1">
        <v>2014.0</v>
      </c>
      <c r="AO493" s="1" t="s">
        <v>1389</v>
      </c>
    </row>
    <row r="494">
      <c r="A494" s="5">
        <v>1.0</v>
      </c>
      <c r="B494" s="1">
        <f t="shared" si="1"/>
        <v>494</v>
      </c>
      <c r="C494" s="1" t="s">
        <v>1390</v>
      </c>
      <c r="D494" s="1" t="s">
        <v>1390</v>
      </c>
      <c r="E494" s="1" t="s">
        <v>159</v>
      </c>
      <c r="G494" s="1">
        <v>999188.0</v>
      </c>
      <c r="H494" s="2">
        <v>41426.0</v>
      </c>
      <c r="I494" s="1" t="s">
        <v>1391</v>
      </c>
      <c r="K494" s="1" t="s">
        <v>1391</v>
      </c>
      <c r="N494" s="1" t="s">
        <v>40</v>
      </c>
      <c r="O494" s="1">
        <v>7500.0</v>
      </c>
      <c r="P494" s="1" t="s">
        <v>40</v>
      </c>
      <c r="Q494" s="1" t="str">
        <f>IF(ISERROR(VLOOKUP(P494,'unique fed agency names'!A:C,3,FALSE)),P494,VLOOKUP(P494,'unique fed agency names'!A:C,3,FALSE))
</f>
        <v>U.S. Department of Health and Human Services (DHHS)</v>
      </c>
      <c r="R494" s="1">
        <v>6.8835099E7</v>
      </c>
      <c r="S494" s="1" t="s">
        <v>1392</v>
      </c>
      <c r="T494" s="1" t="str">
        <f>IF(ISERROR(VLOOKUP(S494,'unique org names'!A:C,3,FALSE)),S494,VLOOKUP(S494,'unique org names'!A:C,3,FALSE))
</f>
        <v>BARBARA ANN KARMANOS CANCER INSTITUTE</v>
      </c>
      <c r="U494" s="1" t="s">
        <v>1393</v>
      </c>
      <c r="V494" s="1" t="s">
        <v>1394</v>
      </c>
      <c r="W494" s="1" t="s">
        <v>44</v>
      </c>
      <c r="X494" s="1" t="s">
        <v>45</v>
      </c>
      <c r="Y494" s="1">
        <v>4.82011312E8</v>
      </c>
      <c r="AA494" s="1" t="s">
        <v>46</v>
      </c>
      <c r="AB494" s="1" t="s">
        <v>45</v>
      </c>
      <c r="AC494" s="1">
        <v>4.82011312E8</v>
      </c>
      <c r="AD494" s="1">
        <v>6.8835099E7</v>
      </c>
      <c r="AE494" s="1" t="s">
        <v>1392</v>
      </c>
      <c r="AF494" s="1">
        <v>13000.0</v>
      </c>
      <c r="AG494" s="2">
        <v>41426.0</v>
      </c>
      <c r="AH494" s="1">
        <v>7500.0</v>
      </c>
      <c r="AI494" s="1" t="s">
        <v>40</v>
      </c>
      <c r="AJ494" s="1">
        <v>445.0</v>
      </c>
      <c r="AK494" s="1" t="s">
        <v>1395</v>
      </c>
      <c r="AL494" s="1">
        <v>12.0</v>
      </c>
      <c r="AM494" s="1">
        <v>2013.0</v>
      </c>
      <c r="AN494" s="1">
        <v>2013.0</v>
      </c>
      <c r="AO494" s="1" t="s">
        <v>162</v>
      </c>
    </row>
    <row r="495">
      <c r="A495" s="5">
        <v>1.0</v>
      </c>
      <c r="B495" s="1">
        <f t="shared" si="1"/>
        <v>495</v>
      </c>
      <c r="C495" s="1" t="s">
        <v>1390</v>
      </c>
      <c r="D495" s="1" t="s">
        <v>1390</v>
      </c>
      <c r="E495" s="1" t="s">
        <v>159</v>
      </c>
      <c r="G495" s="1">
        <v>999188.0</v>
      </c>
      <c r="H495" s="2">
        <v>41426.0</v>
      </c>
      <c r="I495" s="1" t="s">
        <v>1391</v>
      </c>
      <c r="K495" s="1" t="s">
        <v>1391</v>
      </c>
      <c r="N495" s="1" t="s">
        <v>40</v>
      </c>
      <c r="O495" s="1">
        <v>7500.0</v>
      </c>
      <c r="P495" s="1" t="s">
        <v>40</v>
      </c>
      <c r="Q495" s="1" t="str">
        <f>IF(ISERROR(VLOOKUP(P495,'unique fed agency names'!A:C,3,FALSE)),P495,VLOOKUP(P495,'unique fed agency names'!A:C,3,FALSE))
</f>
        <v>U.S. Department of Health and Human Services (DHHS)</v>
      </c>
      <c r="R495" s="1">
        <v>6.09376637E8</v>
      </c>
      <c r="S495" s="1" t="s">
        <v>1396</v>
      </c>
      <c r="T495" s="1" t="str">
        <f>IF(ISERROR(VLOOKUP(S495,'unique org names'!A:C,3,FALSE)),S495,VLOOKUP(S495,'unique org names'!A:C,3,FALSE))
</f>
        <v>University Pediatricians</v>
      </c>
      <c r="V495" s="1" t="s">
        <v>1397</v>
      </c>
      <c r="W495" s="1" t="s">
        <v>44</v>
      </c>
      <c r="X495" s="1" t="s">
        <v>45</v>
      </c>
      <c r="Y495" s="1">
        <v>4.82012119E8</v>
      </c>
      <c r="AA495" s="1" t="s">
        <v>46</v>
      </c>
      <c r="AB495" s="1" t="s">
        <v>45</v>
      </c>
      <c r="AC495" s="1">
        <v>4.82012119E8</v>
      </c>
      <c r="AF495" s="1">
        <v>35000.0</v>
      </c>
      <c r="AG495" s="2">
        <v>41426.0</v>
      </c>
      <c r="AH495" s="1">
        <v>7500.0</v>
      </c>
      <c r="AI495" s="1" t="s">
        <v>40</v>
      </c>
      <c r="AJ495" s="1">
        <v>21.0</v>
      </c>
      <c r="AK495" s="1" t="s">
        <v>1395</v>
      </c>
      <c r="AL495" s="1">
        <v>12.0</v>
      </c>
      <c r="AM495" s="1">
        <v>2013.0</v>
      </c>
      <c r="AN495" s="1">
        <v>2013.0</v>
      </c>
      <c r="AO495" s="1" t="s">
        <v>162</v>
      </c>
    </row>
    <row r="496">
      <c r="A496" s="5">
        <v>1.0</v>
      </c>
      <c r="B496" s="1">
        <f t="shared" si="1"/>
        <v>496</v>
      </c>
      <c r="C496" s="1" t="s">
        <v>1361</v>
      </c>
      <c r="D496" s="1" t="s">
        <v>1361</v>
      </c>
      <c r="E496" s="1" t="s">
        <v>100</v>
      </c>
      <c r="G496" s="1">
        <v>1000500.0</v>
      </c>
      <c r="H496" s="2">
        <v>41548.0</v>
      </c>
      <c r="I496" s="1" t="s">
        <v>1362</v>
      </c>
      <c r="K496" s="1" t="s">
        <v>1362</v>
      </c>
      <c r="N496" s="1" t="s">
        <v>102</v>
      </c>
      <c r="O496" s="1">
        <v>8600.0</v>
      </c>
      <c r="P496" s="1" t="s">
        <v>102</v>
      </c>
      <c r="Q496" s="1" t="str">
        <f>IF(ISERROR(VLOOKUP(P496,'unique fed agency names'!A:C,3,FALSE)),P496,VLOOKUP(P496,'unique fed agency names'!A:C,3,FALSE))
</f>
        <v>U.S. Department of Housing and Urban Development (HUD)</v>
      </c>
      <c r="R496" s="1">
        <v>4.3419399E7</v>
      </c>
      <c r="S496" s="1" t="s">
        <v>979</v>
      </c>
      <c r="T496" s="1" t="str">
        <f>IF(ISERROR(VLOOKUP(S496,'unique org names'!A:C,3,FALSE)),S496,VLOOKUP(S496,'unique org names'!A:C,3,FALSE))
</f>
        <v>NEIGHBORHOOD SERVICE ORGANIZATION</v>
      </c>
      <c r="V496" s="1" t="s">
        <v>980</v>
      </c>
      <c r="W496" s="1" t="s">
        <v>44</v>
      </c>
      <c r="X496" s="1" t="s">
        <v>45</v>
      </c>
      <c r="Y496" s="1">
        <v>4.82261412E8</v>
      </c>
      <c r="AA496" s="1" t="s">
        <v>46</v>
      </c>
      <c r="AB496" s="1" t="s">
        <v>45</v>
      </c>
      <c r="AC496" s="1">
        <v>4.82261412E8</v>
      </c>
      <c r="AD496" s="1">
        <v>4.3419399E7</v>
      </c>
      <c r="AE496" s="1" t="s">
        <v>979</v>
      </c>
      <c r="AF496" s="1">
        <v>200100.0</v>
      </c>
      <c r="AG496" s="2">
        <v>41548.0</v>
      </c>
      <c r="AH496" s="1">
        <v>8600.0</v>
      </c>
      <c r="AI496" s="1" t="s">
        <v>102</v>
      </c>
      <c r="AJ496" s="1">
        <v>2.0141497E7</v>
      </c>
      <c r="AK496" s="1" t="s">
        <v>1363</v>
      </c>
      <c r="AL496" s="1">
        <v>10.0</v>
      </c>
      <c r="AM496" s="1">
        <v>2012.0</v>
      </c>
      <c r="AN496" s="1">
        <v>2014.0</v>
      </c>
      <c r="AO496" s="1" t="s">
        <v>108</v>
      </c>
    </row>
    <row r="497">
      <c r="A497" s="5">
        <v>1.0</v>
      </c>
      <c r="B497" s="1">
        <f t="shared" si="1"/>
        <v>497</v>
      </c>
      <c r="C497" s="1" t="s">
        <v>1390</v>
      </c>
      <c r="D497" s="1" t="s">
        <v>1390</v>
      </c>
      <c r="E497" s="1" t="s">
        <v>159</v>
      </c>
      <c r="G497" s="1">
        <v>999188.0</v>
      </c>
      <c r="H497" s="2">
        <v>41426.0</v>
      </c>
      <c r="I497" s="1" t="s">
        <v>1391</v>
      </c>
      <c r="K497" s="1" t="s">
        <v>1391</v>
      </c>
      <c r="N497" s="1" t="s">
        <v>40</v>
      </c>
      <c r="O497" s="1">
        <v>7500.0</v>
      </c>
      <c r="P497" s="1" t="s">
        <v>40</v>
      </c>
      <c r="Q497" s="1" t="str">
        <f>IF(ISERROR(VLOOKUP(P497,'unique fed agency names'!A:C,3,FALSE)),P497,VLOOKUP(P497,'unique fed agency names'!A:C,3,FALSE))
</f>
        <v>U.S. Department of Health and Human Services (DHHS)</v>
      </c>
      <c r="R497" s="1">
        <v>7.3134603E7</v>
      </c>
      <c r="S497" s="1" t="s">
        <v>41</v>
      </c>
      <c r="T497" s="1" t="str">
        <f>IF(ISERROR(VLOOKUP(S497,'unique org names'!A:C,3,FALSE)),S497,VLOOKUP(S497,'unique org names'!A:C,3,FALSE))
</f>
        <v>Henry Ford Health System</v>
      </c>
      <c r="U497" s="1" t="s">
        <v>252</v>
      </c>
      <c r="V497" s="1" t="s">
        <v>253</v>
      </c>
      <c r="W497" s="1" t="s">
        <v>44</v>
      </c>
      <c r="X497" s="1" t="s">
        <v>45</v>
      </c>
      <c r="Y497" s="1">
        <v>4.8202345E8</v>
      </c>
      <c r="AA497" s="1" t="s">
        <v>46</v>
      </c>
      <c r="AB497" s="1" t="s">
        <v>45</v>
      </c>
      <c r="AC497" s="1">
        <v>4.8202345E8</v>
      </c>
      <c r="AD497" s="1">
        <v>7.3134603E7</v>
      </c>
      <c r="AE497" s="1" t="s">
        <v>41</v>
      </c>
      <c r="AF497" s="1">
        <v>18000.0</v>
      </c>
      <c r="AG497" s="2">
        <v>41426.0</v>
      </c>
      <c r="AH497" s="1">
        <v>7500.0</v>
      </c>
      <c r="AI497" s="1" t="s">
        <v>40</v>
      </c>
      <c r="AJ497" s="1">
        <v>424.0</v>
      </c>
      <c r="AK497" s="1" t="s">
        <v>1395</v>
      </c>
      <c r="AL497" s="1">
        <v>12.0</v>
      </c>
      <c r="AM497" s="1">
        <v>2013.0</v>
      </c>
      <c r="AN497" s="1">
        <v>2013.0</v>
      </c>
      <c r="AO497" s="1" t="s">
        <v>162</v>
      </c>
    </row>
    <row r="498">
      <c r="A498" s="5">
        <v>1.0</v>
      </c>
      <c r="B498" s="1">
        <f t="shared" si="1"/>
        <v>498</v>
      </c>
      <c r="C498" s="1" t="s">
        <v>1398</v>
      </c>
      <c r="D498" s="1" t="s">
        <v>1398</v>
      </c>
      <c r="E498" s="1" t="s">
        <v>38</v>
      </c>
      <c r="G498" s="1">
        <v>361657.0</v>
      </c>
      <c r="H498" s="2">
        <v>41596.0</v>
      </c>
      <c r="I498" s="1" t="s">
        <v>1399</v>
      </c>
      <c r="K498" s="1" t="s">
        <v>1399</v>
      </c>
      <c r="N498" s="1" t="s">
        <v>40</v>
      </c>
      <c r="O498" s="1">
        <v>7500.0</v>
      </c>
      <c r="P498" s="1" t="s">
        <v>40</v>
      </c>
      <c r="Q498" s="1" t="str">
        <f>IF(ISERROR(VLOOKUP(P498,'unique fed agency names'!A:C,3,FALSE)),P498,VLOOKUP(P498,'unique fed agency names'!A:C,3,FALSE))
</f>
        <v>U.S. Department of Health and Human Services (DHHS)</v>
      </c>
      <c r="R498" s="1">
        <v>1962224.0</v>
      </c>
      <c r="S498" s="1" t="s">
        <v>52</v>
      </c>
      <c r="T498" s="1" t="str">
        <f>IF(ISERROR(VLOOKUP(S498,'unique org names'!A:C,3,FALSE)),S498,VLOOKUP(S498,'unique org names'!A:C,3,FALSE))
</f>
        <v>WAYNE STATE UNIVERSITY</v>
      </c>
      <c r="V498" s="1" t="s">
        <v>53</v>
      </c>
      <c r="W498" s="1" t="s">
        <v>44</v>
      </c>
      <c r="X498" s="1" t="s">
        <v>45</v>
      </c>
      <c r="Y498" s="1">
        <v>4.82023692E8</v>
      </c>
      <c r="AA498" s="1" t="s">
        <v>46</v>
      </c>
      <c r="AB498" s="1" t="s">
        <v>45</v>
      </c>
      <c r="AC498" s="1">
        <v>4.8202405E8</v>
      </c>
      <c r="AD498" s="1">
        <v>1962224.0</v>
      </c>
      <c r="AE498" s="1" t="s">
        <v>52</v>
      </c>
      <c r="AF498" s="1">
        <v>29747.0</v>
      </c>
      <c r="AG498" s="2">
        <v>41596.0</v>
      </c>
      <c r="AH498" s="1">
        <v>7500.0</v>
      </c>
      <c r="AI498" s="1" t="s">
        <v>40</v>
      </c>
      <c r="AJ498" s="1">
        <v>3.002736018E9</v>
      </c>
      <c r="AK498" s="1" t="s">
        <v>1400</v>
      </c>
      <c r="AL498" s="1">
        <v>12.0</v>
      </c>
      <c r="AM498" s="1">
        <v>2013.0</v>
      </c>
      <c r="AN498" s="1">
        <v>2014.0</v>
      </c>
      <c r="AO498" s="1" t="s">
        <v>1021</v>
      </c>
    </row>
    <row r="499">
      <c r="A499" s="5">
        <v>1.0</v>
      </c>
      <c r="B499" s="1">
        <f t="shared" si="1"/>
        <v>499</v>
      </c>
      <c r="C499" s="1" t="s">
        <v>1401</v>
      </c>
      <c r="D499" s="1" t="s">
        <v>1401</v>
      </c>
      <c r="E499" s="1" t="s">
        <v>159</v>
      </c>
      <c r="G499" s="1">
        <v>454232.0</v>
      </c>
      <c r="H499" s="2">
        <v>41591.0</v>
      </c>
      <c r="I499" s="1" t="s">
        <v>1402</v>
      </c>
      <c r="K499" s="1" t="s">
        <v>1402</v>
      </c>
      <c r="N499" s="1" t="s">
        <v>40</v>
      </c>
      <c r="O499" s="1">
        <v>7500.0</v>
      </c>
      <c r="P499" s="1" t="s">
        <v>40</v>
      </c>
      <c r="Q499" s="1" t="str">
        <f>IF(ISERROR(VLOOKUP(P499,'unique fed agency names'!A:C,3,FALSE)),P499,VLOOKUP(P499,'unique fed agency names'!A:C,3,FALSE))
</f>
        <v>U.S. Department of Health and Human Services (DHHS)</v>
      </c>
      <c r="R499" s="1">
        <v>7.3134603E7</v>
      </c>
      <c r="S499" s="1" t="s">
        <v>41</v>
      </c>
      <c r="T499" s="1" t="str">
        <f>IF(ISERROR(VLOOKUP(S499,'unique org names'!A:C,3,FALSE)),S499,VLOOKUP(S499,'unique org names'!A:C,3,FALSE))
</f>
        <v>Henry Ford Health System</v>
      </c>
      <c r="U499" s="1" t="s">
        <v>252</v>
      </c>
      <c r="V499" s="1" t="s">
        <v>253</v>
      </c>
      <c r="W499" s="1" t="s">
        <v>44</v>
      </c>
      <c r="X499" s="1" t="s">
        <v>45</v>
      </c>
      <c r="Y499" s="1">
        <v>4.8202345E8</v>
      </c>
      <c r="AA499" s="1" t="s">
        <v>46</v>
      </c>
      <c r="AB499" s="1" t="s">
        <v>45</v>
      </c>
      <c r="AC499" s="1">
        <v>4.8202345E8</v>
      </c>
      <c r="AD499" s="1">
        <v>7.3134603E7</v>
      </c>
      <c r="AE499" s="1" t="s">
        <v>41</v>
      </c>
      <c r="AF499" s="1">
        <v>35156.0</v>
      </c>
      <c r="AG499" s="2">
        <v>41591.0</v>
      </c>
      <c r="AH499" s="1">
        <v>7500.0</v>
      </c>
      <c r="AI499" s="1" t="s">
        <v>40</v>
      </c>
      <c r="AJ499" s="1" t="s">
        <v>1403</v>
      </c>
      <c r="AK499" s="1" t="s">
        <v>1404</v>
      </c>
      <c r="AL499" s="1">
        <v>11.0</v>
      </c>
      <c r="AM499" s="1">
        <v>2013.0</v>
      </c>
      <c r="AN499" s="1">
        <v>2014.0</v>
      </c>
      <c r="AO499" s="1" t="s">
        <v>1405</v>
      </c>
    </row>
    <row r="500">
      <c r="A500" s="5">
        <v>1.0</v>
      </c>
      <c r="B500" s="1">
        <f t="shared" si="1"/>
        <v>500</v>
      </c>
      <c r="C500" s="1" t="s">
        <v>1406</v>
      </c>
      <c r="D500" s="1" t="s">
        <v>1406</v>
      </c>
      <c r="E500" s="1" t="s">
        <v>63</v>
      </c>
      <c r="G500" s="1">
        <v>544500.0</v>
      </c>
      <c r="H500" s="2">
        <v>41183.0</v>
      </c>
      <c r="I500" s="1" t="s">
        <v>1407</v>
      </c>
      <c r="K500" s="1" t="s">
        <v>1407</v>
      </c>
      <c r="N500" s="1" t="s">
        <v>40</v>
      </c>
      <c r="O500" s="1">
        <v>7500.0</v>
      </c>
      <c r="P500" s="1" t="s">
        <v>40</v>
      </c>
      <c r="Q500" s="1" t="str">
        <f>IF(ISERROR(VLOOKUP(P500,'unique fed agency names'!A:C,3,FALSE)),P500,VLOOKUP(P500,'unique fed agency names'!A:C,3,FALSE))
</f>
        <v>U.S. Department of Health and Human Services (DHHS)</v>
      </c>
      <c r="R500" s="1">
        <v>1962224.0</v>
      </c>
      <c r="S500" s="1" t="s">
        <v>52</v>
      </c>
      <c r="T500" s="1" t="str">
        <f>IF(ISERROR(VLOOKUP(S500,'unique org names'!A:C,3,FALSE)),S500,VLOOKUP(S500,'unique org names'!A:C,3,FALSE))
</f>
        <v>WAYNE STATE UNIVERSITY</v>
      </c>
      <c r="U500" s="1" t="s">
        <v>1408</v>
      </c>
      <c r="V500" s="1" t="s">
        <v>53</v>
      </c>
      <c r="W500" s="1" t="s">
        <v>44</v>
      </c>
      <c r="X500" s="1" t="s">
        <v>45</v>
      </c>
      <c r="Y500" s="1">
        <v>4.82023692E8</v>
      </c>
      <c r="AA500" s="1" t="s">
        <v>46</v>
      </c>
      <c r="AB500" s="1" t="s">
        <v>45</v>
      </c>
      <c r="AC500" s="1">
        <v>4.82023692E8</v>
      </c>
      <c r="AD500" s="1">
        <v>1962224.0</v>
      </c>
      <c r="AE500" s="1" t="s">
        <v>52</v>
      </c>
      <c r="AF500" s="1">
        <v>27970.0</v>
      </c>
      <c r="AG500" s="2">
        <v>41183.0</v>
      </c>
      <c r="AH500" s="1">
        <v>7500.0</v>
      </c>
      <c r="AI500" s="1" t="s">
        <v>40</v>
      </c>
      <c r="AJ500" s="1">
        <v>2.0131609E7</v>
      </c>
      <c r="AK500" s="1" t="s">
        <v>1409</v>
      </c>
      <c r="AL500" s="1">
        <v>10.0</v>
      </c>
      <c r="AM500" s="1">
        <v>2011.0</v>
      </c>
      <c r="AN500" s="1">
        <v>2013.0</v>
      </c>
      <c r="AO500" s="1" t="s">
        <v>1410</v>
      </c>
    </row>
    <row r="501">
      <c r="A501" s="5">
        <v>1.0</v>
      </c>
      <c r="B501" s="1">
        <f t="shared" si="1"/>
        <v>501</v>
      </c>
      <c r="C501" s="1" t="s">
        <v>1411</v>
      </c>
      <c r="D501" s="1" t="s">
        <v>1411</v>
      </c>
      <c r="E501" s="1" t="s">
        <v>63</v>
      </c>
      <c r="G501" s="1">
        <v>607352.0</v>
      </c>
      <c r="H501" s="2">
        <v>41183.0</v>
      </c>
      <c r="I501" s="1" t="s">
        <v>1412</v>
      </c>
      <c r="K501" s="1" t="s">
        <v>1412</v>
      </c>
      <c r="N501" s="1" t="s">
        <v>40</v>
      </c>
      <c r="O501" s="1">
        <v>7500.0</v>
      </c>
      <c r="P501" s="1" t="s">
        <v>40</v>
      </c>
      <c r="Q501" s="1" t="str">
        <f>IF(ISERROR(VLOOKUP(P501,'unique fed agency names'!A:C,3,FALSE)),P501,VLOOKUP(P501,'unique fed agency names'!A:C,3,FALSE))
</f>
        <v>U.S. Department of Health and Human Services (DHHS)</v>
      </c>
      <c r="R501" s="1">
        <v>1962224.0</v>
      </c>
      <c r="S501" s="1" t="s">
        <v>52</v>
      </c>
      <c r="T501" s="1" t="str">
        <f>IF(ISERROR(VLOOKUP(S501,'unique org names'!A:C,3,FALSE)),S501,VLOOKUP(S501,'unique org names'!A:C,3,FALSE))
</f>
        <v>WAYNE STATE UNIVERSITY</v>
      </c>
      <c r="V501" s="1" t="s">
        <v>53</v>
      </c>
      <c r="W501" s="1" t="s">
        <v>44</v>
      </c>
      <c r="X501" s="1" t="s">
        <v>45</v>
      </c>
      <c r="Y501" s="1">
        <v>4.82023692E8</v>
      </c>
      <c r="AA501" s="1" t="s">
        <v>46</v>
      </c>
      <c r="AB501" s="1" t="s">
        <v>45</v>
      </c>
      <c r="AC501" s="1">
        <v>4.82023692E8</v>
      </c>
      <c r="AD501" s="1">
        <v>1962224.0</v>
      </c>
      <c r="AE501" s="1" t="s">
        <v>52</v>
      </c>
      <c r="AF501" s="1">
        <v>82450.0</v>
      </c>
      <c r="AG501" s="2">
        <v>41183.0</v>
      </c>
      <c r="AH501" s="1">
        <v>7500.0</v>
      </c>
      <c r="AI501" s="1" t="s">
        <v>40</v>
      </c>
      <c r="AJ501" s="1">
        <v>2.0131061E7</v>
      </c>
      <c r="AK501" s="1" t="s">
        <v>161</v>
      </c>
      <c r="AL501" s="1">
        <v>10.0</v>
      </c>
      <c r="AM501" s="1">
        <v>2012.0</v>
      </c>
      <c r="AN501" s="1">
        <v>2013.0</v>
      </c>
      <c r="AO501" s="1" t="s">
        <v>1413</v>
      </c>
    </row>
    <row r="502">
      <c r="A502" s="5">
        <v>1.0</v>
      </c>
      <c r="B502" s="1">
        <f t="shared" si="1"/>
        <v>502</v>
      </c>
      <c r="C502" s="1" t="s">
        <v>1122</v>
      </c>
      <c r="D502" s="1" t="s">
        <v>1122</v>
      </c>
      <c r="E502" s="1" t="s">
        <v>100</v>
      </c>
      <c r="G502" s="1">
        <v>1.9727792E7</v>
      </c>
      <c r="H502" s="2">
        <v>41487.0</v>
      </c>
      <c r="I502" s="1" t="s">
        <v>122</v>
      </c>
      <c r="K502" s="1" t="s">
        <v>122</v>
      </c>
      <c r="N502" s="1" t="s">
        <v>102</v>
      </c>
      <c r="O502" s="1">
        <v>8600.0</v>
      </c>
      <c r="P502" s="1" t="s">
        <v>102</v>
      </c>
      <c r="Q502" s="1" t="str">
        <f>IF(ISERROR(VLOOKUP(P502,'unique fed agency names'!A:C,3,FALSE)),P502,VLOOKUP(P502,'unique fed agency names'!A:C,3,FALSE))
</f>
        <v>U.S. Department of Housing and Urban Development (HUD)</v>
      </c>
      <c r="R502" s="1">
        <v>8.09867554E8</v>
      </c>
      <c r="S502" s="1" t="s">
        <v>1414</v>
      </c>
      <c r="T502" s="1" t="str">
        <f>IF(ISERROR(VLOOKUP(S502,'unique org names'!A:C,3,FALSE)),S502,VLOOKUP(S502,'unique org names'!A:C,3,FALSE))
</f>
        <v>EASTERN MARKET CORPORATION</v>
      </c>
      <c r="V502" s="1" t="s">
        <v>1415</v>
      </c>
      <c r="W502" s="1" t="s">
        <v>44</v>
      </c>
      <c r="X502" s="1" t="s">
        <v>45</v>
      </c>
      <c r="Y502" s="1">
        <v>4.82074826E8</v>
      </c>
      <c r="AA502" s="1" t="s">
        <v>46</v>
      </c>
      <c r="AB502" s="1" t="s">
        <v>45</v>
      </c>
      <c r="AC502" s="1">
        <v>4.82074826E8</v>
      </c>
      <c r="AF502" s="1">
        <v>45000.0</v>
      </c>
      <c r="AG502" s="2">
        <v>41487.0</v>
      </c>
      <c r="AH502" s="1">
        <v>8600.0</v>
      </c>
      <c r="AI502" s="1" t="s">
        <v>102</v>
      </c>
      <c r="AJ502" s="1" t="s">
        <v>1416</v>
      </c>
      <c r="AK502" s="1" t="s">
        <v>1417</v>
      </c>
      <c r="AL502" s="1">
        <v>11.0</v>
      </c>
      <c r="AM502" s="1">
        <v>2013.0</v>
      </c>
      <c r="AN502" s="1">
        <v>2013.0</v>
      </c>
      <c r="AO502" s="1" t="s">
        <v>127</v>
      </c>
    </row>
    <row r="503">
      <c r="A503" s="5">
        <v>1.0</v>
      </c>
      <c r="B503" s="1">
        <f t="shared" si="1"/>
        <v>503</v>
      </c>
      <c r="C503" s="1" t="s">
        <v>1418</v>
      </c>
      <c r="D503" s="1" t="s">
        <v>1418</v>
      </c>
      <c r="E503" s="1" t="s">
        <v>70</v>
      </c>
      <c r="G503" s="1">
        <v>1.1529408E7</v>
      </c>
      <c r="H503" s="2">
        <v>41183.0</v>
      </c>
      <c r="I503" s="1" t="s">
        <v>1419</v>
      </c>
      <c r="K503" s="1" t="s">
        <v>1419</v>
      </c>
      <c r="N503" s="1" t="s">
        <v>72</v>
      </c>
      <c r="O503" s="1">
        <v>1500.0</v>
      </c>
      <c r="P503" s="1" t="s">
        <v>72</v>
      </c>
      <c r="Q503" s="1" t="str">
        <f>IF(ISERROR(VLOOKUP(P503,'unique fed agency names'!A:C,3,FALSE)),P503,VLOOKUP(P503,'unique fed agency names'!A:C,3,FALSE))
</f>
        <v>U.S. Department of Justice (DOJ)</v>
      </c>
      <c r="R503" s="1">
        <v>7.89629859E8</v>
      </c>
      <c r="S503" s="1" t="s">
        <v>416</v>
      </c>
      <c r="T503" s="1" t="str">
        <f>IF(ISERROR(VLOOKUP(S503,'unique org names'!A:C,3,FALSE)),S503,VLOOKUP(S503,'unique org names'!A:C,3,FALSE))
</f>
        <v>Wayne County SAFE Program</v>
      </c>
      <c r="U503" s="1" t="s">
        <v>1420</v>
      </c>
      <c r="V503" s="1" t="s">
        <v>417</v>
      </c>
      <c r="W503" s="1" t="s">
        <v>44</v>
      </c>
      <c r="X503" s="1" t="s">
        <v>45</v>
      </c>
      <c r="Y503" s="1">
        <v>4.82343241E8</v>
      </c>
      <c r="AA503" s="1" t="s">
        <v>46</v>
      </c>
      <c r="AB503" s="1" t="s">
        <v>45</v>
      </c>
      <c r="AC503" s="1">
        <v>4.82343241E8</v>
      </c>
      <c r="AD503" s="1">
        <v>5.3343976E7</v>
      </c>
      <c r="AE503" s="1" t="s">
        <v>1421</v>
      </c>
      <c r="AF503" s="1">
        <v>46445.0</v>
      </c>
      <c r="AG503" s="2">
        <v>41183.0</v>
      </c>
      <c r="AH503" s="1">
        <v>1500.0</v>
      </c>
      <c r="AI503" s="1" t="s">
        <v>72</v>
      </c>
      <c r="AJ503" s="1">
        <v>2.0130687E7</v>
      </c>
      <c r="AK503" s="1" t="s">
        <v>1422</v>
      </c>
      <c r="AL503" s="1">
        <v>10.0</v>
      </c>
      <c r="AM503" s="1">
        <v>2011.0</v>
      </c>
      <c r="AN503" s="1">
        <v>2013.0</v>
      </c>
      <c r="AO503" s="1" t="s">
        <v>1130</v>
      </c>
    </row>
    <row r="504">
      <c r="A504" s="5">
        <v>1.0</v>
      </c>
      <c r="B504" s="1">
        <f t="shared" si="1"/>
        <v>504</v>
      </c>
      <c r="C504" s="1" t="s">
        <v>1418</v>
      </c>
      <c r="D504" s="1" t="s">
        <v>1418</v>
      </c>
      <c r="E504" s="1" t="s">
        <v>70</v>
      </c>
      <c r="G504" s="1">
        <v>1.1529408E7</v>
      </c>
      <c r="H504" s="2">
        <v>41183.0</v>
      </c>
      <c r="I504" s="1" t="s">
        <v>1419</v>
      </c>
      <c r="K504" s="1" t="s">
        <v>1419</v>
      </c>
      <c r="N504" s="1" t="s">
        <v>72</v>
      </c>
      <c r="O504" s="1">
        <v>1500.0</v>
      </c>
      <c r="P504" s="1" t="s">
        <v>72</v>
      </c>
      <c r="Q504" s="1" t="str">
        <f>IF(ISERROR(VLOOKUP(P504,'unique fed agency names'!A:C,3,FALSE)),P504,VLOOKUP(P504,'unique fed agency names'!A:C,3,FALSE))
</f>
        <v>U.S. Department of Justice (DOJ)</v>
      </c>
      <c r="R504" s="1">
        <v>8.29087865E8</v>
      </c>
      <c r="S504" s="1" t="s">
        <v>1423</v>
      </c>
      <c r="T504" s="1" t="str">
        <f>IF(ISERROR(VLOOKUP(S504,'unique org names'!A:C,3,FALSE)),S504,VLOOKUP(S504,'unique org names'!A:C,3,FALSE))
</f>
        <v>Triangle Foundation, Inc</v>
      </c>
      <c r="U504" s="1" t="s">
        <v>1424</v>
      </c>
      <c r="V504" s="1" t="s">
        <v>1425</v>
      </c>
      <c r="W504" s="1" t="s">
        <v>44</v>
      </c>
      <c r="X504" s="1" t="s">
        <v>45</v>
      </c>
      <c r="Y504" s="1">
        <v>4.82192721E8</v>
      </c>
      <c r="AA504" s="1" t="s">
        <v>46</v>
      </c>
      <c r="AB504" s="1" t="s">
        <v>45</v>
      </c>
      <c r="AC504" s="1">
        <v>4.82192721E8</v>
      </c>
      <c r="AF504" s="1">
        <v>105506.0</v>
      </c>
      <c r="AG504" s="2">
        <v>41183.0</v>
      </c>
      <c r="AH504" s="1">
        <v>1500.0</v>
      </c>
      <c r="AI504" s="1" t="s">
        <v>72</v>
      </c>
      <c r="AJ504" s="1">
        <v>2.0130691E7</v>
      </c>
      <c r="AK504" s="1" t="s">
        <v>1422</v>
      </c>
      <c r="AL504" s="1">
        <v>10.0</v>
      </c>
      <c r="AM504" s="1">
        <v>2011.0</v>
      </c>
      <c r="AN504" s="1">
        <v>2013.0</v>
      </c>
      <c r="AO504" s="1" t="s">
        <v>1130</v>
      </c>
    </row>
    <row r="505">
      <c r="A505" s="5">
        <v>1.0</v>
      </c>
      <c r="B505" s="1">
        <f t="shared" si="1"/>
        <v>505</v>
      </c>
      <c r="C505" s="1" t="s">
        <v>1418</v>
      </c>
      <c r="D505" s="1" t="s">
        <v>1418</v>
      </c>
      <c r="E505" s="1" t="s">
        <v>70</v>
      </c>
      <c r="G505" s="1">
        <v>1.1529408E7</v>
      </c>
      <c r="H505" s="2">
        <v>41548.0</v>
      </c>
      <c r="I505" s="1" t="s">
        <v>1419</v>
      </c>
      <c r="K505" s="1" t="s">
        <v>1419</v>
      </c>
      <c r="N505" s="1" t="s">
        <v>72</v>
      </c>
      <c r="O505" s="1">
        <v>1500.0</v>
      </c>
      <c r="P505" s="1" t="s">
        <v>72</v>
      </c>
      <c r="Q505" s="1" t="str">
        <f>IF(ISERROR(VLOOKUP(P505,'unique fed agency names'!A:C,3,FALSE)),P505,VLOOKUP(P505,'unique fed agency names'!A:C,3,FALSE))
</f>
        <v>U.S. Department of Justice (DOJ)</v>
      </c>
      <c r="R505" s="1">
        <v>8.5464519E7</v>
      </c>
      <c r="S505" s="1" t="s">
        <v>704</v>
      </c>
      <c r="T505" s="1" t="str">
        <f>IF(ISERROR(VLOOKUP(S505,'unique org names'!A:C,3,FALSE)),S505,VLOOKUP(S505,'unique org names'!A:C,3,FALSE))
</f>
        <v>Children's Center of Wayne County Inc.</v>
      </c>
      <c r="U505" s="1" t="s">
        <v>705</v>
      </c>
      <c r="V505" s="1" t="s">
        <v>706</v>
      </c>
      <c r="W505" s="1" t="s">
        <v>44</v>
      </c>
      <c r="X505" s="1" t="s">
        <v>45</v>
      </c>
      <c r="Y505" s="1">
        <v>4.82012015E8</v>
      </c>
      <c r="AA505" s="1" t="s">
        <v>46</v>
      </c>
      <c r="AB505" s="1" t="s">
        <v>45</v>
      </c>
      <c r="AC505" s="1">
        <v>4.82012015E8</v>
      </c>
      <c r="AF505" s="1">
        <v>166759.0</v>
      </c>
      <c r="AG505" s="2">
        <v>41548.0</v>
      </c>
      <c r="AH505" s="1">
        <v>1500.0</v>
      </c>
      <c r="AI505" s="1" t="s">
        <v>72</v>
      </c>
      <c r="AJ505" s="1">
        <v>2.0141058E7</v>
      </c>
      <c r="AK505" s="1" t="s">
        <v>1422</v>
      </c>
      <c r="AL505" s="1">
        <v>10.0</v>
      </c>
      <c r="AM505" s="1">
        <v>2011.0</v>
      </c>
      <c r="AN505" s="1">
        <v>2014.0</v>
      </c>
      <c r="AO505" s="1" t="s">
        <v>1130</v>
      </c>
    </row>
    <row r="506">
      <c r="A506" s="5">
        <v>1.0</v>
      </c>
      <c r="B506" s="1">
        <f t="shared" si="1"/>
        <v>506</v>
      </c>
      <c r="C506" s="1" t="s">
        <v>1426</v>
      </c>
      <c r="D506" s="1" t="s">
        <v>1426</v>
      </c>
      <c r="E506" s="1" t="s">
        <v>129</v>
      </c>
      <c r="G506" s="1">
        <v>1728394.0</v>
      </c>
      <c r="H506" s="2">
        <v>41183.0</v>
      </c>
      <c r="I506" s="1" t="s">
        <v>1427</v>
      </c>
      <c r="K506" s="1" t="s">
        <v>1427</v>
      </c>
      <c r="N506" s="1" t="s">
        <v>40</v>
      </c>
      <c r="O506" s="1">
        <v>7500.0</v>
      </c>
      <c r="P506" s="1" t="s">
        <v>40</v>
      </c>
      <c r="Q506" s="1" t="str">
        <f>IF(ISERROR(VLOOKUP(P506,'unique fed agency names'!A:C,3,FALSE)),P506,VLOOKUP(P506,'unique fed agency names'!A:C,3,FALSE))
</f>
        <v>U.S. Department of Health and Human Services (DHHS)</v>
      </c>
      <c r="R506" s="1">
        <v>2.2026893E7</v>
      </c>
      <c r="S506" s="1" t="s">
        <v>1428</v>
      </c>
      <c r="T506" s="1" t="str">
        <f>IF(ISERROR(VLOOKUP(S506,'unique org names'!A:C,3,FALSE)),S506,VLOOKUP(S506,'unique org names'!A:C,3,FALSE))
</f>
        <v>TEEN HYPE YOUTH DEVELOPMENT PROGRAM</v>
      </c>
      <c r="V506" s="1" t="s">
        <v>1429</v>
      </c>
      <c r="W506" s="1" t="s">
        <v>44</v>
      </c>
      <c r="X506" s="1" t="s">
        <v>45</v>
      </c>
      <c r="Y506" s="1">
        <v>4.82193941E8</v>
      </c>
      <c r="AA506" s="1" t="s">
        <v>46</v>
      </c>
      <c r="AB506" s="1" t="s">
        <v>45</v>
      </c>
      <c r="AC506" s="1">
        <v>4.82193941E8</v>
      </c>
      <c r="AF506" s="1">
        <v>78757.04</v>
      </c>
      <c r="AG506" s="2">
        <v>41183.0</v>
      </c>
      <c r="AH506" s="1">
        <v>7500.0</v>
      </c>
      <c r="AI506" s="1" t="s">
        <v>40</v>
      </c>
      <c r="AJ506" s="1">
        <v>2.0130248E7</v>
      </c>
      <c r="AK506" s="1" t="s">
        <v>1430</v>
      </c>
      <c r="AL506" s="1">
        <v>10.0</v>
      </c>
      <c r="AM506" s="1">
        <v>2010.0</v>
      </c>
      <c r="AN506" s="1">
        <v>2013.0</v>
      </c>
      <c r="AO506" s="1" t="s">
        <v>1431</v>
      </c>
    </row>
    <row r="507">
      <c r="A507" s="5">
        <v>1.0</v>
      </c>
      <c r="B507" s="1">
        <f t="shared" si="1"/>
        <v>507</v>
      </c>
      <c r="C507" s="1" t="s">
        <v>1426</v>
      </c>
      <c r="D507" s="1" t="s">
        <v>1426</v>
      </c>
      <c r="E507" s="1" t="s">
        <v>129</v>
      </c>
      <c r="G507" s="1">
        <v>1728394.0</v>
      </c>
      <c r="H507" s="2">
        <v>41183.0</v>
      </c>
      <c r="I507" s="1" t="s">
        <v>1427</v>
      </c>
      <c r="K507" s="1" t="s">
        <v>1427</v>
      </c>
      <c r="N507" s="1" t="s">
        <v>40</v>
      </c>
      <c r="O507" s="1">
        <v>7500.0</v>
      </c>
      <c r="P507" s="1" t="s">
        <v>40</v>
      </c>
      <c r="Q507" s="1" t="str">
        <f>IF(ISERROR(VLOOKUP(P507,'unique fed agency names'!A:C,3,FALSE)),P507,VLOOKUP(P507,'unique fed agency names'!A:C,3,FALSE))
</f>
        <v>U.S. Department of Health and Human Services (DHHS)</v>
      </c>
      <c r="R507" s="1">
        <v>7.8074923E8</v>
      </c>
      <c r="S507" s="1" t="s">
        <v>419</v>
      </c>
      <c r="T507" s="1" t="str">
        <f>IF(ISERROR(VLOOKUP(S507,'unique org names'!A:C,3,FALSE)),S507,VLOOKUP(S507,'unique org names'!A:C,3,FALSE))
</f>
        <v>ALTERNATIVES FOR GIRLS</v>
      </c>
      <c r="V507" s="1" t="s">
        <v>420</v>
      </c>
      <c r="W507" s="1" t="s">
        <v>44</v>
      </c>
      <c r="X507" s="1" t="s">
        <v>45</v>
      </c>
      <c r="Y507" s="1">
        <v>4.82082365E8</v>
      </c>
      <c r="AA507" s="1" t="s">
        <v>46</v>
      </c>
      <c r="AB507" s="1" t="s">
        <v>45</v>
      </c>
      <c r="AC507" s="1">
        <v>4.82082365E8</v>
      </c>
      <c r="AF507" s="1">
        <v>100000.0</v>
      </c>
      <c r="AG507" s="2">
        <v>41183.0</v>
      </c>
      <c r="AH507" s="1">
        <v>7500.0</v>
      </c>
      <c r="AI507" s="1" t="s">
        <v>40</v>
      </c>
      <c r="AJ507" s="1">
        <v>2.0130242E7</v>
      </c>
      <c r="AK507" s="1" t="s">
        <v>1430</v>
      </c>
      <c r="AL507" s="1">
        <v>10.0</v>
      </c>
      <c r="AM507" s="1">
        <v>2010.0</v>
      </c>
      <c r="AN507" s="1">
        <v>2013.0</v>
      </c>
      <c r="AO507" s="1" t="s">
        <v>1431</v>
      </c>
    </row>
    <row r="508">
      <c r="A508" s="5">
        <v>1.0</v>
      </c>
      <c r="B508" s="1">
        <f t="shared" si="1"/>
        <v>508</v>
      </c>
      <c r="C508" s="1" t="s">
        <v>1418</v>
      </c>
      <c r="D508" s="1" t="s">
        <v>1418</v>
      </c>
      <c r="E508" s="1" t="s">
        <v>70</v>
      </c>
      <c r="G508" s="1">
        <v>1.1529408E7</v>
      </c>
      <c r="H508" s="2">
        <v>41183.0</v>
      </c>
      <c r="I508" s="1" t="s">
        <v>1419</v>
      </c>
      <c r="K508" s="1" t="s">
        <v>1419</v>
      </c>
      <c r="N508" s="1" t="s">
        <v>72</v>
      </c>
      <c r="O508" s="1">
        <v>1500.0</v>
      </c>
      <c r="P508" s="1" t="s">
        <v>72</v>
      </c>
      <c r="Q508" s="1" t="str">
        <f>IF(ISERROR(VLOOKUP(P508,'unique fed agency names'!A:C,3,FALSE)),P508,VLOOKUP(P508,'unique fed agency names'!A:C,3,FALSE))
</f>
        <v>U.S. Department of Justice (DOJ)</v>
      </c>
      <c r="R508" s="1">
        <v>1.97862014E8</v>
      </c>
      <c r="S508" s="1" t="s">
        <v>1056</v>
      </c>
      <c r="T508" s="1" t="str">
        <f>IF(ISERROR(VLOOKUP(S508,'unique org names'!A:C,3,FALSE)),S508,VLOOKUP(S508,'unique org names'!A:C,3,FALSE))
</f>
        <v>WAYNE COUNTY NEIGHBORHOOD LEGAL SERVICES</v>
      </c>
      <c r="U508" s="1" t="s">
        <v>1057</v>
      </c>
      <c r="V508" s="1" t="s">
        <v>1058</v>
      </c>
      <c r="W508" s="1" t="s">
        <v>44</v>
      </c>
      <c r="X508" s="1" t="s">
        <v>45</v>
      </c>
      <c r="Y508" s="1">
        <v>4.82023165E8</v>
      </c>
      <c r="AA508" s="1" t="s">
        <v>46</v>
      </c>
      <c r="AB508" s="1" t="s">
        <v>45</v>
      </c>
      <c r="AC508" s="1">
        <v>4.82262982E8</v>
      </c>
      <c r="AD508" s="1">
        <v>1.97862014E8</v>
      </c>
      <c r="AE508" s="1" t="s">
        <v>1056</v>
      </c>
      <c r="AF508" s="1">
        <v>165378.0</v>
      </c>
      <c r="AG508" s="2">
        <v>41183.0</v>
      </c>
      <c r="AH508" s="1">
        <v>1500.0</v>
      </c>
      <c r="AI508" s="1" t="s">
        <v>72</v>
      </c>
      <c r="AJ508" s="1">
        <v>2.0130663E7</v>
      </c>
      <c r="AK508" s="1" t="s">
        <v>1422</v>
      </c>
      <c r="AL508" s="1">
        <v>10.0</v>
      </c>
      <c r="AM508" s="1">
        <v>2011.0</v>
      </c>
      <c r="AN508" s="1">
        <v>2013.0</v>
      </c>
      <c r="AO508" s="1" t="s">
        <v>1130</v>
      </c>
    </row>
    <row r="509">
      <c r="A509" s="5">
        <v>1.0</v>
      </c>
      <c r="B509" s="1">
        <f t="shared" si="1"/>
        <v>509</v>
      </c>
      <c r="C509" s="1" t="s">
        <v>1432</v>
      </c>
      <c r="D509" s="1" t="s">
        <v>1432</v>
      </c>
      <c r="E509" s="1" t="s">
        <v>100</v>
      </c>
      <c r="G509" s="1">
        <v>3820532.0</v>
      </c>
      <c r="H509" s="2">
        <v>41556.0</v>
      </c>
      <c r="I509" s="1" t="s">
        <v>1433</v>
      </c>
      <c r="K509" s="1" t="s">
        <v>1433</v>
      </c>
      <c r="N509" s="1" t="s">
        <v>102</v>
      </c>
      <c r="O509" s="1">
        <v>8600.0</v>
      </c>
      <c r="P509" s="1" t="s">
        <v>102</v>
      </c>
      <c r="Q509" s="1" t="str">
        <f>IF(ISERROR(VLOOKUP(P509,'unique fed agency names'!A:C,3,FALSE)),P509,VLOOKUP(P509,'unique fed agency names'!A:C,3,FALSE))
</f>
        <v>U.S. Department of Housing and Urban Development (HUD)</v>
      </c>
      <c r="R509" s="1">
        <v>1.54693043E8</v>
      </c>
      <c r="S509" s="1" t="s">
        <v>362</v>
      </c>
      <c r="T509" s="1" t="str">
        <f>IF(ISERROR(VLOOKUP(S509,'unique org names'!A:C,3,FALSE)),S509,VLOOKUP(S509,'unique org names'!A:C,3,FALSE))
</f>
        <v>Homeless Action Network of Detroit (HAND)</v>
      </c>
      <c r="U509" s="1" t="s">
        <v>363</v>
      </c>
      <c r="V509" s="1" t="s">
        <v>364</v>
      </c>
      <c r="W509" s="1" t="s">
        <v>44</v>
      </c>
      <c r="X509" s="1" t="s">
        <v>45</v>
      </c>
      <c r="Y509" s="1">
        <v>4.82161936E8</v>
      </c>
      <c r="AA509" s="1" t="s">
        <v>46</v>
      </c>
      <c r="AB509" s="1" t="s">
        <v>45</v>
      </c>
      <c r="AC509" s="1">
        <v>4.82161936E8</v>
      </c>
      <c r="AF509" s="1">
        <v>426169.0</v>
      </c>
      <c r="AG509" s="2">
        <v>41556.0</v>
      </c>
      <c r="AH509" s="1">
        <v>8600.0</v>
      </c>
      <c r="AI509" s="1" t="s">
        <v>102</v>
      </c>
      <c r="AJ509" s="1" t="s">
        <v>1434</v>
      </c>
      <c r="AK509" s="1" t="s">
        <v>1435</v>
      </c>
      <c r="AL509" s="1">
        <v>11.0</v>
      </c>
      <c r="AM509" s="1">
        <v>2013.0</v>
      </c>
      <c r="AN509" s="1">
        <v>2014.0</v>
      </c>
      <c r="AO509" s="1" t="s">
        <v>367</v>
      </c>
    </row>
    <row r="510">
      <c r="A510" s="5">
        <v>1.0</v>
      </c>
      <c r="B510" s="1">
        <f t="shared" si="1"/>
        <v>510</v>
      </c>
      <c r="C510" s="1" t="s">
        <v>1436</v>
      </c>
      <c r="D510" s="1" t="s">
        <v>1436</v>
      </c>
      <c r="E510" s="1" t="s">
        <v>964</v>
      </c>
      <c r="G510" s="1">
        <v>419998.0</v>
      </c>
      <c r="H510" s="2">
        <v>41183.0</v>
      </c>
      <c r="I510" s="1" t="s">
        <v>1437</v>
      </c>
      <c r="K510" s="1" t="s">
        <v>1437</v>
      </c>
      <c r="N510" s="1" t="s">
        <v>40</v>
      </c>
      <c r="O510" s="1">
        <v>7500.0</v>
      </c>
      <c r="P510" s="1" t="s">
        <v>40</v>
      </c>
      <c r="Q510" s="1" t="str">
        <f>IF(ISERROR(VLOOKUP(P510,'unique fed agency names'!A:C,3,FALSE)),P510,VLOOKUP(P510,'unique fed agency names'!A:C,3,FALSE))
</f>
        <v>U.S. Department of Health and Human Services (DHHS)</v>
      </c>
      <c r="R510" s="1">
        <v>3.8775243E7</v>
      </c>
      <c r="S510" s="1" t="s">
        <v>209</v>
      </c>
      <c r="T510" s="1" t="str">
        <f>IF(ISERROR(VLOOKUP(S510,'unique org names'!A:C,3,FALSE)),S510,VLOOKUP(S510,'unique org names'!A:C,3,FALSE))
</f>
        <v>SOUTHEASTERN MICHIGAN HEALTH ASSOCIATION</v>
      </c>
      <c r="U510" s="1" t="s">
        <v>210</v>
      </c>
      <c r="V510" s="1" t="s">
        <v>211</v>
      </c>
      <c r="W510" s="1" t="s">
        <v>44</v>
      </c>
      <c r="X510" s="1" t="s">
        <v>45</v>
      </c>
      <c r="Y510" s="1">
        <v>4.82023068E8</v>
      </c>
      <c r="AA510" s="1" t="s">
        <v>46</v>
      </c>
      <c r="AB510" s="1" t="s">
        <v>45</v>
      </c>
      <c r="AC510" s="1">
        <v>4.82023068E8</v>
      </c>
      <c r="AD510" s="1">
        <v>3.8775243E7</v>
      </c>
      <c r="AE510" s="1" t="s">
        <v>209</v>
      </c>
      <c r="AF510" s="1">
        <v>136435.82</v>
      </c>
      <c r="AG510" s="2">
        <v>41183.0</v>
      </c>
      <c r="AH510" s="1">
        <v>7500.0</v>
      </c>
      <c r="AI510" s="1" t="s">
        <v>40</v>
      </c>
      <c r="AJ510" s="1">
        <v>2.0131223E7</v>
      </c>
      <c r="AK510" s="1" t="s">
        <v>1438</v>
      </c>
      <c r="AL510" s="1">
        <v>10.0</v>
      </c>
      <c r="AM510" s="1">
        <v>2010.0</v>
      </c>
      <c r="AN510" s="1">
        <v>2013.0</v>
      </c>
      <c r="AO510" s="1" t="s">
        <v>1439</v>
      </c>
    </row>
    <row r="511">
      <c r="A511" s="5">
        <v>1.0</v>
      </c>
      <c r="B511" s="1">
        <f t="shared" si="1"/>
        <v>511</v>
      </c>
      <c r="C511" s="1" t="s">
        <v>1440</v>
      </c>
      <c r="D511" s="1" t="s">
        <v>1440</v>
      </c>
      <c r="E511" s="1" t="s">
        <v>38</v>
      </c>
      <c r="G511" s="1">
        <v>1597822.0</v>
      </c>
      <c r="H511" s="2">
        <v>41333.0</v>
      </c>
      <c r="I511" s="1" t="s">
        <v>1441</v>
      </c>
      <c r="K511" s="1" t="s">
        <v>1441</v>
      </c>
      <c r="N511" s="1" t="s">
        <v>40</v>
      </c>
      <c r="O511" s="1">
        <v>7500.0</v>
      </c>
      <c r="P511" s="1" t="s">
        <v>40</v>
      </c>
      <c r="Q511" s="1" t="str">
        <f>IF(ISERROR(VLOOKUP(P511,'unique fed agency names'!A:C,3,FALSE)),P511,VLOOKUP(P511,'unique fed agency names'!A:C,3,FALSE))
</f>
        <v>U.S. Department of Health and Human Services (DHHS)</v>
      </c>
      <c r="R511" s="1">
        <v>7.3134603E7</v>
      </c>
      <c r="S511" s="1" t="s">
        <v>41</v>
      </c>
      <c r="T511" s="1" t="str">
        <f>IF(ISERROR(VLOOKUP(S511,'unique org names'!A:C,3,FALSE)),S511,VLOOKUP(S511,'unique org names'!A:C,3,FALSE))
</f>
        <v>Henry Ford Health System</v>
      </c>
      <c r="U511" s="1" t="s">
        <v>252</v>
      </c>
      <c r="V511" s="1" t="s">
        <v>253</v>
      </c>
      <c r="W511" s="1" t="s">
        <v>44</v>
      </c>
      <c r="X511" s="1" t="s">
        <v>45</v>
      </c>
      <c r="Y511" s="1">
        <v>4.8202345E8</v>
      </c>
      <c r="AA511" s="1" t="s">
        <v>46</v>
      </c>
      <c r="AB511" s="1" t="s">
        <v>45</v>
      </c>
      <c r="AC511" s="1">
        <v>4.82022689E8</v>
      </c>
      <c r="AD511" s="1">
        <v>7.3134603E7</v>
      </c>
      <c r="AE511" s="1" t="s">
        <v>41</v>
      </c>
      <c r="AF511" s="1">
        <v>99986.0</v>
      </c>
      <c r="AG511" s="2">
        <v>41333.0</v>
      </c>
      <c r="AH511" s="1">
        <v>7500.0</v>
      </c>
      <c r="AI511" s="1" t="s">
        <v>40</v>
      </c>
      <c r="AJ511" s="1">
        <v>16199.0</v>
      </c>
      <c r="AK511" s="1" t="s">
        <v>1442</v>
      </c>
      <c r="AL511" s="1">
        <v>5.0</v>
      </c>
      <c r="AM511" s="1">
        <v>2013.0</v>
      </c>
      <c r="AN511" s="1">
        <v>2013.0</v>
      </c>
      <c r="AO511" s="1" t="s">
        <v>1443</v>
      </c>
    </row>
    <row r="512">
      <c r="A512" s="5">
        <v>1.0</v>
      </c>
      <c r="B512" s="1">
        <f t="shared" si="1"/>
        <v>512</v>
      </c>
      <c r="C512" s="1" t="s">
        <v>137</v>
      </c>
      <c r="D512" s="1" t="s">
        <v>137</v>
      </c>
      <c r="E512" s="1" t="s">
        <v>129</v>
      </c>
      <c r="G512" s="1">
        <v>2.4074844E7</v>
      </c>
      <c r="H512" s="2">
        <v>41544.0</v>
      </c>
      <c r="I512" s="1" t="s">
        <v>138</v>
      </c>
      <c r="K512" s="1" t="s">
        <v>138</v>
      </c>
      <c r="N512" s="1" t="s">
        <v>40</v>
      </c>
      <c r="O512" s="1">
        <v>7500.0</v>
      </c>
      <c r="P512" s="1" t="s">
        <v>40</v>
      </c>
      <c r="Q512" s="1" t="str">
        <f>IF(ISERROR(VLOOKUP(P512,'unique fed agency names'!A:C,3,FALSE)),P512,VLOOKUP(P512,'unique fed agency names'!A:C,3,FALSE))
</f>
        <v>U.S. Department of Health and Human Services (DHHS)</v>
      </c>
      <c r="R512" s="1">
        <v>6.9840817E7</v>
      </c>
      <c r="S512" s="1" t="s">
        <v>131</v>
      </c>
      <c r="T512" s="1" t="str">
        <f>IF(ISERROR(VLOOKUP(S512,'unique org names'!A:C,3,FALSE)),S512,VLOOKUP(S512,'unique org names'!A:C,3,FALSE))
</f>
        <v>LUTHERAN SOCIAL SERVICES OF MICHIGAN</v>
      </c>
      <c r="V512" s="1" t="s">
        <v>132</v>
      </c>
      <c r="W512" s="1" t="s">
        <v>44</v>
      </c>
      <c r="X512" s="1" t="s">
        <v>45</v>
      </c>
      <c r="Y512" s="1">
        <v>4.8214261E8</v>
      </c>
      <c r="AA512" s="1" t="s">
        <v>46</v>
      </c>
      <c r="AB512" s="1" t="s">
        <v>45</v>
      </c>
      <c r="AC512" s="1">
        <v>4.8214261E8</v>
      </c>
      <c r="AD512" s="1">
        <v>6.9840817E7</v>
      </c>
      <c r="AE512" s="1" t="s">
        <v>131</v>
      </c>
      <c r="AF512" s="1">
        <v>441454.0</v>
      </c>
      <c r="AG512" s="2">
        <v>41544.0</v>
      </c>
      <c r="AH512" s="1">
        <v>7500.0</v>
      </c>
      <c r="AI512" s="1" t="s">
        <v>40</v>
      </c>
      <c r="AJ512" s="1" t="s">
        <v>1444</v>
      </c>
      <c r="AK512" s="1" t="s">
        <v>140</v>
      </c>
      <c r="AL512" s="1">
        <v>9.0</v>
      </c>
      <c r="AM512" s="1">
        <v>2013.0</v>
      </c>
      <c r="AN512" s="1">
        <v>2013.0</v>
      </c>
      <c r="AO512" s="1" t="s">
        <v>141</v>
      </c>
    </row>
    <row r="513">
      <c r="A513" s="5">
        <v>1.0</v>
      </c>
      <c r="B513" s="1">
        <f t="shared" si="1"/>
        <v>513</v>
      </c>
      <c r="C513" s="1" t="s">
        <v>1445</v>
      </c>
      <c r="D513" s="1" t="s">
        <v>1445</v>
      </c>
      <c r="E513" s="1" t="s">
        <v>1446</v>
      </c>
      <c r="G513" s="1">
        <v>485375.0</v>
      </c>
      <c r="H513" s="2">
        <v>41556.0</v>
      </c>
      <c r="I513" s="1" t="s">
        <v>1447</v>
      </c>
      <c r="K513" s="1" t="s">
        <v>1447</v>
      </c>
      <c r="N513" s="1" t="s">
        <v>1079</v>
      </c>
      <c r="O513" s="1">
        <v>7000.0</v>
      </c>
      <c r="P513" s="1" t="s">
        <v>1079</v>
      </c>
      <c r="Q513" s="1" t="str">
        <f>IF(ISERROR(VLOOKUP(P513,'unique fed agency names'!A:C,3,FALSE)),P513,VLOOKUP(P513,'unique fed agency names'!A:C,3,FALSE))
</f>
        <v>U.S. Department of Homeland Security (DHS)</v>
      </c>
      <c r="R513" s="1">
        <v>1.31421091E8</v>
      </c>
      <c r="S513" s="1" t="s">
        <v>41</v>
      </c>
      <c r="T513" s="1" t="str">
        <f>IF(ISERROR(VLOOKUP(S513,'unique org names'!A:C,3,FALSE)),S513,VLOOKUP(S513,'unique org names'!A:C,3,FALSE))
</f>
        <v>Henry Ford Health System</v>
      </c>
      <c r="U513" s="1" t="s">
        <v>1448</v>
      </c>
      <c r="V513" s="1" t="s">
        <v>1449</v>
      </c>
      <c r="W513" s="1" t="s">
        <v>44</v>
      </c>
      <c r="X513" s="1" t="s">
        <v>45</v>
      </c>
      <c r="Y513" s="1">
        <v>4.82022689E8</v>
      </c>
      <c r="AA513" s="1" t="s">
        <v>46</v>
      </c>
      <c r="AB513" s="1" t="s">
        <v>45</v>
      </c>
      <c r="AC513" s="1">
        <v>4.82022689E8</v>
      </c>
      <c r="AD513" s="1">
        <v>7.3134603E7</v>
      </c>
      <c r="AE513" s="1" t="s">
        <v>41</v>
      </c>
      <c r="AF513" s="1">
        <v>71250.0</v>
      </c>
      <c r="AG513" s="2">
        <v>41556.0</v>
      </c>
      <c r="AH513" s="1">
        <v>7000.0</v>
      </c>
      <c r="AI513" s="1" t="s">
        <v>1079</v>
      </c>
      <c r="AJ513" s="1" t="s">
        <v>1450</v>
      </c>
      <c r="AK513" s="1" t="s">
        <v>1450</v>
      </c>
      <c r="AL513" s="1">
        <v>12.0</v>
      </c>
      <c r="AM513" s="1">
        <v>2013.0</v>
      </c>
      <c r="AN513" s="1">
        <v>2014.0</v>
      </c>
      <c r="AO513" s="1" t="s">
        <v>1451</v>
      </c>
    </row>
    <row r="514">
      <c r="A514" s="5">
        <v>1.0</v>
      </c>
      <c r="B514" s="1">
        <f t="shared" si="1"/>
        <v>514</v>
      </c>
      <c r="C514" s="1" t="s">
        <v>1452</v>
      </c>
      <c r="D514" s="1" t="s">
        <v>1452</v>
      </c>
      <c r="E514" s="1" t="s">
        <v>129</v>
      </c>
      <c r="G514" s="1">
        <v>1649300.0</v>
      </c>
      <c r="H514" s="2">
        <v>41183.0</v>
      </c>
      <c r="I514" s="1" t="s">
        <v>1453</v>
      </c>
      <c r="K514" s="1" t="s">
        <v>1453</v>
      </c>
      <c r="N514" s="1" t="s">
        <v>40</v>
      </c>
      <c r="O514" s="1">
        <v>7500.0</v>
      </c>
      <c r="P514" s="1" t="s">
        <v>40</v>
      </c>
      <c r="Q514" s="1" t="str">
        <f>IF(ISERROR(VLOOKUP(P514,'unique fed agency names'!A:C,3,FALSE)),P514,VLOOKUP(P514,'unique fed agency names'!A:C,3,FALSE))
</f>
        <v>U.S. Department of Health and Human Services (DHHS)</v>
      </c>
      <c r="R514" s="1">
        <v>1.41947783E8</v>
      </c>
      <c r="S514" s="1" t="s">
        <v>144</v>
      </c>
      <c r="T514" s="1" t="str">
        <f>IF(ISERROR(VLOOKUP(S514,'unique org names'!A:C,3,FALSE)),S514,VLOOKUP(S514,'unique org names'!A:C,3,FALSE))
</f>
        <v>St John Community Health Investment Corporation</v>
      </c>
      <c r="V514" s="1" t="s">
        <v>145</v>
      </c>
      <c r="W514" s="1" t="s">
        <v>44</v>
      </c>
      <c r="X514" s="1" t="s">
        <v>45</v>
      </c>
      <c r="Y514" s="1">
        <v>4.82362148E8</v>
      </c>
      <c r="AA514" s="1" t="s">
        <v>46</v>
      </c>
      <c r="AB514" s="1" t="s">
        <v>45</v>
      </c>
      <c r="AC514" s="1">
        <v>4.82362148E8</v>
      </c>
      <c r="AF514" s="1">
        <v>100000.0</v>
      </c>
      <c r="AG514" s="2">
        <v>41183.0</v>
      </c>
      <c r="AH514" s="1">
        <v>7500.0</v>
      </c>
      <c r="AI514" s="1" t="s">
        <v>40</v>
      </c>
      <c r="AJ514" s="1">
        <v>2.0130452E7</v>
      </c>
      <c r="AK514" s="1" t="s">
        <v>146</v>
      </c>
      <c r="AL514" s="1">
        <v>10.0</v>
      </c>
      <c r="AM514" s="1">
        <v>2011.0</v>
      </c>
      <c r="AN514" s="1">
        <v>2013.0</v>
      </c>
      <c r="AO514" s="1" t="s">
        <v>147</v>
      </c>
    </row>
    <row r="515">
      <c r="A515" s="5">
        <v>1.0</v>
      </c>
      <c r="B515" s="1">
        <f t="shared" si="1"/>
        <v>515</v>
      </c>
      <c r="C515" s="1" t="s">
        <v>1418</v>
      </c>
      <c r="D515" s="1" t="s">
        <v>1418</v>
      </c>
      <c r="E515" s="1" t="s">
        <v>70</v>
      </c>
      <c r="G515" s="1">
        <v>1.1529408E7</v>
      </c>
      <c r="H515" s="2">
        <v>41548.0</v>
      </c>
      <c r="I515" s="1" t="s">
        <v>1419</v>
      </c>
      <c r="K515" s="1" t="s">
        <v>1419</v>
      </c>
      <c r="N515" s="1" t="s">
        <v>72</v>
      </c>
      <c r="O515" s="1">
        <v>1500.0</v>
      </c>
      <c r="P515" s="1" t="s">
        <v>72</v>
      </c>
      <c r="Q515" s="1" t="str">
        <f>IF(ISERROR(VLOOKUP(P515,'unique fed agency names'!A:C,3,FALSE)),P515,VLOOKUP(P515,'unique fed agency names'!A:C,3,FALSE))
</f>
        <v>U.S. Department of Justice (DOJ)</v>
      </c>
      <c r="R515" s="1">
        <v>7.3134884E7</v>
      </c>
      <c r="S515" s="1" t="s">
        <v>259</v>
      </c>
      <c r="T515" s="1" t="str">
        <f>IF(ISERROR(VLOOKUP(S515,'unique org names'!A:C,3,FALSE)),S515,VLOOKUP(S515,'unique org names'!A:C,3,FALSE))
</f>
        <v>Wayne County</v>
      </c>
      <c r="V515" s="1" t="s">
        <v>286</v>
      </c>
      <c r="W515" s="1" t="s">
        <v>44</v>
      </c>
      <c r="X515" s="1" t="s">
        <v>45</v>
      </c>
      <c r="Y515" s="1">
        <v>4.82262841E8</v>
      </c>
      <c r="AA515" s="1" t="s">
        <v>46</v>
      </c>
      <c r="AB515" s="1" t="s">
        <v>45</v>
      </c>
      <c r="AC515" s="1">
        <v>4.8226348E8</v>
      </c>
      <c r="AD515" s="1">
        <v>7.3134884E7</v>
      </c>
      <c r="AE515" s="1" t="s">
        <v>261</v>
      </c>
      <c r="AF515" s="1">
        <v>349020.0</v>
      </c>
      <c r="AG515" s="2">
        <v>41548.0</v>
      </c>
      <c r="AH515" s="1">
        <v>1500.0</v>
      </c>
      <c r="AI515" s="1" t="s">
        <v>72</v>
      </c>
      <c r="AJ515" s="1">
        <v>2.0141068E7</v>
      </c>
      <c r="AK515" s="1" t="s">
        <v>1422</v>
      </c>
      <c r="AL515" s="1">
        <v>10.0</v>
      </c>
      <c r="AM515" s="1">
        <v>2011.0</v>
      </c>
      <c r="AN515" s="1">
        <v>2014.0</v>
      </c>
      <c r="AO515" s="1" t="s">
        <v>1130</v>
      </c>
    </row>
    <row r="516">
      <c r="A516" s="5">
        <v>1.0</v>
      </c>
      <c r="B516" s="1">
        <f t="shared" si="1"/>
        <v>516</v>
      </c>
      <c r="C516" s="1" t="s">
        <v>1418</v>
      </c>
      <c r="D516" s="1" t="s">
        <v>1418</v>
      </c>
      <c r="E516" s="1" t="s">
        <v>70</v>
      </c>
      <c r="G516" s="1">
        <v>1.1529408E7</v>
      </c>
      <c r="H516" s="2">
        <v>41183.0</v>
      </c>
      <c r="I516" s="1" t="s">
        <v>1419</v>
      </c>
      <c r="K516" s="1" t="s">
        <v>1419</v>
      </c>
      <c r="N516" s="1" t="s">
        <v>72</v>
      </c>
      <c r="O516" s="1">
        <v>1500.0</v>
      </c>
      <c r="P516" s="1" t="s">
        <v>72</v>
      </c>
      <c r="Q516" s="1" t="str">
        <f>IF(ISERROR(VLOOKUP(P516,'unique fed agency names'!A:C,3,FALSE)),P516,VLOOKUP(P516,'unique fed agency names'!A:C,3,FALSE))
</f>
        <v>U.S. Department of Justice (DOJ)</v>
      </c>
      <c r="R516" s="1">
        <v>1.41947783E8</v>
      </c>
      <c r="S516" s="1" t="s">
        <v>144</v>
      </c>
      <c r="T516" s="1" t="str">
        <f>IF(ISERROR(VLOOKUP(S516,'unique org names'!A:C,3,FALSE)),S516,VLOOKUP(S516,'unique org names'!A:C,3,FALSE))
</f>
        <v>St John Community Health Investment Corporation</v>
      </c>
      <c r="V516" s="1" t="s">
        <v>145</v>
      </c>
      <c r="W516" s="1" t="s">
        <v>44</v>
      </c>
      <c r="X516" s="1" t="s">
        <v>45</v>
      </c>
      <c r="Y516" s="1">
        <v>4.82362148E8</v>
      </c>
      <c r="AA516" s="1" t="s">
        <v>1454</v>
      </c>
      <c r="AB516" s="1" t="s">
        <v>45</v>
      </c>
      <c r="AC516" s="1">
        <v>4.80922468E8</v>
      </c>
      <c r="AF516" s="1">
        <v>176220.0</v>
      </c>
      <c r="AG516" s="2">
        <v>41183.0</v>
      </c>
      <c r="AH516" s="1">
        <v>1500.0</v>
      </c>
      <c r="AI516" s="1" t="s">
        <v>72</v>
      </c>
      <c r="AJ516" s="1">
        <v>2.0130692E7</v>
      </c>
      <c r="AK516" s="1" t="s">
        <v>1422</v>
      </c>
      <c r="AL516" s="1">
        <v>10.0</v>
      </c>
      <c r="AM516" s="1">
        <v>2011.0</v>
      </c>
      <c r="AN516" s="1">
        <v>2013.0</v>
      </c>
      <c r="AO516" s="1" t="s">
        <v>1130</v>
      </c>
    </row>
    <row r="517">
      <c r="A517" s="5">
        <v>1.0</v>
      </c>
      <c r="B517" s="1">
        <f t="shared" si="1"/>
        <v>517</v>
      </c>
      <c r="C517" s="1" t="s">
        <v>1418</v>
      </c>
      <c r="D517" s="1" t="s">
        <v>1418</v>
      </c>
      <c r="E517" s="1" t="s">
        <v>70</v>
      </c>
      <c r="G517" s="1">
        <v>1.1529408E7</v>
      </c>
      <c r="H517" s="2">
        <v>41183.0</v>
      </c>
      <c r="I517" s="1" t="s">
        <v>1419</v>
      </c>
      <c r="K517" s="1" t="s">
        <v>1419</v>
      </c>
      <c r="N517" s="1" t="s">
        <v>72</v>
      </c>
      <c r="O517" s="1">
        <v>1500.0</v>
      </c>
      <c r="P517" s="1" t="s">
        <v>72</v>
      </c>
      <c r="Q517" s="1" t="str">
        <f>IF(ISERROR(VLOOKUP(P517,'unique fed agency names'!A:C,3,FALSE)),P517,VLOOKUP(P517,'unique fed agency names'!A:C,3,FALSE))
</f>
        <v>U.S. Department of Justice (DOJ)</v>
      </c>
      <c r="R517" s="1">
        <v>1.37199266E8</v>
      </c>
      <c r="S517" s="1" t="s">
        <v>73</v>
      </c>
      <c r="T517" s="1" t="str">
        <f>IF(ISERROR(VLOOKUP(S517,'unique org names'!A:C,3,FALSE)),S517,VLOOKUP(S517,'unique org names'!A:C,3,FALSE))
</f>
        <v>City Of Detroit</v>
      </c>
      <c r="U517" s="1" t="s">
        <v>74</v>
      </c>
      <c r="V517" s="1" t="s">
        <v>75</v>
      </c>
      <c r="W517" s="1" t="s">
        <v>44</v>
      </c>
      <c r="X517" s="1" t="s">
        <v>45</v>
      </c>
      <c r="Y517" s="1">
        <v>4.82262308E8</v>
      </c>
      <c r="AA517" s="1" t="s">
        <v>46</v>
      </c>
      <c r="AB517" s="1" t="s">
        <v>45</v>
      </c>
      <c r="AC517" s="1">
        <v>4.82262308E8</v>
      </c>
      <c r="AD517" s="1">
        <v>6530661.0</v>
      </c>
      <c r="AE517" s="1" t="s">
        <v>76</v>
      </c>
      <c r="AF517" s="1">
        <v>718481.0</v>
      </c>
      <c r="AG517" s="2">
        <v>41183.0</v>
      </c>
      <c r="AH517" s="1">
        <v>1500.0</v>
      </c>
      <c r="AI517" s="1" t="s">
        <v>72</v>
      </c>
      <c r="AJ517" s="1">
        <v>2.013065E7</v>
      </c>
      <c r="AK517" s="1" t="s">
        <v>1422</v>
      </c>
      <c r="AL517" s="1">
        <v>10.0</v>
      </c>
      <c r="AM517" s="1">
        <v>2011.0</v>
      </c>
      <c r="AN517" s="1">
        <v>2013.0</v>
      </c>
      <c r="AO517" s="1" t="s">
        <v>1130</v>
      </c>
    </row>
    <row r="518">
      <c r="A518" s="5">
        <v>1.0</v>
      </c>
      <c r="B518" s="1">
        <f t="shared" si="1"/>
        <v>518</v>
      </c>
      <c r="C518" s="1" t="s">
        <v>1418</v>
      </c>
      <c r="D518" s="1" t="s">
        <v>1418</v>
      </c>
      <c r="E518" s="1" t="s">
        <v>70</v>
      </c>
      <c r="G518" s="1">
        <v>1.1529408E7</v>
      </c>
      <c r="H518" s="2">
        <v>41548.0</v>
      </c>
      <c r="I518" s="1" t="s">
        <v>1419</v>
      </c>
      <c r="K518" s="1" t="s">
        <v>1419</v>
      </c>
      <c r="N518" s="1" t="s">
        <v>72</v>
      </c>
      <c r="O518" s="1">
        <v>1500.0</v>
      </c>
      <c r="P518" s="1" t="s">
        <v>72</v>
      </c>
      <c r="Q518" s="1" t="str">
        <f>IF(ISERROR(VLOOKUP(P518,'unique fed agency names'!A:C,3,FALSE)),P518,VLOOKUP(P518,'unique fed agency names'!A:C,3,FALSE))
</f>
        <v>U.S. Department of Justice (DOJ)</v>
      </c>
      <c r="R518" s="1">
        <v>7.89629859E8</v>
      </c>
      <c r="S518" s="1" t="s">
        <v>416</v>
      </c>
      <c r="T518" s="1" t="str">
        <f>IF(ISERROR(VLOOKUP(S518,'unique org names'!A:C,3,FALSE)),S518,VLOOKUP(S518,'unique org names'!A:C,3,FALSE))
</f>
        <v>Wayne County SAFE Program</v>
      </c>
      <c r="V518" s="1" t="s">
        <v>417</v>
      </c>
      <c r="W518" s="1" t="s">
        <v>44</v>
      </c>
      <c r="X518" s="1" t="s">
        <v>45</v>
      </c>
      <c r="Y518" s="1">
        <v>4.82343241E8</v>
      </c>
      <c r="AA518" s="1" t="s">
        <v>46</v>
      </c>
      <c r="AB518" s="1" t="s">
        <v>45</v>
      </c>
      <c r="AC518" s="1">
        <v>4.82343241E8</v>
      </c>
      <c r="AF518" s="1">
        <v>43315.0</v>
      </c>
      <c r="AG518" s="2">
        <v>41548.0</v>
      </c>
      <c r="AH518" s="1">
        <v>1500.0</v>
      </c>
      <c r="AI518" s="1" t="s">
        <v>72</v>
      </c>
      <c r="AJ518" s="1">
        <v>2.0141069E7</v>
      </c>
      <c r="AK518" s="1" t="s">
        <v>1422</v>
      </c>
      <c r="AL518" s="1">
        <v>10.0</v>
      </c>
      <c r="AM518" s="1">
        <v>2011.0</v>
      </c>
      <c r="AN518" s="1">
        <v>2014.0</v>
      </c>
      <c r="AO518" s="1" t="s">
        <v>1130</v>
      </c>
    </row>
    <row r="519">
      <c r="A519" s="5">
        <v>1.0</v>
      </c>
      <c r="B519" s="1">
        <f t="shared" si="1"/>
        <v>519</v>
      </c>
      <c r="C519" s="1" t="s">
        <v>1455</v>
      </c>
      <c r="D519" s="1" t="s">
        <v>1455</v>
      </c>
      <c r="E519" s="1" t="s">
        <v>1446</v>
      </c>
      <c r="G519" s="1">
        <v>8690824.0</v>
      </c>
      <c r="H519" s="2">
        <v>41523.0</v>
      </c>
      <c r="I519" s="1" t="s">
        <v>1456</v>
      </c>
      <c r="K519" s="1" t="s">
        <v>1456</v>
      </c>
      <c r="N519" s="1" t="s">
        <v>1079</v>
      </c>
      <c r="O519" s="1">
        <v>7000.0</v>
      </c>
      <c r="P519" s="1" t="s">
        <v>1079</v>
      </c>
      <c r="Q519" s="1" t="str">
        <f>IF(ISERROR(VLOOKUP(P519,'unique fed agency names'!A:C,3,FALSE)),P519,VLOOKUP(P519,'unique fed agency names'!A:C,3,FALSE))
</f>
        <v>U.S. Department of Homeland Security (DHS)</v>
      </c>
      <c r="R519" s="1">
        <v>7.3134884E7</v>
      </c>
      <c r="S519" s="1" t="s">
        <v>259</v>
      </c>
      <c r="T519" s="1" t="str">
        <f>IF(ISERROR(VLOOKUP(S519,'unique org names'!A:C,3,FALSE)),S519,VLOOKUP(S519,'unique org names'!A:C,3,FALSE))
</f>
        <v>Wayne County</v>
      </c>
      <c r="V519" s="1" t="s">
        <v>286</v>
      </c>
      <c r="W519" s="1" t="s">
        <v>44</v>
      </c>
      <c r="X519" s="1" t="s">
        <v>45</v>
      </c>
      <c r="Y519" s="1">
        <v>4.82262841E8</v>
      </c>
      <c r="AA519" s="1" t="s">
        <v>46</v>
      </c>
      <c r="AB519" s="1" t="s">
        <v>45</v>
      </c>
      <c r="AC519" s="1">
        <v>4.82262841E8</v>
      </c>
      <c r="AD519" s="1">
        <v>7.3134884E7</v>
      </c>
      <c r="AE519" s="1" t="s">
        <v>261</v>
      </c>
      <c r="AF519" s="1">
        <v>65933.0</v>
      </c>
      <c r="AG519" s="2">
        <v>41523.0</v>
      </c>
      <c r="AH519" s="1">
        <v>7000.0</v>
      </c>
      <c r="AI519" s="1" t="s">
        <v>1079</v>
      </c>
      <c r="AJ519" s="1" t="s">
        <v>1457</v>
      </c>
      <c r="AK519" s="1" t="s">
        <v>1457</v>
      </c>
      <c r="AL519" s="1">
        <v>10.0</v>
      </c>
      <c r="AM519" s="1">
        <v>2013.0</v>
      </c>
      <c r="AN519" s="1">
        <v>2013.0</v>
      </c>
      <c r="AO519" s="1" t="s">
        <v>1458</v>
      </c>
    </row>
    <row r="520">
      <c r="A520" s="5">
        <v>1.0</v>
      </c>
      <c r="B520" s="1">
        <f t="shared" si="1"/>
        <v>520</v>
      </c>
      <c r="C520" s="1" t="s">
        <v>1455</v>
      </c>
      <c r="D520" s="1" t="s">
        <v>1455</v>
      </c>
      <c r="E520" s="1" t="s">
        <v>1446</v>
      </c>
      <c r="G520" s="1">
        <v>8690824.0</v>
      </c>
      <c r="H520" s="2">
        <v>41523.0</v>
      </c>
      <c r="I520" s="1" t="s">
        <v>1456</v>
      </c>
      <c r="K520" s="1" t="s">
        <v>1456</v>
      </c>
      <c r="N520" s="1" t="s">
        <v>1079</v>
      </c>
      <c r="O520" s="1">
        <v>7000.0</v>
      </c>
      <c r="P520" s="1" t="s">
        <v>1079</v>
      </c>
      <c r="Q520" s="1" t="str">
        <f>IF(ISERROR(VLOOKUP(P520,'unique fed agency names'!A:C,3,FALSE)),P520,VLOOKUP(P520,'unique fed agency names'!A:C,3,FALSE))
</f>
        <v>U.S. Department of Homeland Security (DHS)</v>
      </c>
      <c r="R520" s="1">
        <v>6530661.0</v>
      </c>
      <c r="S520" s="1" t="s">
        <v>73</v>
      </c>
      <c r="T520" s="1" t="str">
        <f>IF(ISERROR(VLOOKUP(S520,'unique org names'!A:C,3,FALSE)),S520,VLOOKUP(S520,'unique org names'!A:C,3,FALSE))
</f>
        <v>City Of Detroit</v>
      </c>
      <c r="U520" s="1" t="s">
        <v>323</v>
      </c>
      <c r="V520" s="1" t="s">
        <v>324</v>
      </c>
      <c r="W520" s="1" t="s">
        <v>44</v>
      </c>
      <c r="X520" s="1" t="s">
        <v>45</v>
      </c>
      <c r="Y520" s="1">
        <v>4.8226E8</v>
      </c>
      <c r="AA520" s="1" t="s">
        <v>46</v>
      </c>
      <c r="AB520" s="1" t="s">
        <v>45</v>
      </c>
      <c r="AC520" s="1">
        <v>48226.0</v>
      </c>
      <c r="AD520" s="1">
        <v>6530661.0</v>
      </c>
      <c r="AE520" s="1" t="s">
        <v>76</v>
      </c>
      <c r="AF520" s="1">
        <v>43422.0</v>
      </c>
      <c r="AG520" s="2">
        <v>41523.0</v>
      </c>
      <c r="AH520" s="1">
        <v>7000.0</v>
      </c>
      <c r="AI520" s="1" t="s">
        <v>1079</v>
      </c>
      <c r="AJ520" s="1" t="s">
        <v>1459</v>
      </c>
      <c r="AK520" s="1" t="s">
        <v>1459</v>
      </c>
      <c r="AL520" s="1">
        <v>10.0</v>
      </c>
      <c r="AM520" s="1">
        <v>2013.0</v>
      </c>
      <c r="AN520" s="1">
        <v>2013.0</v>
      </c>
      <c r="AO520" s="1" t="s">
        <v>1458</v>
      </c>
    </row>
    <row r="521">
      <c r="A521" s="5">
        <v>1.0</v>
      </c>
      <c r="B521" s="1">
        <f t="shared" si="1"/>
        <v>521</v>
      </c>
      <c r="C521" s="1" t="s">
        <v>1122</v>
      </c>
      <c r="D521" s="1" t="s">
        <v>1122</v>
      </c>
      <c r="E521" s="1" t="s">
        <v>100</v>
      </c>
      <c r="G521" s="1">
        <v>1.9727792E7</v>
      </c>
      <c r="H521" s="2">
        <v>41487.0</v>
      </c>
      <c r="I521" s="1" t="s">
        <v>122</v>
      </c>
      <c r="K521" s="1" t="s">
        <v>122</v>
      </c>
      <c r="N521" s="1" t="s">
        <v>102</v>
      </c>
      <c r="O521" s="1">
        <v>8600.0</v>
      </c>
      <c r="P521" s="1" t="s">
        <v>102</v>
      </c>
      <c r="Q521" s="1" t="str">
        <f>IF(ISERROR(VLOOKUP(P521,'unique fed agency names'!A:C,3,FALSE)),P521,VLOOKUP(P521,'unique fed agency names'!A:C,3,FALSE))
</f>
        <v>U.S. Department of Housing and Urban Development (HUD)</v>
      </c>
      <c r="R521" s="1">
        <v>3.9632237E7</v>
      </c>
      <c r="S521" s="1" t="s">
        <v>1460</v>
      </c>
      <c r="T521" s="1" t="str">
        <f>IF(ISERROR(VLOOKUP(S521,'unique org names'!A:C,3,FALSE)),S521,VLOOKUP(S521,'unique org names'!A:C,3,FALSE))
</f>
        <v>UNIVERSITY CULTURAL CENTER ASSOCIATION</v>
      </c>
      <c r="U521" s="1" t="s">
        <v>1461</v>
      </c>
      <c r="V521" s="1" t="s">
        <v>1462</v>
      </c>
      <c r="W521" s="1" t="s">
        <v>44</v>
      </c>
      <c r="X521" s="1" t="s">
        <v>45</v>
      </c>
      <c r="Y521" s="1">
        <v>4.82012009E8</v>
      </c>
      <c r="AA521" s="1" t="s">
        <v>46</v>
      </c>
      <c r="AB521" s="1" t="s">
        <v>45</v>
      </c>
      <c r="AC521" s="1">
        <v>4.82012009E8</v>
      </c>
      <c r="AF521" s="1">
        <v>45000.0</v>
      </c>
      <c r="AG521" s="2">
        <v>41487.0</v>
      </c>
      <c r="AH521" s="1">
        <v>8600.0</v>
      </c>
      <c r="AI521" s="1" t="s">
        <v>102</v>
      </c>
      <c r="AJ521" s="1" t="s">
        <v>1463</v>
      </c>
      <c r="AK521" s="1" t="s">
        <v>1464</v>
      </c>
      <c r="AL521" s="1">
        <v>2.0</v>
      </c>
      <c r="AM521" s="1">
        <v>2014.0</v>
      </c>
      <c r="AN521" s="1">
        <v>2013.0</v>
      </c>
      <c r="AO521" s="1" t="s">
        <v>127</v>
      </c>
    </row>
    <row r="522">
      <c r="A522" s="5">
        <v>1.0</v>
      </c>
      <c r="B522" s="1">
        <f t="shared" si="1"/>
        <v>522</v>
      </c>
      <c r="C522" s="1" t="s">
        <v>1465</v>
      </c>
      <c r="D522" s="1" t="s">
        <v>1465</v>
      </c>
      <c r="E522" s="1" t="s">
        <v>38</v>
      </c>
      <c r="G522" s="1">
        <v>455332.0</v>
      </c>
      <c r="H522" s="2">
        <v>41670.0</v>
      </c>
      <c r="I522" s="1" t="s">
        <v>1466</v>
      </c>
      <c r="K522" s="1" t="s">
        <v>1466</v>
      </c>
      <c r="N522" s="1" t="s">
        <v>40</v>
      </c>
      <c r="O522" s="1">
        <v>7500.0</v>
      </c>
      <c r="P522" s="1" t="s">
        <v>40</v>
      </c>
      <c r="Q522" s="1" t="str">
        <f>IF(ISERROR(VLOOKUP(P522,'unique fed agency names'!A:C,3,FALSE)),P522,VLOOKUP(P522,'unique fed agency names'!A:C,3,FALSE))
</f>
        <v>U.S. Department of Health and Human Services (DHHS)</v>
      </c>
      <c r="R522" s="1">
        <v>1962224.0</v>
      </c>
      <c r="S522" s="1" t="s">
        <v>52</v>
      </c>
      <c r="T522" s="1" t="str">
        <f>IF(ISERROR(VLOOKUP(S522,'unique org names'!A:C,3,FALSE)),S522,VLOOKUP(S522,'unique org names'!A:C,3,FALSE))
</f>
        <v>WAYNE STATE UNIVERSITY</v>
      </c>
      <c r="V522" s="1" t="s">
        <v>53</v>
      </c>
      <c r="W522" s="1" t="s">
        <v>44</v>
      </c>
      <c r="X522" s="1" t="s">
        <v>45</v>
      </c>
      <c r="Y522" s="1">
        <v>4.82023692E8</v>
      </c>
      <c r="AA522" s="1" t="s">
        <v>46</v>
      </c>
      <c r="AB522" s="1" t="s">
        <v>45</v>
      </c>
      <c r="AC522" s="1">
        <v>4.8202405E8</v>
      </c>
      <c r="AD522" s="1">
        <v>1962224.0</v>
      </c>
      <c r="AE522" s="1" t="s">
        <v>52</v>
      </c>
      <c r="AF522" s="1">
        <v>34673.0</v>
      </c>
      <c r="AG522" s="2">
        <v>41670.0</v>
      </c>
      <c r="AH522" s="1">
        <v>7500.0</v>
      </c>
      <c r="AI522" s="1" t="s">
        <v>40</v>
      </c>
      <c r="AJ522" s="1" t="s">
        <v>1467</v>
      </c>
      <c r="AK522" s="1" t="s">
        <v>1468</v>
      </c>
      <c r="AL522" s="1">
        <v>2.0</v>
      </c>
      <c r="AM522" s="1">
        <v>2014.0</v>
      </c>
      <c r="AN522" s="1">
        <v>2014.0</v>
      </c>
      <c r="AO522" s="1" t="s">
        <v>338</v>
      </c>
    </row>
    <row r="523">
      <c r="A523" s="5">
        <v>1.0</v>
      </c>
      <c r="B523" s="1">
        <f t="shared" si="1"/>
        <v>523</v>
      </c>
      <c r="C523" s="1" t="s">
        <v>214</v>
      </c>
      <c r="D523" s="1" t="s">
        <v>214</v>
      </c>
      <c r="E523" s="1" t="s">
        <v>50</v>
      </c>
      <c r="G523" s="1">
        <v>4500000.0</v>
      </c>
      <c r="H523" s="2">
        <v>41677.0</v>
      </c>
      <c r="I523" s="1" t="s">
        <v>215</v>
      </c>
      <c r="K523" s="1" t="s">
        <v>215</v>
      </c>
      <c r="N523" s="1" t="s">
        <v>50</v>
      </c>
      <c r="O523" s="1">
        <v>8900.0</v>
      </c>
      <c r="P523" s="1" t="s">
        <v>50</v>
      </c>
      <c r="Q523" s="1" t="str">
        <f>IF(ISERROR(VLOOKUP(P523,'unique fed agency names'!A:C,3,FALSE)),P523,VLOOKUP(P523,'unique fed agency names'!A:C,3,FALSE))
</f>
        <v>U.S. Department of Energy</v>
      </c>
      <c r="R523" s="1">
        <v>6957872.0</v>
      </c>
      <c r="S523" s="1" t="s">
        <v>216</v>
      </c>
      <c r="T523" s="1" t="str">
        <f>IF(ISERROR(VLOOKUP(S523,'unique org names'!A:C,3,FALSE)),S523,VLOOKUP(S523,'unique org names'!A:C,3,FALSE))
</f>
        <v>THE DETROIT EDISON COMPANY</v>
      </c>
      <c r="U523" s="1" t="s">
        <v>217</v>
      </c>
      <c r="V523" s="1" t="s">
        <v>218</v>
      </c>
      <c r="W523" s="1" t="s">
        <v>44</v>
      </c>
      <c r="X523" s="1" t="s">
        <v>45</v>
      </c>
      <c r="Y523" s="1">
        <v>4.82261203E8</v>
      </c>
      <c r="AA523" s="1" t="s">
        <v>46</v>
      </c>
      <c r="AB523" s="1" t="s">
        <v>45</v>
      </c>
      <c r="AC523" s="1">
        <v>4.82261203E8</v>
      </c>
      <c r="AD523" s="1">
        <v>8.39329158E8</v>
      </c>
      <c r="AE523" s="1" t="s">
        <v>219</v>
      </c>
      <c r="AF523" s="1">
        <v>89395.0</v>
      </c>
      <c r="AG523" s="2">
        <v>41677.0</v>
      </c>
      <c r="AH523" s="1">
        <v>8900.0</v>
      </c>
      <c r="AI523" s="1" t="s">
        <v>50</v>
      </c>
      <c r="AJ523" s="1">
        <v>1.0001146E7</v>
      </c>
      <c r="AK523" s="1" t="s">
        <v>1469</v>
      </c>
      <c r="AL523" s="1">
        <v>3.0</v>
      </c>
      <c r="AM523" s="1">
        <v>2014.0</v>
      </c>
      <c r="AN523" s="1">
        <v>2014.0</v>
      </c>
      <c r="AO523" s="1" t="s">
        <v>222</v>
      </c>
    </row>
    <row r="524">
      <c r="A524" s="5">
        <v>1.0</v>
      </c>
      <c r="B524" s="1">
        <f t="shared" si="1"/>
        <v>524</v>
      </c>
      <c r="C524" s="1" t="s">
        <v>1470</v>
      </c>
      <c r="D524" s="1" t="s">
        <v>1470</v>
      </c>
      <c r="E524" s="1" t="s">
        <v>1281</v>
      </c>
      <c r="G524" s="1">
        <v>5652841.0</v>
      </c>
      <c r="H524" s="2">
        <v>41518.0</v>
      </c>
      <c r="I524" s="1" t="s">
        <v>1298</v>
      </c>
      <c r="K524" s="1" t="s">
        <v>1298</v>
      </c>
      <c r="N524" s="1" t="s">
        <v>1281</v>
      </c>
      <c r="O524" s="1">
        <v>9577.0</v>
      </c>
      <c r="P524" s="1" t="s">
        <v>1281</v>
      </c>
      <c r="Q524" s="1" t="str">
        <f>IF(ISERROR(VLOOKUP(P524,'unique fed agency names'!A:C,3,FALSE)),P524,VLOOKUP(P524,'unique fed agency names'!A:C,3,FALSE))
</f>
        <v>Corporation for National and Community Service</v>
      </c>
      <c r="R524" s="1">
        <v>1.81595232E8</v>
      </c>
      <c r="S524" s="1" t="s">
        <v>1471</v>
      </c>
      <c r="T524" s="1" t="str">
        <f>IF(ISERROR(VLOOKUP(S524,'unique org names'!A:C,3,FALSE)),S524,VLOOKUP(S524,'unique org names'!A:C,3,FALSE))
</f>
        <v>WARM TRAINING CENTER</v>
      </c>
      <c r="V524" s="1" t="s">
        <v>1472</v>
      </c>
      <c r="W524" s="1" t="s">
        <v>44</v>
      </c>
      <c r="X524" s="1" t="s">
        <v>45</v>
      </c>
      <c r="Y524" s="1">
        <v>4.82103249E8</v>
      </c>
      <c r="AA524" s="1" t="s">
        <v>44</v>
      </c>
      <c r="AB524" s="1" t="s">
        <v>45</v>
      </c>
      <c r="AC524" s="1">
        <v>4.82103249E8</v>
      </c>
      <c r="AD524" s="1">
        <v>1.81595232E8</v>
      </c>
      <c r="AE524" s="1" t="s">
        <v>1471</v>
      </c>
      <c r="AF524" s="1">
        <v>221969.0</v>
      </c>
      <c r="AG524" s="2">
        <v>41518.0</v>
      </c>
      <c r="AH524" s="1">
        <v>9577.0</v>
      </c>
      <c r="AI524" s="1" t="s">
        <v>1281</v>
      </c>
      <c r="AJ524" s="1" t="s">
        <v>1473</v>
      </c>
      <c r="AK524" s="1" t="s">
        <v>1300</v>
      </c>
      <c r="AL524" s="1">
        <v>9.0</v>
      </c>
      <c r="AM524" s="1">
        <v>2013.0</v>
      </c>
      <c r="AN524" s="1">
        <v>2013.0</v>
      </c>
      <c r="AO524" s="1" t="s">
        <v>1301</v>
      </c>
    </row>
    <row r="525">
      <c r="A525" s="5">
        <v>1.0</v>
      </c>
      <c r="B525" s="1">
        <f t="shared" si="1"/>
        <v>525</v>
      </c>
      <c r="C525" s="1" t="s">
        <v>1474</v>
      </c>
      <c r="D525" s="1" t="s">
        <v>1474</v>
      </c>
      <c r="E525" s="1" t="s">
        <v>129</v>
      </c>
      <c r="G525" s="1">
        <v>7600000.0</v>
      </c>
      <c r="H525" s="2">
        <v>41548.0</v>
      </c>
      <c r="I525" s="1" t="s">
        <v>1475</v>
      </c>
      <c r="K525" s="1" t="s">
        <v>1475</v>
      </c>
      <c r="N525" s="1" t="s">
        <v>40</v>
      </c>
      <c r="O525" s="1">
        <v>7500.0</v>
      </c>
      <c r="P525" s="1" t="s">
        <v>40</v>
      </c>
      <c r="Q525" s="1" t="str">
        <f>IF(ISERROR(VLOOKUP(P525,'unique fed agency names'!A:C,3,FALSE)),P525,VLOOKUP(P525,'unique fed agency names'!A:C,3,FALSE))
</f>
        <v>U.S. Department of Health and Human Services (DHHS)</v>
      </c>
      <c r="R525" s="1">
        <v>6.9840817E7</v>
      </c>
      <c r="S525" s="1" t="s">
        <v>131</v>
      </c>
      <c r="T525" s="1" t="str">
        <f>IF(ISERROR(VLOOKUP(S525,'unique org names'!A:C,3,FALSE)),S525,VLOOKUP(S525,'unique org names'!A:C,3,FALSE))
</f>
        <v>LUTHERAN SOCIAL SERVICES OF MICHIGAN</v>
      </c>
      <c r="V525" s="1" t="s">
        <v>132</v>
      </c>
      <c r="W525" s="1" t="s">
        <v>44</v>
      </c>
      <c r="X525" s="1" t="s">
        <v>45</v>
      </c>
      <c r="Y525" s="1">
        <v>4.8214261E8</v>
      </c>
      <c r="AA525" s="1" t="s">
        <v>44</v>
      </c>
      <c r="AB525" s="1" t="s">
        <v>45</v>
      </c>
      <c r="AC525" s="1">
        <v>4.8214261E8</v>
      </c>
      <c r="AD525" s="1">
        <v>6.9840817E7</v>
      </c>
      <c r="AE525" s="1" t="s">
        <v>131</v>
      </c>
      <c r="AF525" s="1">
        <v>120000.0</v>
      </c>
      <c r="AG525" s="2">
        <v>41548.0</v>
      </c>
      <c r="AH525" s="1">
        <v>7500.0</v>
      </c>
      <c r="AI525" s="1" t="s">
        <v>40</v>
      </c>
      <c r="AJ525" s="1" t="s">
        <v>1476</v>
      </c>
      <c r="AK525" s="1" t="s">
        <v>1477</v>
      </c>
      <c r="AL525" s="1">
        <v>10.0</v>
      </c>
      <c r="AM525" s="1">
        <v>2013.0</v>
      </c>
      <c r="AN525" s="1">
        <v>2014.0</v>
      </c>
      <c r="AO525" s="1" t="s">
        <v>398</v>
      </c>
    </row>
    <row r="526">
      <c r="A526" s="5">
        <v>1.0</v>
      </c>
      <c r="B526" s="1">
        <f t="shared" si="1"/>
        <v>526</v>
      </c>
      <c r="C526" s="1" t="s">
        <v>1474</v>
      </c>
      <c r="D526" s="1" t="s">
        <v>1474</v>
      </c>
      <c r="E526" s="1" t="s">
        <v>129</v>
      </c>
      <c r="G526" s="1">
        <v>7600000.0</v>
      </c>
      <c r="H526" s="2">
        <v>41548.0</v>
      </c>
      <c r="I526" s="1" t="s">
        <v>1475</v>
      </c>
      <c r="K526" s="1" t="s">
        <v>1475</v>
      </c>
      <c r="N526" s="1" t="s">
        <v>40</v>
      </c>
      <c r="O526" s="1">
        <v>7500.0</v>
      </c>
      <c r="P526" s="1" t="s">
        <v>40</v>
      </c>
      <c r="Q526" s="1" t="str">
        <f>IF(ISERROR(VLOOKUP(P526,'unique fed agency names'!A:C,3,FALSE)),P526,VLOOKUP(P526,'unique fed agency names'!A:C,3,FALSE))
</f>
        <v>U.S. Department of Health and Human Services (DHHS)</v>
      </c>
      <c r="R526" s="1">
        <v>6.9840817E7</v>
      </c>
      <c r="S526" s="1" t="s">
        <v>131</v>
      </c>
      <c r="T526" s="1" t="str">
        <f>IF(ISERROR(VLOOKUP(S526,'unique org names'!A:C,3,FALSE)),S526,VLOOKUP(S526,'unique org names'!A:C,3,FALSE))
</f>
        <v>LUTHERAN SOCIAL SERVICES OF MICHIGAN</v>
      </c>
      <c r="V526" s="1" t="s">
        <v>132</v>
      </c>
      <c r="W526" s="1" t="s">
        <v>44</v>
      </c>
      <c r="X526" s="1" t="s">
        <v>45</v>
      </c>
      <c r="Y526" s="1">
        <v>4.8214261E8</v>
      </c>
      <c r="AA526" s="1" t="s">
        <v>44</v>
      </c>
      <c r="AB526" s="1" t="s">
        <v>45</v>
      </c>
      <c r="AC526" s="1">
        <v>4.8214261E8</v>
      </c>
      <c r="AD526" s="1">
        <v>6.9840817E7</v>
      </c>
      <c r="AE526" s="1" t="s">
        <v>131</v>
      </c>
      <c r="AF526" s="1">
        <v>545000.0</v>
      </c>
      <c r="AG526" s="2">
        <v>41548.0</v>
      </c>
      <c r="AH526" s="1">
        <v>7500.0</v>
      </c>
      <c r="AI526" s="1" t="s">
        <v>40</v>
      </c>
      <c r="AJ526" s="1" t="s">
        <v>1478</v>
      </c>
      <c r="AK526" s="1" t="s">
        <v>1479</v>
      </c>
      <c r="AL526" s="1">
        <v>10.0</v>
      </c>
      <c r="AM526" s="1">
        <v>2013.0</v>
      </c>
      <c r="AN526" s="1">
        <v>2014.0</v>
      </c>
      <c r="AO526" s="1" t="s">
        <v>398</v>
      </c>
    </row>
    <row r="527">
      <c r="A527" s="5">
        <v>1.0</v>
      </c>
      <c r="B527" s="1">
        <f t="shared" si="1"/>
        <v>527</v>
      </c>
      <c r="C527" s="1" t="s">
        <v>1474</v>
      </c>
      <c r="D527" s="1" t="s">
        <v>1474</v>
      </c>
      <c r="E527" s="1" t="s">
        <v>129</v>
      </c>
      <c r="G527" s="1">
        <v>7600000.0</v>
      </c>
      <c r="H527" s="2">
        <v>41548.0</v>
      </c>
      <c r="I527" s="1" t="s">
        <v>1475</v>
      </c>
      <c r="K527" s="1" t="s">
        <v>1475</v>
      </c>
      <c r="N527" s="1" t="s">
        <v>40</v>
      </c>
      <c r="O527" s="1">
        <v>7500.0</v>
      </c>
      <c r="P527" s="1" t="s">
        <v>40</v>
      </c>
      <c r="Q527" s="1" t="str">
        <f>IF(ISERROR(VLOOKUP(P527,'unique fed agency names'!A:C,3,FALSE)),P527,VLOOKUP(P527,'unique fed agency names'!A:C,3,FALSE))
</f>
        <v>U.S. Department of Health and Human Services (DHHS)</v>
      </c>
      <c r="R527" s="1">
        <v>6.9840817E7</v>
      </c>
      <c r="S527" s="1" t="s">
        <v>131</v>
      </c>
      <c r="T527" s="1" t="str">
        <f>IF(ISERROR(VLOOKUP(S527,'unique org names'!A:C,3,FALSE)),S527,VLOOKUP(S527,'unique org names'!A:C,3,FALSE))
</f>
        <v>LUTHERAN SOCIAL SERVICES OF MICHIGAN</v>
      </c>
      <c r="V527" s="1" t="s">
        <v>132</v>
      </c>
      <c r="W527" s="1" t="s">
        <v>44</v>
      </c>
      <c r="X527" s="1" t="s">
        <v>45</v>
      </c>
      <c r="Y527" s="1">
        <v>4.8214261E8</v>
      </c>
      <c r="AA527" s="1" t="s">
        <v>44</v>
      </c>
      <c r="AB527" s="1" t="s">
        <v>45</v>
      </c>
      <c r="AC527" s="1">
        <v>4.8214261E8</v>
      </c>
      <c r="AD527" s="1">
        <v>6.9840817E7</v>
      </c>
      <c r="AE527" s="1" t="s">
        <v>131</v>
      </c>
      <c r="AF527" s="1">
        <v>120000.0</v>
      </c>
      <c r="AG527" s="2">
        <v>41548.0</v>
      </c>
      <c r="AH527" s="1">
        <v>7500.0</v>
      </c>
      <c r="AI527" s="1" t="s">
        <v>40</v>
      </c>
      <c r="AJ527" s="1" t="s">
        <v>1480</v>
      </c>
      <c r="AK527" s="1" t="s">
        <v>1477</v>
      </c>
      <c r="AL527" s="1">
        <v>10.0</v>
      </c>
      <c r="AM527" s="1">
        <v>2013.0</v>
      </c>
      <c r="AN527" s="1">
        <v>2014.0</v>
      </c>
      <c r="AO527" s="1" t="s">
        <v>398</v>
      </c>
    </row>
    <row r="528">
      <c r="A528" s="5">
        <v>1.0</v>
      </c>
      <c r="B528" s="1">
        <f t="shared" si="1"/>
        <v>528</v>
      </c>
      <c r="C528" s="1" t="s">
        <v>1481</v>
      </c>
      <c r="D528" s="1" t="s">
        <v>1481</v>
      </c>
      <c r="E528" s="1" t="s">
        <v>1482</v>
      </c>
      <c r="G528" s="1">
        <v>522792.0</v>
      </c>
      <c r="H528" s="2">
        <v>41682.0</v>
      </c>
      <c r="I528" s="1" t="s">
        <v>1483</v>
      </c>
      <c r="K528" s="1" t="s">
        <v>1483</v>
      </c>
      <c r="N528" s="1" t="s">
        <v>431</v>
      </c>
      <c r="O528" s="1">
        <v>9700.0</v>
      </c>
      <c r="P528" s="1" t="s">
        <v>431</v>
      </c>
      <c r="Q528" s="1" t="str">
        <f>IF(ISERROR(VLOOKUP(P528,'unique fed agency names'!A:C,3,FALSE)),P528,VLOOKUP(P528,'unique fed agency names'!A:C,3,FALSE))
</f>
        <v>U.S. Department of Defense (DOD)</v>
      </c>
      <c r="R528" s="1">
        <v>7.4217316E7</v>
      </c>
      <c r="S528" s="1" t="s">
        <v>1484</v>
      </c>
      <c r="T528" s="1" t="str">
        <f>IF(ISERROR(VLOOKUP(S528,'unique org names'!A:C,3,FALSE)),S528,VLOOKUP(S528,'unique org names'!A:C,3,FALSE))
</f>
        <v>VHS REHABILITATION INSTITUTE OF MICHIGAN, INC</v>
      </c>
      <c r="V528" s="1" t="s">
        <v>1485</v>
      </c>
      <c r="W528" s="1" t="s">
        <v>44</v>
      </c>
      <c r="X528" s="1" t="s">
        <v>45</v>
      </c>
      <c r="Y528" s="1">
        <v>4.82012417E8</v>
      </c>
      <c r="AA528" s="1" t="s">
        <v>46</v>
      </c>
      <c r="AB528" s="1" t="s">
        <v>45</v>
      </c>
      <c r="AC528" s="1">
        <v>4.82012417E8</v>
      </c>
      <c r="AD528" s="1">
        <v>5.3866661E7</v>
      </c>
      <c r="AF528" s="1">
        <v>34398.0</v>
      </c>
      <c r="AG528" s="2">
        <v>41682.0</v>
      </c>
      <c r="AH528" s="1">
        <v>9700.0</v>
      </c>
      <c r="AI528" s="1" t="s">
        <v>431</v>
      </c>
      <c r="AJ528" s="1">
        <v>3.002641509E9</v>
      </c>
      <c r="AK528" s="1" t="s">
        <v>1486</v>
      </c>
      <c r="AL528" s="1">
        <v>2.0</v>
      </c>
      <c r="AM528" s="1">
        <v>2014.0</v>
      </c>
      <c r="AN528" s="1">
        <v>2014.0</v>
      </c>
      <c r="AO528" s="1" t="s">
        <v>435</v>
      </c>
    </row>
    <row r="529">
      <c r="A529" s="5">
        <v>1.0</v>
      </c>
      <c r="B529" s="1">
        <f t="shared" si="1"/>
        <v>529</v>
      </c>
      <c r="C529" s="1" t="s">
        <v>1314</v>
      </c>
      <c r="D529" s="1" t="s">
        <v>1314</v>
      </c>
      <c r="E529" s="1" t="s">
        <v>70</v>
      </c>
      <c r="G529" s="1">
        <v>3726339.0</v>
      </c>
      <c r="H529" s="2">
        <v>41548.0</v>
      </c>
      <c r="I529" s="1" t="s">
        <v>1315</v>
      </c>
      <c r="K529" s="1" t="s">
        <v>1315</v>
      </c>
      <c r="N529" s="1" t="s">
        <v>72</v>
      </c>
      <c r="O529" s="1">
        <v>1500.0</v>
      </c>
      <c r="P529" s="1" t="s">
        <v>72</v>
      </c>
      <c r="Q529" s="1" t="str">
        <f>IF(ISERROR(VLOOKUP(P529,'unique fed agency names'!A:C,3,FALSE)),P529,VLOOKUP(P529,'unique fed agency names'!A:C,3,FALSE))
</f>
        <v>U.S. Department of Justice (DOJ)</v>
      </c>
      <c r="R529" s="1">
        <v>1.21516199E8</v>
      </c>
      <c r="S529" s="1" t="s">
        <v>380</v>
      </c>
      <c r="T529" s="1" t="str">
        <f>IF(ISERROR(VLOOKUP(S529,'unique org names'!A:C,3,FALSE)),S529,VLOOKUP(S529,'unique org names'!A:C,3,FALSE))
</f>
        <v>YWCA of Metropolitan Detroit</v>
      </c>
      <c r="U529" s="1" t="s">
        <v>381</v>
      </c>
      <c r="V529" s="1" t="s">
        <v>382</v>
      </c>
      <c r="W529" s="1" t="s">
        <v>44</v>
      </c>
      <c r="X529" s="1" t="s">
        <v>45</v>
      </c>
      <c r="Y529" s="1">
        <v>4.82073156E8</v>
      </c>
      <c r="AA529" s="1" t="s">
        <v>44</v>
      </c>
      <c r="AB529" s="1" t="s">
        <v>45</v>
      </c>
      <c r="AC529" s="1">
        <v>4.82073156E8</v>
      </c>
      <c r="AD529" s="1">
        <v>1.21516199E8</v>
      </c>
      <c r="AE529" s="1" t="s">
        <v>380</v>
      </c>
      <c r="AF529" s="1">
        <v>105765.0</v>
      </c>
      <c r="AG529" s="2">
        <v>41548.0</v>
      </c>
      <c r="AH529" s="1">
        <v>1500.0</v>
      </c>
      <c r="AI529" s="1" t="s">
        <v>72</v>
      </c>
      <c r="AJ529" s="1" t="s">
        <v>1324</v>
      </c>
      <c r="AK529" s="1" t="s">
        <v>1323</v>
      </c>
      <c r="AL529" s="1">
        <v>3.0</v>
      </c>
      <c r="AM529" s="1">
        <v>2014.0</v>
      </c>
      <c r="AN529" s="1">
        <v>2014.0</v>
      </c>
      <c r="AO529" s="1" t="s">
        <v>1321</v>
      </c>
    </row>
    <row r="530">
      <c r="A530" s="5">
        <v>1.0</v>
      </c>
      <c r="B530" s="1">
        <f t="shared" si="1"/>
        <v>530</v>
      </c>
      <c r="C530" s="1" t="s">
        <v>1487</v>
      </c>
      <c r="D530" s="1" t="s">
        <v>1487</v>
      </c>
      <c r="E530" s="1" t="s">
        <v>129</v>
      </c>
      <c r="G530" s="1">
        <v>1789109.0</v>
      </c>
      <c r="H530" s="2">
        <v>41548.0</v>
      </c>
      <c r="I530" s="1" t="s">
        <v>1488</v>
      </c>
      <c r="K530" s="1" t="s">
        <v>1488</v>
      </c>
      <c r="N530" s="1" t="s">
        <v>40</v>
      </c>
      <c r="O530" s="1">
        <v>7500.0</v>
      </c>
      <c r="P530" s="1" t="s">
        <v>40</v>
      </c>
      <c r="Q530" s="1" t="str">
        <f>IF(ISERROR(VLOOKUP(P530,'unique fed agency names'!A:C,3,FALSE)),P530,VLOOKUP(P530,'unique fed agency names'!A:C,3,FALSE))
</f>
        <v>U.S. Department of Health and Human Services (DHHS)</v>
      </c>
      <c r="R530" s="1">
        <v>6.9840817E7</v>
      </c>
      <c r="S530" s="1" t="s">
        <v>131</v>
      </c>
      <c r="T530" s="1" t="str">
        <f>IF(ISERROR(VLOOKUP(S530,'unique org names'!A:C,3,FALSE)),S530,VLOOKUP(S530,'unique org names'!A:C,3,FALSE))
</f>
        <v>LUTHERAN SOCIAL SERVICES OF MICHIGAN</v>
      </c>
      <c r="V530" s="1" t="s">
        <v>132</v>
      </c>
      <c r="W530" s="1" t="s">
        <v>44</v>
      </c>
      <c r="X530" s="1" t="s">
        <v>45</v>
      </c>
      <c r="Y530" s="1">
        <v>4.8214261E8</v>
      </c>
      <c r="AA530" s="1" t="s">
        <v>1489</v>
      </c>
      <c r="AB530" s="1" t="s">
        <v>45</v>
      </c>
      <c r="AC530" s="1">
        <v>4.92012394E8</v>
      </c>
      <c r="AD530" s="1">
        <v>6.9840817E7</v>
      </c>
      <c r="AE530" s="1" t="s">
        <v>131</v>
      </c>
      <c r="AF530" s="1">
        <v>1840000.0</v>
      </c>
      <c r="AG530" s="2">
        <v>41548.0</v>
      </c>
      <c r="AH530" s="1">
        <v>7500.0</v>
      </c>
      <c r="AI530" s="1" t="s">
        <v>40</v>
      </c>
      <c r="AJ530" s="1" t="s">
        <v>1490</v>
      </c>
      <c r="AK530" s="1" t="s">
        <v>1491</v>
      </c>
      <c r="AL530" s="1">
        <v>10.0</v>
      </c>
      <c r="AM530" s="1">
        <v>2013.0</v>
      </c>
      <c r="AN530" s="1">
        <v>2014.0</v>
      </c>
      <c r="AO530" s="1" t="s">
        <v>1492</v>
      </c>
    </row>
    <row r="531">
      <c r="A531" s="5">
        <v>1.0</v>
      </c>
      <c r="B531" s="1">
        <f t="shared" si="1"/>
        <v>531</v>
      </c>
      <c r="C531" s="1" t="s">
        <v>1474</v>
      </c>
      <c r="D531" s="1" t="s">
        <v>1474</v>
      </c>
      <c r="E531" s="1" t="s">
        <v>129</v>
      </c>
      <c r="G531" s="1">
        <v>7600000.0</v>
      </c>
      <c r="H531" s="2">
        <v>41548.0</v>
      </c>
      <c r="I531" s="1" t="s">
        <v>1475</v>
      </c>
      <c r="K531" s="1" t="s">
        <v>1475</v>
      </c>
      <c r="N531" s="1" t="s">
        <v>40</v>
      </c>
      <c r="O531" s="1">
        <v>7500.0</v>
      </c>
      <c r="P531" s="1" t="s">
        <v>40</v>
      </c>
      <c r="Q531" s="1" t="str">
        <f>IF(ISERROR(VLOOKUP(P531,'unique fed agency names'!A:C,3,FALSE)),P531,VLOOKUP(P531,'unique fed agency names'!A:C,3,FALSE))
</f>
        <v>U.S. Department of Health and Human Services (DHHS)</v>
      </c>
      <c r="R531" s="1">
        <v>6.9840817E7</v>
      </c>
      <c r="S531" s="1" t="s">
        <v>131</v>
      </c>
      <c r="T531" s="1" t="str">
        <f>IF(ISERROR(VLOOKUP(S531,'unique org names'!A:C,3,FALSE)),S531,VLOOKUP(S531,'unique org names'!A:C,3,FALSE))
</f>
        <v>LUTHERAN SOCIAL SERVICES OF MICHIGAN</v>
      </c>
      <c r="V531" s="1" t="s">
        <v>132</v>
      </c>
      <c r="W531" s="1" t="s">
        <v>44</v>
      </c>
      <c r="X531" s="1" t="s">
        <v>45</v>
      </c>
      <c r="Y531" s="1">
        <v>4.8214261E8</v>
      </c>
      <c r="AA531" s="1" t="s">
        <v>44</v>
      </c>
      <c r="AB531" s="1" t="s">
        <v>45</v>
      </c>
      <c r="AC531" s="1">
        <v>4.8214261E8</v>
      </c>
      <c r="AD531" s="1">
        <v>6.9840817E7</v>
      </c>
      <c r="AE531" s="1" t="s">
        <v>131</v>
      </c>
      <c r="AF531" s="1">
        <v>120000.0</v>
      </c>
      <c r="AG531" s="2">
        <v>41548.0</v>
      </c>
      <c r="AH531" s="1">
        <v>7500.0</v>
      </c>
      <c r="AI531" s="1" t="s">
        <v>40</v>
      </c>
      <c r="AJ531" s="1" t="s">
        <v>1493</v>
      </c>
      <c r="AK531" s="1" t="s">
        <v>1479</v>
      </c>
      <c r="AL531" s="1">
        <v>10.0</v>
      </c>
      <c r="AM531" s="1">
        <v>2013.0</v>
      </c>
      <c r="AN531" s="1">
        <v>2014.0</v>
      </c>
      <c r="AO531" s="1" t="s">
        <v>398</v>
      </c>
    </row>
    <row r="532">
      <c r="A532" s="5">
        <v>1.0</v>
      </c>
      <c r="B532" s="1">
        <f t="shared" si="1"/>
        <v>532</v>
      </c>
      <c r="C532" s="1" t="s">
        <v>1474</v>
      </c>
      <c r="D532" s="1" t="s">
        <v>1474</v>
      </c>
      <c r="E532" s="1" t="s">
        <v>129</v>
      </c>
      <c r="G532" s="1">
        <v>7600000.0</v>
      </c>
      <c r="H532" s="2">
        <v>41548.0</v>
      </c>
      <c r="I532" s="1" t="s">
        <v>1475</v>
      </c>
      <c r="K532" s="1" t="s">
        <v>1475</v>
      </c>
      <c r="N532" s="1" t="s">
        <v>40</v>
      </c>
      <c r="O532" s="1">
        <v>7500.0</v>
      </c>
      <c r="P532" s="1" t="s">
        <v>40</v>
      </c>
      <c r="Q532" s="1" t="str">
        <f>IF(ISERROR(VLOOKUP(P532,'unique fed agency names'!A:C,3,FALSE)),P532,VLOOKUP(P532,'unique fed agency names'!A:C,3,FALSE))
</f>
        <v>U.S. Department of Health and Human Services (DHHS)</v>
      </c>
      <c r="R532" s="1">
        <v>6.9840817E7</v>
      </c>
      <c r="S532" s="1" t="s">
        <v>131</v>
      </c>
      <c r="T532" s="1" t="str">
        <f>IF(ISERROR(VLOOKUP(S532,'unique org names'!A:C,3,FALSE)),S532,VLOOKUP(S532,'unique org names'!A:C,3,FALSE))
</f>
        <v>LUTHERAN SOCIAL SERVICES OF MICHIGAN</v>
      </c>
      <c r="V532" s="1" t="s">
        <v>132</v>
      </c>
      <c r="W532" s="1" t="s">
        <v>44</v>
      </c>
      <c r="X532" s="1" t="s">
        <v>45</v>
      </c>
      <c r="Y532" s="1">
        <v>4.8214261E8</v>
      </c>
      <c r="AA532" s="1" t="s">
        <v>44</v>
      </c>
      <c r="AB532" s="1" t="s">
        <v>45</v>
      </c>
      <c r="AC532" s="1">
        <v>4.8214261E8</v>
      </c>
      <c r="AD532" s="1">
        <v>6.9840817E7</v>
      </c>
      <c r="AE532" s="1" t="s">
        <v>131</v>
      </c>
      <c r="AF532" s="1">
        <v>730141.0</v>
      </c>
      <c r="AG532" s="2">
        <v>41548.0</v>
      </c>
      <c r="AH532" s="1">
        <v>7500.0</v>
      </c>
      <c r="AI532" s="1" t="s">
        <v>40</v>
      </c>
      <c r="AJ532" s="1" t="s">
        <v>1494</v>
      </c>
      <c r="AK532" s="1" t="s">
        <v>1477</v>
      </c>
      <c r="AL532" s="1">
        <v>10.0</v>
      </c>
      <c r="AM532" s="1">
        <v>2013.0</v>
      </c>
      <c r="AN532" s="1">
        <v>2014.0</v>
      </c>
      <c r="AO532" s="1" t="s">
        <v>398</v>
      </c>
    </row>
    <row r="533">
      <c r="A533" s="5">
        <v>1.0</v>
      </c>
      <c r="B533" s="1">
        <f t="shared" si="1"/>
        <v>533</v>
      </c>
      <c r="C533" s="1" t="s">
        <v>1474</v>
      </c>
      <c r="D533" s="1" t="s">
        <v>1474</v>
      </c>
      <c r="E533" s="1" t="s">
        <v>129</v>
      </c>
      <c r="G533" s="1">
        <v>7600000.0</v>
      </c>
      <c r="H533" s="2">
        <v>41548.0</v>
      </c>
      <c r="I533" s="1" t="s">
        <v>1475</v>
      </c>
      <c r="K533" s="1" t="s">
        <v>1475</v>
      </c>
      <c r="N533" s="1" t="s">
        <v>40</v>
      </c>
      <c r="O533" s="1">
        <v>7500.0</v>
      </c>
      <c r="P533" s="1" t="s">
        <v>40</v>
      </c>
      <c r="Q533" s="1" t="str">
        <f>IF(ISERROR(VLOOKUP(P533,'unique fed agency names'!A:C,3,FALSE)),P533,VLOOKUP(P533,'unique fed agency names'!A:C,3,FALSE))
</f>
        <v>U.S. Department of Health and Human Services (DHHS)</v>
      </c>
      <c r="R533" s="1">
        <v>6.9840817E7</v>
      </c>
      <c r="S533" s="1" t="s">
        <v>131</v>
      </c>
      <c r="T533" s="1" t="str">
        <f>IF(ISERROR(VLOOKUP(S533,'unique org names'!A:C,3,FALSE)),S533,VLOOKUP(S533,'unique org names'!A:C,3,FALSE))
</f>
        <v>LUTHERAN SOCIAL SERVICES OF MICHIGAN</v>
      </c>
      <c r="V533" s="1" t="s">
        <v>132</v>
      </c>
      <c r="W533" s="1" t="s">
        <v>44</v>
      </c>
      <c r="X533" s="1" t="s">
        <v>45</v>
      </c>
      <c r="Y533" s="1">
        <v>4.8214261E8</v>
      </c>
      <c r="AA533" s="1" t="s">
        <v>44</v>
      </c>
      <c r="AB533" s="1" t="s">
        <v>45</v>
      </c>
      <c r="AC533" s="1">
        <v>4.8214261E8</v>
      </c>
      <c r="AD533" s="1">
        <v>6.9840817E7</v>
      </c>
      <c r="AE533" s="1" t="s">
        <v>131</v>
      </c>
      <c r="AF533" s="1">
        <v>333851.0</v>
      </c>
      <c r="AG533" s="2">
        <v>41548.0</v>
      </c>
      <c r="AH533" s="1">
        <v>7500.0</v>
      </c>
      <c r="AI533" s="1" t="s">
        <v>40</v>
      </c>
      <c r="AJ533" s="1" t="s">
        <v>1495</v>
      </c>
      <c r="AK533" s="1" t="s">
        <v>1477</v>
      </c>
      <c r="AL533" s="1">
        <v>10.0</v>
      </c>
      <c r="AM533" s="1">
        <v>2013.0</v>
      </c>
      <c r="AN533" s="1">
        <v>2014.0</v>
      </c>
      <c r="AO533" s="1" t="s">
        <v>398</v>
      </c>
    </row>
    <row r="534">
      <c r="A534" s="5">
        <v>1.0</v>
      </c>
      <c r="B534" s="1">
        <f t="shared" si="1"/>
        <v>534</v>
      </c>
      <c r="C534" s="1" t="s">
        <v>1474</v>
      </c>
      <c r="D534" s="1" t="s">
        <v>1474</v>
      </c>
      <c r="E534" s="1" t="s">
        <v>129</v>
      </c>
      <c r="G534" s="1">
        <v>7600000.0</v>
      </c>
      <c r="H534" s="2">
        <v>41548.0</v>
      </c>
      <c r="I534" s="1" t="s">
        <v>1475</v>
      </c>
      <c r="K534" s="1" t="s">
        <v>1475</v>
      </c>
      <c r="N534" s="1" t="s">
        <v>40</v>
      </c>
      <c r="O534" s="1">
        <v>7500.0</v>
      </c>
      <c r="P534" s="1" t="s">
        <v>40</v>
      </c>
      <c r="Q534" s="1" t="str">
        <f>IF(ISERROR(VLOOKUP(P534,'unique fed agency names'!A:C,3,FALSE)),P534,VLOOKUP(P534,'unique fed agency names'!A:C,3,FALSE))
</f>
        <v>U.S. Department of Health and Human Services (DHHS)</v>
      </c>
      <c r="R534" s="1">
        <v>6.9840817E7</v>
      </c>
      <c r="S534" s="1" t="s">
        <v>131</v>
      </c>
      <c r="T534" s="1" t="str">
        <f>IF(ISERROR(VLOOKUP(S534,'unique org names'!A:C,3,FALSE)),S534,VLOOKUP(S534,'unique org names'!A:C,3,FALSE))
</f>
        <v>LUTHERAN SOCIAL SERVICES OF MICHIGAN</v>
      </c>
      <c r="V534" s="1" t="s">
        <v>132</v>
      </c>
      <c r="W534" s="1" t="s">
        <v>44</v>
      </c>
      <c r="X534" s="1" t="s">
        <v>45</v>
      </c>
      <c r="Y534" s="1">
        <v>4.8214261E8</v>
      </c>
      <c r="AA534" s="1" t="s">
        <v>44</v>
      </c>
      <c r="AB534" s="1" t="s">
        <v>45</v>
      </c>
      <c r="AC534" s="1">
        <v>4.8214261E8</v>
      </c>
      <c r="AD534" s="1">
        <v>6.9840817E7</v>
      </c>
      <c r="AE534" s="1" t="s">
        <v>131</v>
      </c>
      <c r="AF534" s="1">
        <v>1273221.0</v>
      </c>
      <c r="AG534" s="2">
        <v>41548.0</v>
      </c>
      <c r="AH534" s="1">
        <v>7500.0</v>
      </c>
      <c r="AI534" s="1" t="s">
        <v>40</v>
      </c>
      <c r="AJ534" s="1" t="s">
        <v>1496</v>
      </c>
      <c r="AK534" s="1" t="s">
        <v>1477</v>
      </c>
      <c r="AL534" s="1">
        <v>10.0</v>
      </c>
      <c r="AM534" s="1">
        <v>2013.0</v>
      </c>
      <c r="AN534" s="1">
        <v>2014.0</v>
      </c>
      <c r="AO534" s="1" t="s">
        <v>398</v>
      </c>
    </row>
    <row r="535">
      <c r="A535" s="5">
        <v>1.0</v>
      </c>
      <c r="B535" s="1">
        <f t="shared" si="1"/>
        <v>535</v>
      </c>
      <c r="C535" s="1" t="s">
        <v>1497</v>
      </c>
      <c r="D535" s="1" t="s">
        <v>1497</v>
      </c>
      <c r="E535" s="1" t="s">
        <v>70</v>
      </c>
      <c r="G535" s="1">
        <v>338611.0</v>
      </c>
      <c r="H535" s="2">
        <v>41671.0</v>
      </c>
      <c r="I535" s="1" t="s">
        <v>1498</v>
      </c>
      <c r="K535" s="1" t="s">
        <v>1498</v>
      </c>
      <c r="N535" s="1" t="s">
        <v>72</v>
      </c>
      <c r="O535" s="1">
        <v>1500.0</v>
      </c>
      <c r="P535" s="1" t="s">
        <v>72</v>
      </c>
      <c r="Q535" s="1" t="str">
        <f>IF(ISERROR(VLOOKUP(P535,'unique fed agency names'!A:C,3,FALSE)),P535,VLOOKUP(P535,'unique fed agency names'!A:C,3,FALSE))
</f>
        <v>U.S. Department of Justice (DOJ)</v>
      </c>
      <c r="R535" s="1">
        <v>1.58142448E8</v>
      </c>
      <c r="S535" s="1" t="s">
        <v>1316</v>
      </c>
      <c r="T535" s="1" t="str">
        <f>IF(ISERROR(VLOOKUP(S535,'unique org names'!A:C,3,FALSE)),S535,VLOOKUP(S535,'unique org names'!A:C,3,FALSE))
</f>
        <v>Community Health and Social Services Center</v>
      </c>
      <c r="U535" s="1" t="s">
        <v>1317</v>
      </c>
      <c r="V535" s="1" t="s">
        <v>1318</v>
      </c>
      <c r="W535" s="1" t="s">
        <v>44</v>
      </c>
      <c r="X535" s="1" t="s">
        <v>45</v>
      </c>
      <c r="Y535" s="1">
        <v>4.82093154E8</v>
      </c>
      <c r="AA535" s="1" t="s">
        <v>44</v>
      </c>
      <c r="AB535" s="1" t="s">
        <v>45</v>
      </c>
      <c r="AC535" s="1">
        <v>4.82093154E8</v>
      </c>
      <c r="AD535" s="1">
        <v>1.58142448E8</v>
      </c>
      <c r="AE535" s="1" t="s">
        <v>1316</v>
      </c>
      <c r="AF535" s="1">
        <v>55497.0</v>
      </c>
      <c r="AG535" s="2">
        <v>41671.0</v>
      </c>
      <c r="AH535" s="1">
        <v>1500.0</v>
      </c>
      <c r="AI535" s="1" t="s">
        <v>72</v>
      </c>
      <c r="AJ535" s="1" t="s">
        <v>1499</v>
      </c>
      <c r="AK535" s="1" t="s">
        <v>1500</v>
      </c>
      <c r="AL535" s="1">
        <v>3.0</v>
      </c>
      <c r="AM535" s="1">
        <v>2014.0</v>
      </c>
      <c r="AN535" s="1">
        <v>2014.0</v>
      </c>
      <c r="AO535" s="1" t="s">
        <v>1501</v>
      </c>
    </row>
    <row r="536">
      <c r="A536" s="5">
        <v>1.0</v>
      </c>
      <c r="B536" s="1">
        <f t="shared" si="1"/>
        <v>536</v>
      </c>
      <c r="C536" s="1" t="s">
        <v>1308</v>
      </c>
      <c r="D536" s="1" t="s">
        <v>1308</v>
      </c>
      <c r="E536" s="1" t="s">
        <v>129</v>
      </c>
      <c r="G536" s="1">
        <v>2265546.0</v>
      </c>
      <c r="H536" s="2">
        <v>41548.0</v>
      </c>
      <c r="I536" s="1" t="s">
        <v>876</v>
      </c>
      <c r="K536" s="1" t="s">
        <v>876</v>
      </c>
      <c r="N536" s="1" t="s">
        <v>40</v>
      </c>
      <c r="O536" s="1">
        <v>7500.0</v>
      </c>
      <c r="P536" s="1" t="s">
        <v>40</v>
      </c>
      <c r="Q536" s="1" t="str">
        <f>IF(ISERROR(VLOOKUP(P536,'unique fed agency names'!A:C,3,FALSE)),P536,VLOOKUP(P536,'unique fed agency names'!A:C,3,FALSE))
</f>
        <v>U.S. Department of Health and Human Services (DHHS)</v>
      </c>
      <c r="R536" s="1">
        <v>1.21516199E8</v>
      </c>
      <c r="S536" s="1" t="s">
        <v>380</v>
      </c>
      <c r="T536" s="1" t="str">
        <f>IF(ISERROR(VLOOKUP(S536,'unique org names'!A:C,3,FALSE)),S536,VLOOKUP(S536,'unique org names'!A:C,3,FALSE))
</f>
        <v>YWCA of Metropolitan Detroit</v>
      </c>
      <c r="U536" s="1" t="s">
        <v>381</v>
      </c>
      <c r="V536" s="1" t="s">
        <v>382</v>
      </c>
      <c r="W536" s="1" t="s">
        <v>44</v>
      </c>
      <c r="X536" s="1" t="s">
        <v>45</v>
      </c>
      <c r="Y536" s="1">
        <v>4.82073156E8</v>
      </c>
      <c r="AA536" s="1" t="s">
        <v>44</v>
      </c>
      <c r="AB536" s="1" t="s">
        <v>45</v>
      </c>
      <c r="AC536" s="1">
        <v>4.82073127E8</v>
      </c>
      <c r="AD536" s="1">
        <v>1.21516199E8</v>
      </c>
      <c r="AE536" s="1" t="s">
        <v>380</v>
      </c>
      <c r="AF536" s="1">
        <v>200941.83</v>
      </c>
      <c r="AG536" s="2">
        <v>41548.0</v>
      </c>
      <c r="AH536" s="1">
        <v>7500.0</v>
      </c>
      <c r="AI536" s="1" t="s">
        <v>40</v>
      </c>
      <c r="AJ536" s="1" t="s">
        <v>1309</v>
      </c>
      <c r="AK536" s="1" t="s">
        <v>1310</v>
      </c>
      <c r="AL536" s="1">
        <v>3.0</v>
      </c>
      <c r="AM536" s="1">
        <v>2014.0</v>
      </c>
      <c r="AN536" s="1">
        <v>2014.0</v>
      </c>
      <c r="AO536" s="1" t="s">
        <v>1311</v>
      </c>
    </row>
    <row r="537">
      <c r="A537" s="5">
        <v>1.0</v>
      </c>
      <c r="B537" s="1">
        <f t="shared" si="1"/>
        <v>537</v>
      </c>
      <c r="C537" s="1" t="s">
        <v>1314</v>
      </c>
      <c r="D537" s="1" t="s">
        <v>1314</v>
      </c>
      <c r="E537" s="1" t="s">
        <v>70</v>
      </c>
      <c r="G537" s="1">
        <v>3726339.0</v>
      </c>
      <c r="H537" s="2">
        <v>41548.0</v>
      </c>
      <c r="I537" s="1" t="s">
        <v>1315</v>
      </c>
      <c r="K537" s="1" t="s">
        <v>1315</v>
      </c>
      <c r="N537" s="1" t="s">
        <v>72</v>
      </c>
      <c r="O537" s="1">
        <v>1500.0</v>
      </c>
      <c r="P537" s="1" t="s">
        <v>72</v>
      </c>
      <c r="Q537" s="1" t="str">
        <f>IF(ISERROR(VLOOKUP(P537,'unique fed agency names'!A:C,3,FALSE)),P537,VLOOKUP(P537,'unique fed agency names'!A:C,3,FALSE))
</f>
        <v>U.S. Department of Justice (DOJ)</v>
      </c>
      <c r="R537" s="1">
        <v>7.89629859E8</v>
      </c>
      <c r="S537" s="1" t="s">
        <v>416</v>
      </c>
      <c r="T537" s="1" t="str">
        <f>IF(ISERROR(VLOOKUP(S537,'unique org names'!A:C,3,FALSE)),S537,VLOOKUP(S537,'unique org names'!A:C,3,FALSE))
</f>
        <v>Wayne County SAFE Program</v>
      </c>
      <c r="V537" s="1" t="s">
        <v>417</v>
      </c>
      <c r="W537" s="1" t="s">
        <v>44</v>
      </c>
      <c r="X537" s="1" t="s">
        <v>45</v>
      </c>
      <c r="Y537" s="1">
        <v>4.82343241E8</v>
      </c>
      <c r="AA537" s="1" t="s">
        <v>44</v>
      </c>
      <c r="AB537" s="1" t="s">
        <v>45</v>
      </c>
      <c r="AC537" s="1">
        <v>4.80673241E8</v>
      </c>
      <c r="AF537" s="1">
        <v>100000.0</v>
      </c>
      <c r="AG537" s="2">
        <v>41548.0</v>
      </c>
      <c r="AH537" s="1">
        <v>1500.0</v>
      </c>
      <c r="AI537" s="1" t="s">
        <v>72</v>
      </c>
      <c r="AJ537" s="1" t="s">
        <v>1322</v>
      </c>
      <c r="AK537" s="1" t="s">
        <v>1323</v>
      </c>
      <c r="AL537" s="1">
        <v>3.0</v>
      </c>
      <c r="AM537" s="1">
        <v>2014.0</v>
      </c>
      <c r="AN537" s="1">
        <v>2014.0</v>
      </c>
      <c r="AO537" s="1" t="s">
        <v>1321</v>
      </c>
    </row>
    <row r="538">
      <c r="A538" s="5">
        <v>1.0</v>
      </c>
      <c r="B538" s="1">
        <f t="shared" si="1"/>
        <v>538</v>
      </c>
      <c r="C538" s="1" t="s">
        <v>1314</v>
      </c>
      <c r="D538" s="1" t="s">
        <v>1314</v>
      </c>
      <c r="E538" s="1" t="s">
        <v>70</v>
      </c>
      <c r="G538" s="1">
        <v>3726339.0</v>
      </c>
      <c r="H538" s="2">
        <v>41548.0</v>
      </c>
      <c r="I538" s="1" t="s">
        <v>1315</v>
      </c>
      <c r="K538" s="1" t="s">
        <v>1315</v>
      </c>
      <c r="N538" s="1" t="s">
        <v>72</v>
      </c>
      <c r="O538" s="1">
        <v>1500.0</v>
      </c>
      <c r="P538" s="1" t="s">
        <v>72</v>
      </c>
      <c r="Q538" s="1" t="str">
        <f>IF(ISERROR(VLOOKUP(P538,'unique fed agency names'!A:C,3,FALSE)),P538,VLOOKUP(P538,'unique fed agency names'!A:C,3,FALSE))
</f>
        <v>U.S. Department of Justice (DOJ)</v>
      </c>
      <c r="R538" s="1">
        <v>1.58142448E8</v>
      </c>
      <c r="S538" s="1" t="s">
        <v>1316</v>
      </c>
      <c r="T538" s="1" t="str">
        <f>IF(ISERROR(VLOOKUP(S538,'unique org names'!A:C,3,FALSE)),S538,VLOOKUP(S538,'unique org names'!A:C,3,FALSE))
</f>
        <v>Community Health and Social Services Center</v>
      </c>
      <c r="U538" s="1" t="s">
        <v>1317</v>
      </c>
      <c r="V538" s="1" t="s">
        <v>1318</v>
      </c>
      <c r="W538" s="1" t="s">
        <v>44</v>
      </c>
      <c r="X538" s="1" t="s">
        <v>45</v>
      </c>
      <c r="Y538" s="1">
        <v>4.82093154E8</v>
      </c>
      <c r="AA538" s="1" t="s">
        <v>46</v>
      </c>
      <c r="AB538" s="1" t="s">
        <v>45</v>
      </c>
      <c r="AC538" s="1">
        <v>4.82093154E8</v>
      </c>
      <c r="AD538" s="1">
        <v>1.58142448E8</v>
      </c>
      <c r="AE538" s="1" t="s">
        <v>1316</v>
      </c>
      <c r="AF538" s="1">
        <v>119951.0</v>
      </c>
      <c r="AG538" s="2">
        <v>41548.0</v>
      </c>
      <c r="AH538" s="1">
        <v>1500.0</v>
      </c>
      <c r="AI538" s="1" t="s">
        <v>72</v>
      </c>
      <c r="AJ538" s="1" t="s">
        <v>1319</v>
      </c>
      <c r="AK538" s="1" t="s">
        <v>1320</v>
      </c>
      <c r="AL538" s="1">
        <v>3.0</v>
      </c>
      <c r="AM538" s="1">
        <v>2014.0</v>
      </c>
      <c r="AN538" s="1">
        <v>2014.0</v>
      </c>
      <c r="AO538" s="1" t="s">
        <v>1321</v>
      </c>
    </row>
    <row r="539">
      <c r="A539" s="5">
        <v>1.0</v>
      </c>
      <c r="B539" s="1">
        <f t="shared" si="1"/>
        <v>539</v>
      </c>
      <c r="C539" s="1" t="s">
        <v>1297</v>
      </c>
      <c r="D539" s="1" t="s">
        <v>1297</v>
      </c>
      <c r="E539" s="1" t="s">
        <v>1281</v>
      </c>
      <c r="G539" s="1">
        <v>2399848.0</v>
      </c>
      <c r="H539" s="2">
        <v>41548.0</v>
      </c>
      <c r="I539" s="1" t="s">
        <v>1298</v>
      </c>
      <c r="K539" s="1" t="s">
        <v>1298</v>
      </c>
      <c r="N539" s="1" t="s">
        <v>1281</v>
      </c>
      <c r="O539" s="1">
        <v>9577.0</v>
      </c>
      <c r="P539" s="1" t="s">
        <v>1281</v>
      </c>
      <c r="Q539" s="1" t="str">
        <f>IF(ISERROR(VLOOKUP(P539,'unique fed agency names'!A:C,3,FALSE)),P539,VLOOKUP(P539,'unique fed agency names'!A:C,3,FALSE))
</f>
        <v>Corporation for National and Community Service</v>
      </c>
      <c r="R539" s="1">
        <v>1962224.0</v>
      </c>
      <c r="S539" s="1" t="s">
        <v>52</v>
      </c>
      <c r="T539" s="1" t="str">
        <f>IF(ISERROR(VLOOKUP(S539,'unique org names'!A:C,3,FALSE)),S539,VLOOKUP(S539,'unique org names'!A:C,3,FALSE))
</f>
        <v>WAYNE STATE UNIVERSITY</v>
      </c>
      <c r="V539" s="1" t="s">
        <v>53</v>
      </c>
      <c r="W539" s="1" t="s">
        <v>44</v>
      </c>
      <c r="X539" s="1" t="s">
        <v>45</v>
      </c>
      <c r="Y539" s="1">
        <v>4.82023692E8</v>
      </c>
      <c r="AA539" s="1" t="s">
        <v>44</v>
      </c>
      <c r="AB539" s="1" t="s">
        <v>45</v>
      </c>
      <c r="AC539" s="1">
        <v>4.8202405E8</v>
      </c>
      <c r="AD539" s="1">
        <v>1962224.0</v>
      </c>
      <c r="AE539" s="1" t="s">
        <v>52</v>
      </c>
      <c r="AF539" s="1">
        <v>374927.0</v>
      </c>
      <c r="AG539" s="2">
        <v>41548.0</v>
      </c>
      <c r="AH539" s="1">
        <v>9577.0</v>
      </c>
      <c r="AI539" s="1" t="s">
        <v>1281</v>
      </c>
      <c r="AJ539" s="1" t="s">
        <v>1299</v>
      </c>
      <c r="AK539" s="1" t="s">
        <v>1300</v>
      </c>
      <c r="AL539" s="1">
        <v>3.0</v>
      </c>
      <c r="AM539" s="1">
        <v>2014.0</v>
      </c>
      <c r="AN539" s="1">
        <v>2014.0</v>
      </c>
      <c r="AO539" s="1" t="s">
        <v>1301</v>
      </c>
    </row>
    <row r="540">
      <c r="A540" s="5">
        <v>1.0</v>
      </c>
      <c r="B540" s="1">
        <f t="shared" si="1"/>
        <v>540</v>
      </c>
      <c r="C540" s="1" t="s">
        <v>203</v>
      </c>
      <c r="D540" s="1" t="s">
        <v>203</v>
      </c>
      <c r="E540" s="1" t="s">
        <v>100</v>
      </c>
      <c r="G540" s="1">
        <v>2.2173386E7</v>
      </c>
      <c r="H540" s="2">
        <v>41625.0</v>
      </c>
      <c r="I540" s="1" t="s">
        <v>122</v>
      </c>
      <c r="K540" s="1" t="s">
        <v>122</v>
      </c>
      <c r="N540" s="1" t="s">
        <v>102</v>
      </c>
      <c r="O540" s="1">
        <v>8600.0</v>
      </c>
      <c r="P540" s="1" t="s">
        <v>102</v>
      </c>
      <c r="Q540" s="1" t="str">
        <f>IF(ISERROR(VLOOKUP(P540,'unique fed agency names'!A:C,3,FALSE)),P540,VLOOKUP(P540,'unique fed agency names'!A:C,3,FALSE))
</f>
        <v>U.S. Department of Housing and Urban Development (HUD)</v>
      </c>
      <c r="R540" s="1">
        <v>8.8386649E7</v>
      </c>
      <c r="S540" s="1" t="s">
        <v>1502</v>
      </c>
      <c r="T540" s="1" t="str">
        <f>IF(ISERROR(VLOOKUP(S540,'unique org names'!A:C,3,FALSE)),S540,VLOOKUP(S540,'unique org names'!A:C,3,FALSE))
</f>
        <v>CENTRAL DETROIT CHRISTIAN COMMUNITY DEVELOPMENT CORPORATION</v>
      </c>
      <c r="U540" s="1" t="s">
        <v>1503</v>
      </c>
      <c r="V540" s="1" t="s">
        <v>1504</v>
      </c>
      <c r="W540" s="1" t="s">
        <v>44</v>
      </c>
      <c r="X540" s="1" t="s">
        <v>45</v>
      </c>
      <c r="Y540" s="1">
        <v>4.82021769E8</v>
      </c>
      <c r="AA540" s="1" t="s">
        <v>1366</v>
      </c>
      <c r="AB540" s="1" t="s">
        <v>45</v>
      </c>
      <c r="AC540" s="1">
        <v>4.80221789E8</v>
      </c>
      <c r="AF540" s="1">
        <v>45000.0</v>
      </c>
      <c r="AG540" s="2">
        <v>41625.0</v>
      </c>
      <c r="AH540" s="1">
        <v>8600.0</v>
      </c>
      <c r="AI540" s="1" t="s">
        <v>102</v>
      </c>
      <c r="AJ540" s="1" t="s">
        <v>1505</v>
      </c>
      <c r="AK540" s="1" t="s">
        <v>1506</v>
      </c>
      <c r="AL540" s="1">
        <v>12.0</v>
      </c>
      <c r="AM540" s="1">
        <v>2013.0</v>
      </c>
      <c r="AN540" s="1">
        <v>2014.0</v>
      </c>
      <c r="AO540" s="1" t="s">
        <v>127</v>
      </c>
    </row>
    <row r="541">
      <c r="A541" s="5">
        <v>1.0</v>
      </c>
      <c r="B541" s="1">
        <f t="shared" si="1"/>
        <v>541</v>
      </c>
      <c r="C541" s="1" t="s">
        <v>203</v>
      </c>
      <c r="D541" s="1" t="s">
        <v>203</v>
      </c>
      <c r="E541" s="1" t="s">
        <v>100</v>
      </c>
      <c r="G541" s="1">
        <v>2.2173386E7</v>
      </c>
      <c r="H541" s="2">
        <v>41627.0</v>
      </c>
      <c r="I541" s="1" t="s">
        <v>122</v>
      </c>
      <c r="K541" s="1" t="s">
        <v>122</v>
      </c>
      <c r="N541" s="1" t="s">
        <v>102</v>
      </c>
      <c r="O541" s="1">
        <v>8600.0</v>
      </c>
      <c r="P541" s="1" t="s">
        <v>102</v>
      </c>
      <c r="Q541" s="1" t="str">
        <f>IF(ISERROR(VLOOKUP(P541,'unique fed agency names'!A:C,3,FALSE)),P541,VLOOKUP(P541,'unique fed agency names'!A:C,3,FALSE))
</f>
        <v>U.S. Department of Housing and Urban Development (HUD)</v>
      </c>
      <c r="R541" s="1">
        <v>8.44806708E8</v>
      </c>
      <c r="S541" s="1" t="s">
        <v>103</v>
      </c>
      <c r="T541" s="1" t="str">
        <f>IF(ISERROR(VLOOKUP(S541,'unique org names'!A:C,3,FALSE)),S541,VLOOKUP(S541,'unique org names'!A:C,3,FALSE))
</f>
        <v>SOUTHWEST HOUSING SOLUTIONS CORPORATION</v>
      </c>
      <c r="U541" s="1" t="s">
        <v>1507</v>
      </c>
      <c r="V541" s="1" t="s">
        <v>1006</v>
      </c>
      <c r="W541" s="1" t="s">
        <v>44</v>
      </c>
      <c r="X541" s="1" t="s">
        <v>45</v>
      </c>
      <c r="Y541" s="1">
        <v>4.82092022E8</v>
      </c>
      <c r="AA541" s="1" t="s">
        <v>1366</v>
      </c>
      <c r="AB541" s="1" t="s">
        <v>45</v>
      </c>
      <c r="AC541" s="1">
        <v>4.8216E8</v>
      </c>
      <c r="AD541" s="1">
        <v>7.6385699E7</v>
      </c>
      <c r="AF541" s="1">
        <v>25000.0</v>
      </c>
      <c r="AG541" s="2">
        <v>41627.0</v>
      </c>
      <c r="AH541" s="1">
        <v>8600.0</v>
      </c>
      <c r="AI541" s="1" t="s">
        <v>102</v>
      </c>
      <c r="AJ541" s="1" t="s">
        <v>1508</v>
      </c>
      <c r="AK541" s="1" t="s">
        <v>1509</v>
      </c>
      <c r="AL541" s="1">
        <v>12.0</v>
      </c>
      <c r="AM541" s="1">
        <v>2013.0</v>
      </c>
      <c r="AN541" s="1">
        <v>2014.0</v>
      </c>
      <c r="AO541" s="1" t="s">
        <v>127</v>
      </c>
    </row>
    <row r="542">
      <c r="A542" s="5">
        <v>1.0</v>
      </c>
      <c r="B542" s="1">
        <f t="shared" si="1"/>
        <v>542</v>
      </c>
      <c r="C542" s="1" t="s">
        <v>1510</v>
      </c>
      <c r="D542" s="1" t="s">
        <v>1510</v>
      </c>
      <c r="E542" s="1" t="s">
        <v>645</v>
      </c>
      <c r="G542" s="1">
        <v>875989.0</v>
      </c>
      <c r="H542" s="2">
        <v>41564.0</v>
      </c>
      <c r="I542" s="1" t="s">
        <v>646</v>
      </c>
      <c r="K542" s="1" t="s">
        <v>646</v>
      </c>
      <c r="N542" s="1" t="s">
        <v>647</v>
      </c>
      <c r="O542" s="1">
        <v>1200.0</v>
      </c>
      <c r="P542" s="1" t="s">
        <v>647</v>
      </c>
      <c r="Q542" s="1" t="str">
        <f>IF(ISERROR(VLOOKUP(P542,'unique fed agency names'!A:C,3,FALSE)),P542,VLOOKUP(P542,'unique fed agency names'!A:C,3,FALSE))
</f>
        <v>U.S. Department of Agriculture (USDA)</v>
      </c>
      <c r="R542" s="1">
        <v>7.3134884E7</v>
      </c>
      <c r="S542" s="1" t="s">
        <v>259</v>
      </c>
      <c r="T542" s="1" t="str">
        <f>IF(ISERROR(VLOOKUP(S542,'unique org names'!A:C,3,FALSE)),S542,VLOOKUP(S542,'unique org names'!A:C,3,FALSE))
</f>
        <v>Wayne County</v>
      </c>
      <c r="V542" s="1" t="s">
        <v>286</v>
      </c>
      <c r="W542" s="1" t="s">
        <v>44</v>
      </c>
      <c r="X542" s="1" t="s">
        <v>45</v>
      </c>
      <c r="Y542" s="1">
        <v>4.82262841E8</v>
      </c>
      <c r="AA542" s="1" t="s">
        <v>648</v>
      </c>
      <c r="AB542" s="1" t="s">
        <v>45</v>
      </c>
      <c r="AC542" s="1">
        <v>4.81865305E8</v>
      </c>
      <c r="AD542" s="1">
        <v>7.3134884E7</v>
      </c>
      <c r="AE542" s="1" t="s">
        <v>261</v>
      </c>
      <c r="AF542" s="1">
        <v>49457.0</v>
      </c>
      <c r="AG542" s="2">
        <v>41564.0</v>
      </c>
      <c r="AH542" s="1">
        <v>1200.0</v>
      </c>
      <c r="AI542" s="1" t="s">
        <v>647</v>
      </c>
      <c r="AJ542" s="1" t="s">
        <v>1511</v>
      </c>
      <c r="AK542" s="1" t="s">
        <v>1512</v>
      </c>
      <c r="AL542" s="1">
        <v>1.0</v>
      </c>
      <c r="AM542" s="1">
        <v>2014.0</v>
      </c>
      <c r="AN542" s="1">
        <v>2014.0</v>
      </c>
      <c r="AO542" s="1" t="s">
        <v>651</v>
      </c>
    </row>
    <row r="543">
      <c r="A543" s="5">
        <v>1.0</v>
      </c>
      <c r="B543" s="1">
        <f t="shared" si="1"/>
        <v>543</v>
      </c>
      <c r="C543" s="1" t="s">
        <v>1513</v>
      </c>
      <c r="D543" s="1" t="s">
        <v>1513</v>
      </c>
      <c r="E543" s="1" t="s">
        <v>194</v>
      </c>
      <c r="G543" s="1">
        <v>199790.0</v>
      </c>
      <c r="H543" s="2">
        <v>41656.0</v>
      </c>
      <c r="I543" s="1" t="s">
        <v>195</v>
      </c>
      <c r="K543" s="1" t="s">
        <v>195</v>
      </c>
      <c r="N543" s="1" t="s">
        <v>194</v>
      </c>
      <c r="O543" s="1">
        <v>9100.0</v>
      </c>
      <c r="P543" s="1" t="s">
        <v>194</v>
      </c>
      <c r="Q543" s="1" t="str">
        <f>IF(ISERROR(VLOOKUP(P543,'unique fed agency names'!A:C,3,FALSE)),P543,VLOOKUP(P543,'unique fed agency names'!A:C,3,FALSE))
</f>
        <v>U.S. Department of Education (ED)</v>
      </c>
      <c r="R543" s="1">
        <v>1962224.0</v>
      </c>
      <c r="S543" s="1" t="s">
        <v>52</v>
      </c>
      <c r="T543" s="1" t="str">
        <f>IF(ISERROR(VLOOKUP(S543,'unique org names'!A:C,3,FALSE)),S543,VLOOKUP(S543,'unique org names'!A:C,3,FALSE))
</f>
        <v>WAYNE STATE UNIVERSITY</v>
      </c>
      <c r="V543" s="1" t="s">
        <v>53</v>
      </c>
      <c r="W543" s="1" t="s">
        <v>44</v>
      </c>
      <c r="X543" s="1" t="s">
        <v>45</v>
      </c>
      <c r="Y543" s="1">
        <v>4.82023692E8</v>
      </c>
      <c r="AA543" s="1" t="s">
        <v>46</v>
      </c>
      <c r="AB543" s="1" t="s">
        <v>45</v>
      </c>
      <c r="AC543" s="1">
        <v>4.8202405E8</v>
      </c>
      <c r="AD543" s="1">
        <v>1962224.0</v>
      </c>
      <c r="AF543" s="1">
        <v>77115.0</v>
      </c>
      <c r="AG543" s="2">
        <v>41656.0</v>
      </c>
      <c r="AH543" s="1">
        <v>9100.0</v>
      </c>
      <c r="AI543" s="1" t="s">
        <v>194</v>
      </c>
      <c r="AJ543" s="1">
        <v>3.002891343E9</v>
      </c>
      <c r="AK543" s="1" t="s">
        <v>1514</v>
      </c>
      <c r="AL543" s="1">
        <v>1.0</v>
      </c>
      <c r="AM543" s="1">
        <v>2014.0</v>
      </c>
      <c r="AN543" s="1">
        <v>2014.0</v>
      </c>
      <c r="AO543" s="1" t="s">
        <v>197</v>
      </c>
    </row>
    <row r="544">
      <c r="A544" s="5">
        <v>1.0</v>
      </c>
      <c r="B544" s="1">
        <f t="shared" si="1"/>
        <v>544</v>
      </c>
      <c r="C544" s="1" t="s">
        <v>1515</v>
      </c>
      <c r="D544" s="1" t="s">
        <v>1515</v>
      </c>
      <c r="E544" s="1" t="s">
        <v>38</v>
      </c>
      <c r="G544" s="1">
        <v>1675804.0</v>
      </c>
      <c r="H544" s="2">
        <v>41617.0</v>
      </c>
      <c r="I544" s="1" t="s">
        <v>1516</v>
      </c>
      <c r="K544" s="1" t="s">
        <v>1516</v>
      </c>
      <c r="N544" s="1" t="s">
        <v>40</v>
      </c>
      <c r="O544" s="1">
        <v>7500.0</v>
      </c>
      <c r="P544" s="1" t="s">
        <v>40</v>
      </c>
      <c r="Q544" s="1" t="str">
        <f>IF(ISERROR(VLOOKUP(P544,'unique fed agency names'!A:C,3,FALSE)),P544,VLOOKUP(P544,'unique fed agency names'!A:C,3,FALSE))
</f>
        <v>U.S. Department of Health and Human Services (DHHS)</v>
      </c>
      <c r="R544" s="1">
        <v>7.3134603E7</v>
      </c>
      <c r="S544" s="1" t="s">
        <v>41</v>
      </c>
      <c r="T544" s="1" t="str">
        <f>IF(ISERROR(VLOOKUP(S544,'unique org names'!A:C,3,FALSE)),S544,VLOOKUP(S544,'unique org names'!A:C,3,FALSE))
</f>
        <v>Henry Ford Health System</v>
      </c>
      <c r="U544" s="1" t="s">
        <v>252</v>
      </c>
      <c r="V544" s="1" t="s">
        <v>253</v>
      </c>
      <c r="W544" s="1" t="s">
        <v>44</v>
      </c>
      <c r="X544" s="1" t="s">
        <v>45</v>
      </c>
      <c r="Y544" s="1">
        <v>4.8202345E8</v>
      </c>
      <c r="AA544" s="1" t="s">
        <v>903</v>
      </c>
      <c r="AB544" s="1" t="s">
        <v>45</v>
      </c>
      <c r="AC544" s="1">
        <v>4.8202345E8</v>
      </c>
      <c r="AD544" s="1">
        <v>7.3134603E7</v>
      </c>
      <c r="AE544" s="1" t="s">
        <v>41</v>
      </c>
      <c r="AF544" s="1">
        <v>36325.0</v>
      </c>
      <c r="AG544" s="2">
        <v>41617.0</v>
      </c>
      <c r="AH544" s="1">
        <v>7500.0</v>
      </c>
      <c r="AI544" s="1" t="s">
        <v>40</v>
      </c>
      <c r="AJ544" s="1">
        <v>3.002246114E9</v>
      </c>
      <c r="AK544" s="1" t="s">
        <v>1517</v>
      </c>
      <c r="AL544" s="1">
        <v>12.0</v>
      </c>
      <c r="AM544" s="1">
        <v>2013.0</v>
      </c>
      <c r="AN544" s="1">
        <v>2014.0</v>
      </c>
      <c r="AO544" s="1" t="s">
        <v>415</v>
      </c>
    </row>
    <row r="545">
      <c r="A545" s="5">
        <v>1.0</v>
      </c>
      <c r="B545" s="1">
        <f t="shared" si="1"/>
        <v>545</v>
      </c>
      <c r="C545" s="1" t="s">
        <v>1518</v>
      </c>
      <c r="D545" s="1" t="s">
        <v>1518</v>
      </c>
      <c r="E545" s="1" t="s">
        <v>129</v>
      </c>
      <c r="G545" s="1">
        <v>437400.0</v>
      </c>
      <c r="H545" s="2">
        <v>41589.0</v>
      </c>
      <c r="I545" s="1" t="s">
        <v>1519</v>
      </c>
      <c r="K545" s="1" t="s">
        <v>1519</v>
      </c>
      <c r="N545" s="1" t="s">
        <v>40</v>
      </c>
      <c r="O545" s="1">
        <v>7500.0</v>
      </c>
      <c r="P545" s="1" t="s">
        <v>40</v>
      </c>
      <c r="Q545" s="1" t="str">
        <f>IF(ISERROR(VLOOKUP(P545,'unique fed agency names'!A:C,3,FALSE)),P545,VLOOKUP(P545,'unique fed agency names'!A:C,3,FALSE))
</f>
        <v>U.S. Department of Health and Human Services (DHHS)</v>
      </c>
      <c r="R545" s="1">
        <v>6.9840817E7</v>
      </c>
      <c r="S545" s="1" t="s">
        <v>131</v>
      </c>
      <c r="T545" s="1" t="str">
        <f>IF(ISERROR(VLOOKUP(S545,'unique org names'!A:C,3,FALSE)),S545,VLOOKUP(S545,'unique org names'!A:C,3,FALSE))
</f>
        <v>LUTHERAN SOCIAL SERVICES OF MICHIGAN</v>
      </c>
      <c r="V545" s="1" t="s">
        <v>132</v>
      </c>
      <c r="W545" s="1" t="s">
        <v>44</v>
      </c>
      <c r="X545" s="1" t="s">
        <v>45</v>
      </c>
      <c r="Y545" s="1">
        <v>4.8214261E8</v>
      </c>
      <c r="AA545" s="1" t="s">
        <v>46</v>
      </c>
      <c r="AB545" s="1" t="s">
        <v>45</v>
      </c>
      <c r="AC545" s="1">
        <v>4.8214261E8</v>
      </c>
      <c r="AD545" s="1">
        <v>6.9840817E7</v>
      </c>
      <c r="AE545" s="1" t="s">
        <v>131</v>
      </c>
      <c r="AF545" s="1">
        <v>134762.0</v>
      </c>
      <c r="AG545" s="2">
        <v>41589.0</v>
      </c>
      <c r="AH545" s="1">
        <v>7500.0</v>
      </c>
      <c r="AI545" s="1" t="s">
        <v>40</v>
      </c>
      <c r="AJ545" s="1" t="s">
        <v>1520</v>
      </c>
      <c r="AK545" s="1" t="s">
        <v>1521</v>
      </c>
      <c r="AL545" s="1">
        <v>1.0</v>
      </c>
      <c r="AM545" s="1">
        <v>2014.0</v>
      </c>
      <c r="AN545" s="1">
        <v>2014.0</v>
      </c>
      <c r="AO545" s="1" t="s">
        <v>455</v>
      </c>
    </row>
    <row r="546">
      <c r="A546" s="5">
        <v>1.0</v>
      </c>
      <c r="B546" s="1">
        <f t="shared" si="1"/>
        <v>546</v>
      </c>
      <c r="C546" s="1" t="s">
        <v>1522</v>
      </c>
      <c r="D546" s="1" t="s">
        <v>1522</v>
      </c>
      <c r="E546" s="1" t="s">
        <v>129</v>
      </c>
      <c r="G546" s="1">
        <v>3804839.0</v>
      </c>
      <c r="H546" s="2">
        <v>41624.0</v>
      </c>
      <c r="I546" s="1" t="s">
        <v>1523</v>
      </c>
      <c r="K546" s="1" t="s">
        <v>1523</v>
      </c>
      <c r="N546" s="1" t="s">
        <v>40</v>
      </c>
      <c r="O546" s="1">
        <v>7500.0</v>
      </c>
      <c r="P546" s="1" t="s">
        <v>40</v>
      </c>
      <c r="Q546" s="1" t="str">
        <f>IF(ISERROR(VLOOKUP(P546,'unique fed agency names'!A:C,3,FALSE)),P546,VLOOKUP(P546,'unique fed agency names'!A:C,3,FALSE))
</f>
        <v>U.S. Department of Health and Human Services (DHHS)</v>
      </c>
      <c r="R546" s="1">
        <v>6.9840817E7</v>
      </c>
      <c r="S546" s="1" t="s">
        <v>131</v>
      </c>
      <c r="T546" s="1" t="str">
        <f>IF(ISERROR(VLOOKUP(S546,'unique org names'!A:C,3,FALSE)),S546,VLOOKUP(S546,'unique org names'!A:C,3,FALSE))
</f>
        <v>LUTHERAN SOCIAL SERVICES OF MICHIGAN</v>
      </c>
      <c r="V546" s="1" t="s">
        <v>132</v>
      </c>
      <c r="W546" s="1" t="s">
        <v>44</v>
      </c>
      <c r="X546" s="1" t="s">
        <v>45</v>
      </c>
      <c r="Y546" s="1">
        <v>4.8214261E8</v>
      </c>
      <c r="AA546" s="1" t="s">
        <v>46</v>
      </c>
      <c r="AB546" s="1" t="s">
        <v>1524</v>
      </c>
      <c r="AC546" s="1">
        <v>4.8214261E8</v>
      </c>
      <c r="AD546" s="1">
        <v>6.9840817E7</v>
      </c>
      <c r="AE546" s="1" t="s">
        <v>131</v>
      </c>
      <c r="AF546" s="1">
        <v>302418.0</v>
      </c>
      <c r="AG546" s="2">
        <v>41624.0</v>
      </c>
      <c r="AH546" s="1">
        <v>7500.0</v>
      </c>
      <c r="AI546" s="1" t="s">
        <v>40</v>
      </c>
      <c r="AJ546" s="1" t="s">
        <v>1525</v>
      </c>
      <c r="AK546" s="1" t="s">
        <v>1526</v>
      </c>
      <c r="AL546" s="1">
        <v>1.0</v>
      </c>
      <c r="AM546" s="1">
        <v>2014.0</v>
      </c>
      <c r="AN546" s="1">
        <v>2014.0</v>
      </c>
      <c r="AO546" s="1" t="s">
        <v>141</v>
      </c>
    </row>
    <row r="547">
      <c r="A547" s="5">
        <v>1.0</v>
      </c>
      <c r="B547" s="1">
        <f t="shared" si="1"/>
        <v>547</v>
      </c>
      <c r="C547" s="1" t="s">
        <v>198</v>
      </c>
      <c r="D547" s="1" t="s">
        <v>198</v>
      </c>
      <c r="E547" s="1" t="s">
        <v>38</v>
      </c>
      <c r="G547" s="1">
        <v>6303696.0</v>
      </c>
      <c r="H547" s="2">
        <v>41668.0</v>
      </c>
      <c r="I547" s="1" t="s">
        <v>199</v>
      </c>
      <c r="K547" s="1" t="s">
        <v>199</v>
      </c>
      <c r="N547" s="1" t="s">
        <v>40</v>
      </c>
      <c r="O547" s="1">
        <v>7500.0</v>
      </c>
      <c r="P547" s="1" t="s">
        <v>40</v>
      </c>
      <c r="Q547" s="1" t="str">
        <f>IF(ISERROR(VLOOKUP(P547,'unique fed agency names'!A:C,3,FALSE)),P547,VLOOKUP(P547,'unique fed agency names'!A:C,3,FALSE))
</f>
        <v>U.S. Department of Health and Human Services (DHHS)</v>
      </c>
      <c r="R547" s="1">
        <v>7.3134603E7</v>
      </c>
      <c r="S547" s="1" t="s">
        <v>41</v>
      </c>
      <c r="T547" s="1" t="str">
        <f>IF(ISERROR(VLOOKUP(S547,'unique org names'!A:C,3,FALSE)),S547,VLOOKUP(S547,'unique org names'!A:C,3,FALSE))
</f>
        <v>Henry Ford Health System</v>
      </c>
      <c r="U547" s="1" t="s">
        <v>252</v>
      </c>
      <c r="V547" s="1" t="s">
        <v>253</v>
      </c>
      <c r="W547" s="1" t="s">
        <v>44</v>
      </c>
      <c r="X547" s="1" t="s">
        <v>45</v>
      </c>
      <c r="Y547" s="1">
        <v>4.8202345E8</v>
      </c>
      <c r="AA547" s="1" t="s">
        <v>46</v>
      </c>
      <c r="AB547" s="1" t="s">
        <v>45</v>
      </c>
      <c r="AC547" s="1">
        <v>4.8202345E8</v>
      </c>
      <c r="AD547" s="1">
        <v>7.3134603E7</v>
      </c>
      <c r="AE547" s="1" t="s">
        <v>41</v>
      </c>
      <c r="AF547" s="1">
        <v>92975.0</v>
      </c>
      <c r="AG547" s="2">
        <v>41668.0</v>
      </c>
      <c r="AH547" s="1">
        <v>7500.0</v>
      </c>
      <c r="AI547" s="1" t="s">
        <v>40</v>
      </c>
      <c r="AJ547" s="1" t="s">
        <v>1527</v>
      </c>
      <c r="AK547" s="1" t="s">
        <v>1528</v>
      </c>
      <c r="AL547" s="1">
        <v>2.0</v>
      </c>
      <c r="AM547" s="1">
        <v>2014.0</v>
      </c>
      <c r="AN547" s="1">
        <v>2014.0</v>
      </c>
      <c r="AO547" s="1" t="s">
        <v>202</v>
      </c>
    </row>
    <row r="548">
      <c r="A548" s="5">
        <v>1.0</v>
      </c>
      <c r="B548" s="1">
        <f t="shared" si="1"/>
        <v>548</v>
      </c>
      <c r="C548" s="1" t="s">
        <v>1529</v>
      </c>
      <c r="D548" s="1" t="s">
        <v>1529</v>
      </c>
      <c r="E548" s="1" t="s">
        <v>224</v>
      </c>
      <c r="G548" s="1">
        <v>435283.0</v>
      </c>
      <c r="H548" s="2">
        <v>41404.0</v>
      </c>
      <c r="I548" s="1" t="s">
        <v>1530</v>
      </c>
      <c r="K548" s="1" t="s">
        <v>1530</v>
      </c>
      <c r="N548" s="1" t="s">
        <v>151</v>
      </c>
      <c r="O548" s="1">
        <v>6900.0</v>
      </c>
      <c r="P548" s="1" t="s">
        <v>151</v>
      </c>
      <c r="Q548" s="1" t="str">
        <f>IF(ISERROR(VLOOKUP(P548,'unique fed agency names'!A:C,3,FALSE)),P548,VLOOKUP(P548,'unique fed agency names'!A:C,3,FALSE))
</f>
        <v>U.S. Department of Transportation (DOT)</v>
      </c>
      <c r="R548" s="1">
        <v>1.1855476E8</v>
      </c>
      <c r="S548" s="1" t="s">
        <v>73</v>
      </c>
      <c r="T548" s="1" t="str">
        <f>IF(ISERROR(VLOOKUP(S548,'unique org names'!A:C,3,FALSE)),S548,VLOOKUP(S548,'unique org names'!A:C,3,FALSE))
</f>
        <v>City Of Detroit</v>
      </c>
      <c r="U548" s="1" t="s">
        <v>226</v>
      </c>
      <c r="V548" s="1" t="s">
        <v>227</v>
      </c>
      <c r="W548" s="1" t="s">
        <v>44</v>
      </c>
      <c r="X548" s="1" t="s">
        <v>45</v>
      </c>
      <c r="Y548" s="1">
        <v>4.82262886E8</v>
      </c>
      <c r="AA548" s="1" t="s">
        <v>46</v>
      </c>
      <c r="AB548" s="1" t="s">
        <v>45</v>
      </c>
      <c r="AC548" s="1">
        <v>4.82262886E8</v>
      </c>
      <c r="AD548" s="1">
        <v>6530661.0</v>
      </c>
      <c r="AE548" s="1" t="s">
        <v>76</v>
      </c>
      <c r="AF548" s="1">
        <v>435283.0</v>
      </c>
      <c r="AG548" s="2">
        <v>41404.0</v>
      </c>
      <c r="AH548" s="1">
        <v>6900.0</v>
      </c>
      <c r="AI548" s="1" t="s">
        <v>151</v>
      </c>
      <c r="AJ548" s="1">
        <v>1.0</v>
      </c>
      <c r="AK548" s="1" t="s">
        <v>1531</v>
      </c>
      <c r="AL548" s="1">
        <v>6.0</v>
      </c>
      <c r="AM548" s="1">
        <v>2013.0</v>
      </c>
      <c r="AN548" s="1">
        <v>2013.0</v>
      </c>
      <c r="AO548" s="1" t="s">
        <v>229</v>
      </c>
    </row>
    <row r="549">
      <c r="A549" s="5">
        <v>1.0</v>
      </c>
      <c r="B549" s="1">
        <f t="shared" si="1"/>
        <v>549</v>
      </c>
      <c r="C549" s="1" t="s">
        <v>1532</v>
      </c>
      <c r="D549" s="1" t="s">
        <v>1532</v>
      </c>
      <c r="E549" s="1" t="s">
        <v>224</v>
      </c>
      <c r="G549" s="1">
        <v>162820.0</v>
      </c>
      <c r="H549" s="2">
        <v>41409.0</v>
      </c>
      <c r="I549" s="1" t="s">
        <v>1533</v>
      </c>
      <c r="K549" s="1" t="s">
        <v>1533</v>
      </c>
      <c r="N549" s="1" t="s">
        <v>151</v>
      </c>
      <c r="O549" s="1">
        <v>6900.0</v>
      </c>
      <c r="P549" s="1" t="s">
        <v>151</v>
      </c>
      <c r="Q549" s="1" t="str">
        <f>IF(ISERROR(VLOOKUP(P549,'unique fed agency names'!A:C,3,FALSE)),P549,VLOOKUP(P549,'unique fed agency names'!A:C,3,FALSE))
</f>
        <v>U.S. Department of Transportation (DOT)</v>
      </c>
      <c r="R549" s="1">
        <v>9.63886101E8</v>
      </c>
      <c r="S549" s="1" t="s">
        <v>259</v>
      </c>
      <c r="T549" s="1" t="str">
        <f>IF(ISERROR(VLOOKUP(S549,'unique org names'!A:C,3,FALSE)),S549,VLOOKUP(S549,'unique org names'!A:C,3,FALSE))
</f>
        <v>Wayne County</v>
      </c>
      <c r="V549" s="1" t="s">
        <v>260</v>
      </c>
      <c r="W549" s="1" t="s">
        <v>44</v>
      </c>
      <c r="X549" s="1" t="s">
        <v>45</v>
      </c>
      <c r="Y549" s="1">
        <v>4.8226348E8</v>
      </c>
      <c r="AA549" s="1" t="s">
        <v>46</v>
      </c>
      <c r="AB549" s="1" t="s">
        <v>45</v>
      </c>
      <c r="AC549" s="1">
        <v>4.8226348E8</v>
      </c>
      <c r="AD549" s="1">
        <v>7.3134884E7</v>
      </c>
      <c r="AE549" s="1" t="s">
        <v>261</v>
      </c>
      <c r="AF549" s="1">
        <v>162820.03</v>
      </c>
      <c r="AG549" s="2">
        <v>41409.0</v>
      </c>
      <c r="AH549" s="1">
        <v>6900.0</v>
      </c>
      <c r="AI549" s="1" t="s">
        <v>151</v>
      </c>
      <c r="AJ549" s="1">
        <v>1.0</v>
      </c>
      <c r="AK549" s="1" t="s">
        <v>1534</v>
      </c>
      <c r="AL549" s="1">
        <v>6.0</v>
      </c>
      <c r="AM549" s="1">
        <v>2013.0</v>
      </c>
      <c r="AN549" s="1">
        <v>2013.0</v>
      </c>
      <c r="AO549" s="1" t="s">
        <v>229</v>
      </c>
    </row>
    <row r="550">
      <c r="A550" s="5">
        <v>1.0</v>
      </c>
      <c r="B550" s="1">
        <f t="shared" si="1"/>
        <v>550</v>
      </c>
      <c r="C550" s="1" t="s">
        <v>1535</v>
      </c>
      <c r="D550" s="1" t="s">
        <v>1535</v>
      </c>
      <c r="E550" s="1" t="s">
        <v>224</v>
      </c>
      <c r="G550" s="1">
        <v>1174805.0</v>
      </c>
      <c r="H550" s="2">
        <v>41425.0</v>
      </c>
      <c r="I550" s="1" t="s">
        <v>1536</v>
      </c>
      <c r="K550" s="1" t="s">
        <v>1536</v>
      </c>
      <c r="N550" s="1" t="s">
        <v>151</v>
      </c>
      <c r="O550" s="1">
        <v>6900.0</v>
      </c>
      <c r="P550" s="1" t="s">
        <v>151</v>
      </c>
      <c r="Q550" s="1" t="str">
        <f>IF(ISERROR(VLOOKUP(P550,'unique fed agency names'!A:C,3,FALSE)),P550,VLOOKUP(P550,'unique fed agency names'!A:C,3,FALSE))
</f>
        <v>U.S. Department of Transportation (DOT)</v>
      </c>
      <c r="R550" s="1">
        <v>9.63886101E8</v>
      </c>
      <c r="S550" s="1" t="s">
        <v>259</v>
      </c>
      <c r="T550" s="1" t="str">
        <f>IF(ISERROR(VLOOKUP(S550,'unique org names'!A:C,3,FALSE)),S550,VLOOKUP(S550,'unique org names'!A:C,3,FALSE))
</f>
        <v>Wayne County</v>
      </c>
      <c r="V550" s="1" t="s">
        <v>260</v>
      </c>
      <c r="W550" s="1" t="s">
        <v>44</v>
      </c>
      <c r="X550" s="1" t="s">
        <v>45</v>
      </c>
      <c r="Y550" s="1">
        <v>4.8226348E8</v>
      </c>
      <c r="AA550" s="1" t="s">
        <v>46</v>
      </c>
      <c r="AB550" s="1" t="s">
        <v>45</v>
      </c>
      <c r="AC550" s="1">
        <v>4.8226348E8</v>
      </c>
      <c r="AD550" s="1">
        <v>7.3134884E7</v>
      </c>
      <c r="AE550" s="1" t="s">
        <v>261</v>
      </c>
      <c r="AF550" s="1">
        <v>1174805.16</v>
      </c>
      <c r="AG550" s="2">
        <v>41425.0</v>
      </c>
      <c r="AH550" s="1">
        <v>6900.0</v>
      </c>
      <c r="AI550" s="1" t="s">
        <v>151</v>
      </c>
      <c r="AJ550" s="1">
        <v>1.0</v>
      </c>
      <c r="AK550" s="1" t="s">
        <v>1537</v>
      </c>
      <c r="AL550" s="1">
        <v>6.0</v>
      </c>
      <c r="AM550" s="1">
        <v>2013.0</v>
      </c>
      <c r="AN550" s="1">
        <v>2013.0</v>
      </c>
      <c r="AO550" s="1" t="s">
        <v>229</v>
      </c>
    </row>
    <row r="551">
      <c r="A551" s="5">
        <v>1.0</v>
      </c>
      <c r="B551" s="1">
        <f t="shared" si="1"/>
        <v>551</v>
      </c>
      <c r="C551" s="1" t="s">
        <v>1538</v>
      </c>
      <c r="D551" s="1" t="s">
        <v>1538</v>
      </c>
      <c r="E551" s="1" t="s">
        <v>224</v>
      </c>
      <c r="G551" s="1">
        <v>67217.0</v>
      </c>
      <c r="H551" s="2">
        <v>41404.0</v>
      </c>
      <c r="I551" s="1" t="s">
        <v>1530</v>
      </c>
      <c r="K551" s="1" t="s">
        <v>1530</v>
      </c>
      <c r="N551" s="1" t="s">
        <v>151</v>
      </c>
      <c r="O551" s="1">
        <v>6900.0</v>
      </c>
      <c r="P551" s="1" t="s">
        <v>151</v>
      </c>
      <c r="Q551" s="1" t="str">
        <f>IF(ISERROR(VLOOKUP(P551,'unique fed agency names'!A:C,3,FALSE)),P551,VLOOKUP(P551,'unique fed agency names'!A:C,3,FALSE))
</f>
        <v>U.S. Department of Transportation (DOT)</v>
      </c>
      <c r="R551" s="1">
        <v>1.1855476E8</v>
      </c>
      <c r="S551" s="1" t="s">
        <v>73</v>
      </c>
      <c r="T551" s="1" t="str">
        <f>IF(ISERROR(VLOOKUP(S551,'unique org names'!A:C,3,FALSE)),S551,VLOOKUP(S551,'unique org names'!A:C,3,FALSE))
</f>
        <v>City Of Detroit</v>
      </c>
      <c r="U551" s="1" t="s">
        <v>226</v>
      </c>
      <c r="V551" s="1" t="s">
        <v>227</v>
      </c>
      <c r="W551" s="1" t="s">
        <v>44</v>
      </c>
      <c r="X551" s="1" t="s">
        <v>45</v>
      </c>
      <c r="Y551" s="1">
        <v>4.82262886E8</v>
      </c>
      <c r="AA551" s="1" t="s">
        <v>46</v>
      </c>
      <c r="AB551" s="1" t="s">
        <v>45</v>
      </c>
      <c r="AC551" s="1">
        <v>4.82262886E8</v>
      </c>
      <c r="AD551" s="1">
        <v>6530661.0</v>
      </c>
      <c r="AE551" s="1" t="s">
        <v>76</v>
      </c>
      <c r="AF551" s="1">
        <v>67217.45</v>
      </c>
      <c r="AG551" s="2">
        <v>41404.0</v>
      </c>
      <c r="AH551" s="1">
        <v>6900.0</v>
      </c>
      <c r="AI551" s="1" t="s">
        <v>151</v>
      </c>
      <c r="AJ551" s="1">
        <v>1.0</v>
      </c>
      <c r="AK551" s="1" t="s">
        <v>1531</v>
      </c>
      <c r="AL551" s="1">
        <v>6.0</v>
      </c>
      <c r="AM551" s="1">
        <v>2013.0</v>
      </c>
      <c r="AN551" s="1">
        <v>2013.0</v>
      </c>
      <c r="AO551" s="1" t="s">
        <v>229</v>
      </c>
    </row>
    <row r="552">
      <c r="A552" s="5">
        <v>1.0</v>
      </c>
      <c r="B552" s="1">
        <f t="shared" si="1"/>
        <v>552</v>
      </c>
      <c r="C552" s="1" t="s">
        <v>1539</v>
      </c>
      <c r="D552" s="1" t="s">
        <v>1539</v>
      </c>
      <c r="E552" s="1" t="s">
        <v>224</v>
      </c>
      <c r="G552" s="1">
        <v>174413.0</v>
      </c>
      <c r="H552" s="2">
        <v>41404.0</v>
      </c>
      <c r="I552" s="1" t="s">
        <v>1540</v>
      </c>
      <c r="K552" s="1" t="s">
        <v>1540</v>
      </c>
      <c r="N552" s="1" t="s">
        <v>151</v>
      </c>
      <c r="O552" s="1">
        <v>6900.0</v>
      </c>
      <c r="P552" s="1" t="s">
        <v>151</v>
      </c>
      <c r="Q552" s="1" t="str">
        <f>IF(ISERROR(VLOOKUP(P552,'unique fed agency names'!A:C,3,FALSE)),P552,VLOOKUP(P552,'unique fed agency names'!A:C,3,FALSE))
</f>
        <v>U.S. Department of Transportation (DOT)</v>
      </c>
      <c r="R552" s="1">
        <v>1.1855476E8</v>
      </c>
      <c r="S552" s="1" t="s">
        <v>73</v>
      </c>
      <c r="T552" s="1" t="str">
        <f>IF(ISERROR(VLOOKUP(S552,'unique org names'!A:C,3,FALSE)),S552,VLOOKUP(S552,'unique org names'!A:C,3,FALSE))
</f>
        <v>City Of Detroit</v>
      </c>
      <c r="U552" s="1" t="s">
        <v>226</v>
      </c>
      <c r="V552" s="1" t="s">
        <v>227</v>
      </c>
      <c r="W552" s="1" t="s">
        <v>44</v>
      </c>
      <c r="X552" s="1" t="s">
        <v>45</v>
      </c>
      <c r="Y552" s="1">
        <v>4.82262886E8</v>
      </c>
      <c r="AA552" s="1" t="s">
        <v>46</v>
      </c>
      <c r="AB552" s="1" t="s">
        <v>45</v>
      </c>
      <c r="AC552" s="1">
        <v>4.82262886E8</v>
      </c>
      <c r="AD552" s="1">
        <v>6530661.0</v>
      </c>
      <c r="AE552" s="1" t="s">
        <v>76</v>
      </c>
      <c r="AF552" s="1">
        <v>174413.0</v>
      </c>
      <c r="AG552" s="2">
        <v>41404.0</v>
      </c>
      <c r="AH552" s="1">
        <v>6900.0</v>
      </c>
      <c r="AI552" s="1" t="s">
        <v>151</v>
      </c>
      <c r="AJ552" s="1">
        <v>1.0</v>
      </c>
      <c r="AK552" s="1" t="s">
        <v>1540</v>
      </c>
      <c r="AL552" s="1">
        <v>6.0</v>
      </c>
      <c r="AM552" s="1">
        <v>2013.0</v>
      </c>
      <c r="AN552" s="1">
        <v>2013.0</v>
      </c>
      <c r="AO552" s="1" t="s">
        <v>229</v>
      </c>
    </row>
    <row r="553">
      <c r="A553" s="5">
        <v>1.0</v>
      </c>
      <c r="B553" s="1">
        <f t="shared" si="1"/>
        <v>553</v>
      </c>
      <c r="C553" s="1" t="s">
        <v>148</v>
      </c>
      <c r="D553" s="1" t="s">
        <v>148</v>
      </c>
      <c r="E553" s="1" t="s">
        <v>149</v>
      </c>
      <c r="G553" s="1">
        <v>6890600.0</v>
      </c>
      <c r="H553" s="2">
        <v>41416.0</v>
      </c>
      <c r="I553" s="1" t="s">
        <v>150</v>
      </c>
      <c r="K553" s="1" t="s">
        <v>150</v>
      </c>
      <c r="N553" s="1" t="s">
        <v>151</v>
      </c>
      <c r="O553" s="1">
        <v>6900.0</v>
      </c>
      <c r="P553" s="1" t="s">
        <v>151</v>
      </c>
      <c r="Q553" s="1" t="str">
        <f>IF(ISERROR(VLOOKUP(P553,'unique fed agency names'!A:C,3,FALSE)),P553,VLOOKUP(P553,'unique fed agency names'!A:C,3,FALSE))
</f>
        <v>U.S. Department of Transportation (DOT)</v>
      </c>
      <c r="R553" s="1">
        <v>7.3135402E7</v>
      </c>
      <c r="S553" s="1" t="s">
        <v>152</v>
      </c>
      <c r="T553" s="1" t="str">
        <f>IF(ISERROR(VLOOKUP(S553,'unique org names'!A:C,3,FALSE)),S553,VLOOKUP(S553,'unique org names'!A:C,3,FALSE))
</f>
        <v>UNIVERSITY OF DETROIT MERCY</v>
      </c>
      <c r="U553" s="1" t="s">
        <v>153</v>
      </c>
      <c r="V553" s="1" t="s">
        <v>154</v>
      </c>
      <c r="W553" s="1" t="s">
        <v>44</v>
      </c>
      <c r="X553" s="1" t="s">
        <v>45</v>
      </c>
      <c r="Y553" s="1">
        <v>4.82213038E8</v>
      </c>
      <c r="AA553" s="1" t="s">
        <v>46</v>
      </c>
      <c r="AB553" s="1" t="s">
        <v>45</v>
      </c>
      <c r="AC553" s="1">
        <v>4.82213038E8</v>
      </c>
      <c r="AD553" s="1">
        <v>7.3135402E7</v>
      </c>
      <c r="AE553" s="1" t="s">
        <v>152</v>
      </c>
      <c r="AF553" s="1">
        <v>232977.0</v>
      </c>
      <c r="AG553" s="2">
        <v>41416.0</v>
      </c>
      <c r="AH553" s="1">
        <v>6900.0</v>
      </c>
      <c r="AI553" s="1" t="s">
        <v>151</v>
      </c>
      <c r="AJ553" s="1">
        <v>2.111005009E9</v>
      </c>
      <c r="AK553" s="1" t="s">
        <v>1541</v>
      </c>
      <c r="AL553" s="1">
        <v>6.0</v>
      </c>
      <c r="AM553" s="1">
        <v>2013.0</v>
      </c>
      <c r="AN553" s="1">
        <v>2013.0</v>
      </c>
      <c r="AO553" s="1" t="s">
        <v>157</v>
      </c>
    </row>
    <row r="554">
      <c r="A554" s="5">
        <v>1.0</v>
      </c>
      <c r="B554" s="1">
        <f t="shared" si="1"/>
        <v>554</v>
      </c>
      <c r="C554" s="1" t="s">
        <v>1542</v>
      </c>
      <c r="D554" s="1" t="s">
        <v>1542</v>
      </c>
      <c r="E554" s="1" t="s">
        <v>224</v>
      </c>
      <c r="G554" s="1">
        <v>636309.0</v>
      </c>
      <c r="H554" s="2">
        <v>41416.0</v>
      </c>
      <c r="I554" s="1" t="s">
        <v>1543</v>
      </c>
      <c r="K554" s="1" t="s">
        <v>1543</v>
      </c>
      <c r="N554" s="1" t="s">
        <v>151</v>
      </c>
      <c r="O554" s="1">
        <v>6900.0</v>
      </c>
      <c r="P554" s="1" t="s">
        <v>151</v>
      </c>
      <c r="Q554" s="1" t="str">
        <f>IF(ISERROR(VLOOKUP(P554,'unique fed agency names'!A:C,3,FALSE)),P554,VLOOKUP(P554,'unique fed agency names'!A:C,3,FALSE))
</f>
        <v>U.S. Department of Transportation (DOT)</v>
      </c>
      <c r="R554" s="1">
        <v>1.1855476E8</v>
      </c>
      <c r="S554" s="1" t="s">
        <v>73</v>
      </c>
      <c r="T554" s="1" t="str">
        <f>IF(ISERROR(VLOOKUP(S554,'unique org names'!A:C,3,FALSE)),S554,VLOOKUP(S554,'unique org names'!A:C,3,FALSE))
</f>
        <v>City Of Detroit</v>
      </c>
      <c r="U554" s="1" t="s">
        <v>226</v>
      </c>
      <c r="V554" s="1" t="s">
        <v>227</v>
      </c>
      <c r="W554" s="1" t="s">
        <v>44</v>
      </c>
      <c r="X554" s="1" t="s">
        <v>45</v>
      </c>
      <c r="Y554" s="1">
        <v>4.82262886E8</v>
      </c>
      <c r="AA554" s="1" t="s">
        <v>46</v>
      </c>
      <c r="AB554" s="1" t="s">
        <v>45</v>
      </c>
      <c r="AC554" s="1">
        <v>4.82262886E8</v>
      </c>
      <c r="AD554" s="1">
        <v>6530661.0</v>
      </c>
      <c r="AE554" s="1" t="s">
        <v>76</v>
      </c>
      <c r="AF554" s="1">
        <v>636309.6</v>
      </c>
      <c r="AG554" s="2">
        <v>41416.0</v>
      </c>
      <c r="AH554" s="1">
        <v>6900.0</v>
      </c>
      <c r="AI554" s="1" t="s">
        <v>151</v>
      </c>
      <c r="AJ554" s="1">
        <v>1.0</v>
      </c>
      <c r="AK554" s="1" t="s">
        <v>1544</v>
      </c>
      <c r="AL554" s="1">
        <v>6.0</v>
      </c>
      <c r="AM554" s="1">
        <v>2013.0</v>
      </c>
      <c r="AN554" s="1">
        <v>2013.0</v>
      </c>
      <c r="AO554" s="1" t="s">
        <v>229</v>
      </c>
    </row>
    <row r="555">
      <c r="A555" s="5">
        <v>1.0</v>
      </c>
      <c r="B555" s="1">
        <f t="shared" si="1"/>
        <v>555</v>
      </c>
      <c r="C555" s="1" t="s">
        <v>1545</v>
      </c>
      <c r="D555" s="1" t="s">
        <v>1545</v>
      </c>
      <c r="E555" s="1" t="s">
        <v>224</v>
      </c>
      <c r="G555" s="1">
        <v>28086.0</v>
      </c>
      <c r="H555" s="2">
        <v>41404.0</v>
      </c>
      <c r="I555" s="1" t="s">
        <v>1540</v>
      </c>
      <c r="K555" s="1" t="s">
        <v>1540</v>
      </c>
      <c r="N555" s="1" t="s">
        <v>151</v>
      </c>
      <c r="O555" s="1">
        <v>6900.0</v>
      </c>
      <c r="P555" s="1" t="s">
        <v>151</v>
      </c>
      <c r="Q555" s="1" t="str">
        <f>IF(ISERROR(VLOOKUP(P555,'unique fed agency names'!A:C,3,FALSE)),P555,VLOOKUP(P555,'unique fed agency names'!A:C,3,FALSE))
</f>
        <v>U.S. Department of Transportation (DOT)</v>
      </c>
      <c r="R555" s="1">
        <v>1.1855476E8</v>
      </c>
      <c r="S555" s="1" t="s">
        <v>73</v>
      </c>
      <c r="T555" s="1" t="str">
        <f>IF(ISERROR(VLOOKUP(S555,'unique org names'!A:C,3,FALSE)),S555,VLOOKUP(S555,'unique org names'!A:C,3,FALSE))
</f>
        <v>City Of Detroit</v>
      </c>
      <c r="U555" s="1" t="s">
        <v>226</v>
      </c>
      <c r="V555" s="1" t="s">
        <v>227</v>
      </c>
      <c r="W555" s="1" t="s">
        <v>44</v>
      </c>
      <c r="X555" s="1" t="s">
        <v>45</v>
      </c>
      <c r="Y555" s="1">
        <v>4.82262886E8</v>
      </c>
      <c r="AA555" s="1" t="s">
        <v>46</v>
      </c>
      <c r="AB555" s="1" t="s">
        <v>45</v>
      </c>
      <c r="AC555" s="1">
        <v>4.82262886E8</v>
      </c>
      <c r="AD555" s="1">
        <v>6530661.0</v>
      </c>
      <c r="AE555" s="1" t="s">
        <v>76</v>
      </c>
      <c r="AF555" s="1">
        <v>28086.95</v>
      </c>
      <c r="AG555" s="2">
        <v>41404.0</v>
      </c>
      <c r="AH555" s="1">
        <v>6900.0</v>
      </c>
      <c r="AI555" s="1" t="s">
        <v>151</v>
      </c>
      <c r="AJ555" s="1">
        <v>1.0</v>
      </c>
      <c r="AK555" s="1" t="s">
        <v>1540</v>
      </c>
      <c r="AL555" s="1">
        <v>6.0</v>
      </c>
      <c r="AM555" s="1">
        <v>2013.0</v>
      </c>
      <c r="AN555" s="1">
        <v>2013.0</v>
      </c>
      <c r="AO555" s="1" t="s">
        <v>229</v>
      </c>
    </row>
    <row r="556">
      <c r="A556" s="5">
        <v>1.0</v>
      </c>
      <c r="B556" s="1">
        <f t="shared" si="1"/>
        <v>556</v>
      </c>
      <c r="C556" s="1" t="s">
        <v>1546</v>
      </c>
      <c r="D556" s="1" t="s">
        <v>1546</v>
      </c>
      <c r="E556" s="1" t="s">
        <v>224</v>
      </c>
      <c r="G556" s="1">
        <v>613875.0</v>
      </c>
      <c r="H556" s="2">
        <v>41418.0</v>
      </c>
      <c r="I556" s="1" t="s">
        <v>1547</v>
      </c>
      <c r="K556" s="1" t="s">
        <v>1547</v>
      </c>
      <c r="N556" s="1" t="s">
        <v>151</v>
      </c>
      <c r="O556" s="1">
        <v>6900.0</v>
      </c>
      <c r="P556" s="1" t="s">
        <v>151</v>
      </c>
      <c r="Q556" s="1" t="str">
        <f>IF(ISERROR(VLOOKUP(P556,'unique fed agency names'!A:C,3,FALSE)),P556,VLOOKUP(P556,'unique fed agency names'!A:C,3,FALSE))
</f>
        <v>U.S. Department of Transportation (DOT)</v>
      </c>
      <c r="R556" s="1">
        <v>1.1855476E8</v>
      </c>
      <c r="S556" s="1" t="s">
        <v>73</v>
      </c>
      <c r="T556" s="1" t="str">
        <f>IF(ISERROR(VLOOKUP(S556,'unique org names'!A:C,3,FALSE)),S556,VLOOKUP(S556,'unique org names'!A:C,3,FALSE))
</f>
        <v>City Of Detroit</v>
      </c>
      <c r="U556" s="1" t="s">
        <v>226</v>
      </c>
      <c r="V556" s="1" t="s">
        <v>227</v>
      </c>
      <c r="W556" s="1" t="s">
        <v>44</v>
      </c>
      <c r="X556" s="1" t="s">
        <v>45</v>
      </c>
      <c r="Y556" s="1">
        <v>4.82262886E8</v>
      </c>
      <c r="AA556" s="1" t="s">
        <v>46</v>
      </c>
      <c r="AB556" s="1" t="s">
        <v>45</v>
      </c>
      <c r="AC556" s="1">
        <v>4.82262886E8</v>
      </c>
      <c r="AD556" s="1">
        <v>6530661.0</v>
      </c>
      <c r="AE556" s="1" t="s">
        <v>76</v>
      </c>
      <c r="AF556" s="1">
        <v>613875.0</v>
      </c>
      <c r="AG556" s="2">
        <v>41418.0</v>
      </c>
      <c r="AH556" s="1">
        <v>6900.0</v>
      </c>
      <c r="AI556" s="1" t="s">
        <v>151</v>
      </c>
      <c r="AJ556" s="1">
        <v>1.0</v>
      </c>
      <c r="AK556" s="1" t="s">
        <v>1548</v>
      </c>
      <c r="AL556" s="1">
        <v>6.0</v>
      </c>
      <c r="AM556" s="1">
        <v>2013.0</v>
      </c>
      <c r="AN556" s="1">
        <v>2013.0</v>
      </c>
      <c r="AO556" s="1" t="s">
        <v>229</v>
      </c>
    </row>
    <row r="557">
      <c r="A557" s="5">
        <v>1.0</v>
      </c>
      <c r="B557" s="1">
        <f t="shared" si="1"/>
        <v>557</v>
      </c>
      <c r="C557" s="1" t="s">
        <v>1549</v>
      </c>
      <c r="D557" s="1" t="s">
        <v>1549</v>
      </c>
      <c r="E557" s="1" t="s">
        <v>224</v>
      </c>
      <c r="G557" s="1">
        <v>939489.0</v>
      </c>
      <c r="H557" s="2">
        <v>41425.0</v>
      </c>
      <c r="I557" s="1" t="s">
        <v>1550</v>
      </c>
      <c r="K557" s="1" t="s">
        <v>1550</v>
      </c>
      <c r="N557" s="1" t="s">
        <v>151</v>
      </c>
      <c r="O557" s="1">
        <v>6900.0</v>
      </c>
      <c r="P557" s="1" t="s">
        <v>151</v>
      </c>
      <c r="Q557" s="1" t="str">
        <f>IF(ISERROR(VLOOKUP(P557,'unique fed agency names'!A:C,3,FALSE)),P557,VLOOKUP(P557,'unique fed agency names'!A:C,3,FALSE))
</f>
        <v>U.S. Department of Transportation (DOT)</v>
      </c>
      <c r="R557" s="1">
        <v>9.63886101E8</v>
      </c>
      <c r="S557" s="1" t="s">
        <v>259</v>
      </c>
      <c r="T557" s="1" t="str">
        <f>IF(ISERROR(VLOOKUP(S557,'unique org names'!A:C,3,FALSE)),S557,VLOOKUP(S557,'unique org names'!A:C,3,FALSE))
</f>
        <v>Wayne County</v>
      </c>
      <c r="V557" s="1" t="s">
        <v>260</v>
      </c>
      <c r="W557" s="1" t="s">
        <v>44</v>
      </c>
      <c r="X557" s="1" t="s">
        <v>45</v>
      </c>
      <c r="Y557" s="1">
        <v>4.8226348E8</v>
      </c>
      <c r="AA557" s="1" t="s">
        <v>46</v>
      </c>
      <c r="AB557" s="1" t="s">
        <v>45</v>
      </c>
      <c r="AC557" s="1">
        <v>4.8226348E8</v>
      </c>
      <c r="AD557" s="1">
        <v>7.3134884E7</v>
      </c>
      <c r="AE557" s="1" t="s">
        <v>261</v>
      </c>
      <c r="AF557" s="1">
        <v>939489.77</v>
      </c>
      <c r="AG557" s="2">
        <v>41425.0</v>
      </c>
      <c r="AH557" s="1">
        <v>6900.0</v>
      </c>
      <c r="AI557" s="1" t="s">
        <v>151</v>
      </c>
      <c r="AJ557" s="1">
        <v>1.0</v>
      </c>
      <c r="AK557" s="1" t="s">
        <v>1551</v>
      </c>
      <c r="AL557" s="1">
        <v>6.0</v>
      </c>
      <c r="AM557" s="1">
        <v>2013.0</v>
      </c>
      <c r="AN557" s="1">
        <v>2013.0</v>
      </c>
      <c r="AO557" s="1" t="s">
        <v>229</v>
      </c>
    </row>
    <row r="558">
      <c r="A558" s="5">
        <v>1.0</v>
      </c>
      <c r="B558" s="1">
        <f t="shared" si="1"/>
        <v>558</v>
      </c>
      <c r="C558" s="1" t="s">
        <v>1552</v>
      </c>
      <c r="D558" s="1" t="s">
        <v>1552</v>
      </c>
      <c r="E558" s="1" t="s">
        <v>224</v>
      </c>
      <c r="G558" s="1">
        <v>177919.0</v>
      </c>
      <c r="H558" s="2">
        <v>41425.0</v>
      </c>
      <c r="I558" s="1" t="s">
        <v>1536</v>
      </c>
      <c r="K558" s="1" t="s">
        <v>1536</v>
      </c>
      <c r="N558" s="1" t="s">
        <v>151</v>
      </c>
      <c r="O558" s="1">
        <v>6900.0</v>
      </c>
      <c r="P558" s="1" t="s">
        <v>151</v>
      </c>
      <c r="Q558" s="1" t="str">
        <f>IF(ISERROR(VLOOKUP(P558,'unique fed agency names'!A:C,3,FALSE)),P558,VLOOKUP(P558,'unique fed agency names'!A:C,3,FALSE))
</f>
        <v>U.S. Department of Transportation (DOT)</v>
      </c>
      <c r="R558" s="1">
        <v>9.63886101E8</v>
      </c>
      <c r="S558" s="1" t="s">
        <v>259</v>
      </c>
      <c r="T558" s="1" t="str">
        <f>IF(ISERROR(VLOOKUP(S558,'unique org names'!A:C,3,FALSE)),S558,VLOOKUP(S558,'unique org names'!A:C,3,FALSE))
</f>
        <v>Wayne County</v>
      </c>
      <c r="V558" s="1" t="s">
        <v>260</v>
      </c>
      <c r="W558" s="1" t="s">
        <v>44</v>
      </c>
      <c r="X558" s="1" t="s">
        <v>45</v>
      </c>
      <c r="Y558" s="1">
        <v>4.8226348E8</v>
      </c>
      <c r="AA558" s="1" t="s">
        <v>46</v>
      </c>
      <c r="AB558" s="1" t="s">
        <v>45</v>
      </c>
      <c r="AC558" s="1">
        <v>4.8226348E8</v>
      </c>
      <c r="AD558" s="1">
        <v>7.3134884E7</v>
      </c>
      <c r="AE558" s="1" t="s">
        <v>261</v>
      </c>
      <c r="AF558" s="1">
        <v>177919.16</v>
      </c>
      <c r="AG558" s="2">
        <v>41425.0</v>
      </c>
      <c r="AH558" s="1">
        <v>6900.0</v>
      </c>
      <c r="AI558" s="1" t="s">
        <v>151</v>
      </c>
      <c r="AJ558" s="1">
        <v>1.0</v>
      </c>
      <c r="AK558" s="1" t="s">
        <v>1537</v>
      </c>
      <c r="AL558" s="1">
        <v>6.0</v>
      </c>
      <c r="AM558" s="1">
        <v>2013.0</v>
      </c>
      <c r="AN558" s="1">
        <v>2013.0</v>
      </c>
      <c r="AO558" s="1" t="s">
        <v>229</v>
      </c>
    </row>
    <row r="559">
      <c r="A559" s="5">
        <v>1.0</v>
      </c>
      <c r="B559" s="1">
        <f t="shared" si="1"/>
        <v>559</v>
      </c>
      <c r="C559" s="1" t="s">
        <v>1553</v>
      </c>
      <c r="D559" s="1" t="s">
        <v>1553</v>
      </c>
      <c r="E559" s="1" t="s">
        <v>224</v>
      </c>
      <c r="G559" s="1">
        <v>1074962.0</v>
      </c>
      <c r="H559" s="2">
        <v>41409.0</v>
      </c>
      <c r="I559" s="1" t="s">
        <v>1533</v>
      </c>
      <c r="K559" s="1" t="s">
        <v>1533</v>
      </c>
      <c r="N559" s="1" t="s">
        <v>151</v>
      </c>
      <c r="O559" s="1">
        <v>6900.0</v>
      </c>
      <c r="P559" s="1" t="s">
        <v>151</v>
      </c>
      <c r="Q559" s="1" t="str">
        <f>IF(ISERROR(VLOOKUP(P559,'unique fed agency names'!A:C,3,FALSE)),P559,VLOOKUP(P559,'unique fed agency names'!A:C,3,FALSE))
</f>
        <v>U.S. Department of Transportation (DOT)</v>
      </c>
      <c r="R559" s="1">
        <v>9.63886101E8</v>
      </c>
      <c r="S559" s="1" t="s">
        <v>259</v>
      </c>
      <c r="T559" s="1" t="str">
        <f>IF(ISERROR(VLOOKUP(S559,'unique org names'!A:C,3,FALSE)),S559,VLOOKUP(S559,'unique org names'!A:C,3,FALSE))
</f>
        <v>Wayne County</v>
      </c>
      <c r="V559" s="1" t="s">
        <v>260</v>
      </c>
      <c r="W559" s="1" t="s">
        <v>44</v>
      </c>
      <c r="X559" s="1" t="s">
        <v>45</v>
      </c>
      <c r="Y559" s="1">
        <v>4.8226348E8</v>
      </c>
      <c r="AA559" s="1" t="s">
        <v>46</v>
      </c>
      <c r="AB559" s="1" t="s">
        <v>45</v>
      </c>
      <c r="AC559" s="1">
        <v>4.8226348E8</v>
      </c>
      <c r="AD559" s="1">
        <v>7.3134884E7</v>
      </c>
      <c r="AE559" s="1" t="s">
        <v>261</v>
      </c>
      <c r="AF559" s="1">
        <v>1074962.86</v>
      </c>
      <c r="AG559" s="2">
        <v>41409.0</v>
      </c>
      <c r="AH559" s="1">
        <v>6900.0</v>
      </c>
      <c r="AI559" s="1" t="s">
        <v>151</v>
      </c>
      <c r="AJ559" s="1">
        <v>1.0</v>
      </c>
      <c r="AK559" s="1" t="s">
        <v>1534</v>
      </c>
      <c r="AL559" s="1">
        <v>6.0</v>
      </c>
      <c r="AM559" s="1">
        <v>2013.0</v>
      </c>
      <c r="AN559" s="1">
        <v>2013.0</v>
      </c>
      <c r="AO559" s="1" t="s">
        <v>229</v>
      </c>
    </row>
    <row r="560">
      <c r="A560" s="5">
        <v>1.0</v>
      </c>
      <c r="B560" s="1">
        <f t="shared" si="1"/>
        <v>560</v>
      </c>
      <c r="C560" s="1" t="s">
        <v>1554</v>
      </c>
      <c r="D560" s="1" t="s">
        <v>1554</v>
      </c>
      <c r="E560" s="1" t="s">
        <v>224</v>
      </c>
      <c r="G560" s="1">
        <v>142499.0</v>
      </c>
      <c r="H560" s="2">
        <v>41425.0</v>
      </c>
      <c r="I560" s="1" t="s">
        <v>1550</v>
      </c>
      <c r="K560" s="1" t="s">
        <v>1550</v>
      </c>
      <c r="N560" s="1" t="s">
        <v>151</v>
      </c>
      <c r="O560" s="1">
        <v>6900.0</v>
      </c>
      <c r="P560" s="1" t="s">
        <v>151</v>
      </c>
      <c r="Q560" s="1" t="str">
        <f>IF(ISERROR(VLOOKUP(P560,'unique fed agency names'!A:C,3,FALSE)),P560,VLOOKUP(P560,'unique fed agency names'!A:C,3,FALSE))
</f>
        <v>U.S. Department of Transportation (DOT)</v>
      </c>
      <c r="R560" s="1">
        <v>9.63886101E8</v>
      </c>
      <c r="S560" s="1" t="s">
        <v>259</v>
      </c>
      <c r="T560" s="1" t="str">
        <f>IF(ISERROR(VLOOKUP(S560,'unique org names'!A:C,3,FALSE)),S560,VLOOKUP(S560,'unique org names'!A:C,3,FALSE))
</f>
        <v>Wayne County</v>
      </c>
      <c r="V560" s="1" t="s">
        <v>260</v>
      </c>
      <c r="W560" s="1" t="s">
        <v>44</v>
      </c>
      <c r="X560" s="1" t="s">
        <v>45</v>
      </c>
      <c r="Y560" s="1">
        <v>4.8226348E8</v>
      </c>
      <c r="AA560" s="1" t="s">
        <v>46</v>
      </c>
      <c r="AB560" s="1" t="s">
        <v>45</v>
      </c>
      <c r="AC560" s="1">
        <v>4.8226348E8</v>
      </c>
      <c r="AD560" s="1">
        <v>7.3134884E7</v>
      </c>
      <c r="AE560" s="1" t="s">
        <v>261</v>
      </c>
      <c r="AF560" s="1">
        <v>142499.07</v>
      </c>
      <c r="AG560" s="2">
        <v>41425.0</v>
      </c>
      <c r="AH560" s="1">
        <v>6900.0</v>
      </c>
      <c r="AI560" s="1" t="s">
        <v>151</v>
      </c>
      <c r="AJ560" s="1">
        <v>1.0</v>
      </c>
      <c r="AK560" s="1" t="s">
        <v>1551</v>
      </c>
      <c r="AL560" s="1">
        <v>6.0</v>
      </c>
      <c r="AM560" s="1">
        <v>2013.0</v>
      </c>
      <c r="AN560" s="1">
        <v>2013.0</v>
      </c>
      <c r="AO560" s="1" t="s">
        <v>229</v>
      </c>
    </row>
    <row r="561">
      <c r="A561" s="5">
        <v>1.0</v>
      </c>
      <c r="B561" s="1">
        <f t="shared" si="1"/>
        <v>561</v>
      </c>
      <c r="C561" s="1" t="s">
        <v>1555</v>
      </c>
      <c r="D561" s="1" t="s">
        <v>1555</v>
      </c>
      <c r="E561" s="1" t="s">
        <v>38</v>
      </c>
      <c r="G561" s="1">
        <v>408188.0</v>
      </c>
      <c r="H561" s="2">
        <v>41435.0</v>
      </c>
      <c r="I561" s="1" t="s">
        <v>1556</v>
      </c>
      <c r="K561" s="1" t="s">
        <v>1556</v>
      </c>
      <c r="N561" s="1" t="s">
        <v>40</v>
      </c>
      <c r="O561" s="1">
        <v>7500.0</v>
      </c>
      <c r="P561" s="1" t="s">
        <v>40</v>
      </c>
      <c r="Q561" s="1" t="str">
        <f>IF(ISERROR(VLOOKUP(P561,'unique fed agency names'!A:C,3,FALSE)),P561,VLOOKUP(P561,'unique fed agency names'!A:C,3,FALSE))
</f>
        <v>U.S. Department of Health and Human Services (DHHS)</v>
      </c>
      <c r="R561" s="1">
        <v>1962224.0</v>
      </c>
      <c r="S561" s="1" t="s">
        <v>52</v>
      </c>
      <c r="T561" s="1" t="str">
        <f>IF(ISERROR(VLOOKUP(S561,'unique org names'!A:C,3,FALSE)),S561,VLOOKUP(S561,'unique org names'!A:C,3,FALSE))
</f>
        <v>WAYNE STATE UNIVERSITY</v>
      </c>
      <c r="V561" s="1" t="s">
        <v>53</v>
      </c>
      <c r="W561" s="1" t="s">
        <v>44</v>
      </c>
      <c r="X561" s="1" t="s">
        <v>45</v>
      </c>
      <c r="Y561" s="1">
        <v>4.82023692E8</v>
      </c>
      <c r="AA561" s="1" t="s">
        <v>46</v>
      </c>
      <c r="AB561" s="1" t="s">
        <v>45</v>
      </c>
      <c r="AC561" s="1">
        <v>4.8202405E8</v>
      </c>
      <c r="AD561" s="1">
        <v>1962224.0</v>
      </c>
      <c r="AE561" s="1" t="s">
        <v>52</v>
      </c>
      <c r="AF561" s="1">
        <v>28348.0</v>
      </c>
      <c r="AG561" s="2">
        <v>41435.0</v>
      </c>
      <c r="AH561" s="1">
        <v>7500.0</v>
      </c>
      <c r="AI561" s="1" t="s">
        <v>40</v>
      </c>
      <c r="AJ561" s="1">
        <v>3.002274378E9</v>
      </c>
      <c r="AK561" s="1" t="s">
        <v>1557</v>
      </c>
      <c r="AL561" s="1">
        <v>6.0</v>
      </c>
      <c r="AM561" s="1">
        <v>2013.0</v>
      </c>
      <c r="AN561" s="1">
        <v>2013.0</v>
      </c>
      <c r="AO561" s="1" t="s">
        <v>1558</v>
      </c>
    </row>
    <row r="562">
      <c r="A562" s="5">
        <v>1.0</v>
      </c>
      <c r="B562" s="1">
        <f t="shared" si="1"/>
        <v>562</v>
      </c>
      <c r="C562" s="1" t="s">
        <v>250</v>
      </c>
      <c r="D562" s="1" t="s">
        <v>250</v>
      </c>
      <c r="E562" s="1" t="s">
        <v>38</v>
      </c>
      <c r="G562" s="1">
        <v>1483466.0</v>
      </c>
      <c r="H562" s="2">
        <v>41438.0</v>
      </c>
      <c r="I562" s="1" t="s">
        <v>251</v>
      </c>
      <c r="K562" s="1" t="s">
        <v>251</v>
      </c>
      <c r="N562" s="1" t="s">
        <v>40</v>
      </c>
      <c r="O562" s="1">
        <v>7500.0</v>
      </c>
      <c r="P562" s="1" t="s">
        <v>40</v>
      </c>
      <c r="Q562" s="1" t="str">
        <f>IF(ISERROR(VLOOKUP(P562,'unique fed agency names'!A:C,3,FALSE)),P562,VLOOKUP(P562,'unique fed agency names'!A:C,3,FALSE))
</f>
        <v>U.S. Department of Health and Human Services (DHHS)</v>
      </c>
      <c r="R562" s="1">
        <v>7.3134603E7</v>
      </c>
      <c r="S562" s="1" t="s">
        <v>41</v>
      </c>
      <c r="T562" s="1" t="str">
        <f>IF(ISERROR(VLOOKUP(S562,'unique org names'!A:C,3,FALSE)),S562,VLOOKUP(S562,'unique org names'!A:C,3,FALSE))
</f>
        <v>Henry Ford Health System</v>
      </c>
      <c r="U562" s="1" t="s">
        <v>252</v>
      </c>
      <c r="V562" s="1" t="s">
        <v>253</v>
      </c>
      <c r="W562" s="1" t="s">
        <v>44</v>
      </c>
      <c r="X562" s="1" t="s">
        <v>45</v>
      </c>
      <c r="Y562" s="1">
        <v>4.8202345E8</v>
      </c>
      <c r="AA562" s="1" t="s">
        <v>46</v>
      </c>
      <c r="AB562" s="1" t="s">
        <v>45</v>
      </c>
      <c r="AC562" s="1">
        <v>4.82022608E8</v>
      </c>
      <c r="AD562" s="1">
        <v>7.3134603E7</v>
      </c>
      <c r="AE562" s="1" t="s">
        <v>41</v>
      </c>
      <c r="AF562" s="1">
        <v>27500.0</v>
      </c>
      <c r="AG562" s="2">
        <v>41438.0</v>
      </c>
      <c r="AH562" s="1">
        <v>7500.0</v>
      </c>
      <c r="AI562" s="1" t="s">
        <v>40</v>
      </c>
      <c r="AJ562" s="1" t="s">
        <v>1559</v>
      </c>
      <c r="AK562" s="1" t="s">
        <v>1560</v>
      </c>
      <c r="AL562" s="1">
        <v>6.0</v>
      </c>
      <c r="AM562" s="1">
        <v>2013.0</v>
      </c>
      <c r="AN562" s="1">
        <v>2013.0</v>
      </c>
      <c r="AO562" s="1" t="s">
        <v>256</v>
      </c>
    </row>
    <row r="563">
      <c r="A563" s="5">
        <v>1.0</v>
      </c>
      <c r="B563" s="1">
        <f t="shared" si="1"/>
        <v>563</v>
      </c>
      <c r="C563" s="1" t="s">
        <v>187</v>
      </c>
      <c r="D563" s="1" t="s">
        <v>187</v>
      </c>
      <c r="E563" s="1" t="s">
        <v>188</v>
      </c>
      <c r="G563" s="1">
        <v>2.2770804E7</v>
      </c>
      <c r="H563" s="2">
        <v>41453.0</v>
      </c>
      <c r="I563" s="1" t="s">
        <v>189</v>
      </c>
      <c r="K563" s="1" t="s">
        <v>189</v>
      </c>
      <c r="N563" s="1" t="s">
        <v>188</v>
      </c>
      <c r="O563" s="1">
        <v>1900.0</v>
      </c>
      <c r="P563" s="1" t="s">
        <v>188</v>
      </c>
      <c r="Q563" s="1" t="str">
        <f>IF(ISERROR(VLOOKUP(P563,'unique fed agency names'!A:C,3,FALSE)),P563,VLOOKUP(P563,'unique fed agency names'!A:C,3,FALSE))
</f>
        <v>U.S. Department of State</v>
      </c>
      <c r="R563" s="1">
        <v>6.9840817E7</v>
      </c>
      <c r="S563" s="1" t="s">
        <v>131</v>
      </c>
      <c r="T563" s="1" t="str">
        <f>IF(ISERROR(VLOOKUP(S563,'unique org names'!A:C,3,FALSE)),S563,VLOOKUP(S563,'unique org names'!A:C,3,FALSE))
</f>
        <v>LUTHERAN SOCIAL SERVICES OF MICHIGAN</v>
      </c>
      <c r="V563" s="1" t="s">
        <v>132</v>
      </c>
      <c r="W563" s="1" t="s">
        <v>44</v>
      </c>
      <c r="X563" s="1" t="s">
        <v>45</v>
      </c>
      <c r="Y563" s="1">
        <v>4.8214261E8</v>
      </c>
      <c r="AA563" s="1" t="s">
        <v>46</v>
      </c>
      <c r="AB563" s="1" t="s">
        <v>45</v>
      </c>
      <c r="AC563" s="1">
        <v>4.8214261E8</v>
      </c>
      <c r="AD563" s="1">
        <v>6.9840817E7</v>
      </c>
      <c r="AE563" s="1" t="s">
        <v>131</v>
      </c>
      <c r="AF563" s="1">
        <v>483750.0</v>
      </c>
      <c r="AG563" s="2">
        <v>41453.0</v>
      </c>
      <c r="AH563" s="1">
        <v>1900.0</v>
      </c>
      <c r="AI563" s="1" t="s">
        <v>188</v>
      </c>
      <c r="AJ563" s="1" t="s">
        <v>1561</v>
      </c>
      <c r="AK563" s="1" t="s">
        <v>191</v>
      </c>
      <c r="AL563" s="1">
        <v>6.0</v>
      </c>
      <c r="AM563" s="1">
        <v>2013.0</v>
      </c>
      <c r="AN563" s="1">
        <v>2013.0</v>
      </c>
      <c r="AO563" s="1" t="s">
        <v>192</v>
      </c>
    </row>
    <row r="564">
      <c r="A564" s="5">
        <v>1.0</v>
      </c>
      <c r="B564" s="1">
        <f t="shared" si="1"/>
        <v>564</v>
      </c>
      <c r="C564" s="1" t="s">
        <v>1122</v>
      </c>
      <c r="D564" s="1" t="s">
        <v>1122</v>
      </c>
      <c r="E564" s="1" t="s">
        <v>100</v>
      </c>
      <c r="G564" s="1">
        <v>1.9727792E7</v>
      </c>
      <c r="H564" s="2">
        <v>41275.0</v>
      </c>
      <c r="I564" s="1" t="s">
        <v>122</v>
      </c>
      <c r="K564" s="1" t="s">
        <v>122</v>
      </c>
      <c r="N564" s="1" t="s">
        <v>102</v>
      </c>
      <c r="O564" s="1">
        <v>8600.0</v>
      </c>
      <c r="P564" s="1" t="s">
        <v>102</v>
      </c>
      <c r="Q564" s="1" t="str">
        <f>IF(ISERROR(VLOOKUP(P564,'unique fed agency names'!A:C,3,FALSE)),P564,VLOOKUP(P564,'unique fed agency names'!A:C,3,FALSE))
</f>
        <v>U.S. Department of Housing and Urban Development (HUD)</v>
      </c>
      <c r="R564" s="1">
        <v>9.64523815E8</v>
      </c>
      <c r="S564" s="1" t="s">
        <v>123</v>
      </c>
      <c r="T564" s="1" t="str">
        <f>IF(ISERROR(VLOOKUP(S564,'unique org names'!A:C,3,FALSE)),S564,VLOOKUP(S564,'unique org names'!A:C,3,FALSE))
</f>
        <v>GRANDMONT ROSEDALE DEVELOPMENT CORPORATION</v>
      </c>
      <c r="U564" s="1" t="s">
        <v>124</v>
      </c>
      <c r="V564" s="1" t="s">
        <v>125</v>
      </c>
      <c r="W564" s="1" t="s">
        <v>44</v>
      </c>
      <c r="X564" s="1" t="s">
        <v>45</v>
      </c>
      <c r="Y564" s="1">
        <v>4.82231227E8</v>
      </c>
      <c r="AA564" s="1" t="s">
        <v>44</v>
      </c>
      <c r="AB564" s="1" t="s">
        <v>45</v>
      </c>
      <c r="AC564" s="1">
        <v>4.82231227E8</v>
      </c>
      <c r="AF564" s="1">
        <v>40000.0</v>
      </c>
      <c r="AG564" s="2">
        <v>41275.0</v>
      </c>
      <c r="AH564" s="1">
        <v>8600.0</v>
      </c>
      <c r="AI564" s="1" t="s">
        <v>102</v>
      </c>
      <c r="AJ564" s="1" t="s">
        <v>682</v>
      </c>
      <c r="AK564" s="1" t="s">
        <v>683</v>
      </c>
      <c r="AL564" s="1">
        <v>7.0</v>
      </c>
      <c r="AM564" s="1">
        <v>2013.0</v>
      </c>
      <c r="AN564" s="1">
        <v>2013.0</v>
      </c>
      <c r="AO564" s="1" t="s">
        <v>127</v>
      </c>
    </row>
    <row r="565">
      <c r="A565" s="5">
        <v>1.0</v>
      </c>
      <c r="B565" s="1">
        <f t="shared" si="1"/>
        <v>565</v>
      </c>
      <c r="C565" s="1" t="s">
        <v>1325</v>
      </c>
      <c r="D565" s="1" t="s">
        <v>1325</v>
      </c>
      <c r="E565" s="1" t="s">
        <v>129</v>
      </c>
      <c r="G565" s="1">
        <v>3.93293408E8</v>
      </c>
      <c r="H565" s="2">
        <v>41548.0</v>
      </c>
      <c r="I565" s="1" t="s">
        <v>1326</v>
      </c>
      <c r="K565" s="1" t="s">
        <v>1326</v>
      </c>
      <c r="N565" s="1" t="s">
        <v>40</v>
      </c>
      <c r="O565" s="1">
        <v>7500.0</v>
      </c>
      <c r="P565" s="1" t="s">
        <v>40</v>
      </c>
      <c r="Q565" s="1" t="str">
        <f>IF(ISERROR(VLOOKUP(P565,'unique fed agency names'!A:C,3,FALSE)),P565,VLOOKUP(P565,'unique fed agency names'!A:C,3,FALSE))
</f>
        <v>U.S. Department of Health and Human Services (DHHS)</v>
      </c>
      <c r="R565" s="1">
        <v>1.21516199E8</v>
      </c>
      <c r="S565" s="1" t="s">
        <v>380</v>
      </c>
      <c r="T565" s="1" t="str">
        <f>IF(ISERROR(VLOOKUP(S565,'unique org names'!A:C,3,FALSE)),S565,VLOOKUP(S565,'unique org names'!A:C,3,FALSE))
</f>
        <v>YWCA of Metropolitan Detroit</v>
      </c>
      <c r="U565" s="1" t="s">
        <v>381</v>
      </c>
      <c r="V565" s="1" t="s">
        <v>382</v>
      </c>
      <c r="W565" s="1" t="s">
        <v>44</v>
      </c>
      <c r="X565" s="1" t="s">
        <v>45</v>
      </c>
      <c r="Y565" s="1">
        <v>4.82073156E8</v>
      </c>
      <c r="AA565" s="1" t="s">
        <v>44</v>
      </c>
      <c r="AB565" s="1" t="s">
        <v>45</v>
      </c>
      <c r="AC565" s="1">
        <v>4.82073127E8</v>
      </c>
      <c r="AD565" s="1">
        <v>1.21516199E8</v>
      </c>
      <c r="AE565" s="1" t="s">
        <v>380</v>
      </c>
      <c r="AF565" s="1">
        <v>233094.58</v>
      </c>
      <c r="AG565" s="2">
        <v>41548.0</v>
      </c>
      <c r="AH565" s="1">
        <v>7500.0</v>
      </c>
      <c r="AI565" s="1" t="s">
        <v>40</v>
      </c>
      <c r="AJ565" s="1" t="s">
        <v>1309</v>
      </c>
      <c r="AK565" s="1" t="s">
        <v>1310</v>
      </c>
      <c r="AL565" s="1">
        <v>3.0</v>
      </c>
      <c r="AM565" s="1">
        <v>2013.0</v>
      </c>
      <c r="AN565" s="1">
        <v>2014.0</v>
      </c>
      <c r="AO565" s="1" t="s">
        <v>385</v>
      </c>
    </row>
    <row r="566">
      <c r="A566" s="5">
        <v>1.0</v>
      </c>
      <c r="B566" s="1">
        <f t="shared" si="1"/>
        <v>566</v>
      </c>
      <c r="C566" s="1" t="s">
        <v>1325</v>
      </c>
      <c r="D566" s="1" t="s">
        <v>1325</v>
      </c>
      <c r="E566" s="1" t="s">
        <v>129</v>
      </c>
      <c r="G566" s="1">
        <v>3.93293408E8</v>
      </c>
      <c r="H566" s="2">
        <v>41548.0</v>
      </c>
      <c r="I566" s="1" t="s">
        <v>1326</v>
      </c>
      <c r="K566" s="1" t="s">
        <v>1326</v>
      </c>
      <c r="N566" s="1" t="s">
        <v>40</v>
      </c>
      <c r="O566" s="1">
        <v>7500.0</v>
      </c>
      <c r="P566" s="1" t="s">
        <v>40</v>
      </c>
      <c r="Q566" s="1" t="str">
        <f>IF(ISERROR(VLOOKUP(P566,'unique fed agency names'!A:C,3,FALSE)),P566,VLOOKUP(P566,'unique fed agency names'!A:C,3,FALSE))
</f>
        <v>U.S. Department of Health and Human Services (DHHS)</v>
      </c>
      <c r="R566" s="1">
        <v>6.9840817E7</v>
      </c>
      <c r="S566" s="1" t="s">
        <v>131</v>
      </c>
      <c r="T566" s="1" t="str">
        <f>IF(ISERROR(VLOOKUP(S566,'unique org names'!A:C,3,FALSE)),S566,VLOOKUP(S566,'unique org names'!A:C,3,FALSE))
</f>
        <v>LUTHERAN SOCIAL SERVICES OF MICHIGAN</v>
      </c>
      <c r="V566" s="1" t="s">
        <v>132</v>
      </c>
      <c r="W566" s="1" t="s">
        <v>44</v>
      </c>
      <c r="X566" s="1" t="s">
        <v>45</v>
      </c>
      <c r="Y566" s="1">
        <v>4.8214261E8</v>
      </c>
      <c r="AA566" s="1" t="s">
        <v>46</v>
      </c>
      <c r="AB566" s="1" t="s">
        <v>45</v>
      </c>
      <c r="AC566" s="1">
        <v>4.8214261E8</v>
      </c>
      <c r="AD566" s="1">
        <v>6.9840817E7</v>
      </c>
      <c r="AE566" s="1" t="s">
        <v>131</v>
      </c>
      <c r="AF566" s="1">
        <v>456590.0</v>
      </c>
      <c r="AG566" s="2">
        <v>41548.0</v>
      </c>
      <c r="AH566" s="1">
        <v>7500.0</v>
      </c>
      <c r="AI566" s="1" t="s">
        <v>40</v>
      </c>
      <c r="AJ566" s="1" t="s">
        <v>1336</v>
      </c>
      <c r="AK566" s="1" t="s">
        <v>1329</v>
      </c>
      <c r="AL566" s="1">
        <v>3.0</v>
      </c>
      <c r="AM566" s="1">
        <v>2013.0</v>
      </c>
      <c r="AN566" s="1">
        <v>2014.0</v>
      </c>
      <c r="AO566" s="1" t="s">
        <v>385</v>
      </c>
    </row>
    <row r="567">
      <c r="A567" s="5">
        <v>1.0</v>
      </c>
      <c r="B567" s="1">
        <f t="shared" si="1"/>
        <v>567</v>
      </c>
      <c r="C567" s="1" t="s">
        <v>1325</v>
      </c>
      <c r="D567" s="1" t="s">
        <v>1325</v>
      </c>
      <c r="E567" s="1" t="s">
        <v>129</v>
      </c>
      <c r="G567" s="1">
        <v>3.93293408E8</v>
      </c>
      <c r="H567" s="2">
        <v>41548.0</v>
      </c>
      <c r="I567" s="1" t="s">
        <v>1326</v>
      </c>
      <c r="K567" s="1" t="s">
        <v>1326</v>
      </c>
      <c r="N567" s="1" t="s">
        <v>40</v>
      </c>
      <c r="O567" s="1">
        <v>7500.0</v>
      </c>
      <c r="P567" s="1" t="s">
        <v>40</v>
      </c>
      <c r="Q567" s="1" t="str">
        <f>IF(ISERROR(VLOOKUP(P567,'unique fed agency names'!A:C,3,FALSE)),P567,VLOOKUP(P567,'unique fed agency names'!A:C,3,FALSE))
</f>
        <v>U.S. Department of Health and Human Services (DHHS)</v>
      </c>
      <c r="R567" s="1">
        <v>6.9840817E7</v>
      </c>
      <c r="S567" s="1" t="s">
        <v>131</v>
      </c>
      <c r="T567" s="1" t="str">
        <f>IF(ISERROR(VLOOKUP(S567,'unique org names'!A:C,3,FALSE)),S567,VLOOKUP(S567,'unique org names'!A:C,3,FALSE))
</f>
        <v>LUTHERAN SOCIAL SERVICES OF MICHIGAN</v>
      </c>
      <c r="V567" s="1" t="s">
        <v>132</v>
      </c>
      <c r="W567" s="1" t="s">
        <v>44</v>
      </c>
      <c r="X567" s="1" t="s">
        <v>45</v>
      </c>
      <c r="Y567" s="1">
        <v>4.8214261E8</v>
      </c>
      <c r="AA567" s="1" t="s">
        <v>44</v>
      </c>
      <c r="AB567" s="1" t="s">
        <v>45</v>
      </c>
      <c r="AC567" s="1">
        <v>4.8214261E8</v>
      </c>
      <c r="AD567" s="1">
        <v>6.9840817E7</v>
      </c>
      <c r="AE567" s="1" t="s">
        <v>131</v>
      </c>
      <c r="AF567" s="1">
        <v>457342.0</v>
      </c>
      <c r="AG567" s="2">
        <v>41548.0</v>
      </c>
      <c r="AH567" s="1">
        <v>7500.0</v>
      </c>
      <c r="AI567" s="1" t="s">
        <v>40</v>
      </c>
      <c r="AJ567" s="1" t="s">
        <v>1328</v>
      </c>
      <c r="AK567" s="1" t="s">
        <v>1329</v>
      </c>
      <c r="AL567" s="1">
        <v>3.0</v>
      </c>
      <c r="AM567" s="1">
        <v>2013.0</v>
      </c>
      <c r="AN567" s="1">
        <v>2014.0</v>
      </c>
      <c r="AO567" s="1" t="s">
        <v>385</v>
      </c>
    </row>
    <row r="568">
      <c r="A568" s="5">
        <v>1.0</v>
      </c>
      <c r="B568" s="1">
        <f t="shared" si="1"/>
        <v>568</v>
      </c>
      <c r="C568" s="1" t="s">
        <v>1325</v>
      </c>
      <c r="D568" s="1" t="s">
        <v>1325</v>
      </c>
      <c r="E568" s="1" t="s">
        <v>129</v>
      </c>
      <c r="G568" s="1">
        <v>3.93293408E8</v>
      </c>
      <c r="H568" s="2">
        <v>41548.0</v>
      </c>
      <c r="I568" s="1" t="s">
        <v>1326</v>
      </c>
      <c r="K568" s="1" t="s">
        <v>1326</v>
      </c>
      <c r="N568" s="1" t="s">
        <v>40</v>
      </c>
      <c r="O568" s="1">
        <v>7500.0</v>
      </c>
      <c r="P568" s="1" t="s">
        <v>40</v>
      </c>
      <c r="Q568" s="1" t="str">
        <f>IF(ISERROR(VLOOKUP(P568,'unique fed agency names'!A:C,3,FALSE)),P568,VLOOKUP(P568,'unique fed agency names'!A:C,3,FALSE))
</f>
        <v>U.S. Department of Health and Human Services (DHHS)</v>
      </c>
      <c r="R568" s="1">
        <v>7.8074923E8</v>
      </c>
      <c r="S568" s="1" t="s">
        <v>419</v>
      </c>
      <c r="T568" s="1" t="str">
        <f>IF(ISERROR(VLOOKUP(S568,'unique org names'!A:C,3,FALSE)),S568,VLOOKUP(S568,'unique org names'!A:C,3,FALSE))
</f>
        <v>ALTERNATIVES FOR GIRLS</v>
      </c>
      <c r="V568" s="1" t="s">
        <v>420</v>
      </c>
      <c r="W568" s="1" t="s">
        <v>44</v>
      </c>
      <c r="X568" s="1" t="s">
        <v>45</v>
      </c>
      <c r="Y568" s="1">
        <v>4.82082365E8</v>
      </c>
      <c r="AA568" s="1" t="s">
        <v>44</v>
      </c>
      <c r="AB568" s="1" t="s">
        <v>45</v>
      </c>
      <c r="AC568" s="1">
        <v>4.82082365E8</v>
      </c>
      <c r="AF568" s="1">
        <v>198499.1</v>
      </c>
      <c r="AG568" s="2">
        <v>41548.0</v>
      </c>
      <c r="AH568" s="1">
        <v>7500.0</v>
      </c>
      <c r="AI568" s="1" t="s">
        <v>40</v>
      </c>
      <c r="AJ568" s="1" t="s">
        <v>1327</v>
      </c>
      <c r="AK568" s="1" t="s">
        <v>1274</v>
      </c>
      <c r="AL568" s="1">
        <v>3.0</v>
      </c>
      <c r="AM568" s="1">
        <v>2013.0</v>
      </c>
      <c r="AN568" s="1">
        <v>2014.0</v>
      </c>
      <c r="AO568" s="1" t="s">
        <v>385</v>
      </c>
    </row>
    <row r="569">
      <c r="A569" s="5">
        <v>1.0</v>
      </c>
      <c r="B569" s="1">
        <f t="shared" si="1"/>
        <v>569</v>
      </c>
      <c r="C569" s="1" t="s">
        <v>1325</v>
      </c>
      <c r="D569" s="1" t="s">
        <v>1325</v>
      </c>
      <c r="E569" s="1" t="s">
        <v>129</v>
      </c>
      <c r="G569" s="1">
        <v>3.93293408E8</v>
      </c>
      <c r="H569" s="2">
        <v>41548.0</v>
      </c>
      <c r="I569" s="1" t="s">
        <v>1326</v>
      </c>
      <c r="K569" s="1" t="s">
        <v>1326</v>
      </c>
      <c r="N569" s="1" t="s">
        <v>40</v>
      </c>
      <c r="O569" s="1">
        <v>7500.0</v>
      </c>
      <c r="P569" s="1" t="s">
        <v>40</v>
      </c>
      <c r="Q569" s="1" t="str">
        <f>IF(ISERROR(VLOOKUP(P569,'unique fed agency names'!A:C,3,FALSE)),P569,VLOOKUP(P569,'unique fed agency names'!A:C,3,FALSE))
</f>
        <v>U.S. Department of Health and Human Services (DHHS)</v>
      </c>
      <c r="R569" s="1">
        <v>2.0830303E7</v>
      </c>
      <c r="S569" s="1" t="s">
        <v>424</v>
      </c>
      <c r="T569" s="1" t="str">
        <f>IF(ISERROR(VLOOKUP(S569,'unique org names'!A:C,3,FALSE)),S569,VLOOKUP(S569,'unique org names'!A:C,3,FALSE))
</f>
        <v>MATRIX HUMAN SERVICES</v>
      </c>
      <c r="U569" s="1" t="s">
        <v>425</v>
      </c>
      <c r="V569" s="1" t="s">
        <v>426</v>
      </c>
      <c r="W569" s="1" t="s">
        <v>44</v>
      </c>
      <c r="X569" s="1" t="s">
        <v>45</v>
      </c>
      <c r="Y569" s="1">
        <v>4.82012002E8</v>
      </c>
      <c r="AA569" s="1" t="s">
        <v>44</v>
      </c>
      <c r="AB569" s="1" t="s">
        <v>45</v>
      </c>
      <c r="AC569" s="1">
        <v>4.82012002E8</v>
      </c>
      <c r="AD569" s="1">
        <v>2.0830303E7</v>
      </c>
      <c r="AE569" s="1" t="s">
        <v>424</v>
      </c>
      <c r="AF569" s="1">
        <v>332938.25</v>
      </c>
      <c r="AG569" s="2">
        <v>41548.0</v>
      </c>
      <c r="AH569" s="1">
        <v>7500.0</v>
      </c>
      <c r="AI569" s="1" t="s">
        <v>40</v>
      </c>
      <c r="AJ569" s="1" t="s">
        <v>1273</v>
      </c>
      <c r="AK569" s="1" t="s">
        <v>1274</v>
      </c>
      <c r="AL569" s="1">
        <v>3.0</v>
      </c>
      <c r="AM569" s="1">
        <v>2013.0</v>
      </c>
      <c r="AN569" s="1">
        <v>2014.0</v>
      </c>
      <c r="AO569" s="1" t="s">
        <v>385</v>
      </c>
    </row>
    <row r="570">
      <c r="A570" s="5">
        <v>1.0</v>
      </c>
      <c r="B570" s="1">
        <f t="shared" si="1"/>
        <v>570</v>
      </c>
      <c r="C570" s="1" t="s">
        <v>1325</v>
      </c>
      <c r="D570" s="1" t="s">
        <v>1325</v>
      </c>
      <c r="E570" s="1" t="s">
        <v>129</v>
      </c>
      <c r="G570" s="1">
        <v>3.93293408E8</v>
      </c>
      <c r="H570" s="2">
        <v>41548.0</v>
      </c>
      <c r="I570" s="1" t="s">
        <v>1326</v>
      </c>
      <c r="K570" s="1" t="s">
        <v>1326</v>
      </c>
      <c r="N570" s="1" t="s">
        <v>40</v>
      </c>
      <c r="O570" s="1">
        <v>7500.0</v>
      </c>
      <c r="P570" s="1" t="s">
        <v>40</v>
      </c>
      <c r="Q570" s="1" t="str">
        <f>IF(ISERROR(VLOOKUP(P570,'unique fed agency names'!A:C,3,FALSE)),P570,VLOOKUP(P570,'unique fed agency names'!A:C,3,FALSE))
</f>
        <v>U.S. Department of Health and Human Services (DHHS)</v>
      </c>
      <c r="R570" s="1">
        <v>1.93540515E8</v>
      </c>
      <c r="S570" s="1" t="s">
        <v>1022</v>
      </c>
      <c r="T570" s="1" t="str">
        <f>IF(ISERROR(VLOOKUP(S570,'unique org names'!A:C,3,FALSE)),S570,VLOOKUP(S570,'unique org names'!A:C,3,FALSE))
</f>
        <v>Development Centers, Inc</v>
      </c>
      <c r="U570" s="1" t="s">
        <v>1330</v>
      </c>
      <c r="V570" s="1" t="s">
        <v>1023</v>
      </c>
      <c r="W570" s="1" t="s">
        <v>44</v>
      </c>
      <c r="X570" s="1" t="s">
        <v>45</v>
      </c>
      <c r="Y570" s="1">
        <v>4.82193653E8</v>
      </c>
      <c r="AA570" s="1" t="s">
        <v>44</v>
      </c>
      <c r="AB570" s="1" t="s">
        <v>45</v>
      </c>
      <c r="AC570" s="1">
        <v>4.82193165E8</v>
      </c>
      <c r="AD570" s="1">
        <v>1.93540515E8</v>
      </c>
      <c r="AE570" s="1" t="s">
        <v>1022</v>
      </c>
      <c r="AF570" s="1">
        <v>249761.0</v>
      </c>
      <c r="AG570" s="2">
        <v>41548.0</v>
      </c>
      <c r="AH570" s="1">
        <v>7500.0</v>
      </c>
      <c r="AI570" s="1" t="s">
        <v>40</v>
      </c>
      <c r="AJ570" s="1" t="s">
        <v>1331</v>
      </c>
      <c r="AK570" s="1" t="s">
        <v>1332</v>
      </c>
      <c r="AL570" s="1">
        <v>3.0</v>
      </c>
      <c r="AM570" s="1">
        <v>2013.0</v>
      </c>
      <c r="AN570" s="1">
        <v>2014.0</v>
      </c>
      <c r="AO570" s="1" t="s">
        <v>385</v>
      </c>
    </row>
    <row r="571">
      <c r="A571" s="5">
        <v>1.0</v>
      </c>
      <c r="B571" s="1">
        <f t="shared" si="1"/>
        <v>571</v>
      </c>
      <c r="C571" s="1" t="s">
        <v>1325</v>
      </c>
      <c r="D571" s="1" t="s">
        <v>1325</v>
      </c>
      <c r="E571" s="1" t="s">
        <v>129</v>
      </c>
      <c r="G571" s="1">
        <v>3.93293408E8</v>
      </c>
      <c r="H571" s="2">
        <v>41548.0</v>
      </c>
      <c r="I571" s="1" t="s">
        <v>1326</v>
      </c>
      <c r="K571" s="1" t="s">
        <v>1326</v>
      </c>
      <c r="N571" s="1" t="s">
        <v>40</v>
      </c>
      <c r="O571" s="1">
        <v>7500.0</v>
      </c>
      <c r="P571" s="1" t="s">
        <v>40</v>
      </c>
      <c r="Q571" s="1" t="str">
        <f>IF(ISERROR(VLOOKUP(P571,'unique fed agency names'!A:C,3,FALSE)),P571,VLOOKUP(P571,'unique fed agency names'!A:C,3,FALSE))
</f>
        <v>U.S. Department of Health and Human Services (DHHS)</v>
      </c>
      <c r="R571" s="1">
        <v>1.95614664E8</v>
      </c>
      <c r="S571" s="1" t="s">
        <v>1333</v>
      </c>
      <c r="T571" s="1" t="str">
        <f>IF(ISERROR(VLOOKUP(S571,'unique org names'!A:C,3,FALSE)),S571,VLOOKUP(S571,'unique org names'!A:C,3,FALSE))
</f>
        <v>Black Family Development, Inc</v>
      </c>
      <c r="V571" s="1" t="s">
        <v>1334</v>
      </c>
      <c r="W571" s="1" t="s">
        <v>44</v>
      </c>
      <c r="X571" s="1" t="s">
        <v>45</v>
      </c>
      <c r="Y571" s="1">
        <v>4.82023133E8</v>
      </c>
      <c r="AA571" s="1" t="s">
        <v>44</v>
      </c>
      <c r="AB571" s="1" t="s">
        <v>45</v>
      </c>
      <c r="AC571" s="1">
        <v>4.82023133E8</v>
      </c>
      <c r="AD571" s="1">
        <v>1.95614664E8</v>
      </c>
      <c r="AE571" s="1" t="s">
        <v>1333</v>
      </c>
      <c r="AF571" s="1">
        <v>807364.0</v>
      </c>
      <c r="AG571" s="2">
        <v>41548.0</v>
      </c>
      <c r="AH571" s="1">
        <v>7500.0</v>
      </c>
      <c r="AI571" s="1" t="s">
        <v>40</v>
      </c>
      <c r="AJ571" s="1" t="s">
        <v>1335</v>
      </c>
      <c r="AK571" s="1" t="s">
        <v>1329</v>
      </c>
      <c r="AL571" s="1">
        <v>3.0</v>
      </c>
      <c r="AM571" s="1">
        <v>2013.0</v>
      </c>
      <c r="AN571" s="1">
        <v>2014.0</v>
      </c>
      <c r="AO571" s="1" t="s">
        <v>385</v>
      </c>
    </row>
    <row r="572">
      <c r="A572" s="5">
        <v>1.0</v>
      </c>
      <c r="B572" s="1">
        <f t="shared" si="1"/>
        <v>572</v>
      </c>
      <c r="C572" s="1" t="s">
        <v>911</v>
      </c>
      <c r="D572" s="1" t="s">
        <v>911</v>
      </c>
      <c r="E572" s="1" t="s">
        <v>38</v>
      </c>
      <c r="G572" s="1">
        <v>2853415.0</v>
      </c>
      <c r="H572" s="2">
        <v>41739.0</v>
      </c>
      <c r="I572" s="1" t="s">
        <v>1562</v>
      </c>
      <c r="K572" s="1" t="s">
        <v>1562</v>
      </c>
      <c r="N572" s="1" t="s">
        <v>40</v>
      </c>
      <c r="O572" s="1">
        <v>7500.0</v>
      </c>
      <c r="P572" s="1" t="s">
        <v>40</v>
      </c>
      <c r="Q572" s="1" t="str">
        <f>IF(ISERROR(VLOOKUP(P572,'unique fed agency names'!A:C,3,FALSE)),P572,VLOOKUP(P572,'unique fed agency names'!A:C,3,FALSE))
</f>
        <v>U.S. Department of Health and Human Services (DHHS)</v>
      </c>
      <c r="R572" s="1">
        <v>7.3134603E7</v>
      </c>
      <c r="S572" s="1" t="s">
        <v>41</v>
      </c>
      <c r="T572" s="1" t="str">
        <f>IF(ISERROR(VLOOKUP(S572,'unique org names'!A:C,3,FALSE)),S572,VLOOKUP(S572,'unique org names'!A:C,3,FALSE))
</f>
        <v>Henry Ford Health System</v>
      </c>
      <c r="U572" s="1" t="s">
        <v>252</v>
      </c>
      <c r="V572" s="1" t="s">
        <v>253</v>
      </c>
      <c r="W572" s="1" t="s">
        <v>44</v>
      </c>
      <c r="X572" s="1" t="s">
        <v>45</v>
      </c>
      <c r="Y572" s="1">
        <v>4.8202345E8</v>
      </c>
      <c r="AA572" s="1" t="s">
        <v>46</v>
      </c>
      <c r="AB572" s="1" t="s">
        <v>45</v>
      </c>
      <c r="AC572" s="1">
        <v>4.82022689E8</v>
      </c>
      <c r="AD572" s="1">
        <v>7.3134603E7</v>
      </c>
      <c r="AE572" s="1" t="s">
        <v>41</v>
      </c>
      <c r="AF572" s="1">
        <v>275889.0</v>
      </c>
      <c r="AG572" s="2">
        <v>41739.0</v>
      </c>
      <c r="AH572" s="1">
        <v>7500.0</v>
      </c>
      <c r="AI572" s="1" t="s">
        <v>40</v>
      </c>
      <c r="AJ572" s="1" t="s">
        <v>1563</v>
      </c>
      <c r="AK572" s="1" t="s">
        <v>914</v>
      </c>
      <c r="AL572" s="1">
        <v>5.0</v>
      </c>
      <c r="AM572" s="1">
        <v>2014.0</v>
      </c>
      <c r="AN572" s="1">
        <v>2014.0</v>
      </c>
      <c r="AO572" s="1" t="s">
        <v>256</v>
      </c>
    </row>
    <row r="573">
      <c r="A573" s="5">
        <v>1.0</v>
      </c>
      <c r="B573" s="1">
        <f t="shared" si="1"/>
        <v>573</v>
      </c>
      <c r="C573" s="1" t="s">
        <v>1564</v>
      </c>
      <c r="D573" s="1" t="s">
        <v>1564</v>
      </c>
      <c r="E573" s="1" t="s">
        <v>63</v>
      </c>
      <c r="G573" s="1">
        <v>1470095.0</v>
      </c>
      <c r="H573" s="2">
        <v>41183.0</v>
      </c>
      <c r="I573" s="1" t="s">
        <v>1565</v>
      </c>
      <c r="K573" s="1" t="s">
        <v>1565</v>
      </c>
      <c r="N573" s="1" t="s">
        <v>40</v>
      </c>
      <c r="O573" s="1">
        <v>7500.0</v>
      </c>
      <c r="P573" s="1" t="s">
        <v>40</v>
      </c>
      <c r="Q573" s="1" t="str">
        <f>IF(ISERROR(VLOOKUP(P573,'unique fed agency names'!A:C,3,FALSE)),P573,VLOOKUP(P573,'unique fed agency names'!A:C,3,FALSE))
</f>
        <v>U.S. Department of Health and Human Services (DHHS)</v>
      </c>
      <c r="R573" s="1">
        <v>1962224.0</v>
      </c>
      <c r="S573" s="1" t="s">
        <v>52</v>
      </c>
      <c r="T573" s="1" t="str">
        <f>IF(ISERROR(VLOOKUP(S573,'unique org names'!A:C,3,FALSE)),S573,VLOOKUP(S573,'unique org names'!A:C,3,FALSE))
</f>
        <v>WAYNE STATE UNIVERSITY</v>
      </c>
      <c r="U573" s="1" t="s">
        <v>1566</v>
      </c>
      <c r="V573" s="1" t="s">
        <v>53</v>
      </c>
      <c r="W573" s="1" t="s">
        <v>44</v>
      </c>
      <c r="X573" s="1" t="s">
        <v>45</v>
      </c>
      <c r="Y573" s="1">
        <v>4.82023692E8</v>
      </c>
      <c r="AA573" s="1" t="s">
        <v>46</v>
      </c>
      <c r="AB573" s="1" t="s">
        <v>45</v>
      </c>
      <c r="AC573" s="1">
        <v>4.82023692E8</v>
      </c>
      <c r="AD573" s="1">
        <v>1962224.0</v>
      </c>
      <c r="AE573" s="1" t="s">
        <v>52</v>
      </c>
      <c r="AF573" s="1">
        <v>122623.0</v>
      </c>
      <c r="AG573" s="2">
        <v>41183.0</v>
      </c>
      <c r="AH573" s="1">
        <v>7500.0</v>
      </c>
      <c r="AI573" s="1" t="s">
        <v>40</v>
      </c>
      <c r="AJ573" s="1">
        <v>2.0131051E7</v>
      </c>
      <c r="AK573" s="1" t="s">
        <v>1567</v>
      </c>
      <c r="AL573" s="1">
        <v>10.0</v>
      </c>
      <c r="AM573" s="1">
        <v>2011.0</v>
      </c>
      <c r="AN573" s="1">
        <v>2013.0</v>
      </c>
      <c r="AO573" s="1" t="s">
        <v>1568</v>
      </c>
    </row>
    <row r="574">
      <c r="A574" s="5">
        <v>1.0</v>
      </c>
      <c r="B574" s="1">
        <f t="shared" si="1"/>
        <v>574</v>
      </c>
      <c r="C574" s="1" t="s">
        <v>1569</v>
      </c>
      <c r="D574" s="1" t="s">
        <v>1569</v>
      </c>
      <c r="E574" s="1" t="s">
        <v>63</v>
      </c>
      <c r="G574" s="1">
        <v>8096385.0</v>
      </c>
      <c r="H574" s="2">
        <v>41183.0</v>
      </c>
      <c r="I574" s="1" t="s">
        <v>1570</v>
      </c>
      <c r="K574" s="1" t="s">
        <v>1570</v>
      </c>
      <c r="N574" s="1" t="s">
        <v>40</v>
      </c>
      <c r="O574" s="1">
        <v>7500.0</v>
      </c>
      <c r="P574" s="1" t="s">
        <v>40</v>
      </c>
      <c r="Q574" s="1" t="str">
        <f>IF(ISERROR(VLOOKUP(P574,'unique fed agency names'!A:C,3,FALSE)),P574,VLOOKUP(P574,'unique fed agency names'!A:C,3,FALSE))
</f>
        <v>U.S. Department of Health and Human Services (DHHS)</v>
      </c>
      <c r="R574" s="1">
        <v>3.8775243E7</v>
      </c>
      <c r="S574" s="1" t="s">
        <v>209</v>
      </c>
      <c r="T574" s="1" t="str">
        <f>IF(ISERROR(VLOOKUP(S574,'unique org names'!A:C,3,FALSE)),S574,VLOOKUP(S574,'unique org names'!A:C,3,FALSE))
</f>
        <v>SOUTHEASTERN MICHIGAN HEALTH ASSOCIATION</v>
      </c>
      <c r="U574" s="1" t="s">
        <v>210</v>
      </c>
      <c r="V574" s="1" t="s">
        <v>211</v>
      </c>
      <c r="W574" s="1" t="s">
        <v>44</v>
      </c>
      <c r="X574" s="1" t="s">
        <v>45</v>
      </c>
      <c r="Y574" s="1">
        <v>4.82023068E8</v>
      </c>
      <c r="AA574" s="1" t="s">
        <v>46</v>
      </c>
      <c r="AB574" s="1" t="s">
        <v>45</v>
      </c>
      <c r="AC574" s="1">
        <v>4.82023068E8</v>
      </c>
      <c r="AD574" s="1">
        <v>3.8775243E7</v>
      </c>
      <c r="AE574" s="1" t="s">
        <v>209</v>
      </c>
      <c r="AF574" s="1">
        <v>13842.02</v>
      </c>
      <c r="AG574" s="2">
        <v>41183.0</v>
      </c>
      <c r="AH574" s="1">
        <v>7500.0</v>
      </c>
      <c r="AI574" s="1" t="s">
        <v>40</v>
      </c>
      <c r="AJ574" s="1">
        <v>2.0131231E7</v>
      </c>
      <c r="AK574" s="1" t="s">
        <v>1571</v>
      </c>
      <c r="AL574" s="1">
        <v>10.0</v>
      </c>
      <c r="AM574" s="1">
        <v>2010.0</v>
      </c>
      <c r="AN574" s="1">
        <v>2013.0</v>
      </c>
      <c r="AO574" s="1" t="s">
        <v>1572</v>
      </c>
    </row>
    <row r="575">
      <c r="A575" s="5">
        <v>1.0</v>
      </c>
      <c r="B575" s="1">
        <f t="shared" si="1"/>
        <v>575</v>
      </c>
      <c r="C575" s="1" t="s">
        <v>1569</v>
      </c>
      <c r="D575" s="1" t="s">
        <v>1569</v>
      </c>
      <c r="E575" s="1" t="s">
        <v>63</v>
      </c>
      <c r="G575" s="1">
        <v>8096385.0</v>
      </c>
      <c r="H575" s="2">
        <v>41183.0</v>
      </c>
      <c r="I575" s="1" t="s">
        <v>1570</v>
      </c>
      <c r="K575" s="1" t="s">
        <v>1570</v>
      </c>
      <c r="N575" s="1" t="s">
        <v>40</v>
      </c>
      <c r="O575" s="1">
        <v>7500.0</v>
      </c>
      <c r="P575" s="1" t="s">
        <v>40</v>
      </c>
      <c r="Q575" s="1" t="str">
        <f>IF(ISERROR(VLOOKUP(P575,'unique fed agency names'!A:C,3,FALSE)),P575,VLOOKUP(P575,'unique fed agency names'!A:C,3,FALSE))
</f>
        <v>U.S. Department of Health and Human Services (DHHS)</v>
      </c>
      <c r="R575" s="1">
        <v>3.8775243E7</v>
      </c>
      <c r="S575" s="1" t="s">
        <v>209</v>
      </c>
      <c r="T575" s="1" t="str">
        <f>IF(ISERROR(VLOOKUP(S575,'unique org names'!A:C,3,FALSE)),S575,VLOOKUP(S575,'unique org names'!A:C,3,FALSE))
</f>
        <v>SOUTHEASTERN MICHIGAN HEALTH ASSOCIATION</v>
      </c>
      <c r="U575" s="1" t="s">
        <v>210</v>
      </c>
      <c r="V575" s="1" t="s">
        <v>211</v>
      </c>
      <c r="W575" s="1" t="s">
        <v>44</v>
      </c>
      <c r="X575" s="1" t="s">
        <v>45</v>
      </c>
      <c r="Y575" s="1">
        <v>4.82023068E8</v>
      </c>
      <c r="AA575" s="1" t="s">
        <v>46</v>
      </c>
      <c r="AB575" s="1" t="s">
        <v>45</v>
      </c>
      <c r="AC575" s="1">
        <v>4.82023068E8</v>
      </c>
      <c r="AD575" s="1">
        <v>3.8775243E7</v>
      </c>
      <c r="AE575" s="1" t="s">
        <v>209</v>
      </c>
      <c r="AF575" s="1">
        <v>35643.98</v>
      </c>
      <c r="AG575" s="2">
        <v>41183.0</v>
      </c>
      <c r="AH575" s="1">
        <v>7500.0</v>
      </c>
      <c r="AI575" s="1" t="s">
        <v>40</v>
      </c>
      <c r="AJ575" s="1">
        <v>2.0131231E7</v>
      </c>
      <c r="AK575" s="1" t="s">
        <v>1571</v>
      </c>
      <c r="AL575" s="1">
        <v>10.0</v>
      </c>
      <c r="AM575" s="1">
        <v>2010.0</v>
      </c>
      <c r="AN575" s="1">
        <v>2013.0</v>
      </c>
      <c r="AO575" s="1" t="s">
        <v>1572</v>
      </c>
    </row>
    <row r="576">
      <c r="A576" s="5">
        <v>1.0</v>
      </c>
      <c r="B576" s="1">
        <f t="shared" si="1"/>
        <v>576</v>
      </c>
      <c r="C576" s="1" t="s">
        <v>1569</v>
      </c>
      <c r="D576" s="1" t="s">
        <v>1569</v>
      </c>
      <c r="E576" s="1" t="s">
        <v>63</v>
      </c>
      <c r="G576" s="1">
        <v>8096385.0</v>
      </c>
      <c r="H576" s="2">
        <v>41183.0</v>
      </c>
      <c r="I576" s="1" t="s">
        <v>1570</v>
      </c>
      <c r="K576" s="1" t="s">
        <v>1570</v>
      </c>
      <c r="N576" s="1" t="s">
        <v>40</v>
      </c>
      <c r="O576" s="1">
        <v>7500.0</v>
      </c>
      <c r="P576" s="1" t="s">
        <v>40</v>
      </c>
      <c r="Q576" s="1" t="str">
        <f>IF(ISERROR(VLOOKUP(P576,'unique fed agency names'!A:C,3,FALSE)),P576,VLOOKUP(P576,'unique fed agency names'!A:C,3,FALSE))
</f>
        <v>U.S. Department of Health and Human Services (DHHS)</v>
      </c>
      <c r="R576" s="1">
        <v>3.8775243E7</v>
      </c>
      <c r="S576" s="1" t="s">
        <v>209</v>
      </c>
      <c r="T576" s="1" t="str">
        <f>IF(ISERROR(VLOOKUP(S576,'unique org names'!A:C,3,FALSE)),S576,VLOOKUP(S576,'unique org names'!A:C,3,FALSE))
</f>
        <v>SOUTHEASTERN MICHIGAN HEALTH ASSOCIATION</v>
      </c>
      <c r="U576" s="1" t="s">
        <v>210</v>
      </c>
      <c r="V576" s="1" t="s">
        <v>211</v>
      </c>
      <c r="W576" s="1" t="s">
        <v>44</v>
      </c>
      <c r="X576" s="1" t="s">
        <v>45</v>
      </c>
      <c r="Y576" s="1">
        <v>4.82023068E8</v>
      </c>
      <c r="AA576" s="1" t="s">
        <v>46</v>
      </c>
      <c r="AB576" s="1" t="s">
        <v>45</v>
      </c>
      <c r="AC576" s="1">
        <v>4.82023068E8</v>
      </c>
      <c r="AD576" s="1">
        <v>3.8775243E7</v>
      </c>
      <c r="AE576" s="1" t="s">
        <v>209</v>
      </c>
      <c r="AF576" s="1">
        <v>915684.0</v>
      </c>
      <c r="AG576" s="2">
        <v>41183.0</v>
      </c>
      <c r="AH576" s="1">
        <v>7500.0</v>
      </c>
      <c r="AI576" s="1" t="s">
        <v>40</v>
      </c>
      <c r="AJ576" s="1">
        <v>2.0131256E7</v>
      </c>
      <c r="AK576" s="1" t="s">
        <v>1571</v>
      </c>
      <c r="AL576" s="1">
        <v>10.0</v>
      </c>
      <c r="AM576" s="1">
        <v>2010.0</v>
      </c>
      <c r="AN576" s="1">
        <v>2013.0</v>
      </c>
      <c r="AO576" s="1" t="s">
        <v>1572</v>
      </c>
    </row>
    <row r="577">
      <c r="A577" s="5">
        <v>1.0</v>
      </c>
      <c r="B577" s="1">
        <f t="shared" si="1"/>
        <v>577</v>
      </c>
      <c r="C577" s="1" t="s">
        <v>1569</v>
      </c>
      <c r="D577" s="1" t="s">
        <v>1569</v>
      </c>
      <c r="E577" s="1" t="s">
        <v>63</v>
      </c>
      <c r="G577" s="1">
        <v>8096385.0</v>
      </c>
      <c r="H577" s="2">
        <v>41183.0</v>
      </c>
      <c r="I577" s="1" t="s">
        <v>1570</v>
      </c>
      <c r="K577" s="1" t="s">
        <v>1570</v>
      </c>
      <c r="N577" s="1" t="s">
        <v>40</v>
      </c>
      <c r="O577" s="1">
        <v>7500.0</v>
      </c>
      <c r="P577" s="1" t="s">
        <v>40</v>
      </c>
      <c r="Q577" s="1" t="str">
        <f>IF(ISERROR(VLOOKUP(P577,'unique fed agency names'!A:C,3,FALSE)),P577,VLOOKUP(P577,'unique fed agency names'!A:C,3,FALSE))
</f>
        <v>U.S. Department of Health and Human Services (DHHS)</v>
      </c>
      <c r="R577" s="1">
        <v>7.8583404E7</v>
      </c>
      <c r="S577" s="1" t="s">
        <v>65</v>
      </c>
      <c r="T577" s="1" t="str">
        <f>IF(ISERROR(VLOOKUP(S577,'unique org names'!A:C,3,FALSE)),S577,VLOOKUP(S577,'unique org names'!A:C,3,FALSE))
</f>
        <v>Institute for Population Health Inc.</v>
      </c>
      <c r="U577" s="1" t="s">
        <v>210</v>
      </c>
      <c r="V577" s="1" t="s">
        <v>1573</v>
      </c>
      <c r="W577" s="1" t="s">
        <v>44</v>
      </c>
      <c r="X577" s="1" t="s">
        <v>45</v>
      </c>
      <c r="Y577" s="1">
        <v>4.8207311E8</v>
      </c>
      <c r="AA577" s="1" t="s">
        <v>46</v>
      </c>
      <c r="AB577" s="1" t="s">
        <v>45</v>
      </c>
      <c r="AC577" s="1">
        <v>4.82021732E8</v>
      </c>
      <c r="AD577" s="1">
        <v>3.8775243E7</v>
      </c>
      <c r="AE577" s="1" t="s">
        <v>209</v>
      </c>
      <c r="AF577" s="1">
        <v>275400.0</v>
      </c>
      <c r="AG577" s="2">
        <v>41183.0</v>
      </c>
      <c r="AH577" s="1">
        <v>7500.0</v>
      </c>
      <c r="AI577" s="1" t="s">
        <v>40</v>
      </c>
      <c r="AJ577" s="1">
        <v>2.01304E7</v>
      </c>
      <c r="AK577" s="1" t="s">
        <v>1571</v>
      </c>
      <c r="AL577" s="1">
        <v>10.0</v>
      </c>
      <c r="AM577" s="1">
        <v>2010.0</v>
      </c>
      <c r="AN577" s="1">
        <v>2013.0</v>
      </c>
      <c r="AO577" s="1" t="s">
        <v>1572</v>
      </c>
    </row>
    <row r="578">
      <c r="A578" s="5">
        <v>1.0</v>
      </c>
      <c r="B578" s="1">
        <f t="shared" si="1"/>
        <v>578</v>
      </c>
      <c r="C578" s="1" t="s">
        <v>1569</v>
      </c>
      <c r="D578" s="1" t="s">
        <v>1569</v>
      </c>
      <c r="E578" s="1" t="s">
        <v>63</v>
      </c>
      <c r="G578" s="1">
        <v>8096385.0</v>
      </c>
      <c r="H578" s="2">
        <v>41183.0</v>
      </c>
      <c r="I578" s="1" t="s">
        <v>1570</v>
      </c>
      <c r="K578" s="1" t="s">
        <v>1570</v>
      </c>
      <c r="N578" s="1" t="s">
        <v>40</v>
      </c>
      <c r="O578" s="1">
        <v>7500.0</v>
      </c>
      <c r="P578" s="1" t="s">
        <v>40</v>
      </c>
      <c r="Q578" s="1" t="str">
        <f>IF(ISERROR(VLOOKUP(P578,'unique fed agency names'!A:C,3,FALSE)),P578,VLOOKUP(P578,'unique fed agency names'!A:C,3,FALSE))
</f>
        <v>U.S. Department of Health and Human Services (DHHS)</v>
      </c>
      <c r="R578" s="1">
        <v>3.8775243E7</v>
      </c>
      <c r="S578" s="1" t="s">
        <v>209</v>
      </c>
      <c r="T578" s="1" t="str">
        <f>IF(ISERROR(VLOOKUP(S578,'unique org names'!A:C,3,FALSE)),S578,VLOOKUP(S578,'unique org names'!A:C,3,FALSE))
</f>
        <v>SOUTHEASTERN MICHIGAN HEALTH ASSOCIATION</v>
      </c>
      <c r="U578" s="1" t="s">
        <v>210</v>
      </c>
      <c r="V578" s="1" t="s">
        <v>211</v>
      </c>
      <c r="W578" s="1" t="s">
        <v>44</v>
      </c>
      <c r="X578" s="1" t="s">
        <v>45</v>
      </c>
      <c r="Y578" s="1">
        <v>4.82023068E8</v>
      </c>
      <c r="AA578" s="1" t="s">
        <v>46</v>
      </c>
      <c r="AB578" s="1" t="s">
        <v>45</v>
      </c>
      <c r="AC578" s="1">
        <v>4.82023068E8</v>
      </c>
      <c r="AD578" s="1">
        <v>3.8775243E7</v>
      </c>
      <c r="AE578" s="1" t="s">
        <v>209</v>
      </c>
      <c r="AF578" s="1">
        <v>426379.0</v>
      </c>
      <c r="AG578" s="2">
        <v>41183.0</v>
      </c>
      <c r="AH578" s="1">
        <v>7500.0</v>
      </c>
      <c r="AI578" s="1" t="s">
        <v>40</v>
      </c>
      <c r="AJ578" s="1">
        <v>2.0131256E7</v>
      </c>
      <c r="AK578" s="1" t="s">
        <v>1571</v>
      </c>
      <c r="AL578" s="1">
        <v>10.0</v>
      </c>
      <c r="AM578" s="1">
        <v>2010.0</v>
      </c>
      <c r="AN578" s="1">
        <v>2013.0</v>
      </c>
      <c r="AO578" s="1" t="s">
        <v>1572</v>
      </c>
    </row>
    <row r="579">
      <c r="A579" s="5">
        <v>1.0</v>
      </c>
      <c r="B579" s="1">
        <f t="shared" si="1"/>
        <v>579</v>
      </c>
      <c r="C579" s="1" t="s">
        <v>1569</v>
      </c>
      <c r="D579" s="1" t="s">
        <v>1569</v>
      </c>
      <c r="E579" s="1" t="s">
        <v>63</v>
      </c>
      <c r="G579" s="1">
        <v>8096385.0</v>
      </c>
      <c r="H579" s="2">
        <v>41548.0</v>
      </c>
      <c r="I579" s="1" t="s">
        <v>1570</v>
      </c>
      <c r="K579" s="1" t="s">
        <v>1570</v>
      </c>
      <c r="N579" s="1" t="s">
        <v>40</v>
      </c>
      <c r="O579" s="1">
        <v>7500.0</v>
      </c>
      <c r="P579" s="1" t="s">
        <v>40</v>
      </c>
      <c r="Q579" s="1" t="str">
        <f>IF(ISERROR(VLOOKUP(P579,'unique fed agency names'!A:C,3,FALSE)),P579,VLOOKUP(P579,'unique fed agency names'!A:C,3,FALSE))
</f>
        <v>U.S. Department of Health and Human Services (DHHS)</v>
      </c>
      <c r="R579" s="1">
        <v>1962224.0</v>
      </c>
      <c r="S579" s="1" t="s">
        <v>52</v>
      </c>
      <c r="T579" s="1" t="str">
        <f>IF(ISERROR(VLOOKUP(S579,'unique org names'!A:C,3,FALSE)),S579,VLOOKUP(S579,'unique org names'!A:C,3,FALSE))
</f>
        <v>WAYNE STATE UNIVERSITY</v>
      </c>
      <c r="U579" s="1" t="s">
        <v>1566</v>
      </c>
      <c r="V579" s="1" t="s">
        <v>53</v>
      </c>
      <c r="W579" s="1" t="s">
        <v>44</v>
      </c>
      <c r="X579" s="1" t="s">
        <v>45</v>
      </c>
      <c r="Y579" s="1">
        <v>4.82023692E8</v>
      </c>
      <c r="AA579" s="1" t="s">
        <v>46</v>
      </c>
      <c r="AB579" s="1" t="s">
        <v>45</v>
      </c>
      <c r="AC579" s="1">
        <v>4.82023692E8</v>
      </c>
      <c r="AD579" s="1">
        <v>1962224.0</v>
      </c>
      <c r="AE579" s="1" t="s">
        <v>52</v>
      </c>
      <c r="AF579" s="1">
        <v>2083.65</v>
      </c>
      <c r="AG579" s="2">
        <v>41548.0</v>
      </c>
      <c r="AH579" s="1">
        <v>7500.0</v>
      </c>
      <c r="AI579" s="1" t="s">
        <v>40</v>
      </c>
      <c r="AJ579" s="1">
        <v>2.0141501E7</v>
      </c>
      <c r="AK579" s="1" t="s">
        <v>1571</v>
      </c>
      <c r="AL579" s="1">
        <v>10.0</v>
      </c>
      <c r="AM579" s="1">
        <v>2010.0</v>
      </c>
      <c r="AN579" s="1">
        <v>2014.0</v>
      </c>
      <c r="AO579" s="1" t="s">
        <v>1572</v>
      </c>
    </row>
    <row r="580">
      <c r="A580" s="5">
        <v>1.0</v>
      </c>
      <c r="B580" s="1">
        <f t="shared" si="1"/>
        <v>580</v>
      </c>
      <c r="C580" s="1" t="s">
        <v>1569</v>
      </c>
      <c r="D580" s="1" t="s">
        <v>1569</v>
      </c>
      <c r="E580" s="1" t="s">
        <v>63</v>
      </c>
      <c r="G580" s="1">
        <v>8096385.0</v>
      </c>
      <c r="H580" s="2">
        <v>41183.0</v>
      </c>
      <c r="I580" s="1" t="s">
        <v>1570</v>
      </c>
      <c r="K580" s="1" t="s">
        <v>1570</v>
      </c>
      <c r="N580" s="1" t="s">
        <v>40</v>
      </c>
      <c r="O580" s="1">
        <v>7500.0</v>
      </c>
      <c r="P580" s="1" t="s">
        <v>40</v>
      </c>
      <c r="Q580" s="1" t="str">
        <f>IF(ISERROR(VLOOKUP(P580,'unique fed agency names'!A:C,3,FALSE)),P580,VLOOKUP(P580,'unique fed agency names'!A:C,3,FALSE))
</f>
        <v>U.S. Department of Health and Human Services (DHHS)</v>
      </c>
      <c r="R580" s="1">
        <v>7.8583404E7</v>
      </c>
      <c r="S580" s="1" t="s">
        <v>65</v>
      </c>
      <c r="T580" s="1" t="str">
        <f>IF(ISERROR(VLOOKUP(S580,'unique org names'!A:C,3,FALSE)),S580,VLOOKUP(S580,'unique org names'!A:C,3,FALSE))
</f>
        <v>Institute for Population Health Inc.</v>
      </c>
      <c r="U580" s="1" t="s">
        <v>1566</v>
      </c>
      <c r="V580" s="1" t="s">
        <v>1573</v>
      </c>
      <c r="W580" s="1" t="s">
        <v>44</v>
      </c>
      <c r="X580" s="1" t="s">
        <v>45</v>
      </c>
      <c r="Y580" s="1">
        <v>4.8207311E8</v>
      </c>
      <c r="AA580" s="1" t="s">
        <v>46</v>
      </c>
      <c r="AB580" s="1" t="s">
        <v>45</v>
      </c>
      <c r="AC580" s="1">
        <v>4.82021732E8</v>
      </c>
      <c r="AD580" s="1">
        <v>1962224.0</v>
      </c>
      <c r="AE580" s="1" t="s">
        <v>52</v>
      </c>
      <c r="AF580" s="1">
        <v>91800.0</v>
      </c>
      <c r="AG580" s="2">
        <v>41183.0</v>
      </c>
      <c r="AH580" s="1">
        <v>7500.0</v>
      </c>
      <c r="AI580" s="1" t="s">
        <v>40</v>
      </c>
      <c r="AJ580" s="1">
        <v>2.01304E7</v>
      </c>
      <c r="AK580" s="1" t="s">
        <v>1571</v>
      </c>
      <c r="AL580" s="1">
        <v>10.0</v>
      </c>
      <c r="AM580" s="1">
        <v>2010.0</v>
      </c>
      <c r="AN580" s="1">
        <v>2013.0</v>
      </c>
      <c r="AO580" s="1" t="s">
        <v>1572</v>
      </c>
    </row>
    <row r="581">
      <c r="A581" s="5">
        <v>1.0</v>
      </c>
      <c r="B581" s="1">
        <f t="shared" si="1"/>
        <v>581</v>
      </c>
      <c r="C581" s="1" t="s">
        <v>1569</v>
      </c>
      <c r="D581" s="1" t="s">
        <v>1569</v>
      </c>
      <c r="E581" s="1" t="s">
        <v>63</v>
      </c>
      <c r="G581" s="1">
        <v>8096385.0</v>
      </c>
      <c r="H581" s="2">
        <v>41548.0</v>
      </c>
      <c r="I581" s="1" t="s">
        <v>1570</v>
      </c>
      <c r="K581" s="1" t="s">
        <v>1570</v>
      </c>
      <c r="N581" s="1" t="s">
        <v>40</v>
      </c>
      <c r="O581" s="1">
        <v>7500.0</v>
      </c>
      <c r="P581" s="1" t="s">
        <v>40</v>
      </c>
      <c r="Q581" s="1" t="str">
        <f>IF(ISERROR(VLOOKUP(P581,'unique fed agency names'!A:C,3,FALSE)),P581,VLOOKUP(P581,'unique fed agency names'!A:C,3,FALSE))
</f>
        <v>U.S. Department of Health and Human Services (DHHS)</v>
      </c>
      <c r="R581" s="1">
        <v>1.7406606E7</v>
      </c>
      <c r="S581" s="1" t="s">
        <v>1574</v>
      </c>
      <c r="T581" s="1" t="str">
        <f>IF(ISERROR(VLOOKUP(S581,'unique org names'!A:C,3,FALSE)),S581,VLOOKUP(S581,'unique org names'!A:C,3,FALSE))
</f>
        <v>Detroit Health Dept</v>
      </c>
      <c r="U581" s="1" t="s">
        <v>210</v>
      </c>
      <c r="V581" s="1" t="s">
        <v>1575</v>
      </c>
      <c r="W581" s="1" t="s">
        <v>44</v>
      </c>
      <c r="X581" s="1" t="s">
        <v>45</v>
      </c>
      <c r="Y581" s="1">
        <v>4.82282826E8</v>
      </c>
      <c r="AA581" s="1" t="s">
        <v>46</v>
      </c>
      <c r="AB581" s="1" t="s">
        <v>45</v>
      </c>
      <c r="AC581" s="1">
        <v>4.82282826E8</v>
      </c>
      <c r="AD581" s="1">
        <v>3.8775243E7</v>
      </c>
      <c r="AE581" s="1" t="s">
        <v>209</v>
      </c>
      <c r="AF581" s="1">
        <v>91800.0</v>
      </c>
      <c r="AG581" s="2">
        <v>41548.0</v>
      </c>
      <c r="AH581" s="1">
        <v>7500.0</v>
      </c>
      <c r="AI581" s="1" t="s">
        <v>40</v>
      </c>
      <c r="AJ581" s="1">
        <v>2.0141454E7</v>
      </c>
      <c r="AK581" s="1" t="s">
        <v>1571</v>
      </c>
      <c r="AL581" s="1">
        <v>10.0</v>
      </c>
      <c r="AM581" s="1">
        <v>2010.0</v>
      </c>
      <c r="AN581" s="1">
        <v>2014.0</v>
      </c>
      <c r="AO581" s="1" t="s">
        <v>1572</v>
      </c>
    </row>
    <row r="582">
      <c r="A582" s="5">
        <v>1.0</v>
      </c>
      <c r="B582" s="1">
        <f t="shared" si="1"/>
        <v>582</v>
      </c>
      <c r="C582" s="1" t="s">
        <v>1569</v>
      </c>
      <c r="D582" s="1" t="s">
        <v>1569</v>
      </c>
      <c r="E582" s="1" t="s">
        <v>63</v>
      </c>
      <c r="G582" s="1">
        <v>8096385.0</v>
      </c>
      <c r="H582" s="2">
        <v>41183.0</v>
      </c>
      <c r="I582" s="1" t="s">
        <v>1570</v>
      </c>
      <c r="K582" s="1" t="s">
        <v>1570</v>
      </c>
      <c r="N582" s="1" t="s">
        <v>40</v>
      </c>
      <c r="O582" s="1">
        <v>7500.0</v>
      </c>
      <c r="P582" s="1" t="s">
        <v>40</v>
      </c>
      <c r="Q582" s="1" t="str">
        <f>IF(ISERROR(VLOOKUP(P582,'unique fed agency names'!A:C,3,FALSE)),P582,VLOOKUP(P582,'unique fed agency names'!A:C,3,FALSE))
</f>
        <v>U.S. Department of Health and Human Services (DHHS)</v>
      </c>
      <c r="R582" s="1">
        <v>1962224.0</v>
      </c>
      <c r="S582" s="1" t="s">
        <v>52</v>
      </c>
      <c r="T582" s="1" t="str">
        <f>IF(ISERROR(VLOOKUP(S582,'unique org names'!A:C,3,FALSE)),S582,VLOOKUP(S582,'unique org names'!A:C,3,FALSE))
</f>
        <v>WAYNE STATE UNIVERSITY</v>
      </c>
      <c r="U582" s="1" t="s">
        <v>1566</v>
      </c>
      <c r="V582" s="1" t="s">
        <v>53</v>
      </c>
      <c r="W582" s="1" t="s">
        <v>44</v>
      </c>
      <c r="X582" s="1" t="s">
        <v>45</v>
      </c>
      <c r="Y582" s="1">
        <v>4.82023692E8</v>
      </c>
      <c r="AA582" s="1" t="s">
        <v>46</v>
      </c>
      <c r="AB582" s="1" t="s">
        <v>45</v>
      </c>
      <c r="AC582" s="1">
        <v>4.82023692E8</v>
      </c>
      <c r="AD582" s="1">
        <v>1962224.0</v>
      </c>
      <c r="AE582" s="1" t="s">
        <v>52</v>
      </c>
      <c r="AF582" s="1">
        <v>3000.0</v>
      </c>
      <c r="AG582" s="2">
        <v>41183.0</v>
      </c>
      <c r="AH582" s="1">
        <v>7500.0</v>
      </c>
      <c r="AI582" s="1" t="s">
        <v>40</v>
      </c>
      <c r="AJ582" s="1">
        <v>2.0131049E7</v>
      </c>
      <c r="AK582" s="1" t="s">
        <v>1571</v>
      </c>
      <c r="AL582" s="1">
        <v>10.0</v>
      </c>
      <c r="AM582" s="1">
        <v>2010.0</v>
      </c>
      <c r="AN582" s="1">
        <v>2013.0</v>
      </c>
      <c r="AO582" s="1" t="s">
        <v>1572</v>
      </c>
    </row>
    <row r="583">
      <c r="A583" s="5">
        <v>1.0</v>
      </c>
      <c r="B583" s="1">
        <f t="shared" si="1"/>
        <v>583</v>
      </c>
      <c r="C583" s="1" t="s">
        <v>1576</v>
      </c>
      <c r="D583" s="1" t="s">
        <v>1576</v>
      </c>
      <c r="E583" s="1" t="s">
        <v>645</v>
      </c>
      <c r="G583" s="1">
        <v>1430238.0</v>
      </c>
      <c r="H583" s="2">
        <v>41548.0</v>
      </c>
      <c r="I583" s="1" t="s">
        <v>1577</v>
      </c>
      <c r="K583" s="1" t="s">
        <v>1577</v>
      </c>
      <c r="N583" s="1" t="s">
        <v>647</v>
      </c>
      <c r="O583" s="1">
        <v>1200.0</v>
      </c>
      <c r="P583" s="1" t="s">
        <v>647</v>
      </c>
      <c r="Q583" s="1" t="str">
        <f>IF(ISERROR(VLOOKUP(P583,'unique fed agency names'!A:C,3,FALSE)),P583,VLOOKUP(P583,'unique fed agency names'!A:C,3,FALSE))
</f>
        <v>U.S. Department of Agriculture (USDA)</v>
      </c>
      <c r="R583" s="1">
        <v>7596352.0</v>
      </c>
      <c r="S583" s="1" t="s">
        <v>73</v>
      </c>
      <c r="T583" s="1" t="str">
        <f>IF(ISERROR(VLOOKUP(S583,'unique org names'!A:C,3,FALSE)),S583,VLOOKUP(S583,'unique org names'!A:C,3,FALSE))
</f>
        <v>City Of Detroit</v>
      </c>
      <c r="U583" s="1" t="s">
        <v>1408</v>
      </c>
      <c r="V583" s="1" t="s">
        <v>1578</v>
      </c>
      <c r="W583" s="1" t="s">
        <v>44</v>
      </c>
      <c r="X583" s="1" t="s">
        <v>45</v>
      </c>
      <c r="Y583" s="1">
        <v>4.82263269E8</v>
      </c>
      <c r="AA583" s="1" t="s">
        <v>46</v>
      </c>
      <c r="AB583" s="1" t="s">
        <v>45</v>
      </c>
      <c r="AC583" s="1">
        <v>4.82263269E8</v>
      </c>
      <c r="AD583" s="1">
        <v>6530661.0</v>
      </c>
      <c r="AE583" s="1" t="s">
        <v>76</v>
      </c>
      <c r="AF583" s="1">
        <v>107250.0</v>
      </c>
      <c r="AG583" s="2">
        <v>41548.0</v>
      </c>
      <c r="AH583" s="1">
        <v>1200.0</v>
      </c>
      <c r="AI583" s="1" t="s">
        <v>647</v>
      </c>
      <c r="AJ583" s="1">
        <v>2.0141454E7</v>
      </c>
      <c r="AK583" s="1" t="s">
        <v>1579</v>
      </c>
      <c r="AL583" s="1">
        <v>10.0</v>
      </c>
      <c r="AM583" s="1">
        <v>2012.0</v>
      </c>
      <c r="AN583" s="1">
        <v>2014.0</v>
      </c>
      <c r="AO583" s="1" t="s">
        <v>1580</v>
      </c>
    </row>
    <row r="584">
      <c r="A584" s="5">
        <v>1.0</v>
      </c>
      <c r="B584" s="1">
        <f t="shared" si="1"/>
        <v>584</v>
      </c>
      <c r="C584" s="1" t="s">
        <v>1569</v>
      </c>
      <c r="D584" s="1" t="s">
        <v>1569</v>
      </c>
      <c r="E584" s="1" t="s">
        <v>63</v>
      </c>
      <c r="G584" s="1">
        <v>8096385.0</v>
      </c>
      <c r="H584" s="2">
        <v>41548.0</v>
      </c>
      <c r="I584" s="1" t="s">
        <v>1570</v>
      </c>
      <c r="K584" s="1" t="s">
        <v>1570</v>
      </c>
      <c r="N584" s="1" t="s">
        <v>40</v>
      </c>
      <c r="O584" s="1">
        <v>7500.0</v>
      </c>
      <c r="P584" s="1" t="s">
        <v>40</v>
      </c>
      <c r="Q584" s="1" t="str">
        <f>IF(ISERROR(VLOOKUP(P584,'unique fed agency names'!A:C,3,FALSE)),P584,VLOOKUP(P584,'unique fed agency names'!A:C,3,FALSE))
</f>
        <v>U.S. Department of Health and Human Services (DHHS)</v>
      </c>
      <c r="R584" s="1">
        <v>3.8775243E7</v>
      </c>
      <c r="S584" s="1" t="s">
        <v>209</v>
      </c>
      <c r="T584" s="1" t="str">
        <f>IF(ISERROR(VLOOKUP(S584,'unique org names'!A:C,3,FALSE)),S584,VLOOKUP(S584,'unique org names'!A:C,3,FALSE))
</f>
        <v>SOUTHEASTERN MICHIGAN HEALTH ASSOCIATION</v>
      </c>
      <c r="U584" s="1" t="s">
        <v>210</v>
      </c>
      <c r="V584" s="1" t="s">
        <v>211</v>
      </c>
      <c r="W584" s="1" t="s">
        <v>44</v>
      </c>
      <c r="X584" s="1" t="s">
        <v>45</v>
      </c>
      <c r="Y584" s="1">
        <v>4.82023068E8</v>
      </c>
      <c r="AA584" s="1" t="s">
        <v>46</v>
      </c>
      <c r="AB584" s="1" t="s">
        <v>45</v>
      </c>
      <c r="AC584" s="1">
        <v>4.82023068E8</v>
      </c>
      <c r="AD584" s="1">
        <v>3.8775243E7</v>
      </c>
      <c r="AE584" s="1" t="s">
        <v>209</v>
      </c>
      <c r="AF584" s="1">
        <v>340287.83</v>
      </c>
      <c r="AG584" s="2">
        <v>41548.0</v>
      </c>
      <c r="AH584" s="1">
        <v>7500.0</v>
      </c>
      <c r="AI584" s="1" t="s">
        <v>40</v>
      </c>
      <c r="AJ584" s="1">
        <v>2.0140733E7</v>
      </c>
      <c r="AK584" s="1" t="s">
        <v>1571</v>
      </c>
      <c r="AL584" s="1">
        <v>10.0</v>
      </c>
      <c r="AM584" s="1">
        <v>2010.0</v>
      </c>
      <c r="AN584" s="1">
        <v>2014.0</v>
      </c>
      <c r="AO584" s="1" t="s">
        <v>1572</v>
      </c>
    </row>
    <row r="585">
      <c r="A585" s="5">
        <v>1.0</v>
      </c>
      <c r="B585" s="1">
        <f t="shared" si="1"/>
        <v>585</v>
      </c>
      <c r="C585" s="1" t="s">
        <v>1569</v>
      </c>
      <c r="D585" s="1" t="s">
        <v>1569</v>
      </c>
      <c r="E585" s="1" t="s">
        <v>63</v>
      </c>
      <c r="G585" s="1">
        <v>8096385.0</v>
      </c>
      <c r="H585" s="2">
        <v>41183.0</v>
      </c>
      <c r="I585" s="1" t="s">
        <v>1570</v>
      </c>
      <c r="K585" s="1" t="s">
        <v>1570</v>
      </c>
      <c r="N585" s="1" t="s">
        <v>40</v>
      </c>
      <c r="O585" s="1">
        <v>7500.0</v>
      </c>
      <c r="P585" s="1" t="s">
        <v>40</v>
      </c>
      <c r="Q585" s="1" t="str">
        <f>IF(ISERROR(VLOOKUP(P585,'unique fed agency names'!A:C,3,FALSE)),P585,VLOOKUP(P585,'unique fed agency names'!A:C,3,FALSE))
</f>
        <v>U.S. Department of Health and Human Services (DHHS)</v>
      </c>
      <c r="R585" s="1">
        <v>1962224.0</v>
      </c>
      <c r="S585" s="1" t="s">
        <v>52</v>
      </c>
      <c r="T585" s="1" t="str">
        <f>IF(ISERROR(VLOOKUP(S585,'unique org names'!A:C,3,FALSE)),S585,VLOOKUP(S585,'unique org names'!A:C,3,FALSE))
</f>
        <v>WAYNE STATE UNIVERSITY</v>
      </c>
      <c r="U585" s="1" t="s">
        <v>1566</v>
      </c>
      <c r="V585" s="1" t="s">
        <v>53</v>
      </c>
      <c r="W585" s="1" t="s">
        <v>44</v>
      </c>
      <c r="X585" s="1" t="s">
        <v>45</v>
      </c>
      <c r="Y585" s="1">
        <v>4.82023692E8</v>
      </c>
      <c r="AA585" s="1" t="s">
        <v>46</v>
      </c>
      <c r="AB585" s="1" t="s">
        <v>45</v>
      </c>
      <c r="AC585" s="1">
        <v>4.82023692E8</v>
      </c>
      <c r="AD585" s="1">
        <v>1962224.0</v>
      </c>
      <c r="AE585" s="1" t="s">
        <v>52</v>
      </c>
      <c r="AF585" s="1">
        <v>9000.0</v>
      </c>
      <c r="AG585" s="2">
        <v>41183.0</v>
      </c>
      <c r="AH585" s="1">
        <v>7500.0</v>
      </c>
      <c r="AI585" s="1" t="s">
        <v>40</v>
      </c>
      <c r="AJ585" s="1">
        <v>2.0131049E7</v>
      </c>
      <c r="AK585" s="1" t="s">
        <v>1571</v>
      </c>
      <c r="AL585" s="1">
        <v>10.0</v>
      </c>
      <c r="AM585" s="1">
        <v>2010.0</v>
      </c>
      <c r="AN585" s="1">
        <v>2013.0</v>
      </c>
      <c r="AO585" s="1" t="s">
        <v>1572</v>
      </c>
    </row>
    <row r="586">
      <c r="A586" s="5">
        <v>1.0</v>
      </c>
      <c r="B586" s="1">
        <f t="shared" si="1"/>
        <v>586</v>
      </c>
      <c r="C586" s="1" t="s">
        <v>1325</v>
      </c>
      <c r="D586" s="1" t="s">
        <v>1325</v>
      </c>
      <c r="E586" s="1" t="s">
        <v>129</v>
      </c>
      <c r="G586" s="1">
        <v>5.8106362E8</v>
      </c>
      <c r="H586" s="2">
        <v>41548.0</v>
      </c>
      <c r="I586" s="1" t="s">
        <v>1326</v>
      </c>
      <c r="K586" s="1" t="s">
        <v>1326</v>
      </c>
      <c r="N586" s="1" t="s">
        <v>40</v>
      </c>
      <c r="O586" s="1">
        <v>7500.0</v>
      </c>
      <c r="P586" s="1" t="s">
        <v>40</v>
      </c>
      <c r="Q586" s="1" t="str">
        <f>IF(ISERROR(VLOOKUP(P586,'unique fed agency names'!A:C,3,FALSE)),P586,VLOOKUP(P586,'unique fed agency names'!A:C,3,FALSE))
</f>
        <v>U.S. Department of Health and Human Services (DHHS)</v>
      </c>
      <c r="R586" s="1">
        <v>6.9840817E7</v>
      </c>
      <c r="S586" s="1" t="s">
        <v>131</v>
      </c>
      <c r="T586" s="1" t="str">
        <f>IF(ISERROR(VLOOKUP(S586,'unique org names'!A:C,3,FALSE)),S586,VLOOKUP(S586,'unique org names'!A:C,3,FALSE))
</f>
        <v>LUTHERAN SOCIAL SERVICES OF MICHIGAN</v>
      </c>
      <c r="V586" s="1" t="s">
        <v>132</v>
      </c>
      <c r="W586" s="1" t="s">
        <v>44</v>
      </c>
      <c r="X586" s="1" t="s">
        <v>45</v>
      </c>
      <c r="Y586" s="1">
        <v>4.8214261E8</v>
      </c>
      <c r="AA586" s="1" t="s">
        <v>46</v>
      </c>
      <c r="AB586" s="1" t="s">
        <v>45</v>
      </c>
      <c r="AC586" s="1">
        <v>4.8214261E8</v>
      </c>
      <c r="AD586" s="1">
        <v>6.9840817E7</v>
      </c>
      <c r="AE586" s="1" t="s">
        <v>131</v>
      </c>
      <c r="AF586" s="1">
        <v>456590.0</v>
      </c>
      <c r="AG586" s="2">
        <v>41548.0</v>
      </c>
      <c r="AH586" s="1">
        <v>7500.0</v>
      </c>
      <c r="AI586" s="1" t="s">
        <v>40</v>
      </c>
      <c r="AJ586" s="1" t="s">
        <v>1336</v>
      </c>
      <c r="AK586" s="1" t="s">
        <v>1329</v>
      </c>
      <c r="AL586" s="1">
        <v>4.0</v>
      </c>
      <c r="AM586" s="1">
        <v>2014.0</v>
      </c>
      <c r="AN586" s="1">
        <v>2014.0</v>
      </c>
      <c r="AO586" s="1" t="s">
        <v>385</v>
      </c>
    </row>
    <row r="587">
      <c r="A587" s="5">
        <v>1.0</v>
      </c>
      <c r="B587" s="1">
        <f t="shared" si="1"/>
        <v>587</v>
      </c>
      <c r="C587" s="1" t="s">
        <v>1325</v>
      </c>
      <c r="D587" s="1" t="s">
        <v>1325</v>
      </c>
      <c r="E587" s="1" t="s">
        <v>129</v>
      </c>
      <c r="G587" s="1">
        <v>5.8106362E8</v>
      </c>
      <c r="H587" s="2">
        <v>41548.0</v>
      </c>
      <c r="I587" s="1" t="s">
        <v>1326</v>
      </c>
      <c r="K587" s="1" t="s">
        <v>1326</v>
      </c>
      <c r="N587" s="1" t="s">
        <v>40</v>
      </c>
      <c r="O587" s="1">
        <v>7500.0</v>
      </c>
      <c r="P587" s="1" t="s">
        <v>40</v>
      </c>
      <c r="Q587" s="1" t="str">
        <f>IF(ISERROR(VLOOKUP(P587,'unique fed agency names'!A:C,3,FALSE)),P587,VLOOKUP(P587,'unique fed agency names'!A:C,3,FALSE))
</f>
        <v>U.S. Department of Health and Human Services (DHHS)</v>
      </c>
      <c r="R587" s="1">
        <v>2.0830303E7</v>
      </c>
      <c r="S587" s="1" t="s">
        <v>424</v>
      </c>
      <c r="T587" s="1" t="str">
        <f>IF(ISERROR(VLOOKUP(S587,'unique org names'!A:C,3,FALSE)),S587,VLOOKUP(S587,'unique org names'!A:C,3,FALSE))
</f>
        <v>MATRIX HUMAN SERVICES</v>
      </c>
      <c r="U587" s="1" t="s">
        <v>425</v>
      </c>
      <c r="V587" s="1" t="s">
        <v>426</v>
      </c>
      <c r="W587" s="1" t="s">
        <v>44</v>
      </c>
      <c r="X587" s="1" t="s">
        <v>45</v>
      </c>
      <c r="Y587" s="1">
        <v>4.82012002E8</v>
      </c>
      <c r="AA587" s="1" t="s">
        <v>44</v>
      </c>
      <c r="AB587" s="1" t="s">
        <v>45</v>
      </c>
      <c r="AC587" s="1">
        <v>4.82012002E8</v>
      </c>
      <c r="AD587" s="1">
        <v>2.0830303E7</v>
      </c>
      <c r="AE587" s="1" t="s">
        <v>424</v>
      </c>
      <c r="AF587" s="1">
        <v>332938.25</v>
      </c>
      <c r="AG587" s="2">
        <v>41548.0</v>
      </c>
      <c r="AH587" s="1">
        <v>7500.0</v>
      </c>
      <c r="AI587" s="1" t="s">
        <v>40</v>
      </c>
      <c r="AJ587" s="1" t="s">
        <v>1273</v>
      </c>
      <c r="AK587" s="1" t="s">
        <v>1274</v>
      </c>
      <c r="AL587" s="1">
        <v>4.0</v>
      </c>
      <c r="AM587" s="1">
        <v>2014.0</v>
      </c>
      <c r="AN587" s="1">
        <v>2014.0</v>
      </c>
      <c r="AO587" s="1" t="s">
        <v>385</v>
      </c>
    </row>
    <row r="588">
      <c r="A588" s="5">
        <v>1.0</v>
      </c>
      <c r="B588" s="1">
        <f t="shared" si="1"/>
        <v>588</v>
      </c>
      <c r="C588" s="1" t="s">
        <v>1325</v>
      </c>
      <c r="D588" s="1" t="s">
        <v>1325</v>
      </c>
      <c r="E588" s="1" t="s">
        <v>129</v>
      </c>
      <c r="G588" s="1">
        <v>5.8106362E8</v>
      </c>
      <c r="H588" s="2">
        <v>41548.0</v>
      </c>
      <c r="I588" s="1" t="s">
        <v>1326</v>
      </c>
      <c r="K588" s="1" t="s">
        <v>1326</v>
      </c>
      <c r="N588" s="1" t="s">
        <v>40</v>
      </c>
      <c r="O588" s="1">
        <v>7500.0</v>
      </c>
      <c r="P588" s="1" t="s">
        <v>40</v>
      </c>
      <c r="Q588" s="1" t="str">
        <f>IF(ISERROR(VLOOKUP(P588,'unique fed agency names'!A:C,3,FALSE)),P588,VLOOKUP(P588,'unique fed agency names'!A:C,3,FALSE))
</f>
        <v>U.S. Department of Health and Human Services (DHHS)</v>
      </c>
      <c r="R588" s="1">
        <v>7.8074923E8</v>
      </c>
      <c r="S588" s="1" t="s">
        <v>419</v>
      </c>
      <c r="T588" s="1" t="str">
        <f>IF(ISERROR(VLOOKUP(S588,'unique org names'!A:C,3,FALSE)),S588,VLOOKUP(S588,'unique org names'!A:C,3,FALSE))
</f>
        <v>ALTERNATIVES FOR GIRLS</v>
      </c>
      <c r="V588" s="1" t="s">
        <v>420</v>
      </c>
      <c r="W588" s="1" t="s">
        <v>44</v>
      </c>
      <c r="X588" s="1" t="s">
        <v>45</v>
      </c>
      <c r="Y588" s="1">
        <v>4.82082365E8</v>
      </c>
      <c r="AA588" s="1" t="s">
        <v>44</v>
      </c>
      <c r="AB588" s="1" t="s">
        <v>45</v>
      </c>
      <c r="AC588" s="1">
        <v>4.82082365E8</v>
      </c>
      <c r="AF588" s="1">
        <v>198499.1</v>
      </c>
      <c r="AG588" s="2">
        <v>41548.0</v>
      </c>
      <c r="AH588" s="1">
        <v>7500.0</v>
      </c>
      <c r="AI588" s="1" t="s">
        <v>40</v>
      </c>
      <c r="AJ588" s="1" t="s">
        <v>1327</v>
      </c>
      <c r="AK588" s="1" t="s">
        <v>1274</v>
      </c>
      <c r="AL588" s="1">
        <v>4.0</v>
      </c>
      <c r="AM588" s="1">
        <v>2014.0</v>
      </c>
      <c r="AN588" s="1">
        <v>2014.0</v>
      </c>
      <c r="AO588" s="1" t="s">
        <v>385</v>
      </c>
    </row>
    <row r="589">
      <c r="A589" s="5">
        <v>1.0</v>
      </c>
      <c r="B589" s="1">
        <f t="shared" si="1"/>
        <v>589</v>
      </c>
      <c r="C589" s="1" t="s">
        <v>1325</v>
      </c>
      <c r="D589" s="1" t="s">
        <v>1325</v>
      </c>
      <c r="E589" s="1" t="s">
        <v>129</v>
      </c>
      <c r="G589" s="1">
        <v>5.8106362E8</v>
      </c>
      <c r="H589" s="2">
        <v>41548.0</v>
      </c>
      <c r="I589" s="1" t="s">
        <v>1326</v>
      </c>
      <c r="K589" s="1" t="s">
        <v>1326</v>
      </c>
      <c r="N589" s="1" t="s">
        <v>40</v>
      </c>
      <c r="O589" s="1">
        <v>7500.0</v>
      </c>
      <c r="P589" s="1" t="s">
        <v>40</v>
      </c>
      <c r="Q589" s="1" t="str">
        <f>IF(ISERROR(VLOOKUP(P589,'unique fed agency names'!A:C,3,FALSE)),P589,VLOOKUP(P589,'unique fed agency names'!A:C,3,FALSE))
</f>
        <v>U.S. Department of Health and Human Services (DHHS)</v>
      </c>
      <c r="R589" s="1">
        <v>1.93540515E8</v>
      </c>
      <c r="S589" s="1" t="s">
        <v>1022</v>
      </c>
      <c r="T589" s="1" t="str">
        <f>IF(ISERROR(VLOOKUP(S589,'unique org names'!A:C,3,FALSE)),S589,VLOOKUP(S589,'unique org names'!A:C,3,FALSE))
</f>
        <v>Development Centers, Inc</v>
      </c>
      <c r="U589" s="1" t="s">
        <v>1330</v>
      </c>
      <c r="V589" s="1" t="s">
        <v>1023</v>
      </c>
      <c r="W589" s="1" t="s">
        <v>44</v>
      </c>
      <c r="X589" s="1" t="s">
        <v>45</v>
      </c>
      <c r="Y589" s="1">
        <v>4.82193653E8</v>
      </c>
      <c r="AA589" s="1" t="s">
        <v>44</v>
      </c>
      <c r="AB589" s="1" t="s">
        <v>45</v>
      </c>
      <c r="AC589" s="1">
        <v>4.82193165E8</v>
      </c>
      <c r="AD589" s="1">
        <v>1.93540515E8</v>
      </c>
      <c r="AE589" s="1" t="s">
        <v>1022</v>
      </c>
      <c r="AF589" s="1">
        <v>249761.0</v>
      </c>
      <c r="AG589" s="2">
        <v>41548.0</v>
      </c>
      <c r="AH589" s="1">
        <v>7500.0</v>
      </c>
      <c r="AI589" s="1" t="s">
        <v>40</v>
      </c>
      <c r="AJ589" s="1" t="s">
        <v>1331</v>
      </c>
      <c r="AK589" s="1" t="s">
        <v>1332</v>
      </c>
      <c r="AL589" s="1">
        <v>4.0</v>
      </c>
      <c r="AM589" s="1">
        <v>2014.0</v>
      </c>
      <c r="AN589" s="1">
        <v>2014.0</v>
      </c>
      <c r="AO589" s="1" t="s">
        <v>385</v>
      </c>
    </row>
    <row r="590">
      <c r="A590" s="5">
        <v>1.0</v>
      </c>
      <c r="B590" s="1">
        <f t="shared" si="1"/>
        <v>590</v>
      </c>
      <c r="C590" s="1" t="s">
        <v>1325</v>
      </c>
      <c r="D590" s="1" t="s">
        <v>1325</v>
      </c>
      <c r="E590" s="1" t="s">
        <v>129</v>
      </c>
      <c r="G590" s="1">
        <v>5.8106362E8</v>
      </c>
      <c r="H590" s="2">
        <v>41548.0</v>
      </c>
      <c r="I590" s="1" t="s">
        <v>1326</v>
      </c>
      <c r="K590" s="1" t="s">
        <v>1326</v>
      </c>
      <c r="N590" s="1" t="s">
        <v>40</v>
      </c>
      <c r="O590" s="1">
        <v>7500.0</v>
      </c>
      <c r="P590" s="1" t="s">
        <v>40</v>
      </c>
      <c r="Q590" s="1" t="str">
        <f>IF(ISERROR(VLOOKUP(P590,'unique fed agency names'!A:C,3,FALSE)),P590,VLOOKUP(P590,'unique fed agency names'!A:C,3,FALSE))
</f>
        <v>U.S. Department of Health and Human Services (DHHS)</v>
      </c>
      <c r="R590" s="1">
        <v>1.21516199E8</v>
      </c>
      <c r="S590" s="1" t="s">
        <v>380</v>
      </c>
      <c r="T590" s="1" t="str">
        <f>IF(ISERROR(VLOOKUP(S590,'unique org names'!A:C,3,FALSE)),S590,VLOOKUP(S590,'unique org names'!A:C,3,FALSE))
</f>
        <v>YWCA of Metropolitan Detroit</v>
      </c>
      <c r="U590" s="1" t="s">
        <v>381</v>
      </c>
      <c r="V590" s="1" t="s">
        <v>382</v>
      </c>
      <c r="W590" s="1" t="s">
        <v>44</v>
      </c>
      <c r="X590" s="1" t="s">
        <v>45</v>
      </c>
      <c r="Y590" s="1">
        <v>4.82073156E8</v>
      </c>
      <c r="AA590" s="1" t="s">
        <v>44</v>
      </c>
      <c r="AB590" s="1" t="s">
        <v>45</v>
      </c>
      <c r="AC590" s="1">
        <v>4.82073127E8</v>
      </c>
      <c r="AD590" s="1">
        <v>1.21516199E8</v>
      </c>
      <c r="AE590" s="1" t="s">
        <v>380</v>
      </c>
      <c r="AF590" s="1">
        <v>233094.58</v>
      </c>
      <c r="AG590" s="2">
        <v>41548.0</v>
      </c>
      <c r="AH590" s="1">
        <v>7500.0</v>
      </c>
      <c r="AI590" s="1" t="s">
        <v>40</v>
      </c>
      <c r="AJ590" s="1" t="s">
        <v>1309</v>
      </c>
      <c r="AK590" s="1" t="s">
        <v>1310</v>
      </c>
      <c r="AL590" s="1">
        <v>4.0</v>
      </c>
      <c r="AM590" s="1">
        <v>2014.0</v>
      </c>
      <c r="AN590" s="1">
        <v>2014.0</v>
      </c>
      <c r="AO590" s="1" t="s">
        <v>385</v>
      </c>
    </row>
    <row r="591">
      <c r="A591" s="5">
        <v>1.0</v>
      </c>
      <c r="B591" s="1">
        <f t="shared" si="1"/>
        <v>591</v>
      </c>
      <c r="C591" s="1" t="s">
        <v>1325</v>
      </c>
      <c r="D591" s="1" t="s">
        <v>1325</v>
      </c>
      <c r="E591" s="1" t="s">
        <v>129</v>
      </c>
      <c r="G591" s="1">
        <v>5.8106362E8</v>
      </c>
      <c r="H591" s="2">
        <v>41548.0</v>
      </c>
      <c r="I591" s="1" t="s">
        <v>1326</v>
      </c>
      <c r="K591" s="1" t="s">
        <v>1326</v>
      </c>
      <c r="N591" s="1" t="s">
        <v>40</v>
      </c>
      <c r="O591" s="1">
        <v>7500.0</v>
      </c>
      <c r="P591" s="1" t="s">
        <v>40</v>
      </c>
      <c r="Q591" s="1" t="str">
        <f>IF(ISERROR(VLOOKUP(P591,'unique fed agency names'!A:C,3,FALSE)),P591,VLOOKUP(P591,'unique fed agency names'!A:C,3,FALSE))
</f>
        <v>U.S. Department of Health and Human Services (DHHS)</v>
      </c>
      <c r="R591" s="1">
        <v>6.9840817E7</v>
      </c>
      <c r="S591" s="1" t="s">
        <v>131</v>
      </c>
      <c r="T591" s="1" t="str">
        <f>IF(ISERROR(VLOOKUP(S591,'unique org names'!A:C,3,FALSE)),S591,VLOOKUP(S591,'unique org names'!A:C,3,FALSE))
</f>
        <v>LUTHERAN SOCIAL SERVICES OF MICHIGAN</v>
      </c>
      <c r="V591" s="1" t="s">
        <v>132</v>
      </c>
      <c r="W591" s="1" t="s">
        <v>44</v>
      </c>
      <c r="X591" s="1" t="s">
        <v>45</v>
      </c>
      <c r="Y591" s="1">
        <v>4.8214261E8</v>
      </c>
      <c r="AA591" s="1" t="s">
        <v>44</v>
      </c>
      <c r="AB591" s="1" t="s">
        <v>45</v>
      </c>
      <c r="AC591" s="1">
        <v>4.8214261E8</v>
      </c>
      <c r="AD591" s="1">
        <v>6.9840817E7</v>
      </c>
      <c r="AE591" s="1" t="s">
        <v>131</v>
      </c>
      <c r="AF591" s="1">
        <v>457342.0</v>
      </c>
      <c r="AG591" s="2">
        <v>41548.0</v>
      </c>
      <c r="AH591" s="1">
        <v>7500.0</v>
      </c>
      <c r="AI591" s="1" t="s">
        <v>40</v>
      </c>
      <c r="AJ591" s="1" t="s">
        <v>1328</v>
      </c>
      <c r="AK591" s="1" t="s">
        <v>1329</v>
      </c>
      <c r="AL591" s="1">
        <v>4.0</v>
      </c>
      <c r="AM591" s="1">
        <v>2014.0</v>
      </c>
      <c r="AN591" s="1">
        <v>2014.0</v>
      </c>
      <c r="AO591" s="1" t="s">
        <v>385</v>
      </c>
    </row>
    <row r="592">
      <c r="A592" s="5">
        <v>1.0</v>
      </c>
      <c r="B592" s="1">
        <f t="shared" si="1"/>
        <v>592</v>
      </c>
      <c r="C592" s="1" t="s">
        <v>1325</v>
      </c>
      <c r="D592" s="1" t="s">
        <v>1325</v>
      </c>
      <c r="E592" s="1" t="s">
        <v>129</v>
      </c>
      <c r="G592" s="1">
        <v>5.8106362E8</v>
      </c>
      <c r="H592" s="2">
        <v>41548.0</v>
      </c>
      <c r="I592" s="1" t="s">
        <v>1326</v>
      </c>
      <c r="K592" s="1" t="s">
        <v>1326</v>
      </c>
      <c r="N592" s="1" t="s">
        <v>40</v>
      </c>
      <c r="O592" s="1">
        <v>7500.0</v>
      </c>
      <c r="P592" s="1" t="s">
        <v>40</v>
      </c>
      <c r="Q592" s="1" t="str">
        <f>IF(ISERROR(VLOOKUP(P592,'unique fed agency names'!A:C,3,FALSE)),P592,VLOOKUP(P592,'unique fed agency names'!A:C,3,FALSE))
</f>
        <v>U.S. Department of Health and Human Services (DHHS)</v>
      </c>
      <c r="R592" s="1">
        <v>1.95614664E8</v>
      </c>
      <c r="S592" s="1" t="s">
        <v>1333</v>
      </c>
      <c r="T592" s="1" t="str">
        <f>IF(ISERROR(VLOOKUP(S592,'unique org names'!A:C,3,FALSE)),S592,VLOOKUP(S592,'unique org names'!A:C,3,FALSE))
</f>
        <v>Black Family Development, Inc</v>
      </c>
      <c r="V592" s="1" t="s">
        <v>1334</v>
      </c>
      <c r="W592" s="1" t="s">
        <v>44</v>
      </c>
      <c r="X592" s="1" t="s">
        <v>45</v>
      </c>
      <c r="Y592" s="1">
        <v>4.82023133E8</v>
      </c>
      <c r="AA592" s="1" t="s">
        <v>44</v>
      </c>
      <c r="AB592" s="1" t="s">
        <v>45</v>
      </c>
      <c r="AC592" s="1">
        <v>4.82023133E8</v>
      </c>
      <c r="AD592" s="1">
        <v>1.95614664E8</v>
      </c>
      <c r="AE592" s="1" t="s">
        <v>1333</v>
      </c>
      <c r="AF592" s="1">
        <v>807364.0</v>
      </c>
      <c r="AG592" s="2">
        <v>41548.0</v>
      </c>
      <c r="AH592" s="1">
        <v>7500.0</v>
      </c>
      <c r="AI592" s="1" t="s">
        <v>40</v>
      </c>
      <c r="AJ592" s="1" t="s">
        <v>1335</v>
      </c>
      <c r="AK592" s="1" t="s">
        <v>1329</v>
      </c>
      <c r="AL592" s="1">
        <v>4.0</v>
      </c>
      <c r="AM592" s="1">
        <v>2014.0</v>
      </c>
      <c r="AN592" s="1">
        <v>2014.0</v>
      </c>
      <c r="AO592" s="1" t="s">
        <v>385</v>
      </c>
    </row>
    <row r="593">
      <c r="A593" s="5">
        <v>1.0</v>
      </c>
      <c r="B593" s="1">
        <f t="shared" si="1"/>
        <v>593</v>
      </c>
      <c r="C593" s="1" t="s">
        <v>1522</v>
      </c>
      <c r="D593" s="1" t="s">
        <v>1522</v>
      </c>
      <c r="E593" s="1" t="s">
        <v>129</v>
      </c>
      <c r="G593" s="1">
        <v>1.1414518E7</v>
      </c>
      <c r="H593" s="2">
        <v>41759.0</v>
      </c>
      <c r="I593" s="1" t="s">
        <v>1581</v>
      </c>
      <c r="K593" s="1" t="s">
        <v>1581</v>
      </c>
      <c r="N593" s="1" t="s">
        <v>40</v>
      </c>
      <c r="O593" s="1">
        <v>7500.0</v>
      </c>
      <c r="P593" s="1" t="s">
        <v>40</v>
      </c>
      <c r="Q593" s="1" t="str">
        <f>IF(ISERROR(VLOOKUP(P593,'unique fed agency names'!A:C,3,FALSE)),P593,VLOOKUP(P593,'unique fed agency names'!A:C,3,FALSE))
</f>
        <v>U.S. Department of Health and Human Services (DHHS)</v>
      </c>
      <c r="R593" s="1">
        <v>6.9840817E7</v>
      </c>
      <c r="S593" s="1" t="s">
        <v>131</v>
      </c>
      <c r="T593" s="1" t="str">
        <f>IF(ISERROR(VLOOKUP(S593,'unique org names'!A:C,3,FALSE)),S593,VLOOKUP(S593,'unique org names'!A:C,3,FALSE))
</f>
        <v>LUTHERAN SOCIAL SERVICES OF MICHIGAN</v>
      </c>
      <c r="V593" s="1" t="s">
        <v>132</v>
      </c>
      <c r="W593" s="1" t="s">
        <v>44</v>
      </c>
      <c r="X593" s="1" t="s">
        <v>45</v>
      </c>
      <c r="Y593" s="1">
        <v>4.8214261E8</v>
      </c>
      <c r="AA593" s="1" t="s">
        <v>46</v>
      </c>
      <c r="AB593" s="1" t="s">
        <v>1524</v>
      </c>
      <c r="AC593" s="1">
        <v>4.8214261E8</v>
      </c>
      <c r="AD593" s="1">
        <v>6.9840817E7</v>
      </c>
      <c r="AE593" s="1" t="s">
        <v>131</v>
      </c>
      <c r="AF593" s="1">
        <v>280179.0</v>
      </c>
      <c r="AG593" s="2">
        <v>41759.0</v>
      </c>
      <c r="AH593" s="1">
        <v>7500.0</v>
      </c>
      <c r="AI593" s="1" t="s">
        <v>40</v>
      </c>
      <c r="AJ593" s="1" t="s">
        <v>1582</v>
      </c>
      <c r="AK593" s="1" t="s">
        <v>1526</v>
      </c>
      <c r="AL593" s="1">
        <v>4.0</v>
      </c>
      <c r="AM593" s="1">
        <v>2014.0</v>
      </c>
      <c r="AN593" s="1">
        <v>2014.0</v>
      </c>
      <c r="AO593" s="1" t="s">
        <v>141</v>
      </c>
    </row>
    <row r="594">
      <c r="A594" s="5">
        <v>1.0</v>
      </c>
      <c r="B594" s="1">
        <f t="shared" si="1"/>
        <v>594</v>
      </c>
      <c r="C594" s="1" t="s">
        <v>1263</v>
      </c>
      <c r="D594" s="1" t="s">
        <v>1263</v>
      </c>
      <c r="E594" s="1" t="s">
        <v>188</v>
      </c>
      <c r="G594" s="1">
        <v>1.6226899E7</v>
      </c>
      <c r="H594" s="2">
        <v>41759.0</v>
      </c>
      <c r="I594" s="1" t="s">
        <v>1264</v>
      </c>
      <c r="K594" s="1" t="s">
        <v>1264</v>
      </c>
      <c r="N594" s="1" t="s">
        <v>188</v>
      </c>
      <c r="O594" s="1">
        <v>1900.0</v>
      </c>
      <c r="P594" s="1" t="s">
        <v>188</v>
      </c>
      <c r="Q594" s="1" t="str">
        <f>IF(ISERROR(VLOOKUP(P594,'unique fed agency names'!A:C,3,FALSE)),P594,VLOOKUP(P594,'unique fed agency names'!A:C,3,FALSE))
</f>
        <v>U.S. Department of State</v>
      </c>
      <c r="R594" s="1">
        <v>6.9840817E7</v>
      </c>
      <c r="S594" s="1" t="s">
        <v>131</v>
      </c>
      <c r="T594" s="1" t="str">
        <f>IF(ISERROR(VLOOKUP(S594,'unique org names'!A:C,3,FALSE)),S594,VLOOKUP(S594,'unique org names'!A:C,3,FALSE))
</f>
        <v>LUTHERAN SOCIAL SERVICES OF MICHIGAN</v>
      </c>
      <c r="V594" s="1" t="s">
        <v>132</v>
      </c>
      <c r="W594" s="1" t="s">
        <v>44</v>
      </c>
      <c r="X594" s="1" t="s">
        <v>45</v>
      </c>
      <c r="Y594" s="1">
        <v>4.8214261E8</v>
      </c>
      <c r="AA594" s="1" t="s">
        <v>46</v>
      </c>
      <c r="AB594" s="1" t="s">
        <v>45</v>
      </c>
      <c r="AC594" s="1">
        <v>4.8214261E8</v>
      </c>
      <c r="AD594" s="1">
        <v>6.9840817E7</v>
      </c>
      <c r="AE594" s="1" t="s">
        <v>131</v>
      </c>
      <c r="AF594" s="1">
        <v>739200.0</v>
      </c>
      <c r="AG594" s="2">
        <v>41759.0</v>
      </c>
      <c r="AH594" s="1">
        <v>1900.0</v>
      </c>
      <c r="AI594" s="1" t="s">
        <v>188</v>
      </c>
      <c r="AJ594" s="1" t="s">
        <v>1583</v>
      </c>
      <c r="AK594" s="1" t="s">
        <v>1266</v>
      </c>
      <c r="AL594" s="1">
        <v>4.0</v>
      </c>
      <c r="AM594" s="1">
        <v>2014.0</v>
      </c>
      <c r="AN594" s="1">
        <v>2014.0</v>
      </c>
      <c r="AO594" s="1" t="s">
        <v>192</v>
      </c>
    </row>
    <row r="595">
      <c r="A595" s="5">
        <v>1.0</v>
      </c>
      <c r="B595" s="1">
        <f t="shared" si="1"/>
        <v>595</v>
      </c>
      <c r="C595" s="1" t="s">
        <v>128</v>
      </c>
      <c r="D595" s="1" t="s">
        <v>128</v>
      </c>
      <c r="E595" s="1" t="s">
        <v>129</v>
      </c>
      <c r="G595" s="1">
        <v>2.23784E7</v>
      </c>
      <c r="H595" s="2">
        <v>41759.0</v>
      </c>
      <c r="I595" s="1" t="s">
        <v>1584</v>
      </c>
      <c r="K595" s="1" t="s">
        <v>1584</v>
      </c>
      <c r="N595" s="1" t="s">
        <v>40</v>
      </c>
      <c r="O595" s="1">
        <v>7500.0</v>
      </c>
      <c r="P595" s="1" t="s">
        <v>40</v>
      </c>
      <c r="Q595" s="1" t="str">
        <f>IF(ISERROR(VLOOKUP(P595,'unique fed agency names'!A:C,3,FALSE)),P595,VLOOKUP(P595,'unique fed agency names'!A:C,3,FALSE))
</f>
        <v>U.S. Department of Health and Human Services (DHHS)</v>
      </c>
      <c r="R595" s="1">
        <v>6.9840817E7</v>
      </c>
      <c r="S595" s="1" t="s">
        <v>131</v>
      </c>
      <c r="T595" s="1" t="str">
        <f>IF(ISERROR(VLOOKUP(S595,'unique org names'!A:C,3,FALSE)),S595,VLOOKUP(S595,'unique org names'!A:C,3,FALSE))
</f>
        <v>LUTHERAN SOCIAL SERVICES OF MICHIGAN</v>
      </c>
      <c r="V595" s="1" t="s">
        <v>132</v>
      </c>
      <c r="W595" s="1" t="s">
        <v>44</v>
      </c>
      <c r="X595" s="1" t="s">
        <v>45</v>
      </c>
      <c r="Y595" s="1">
        <v>4.8214261E8</v>
      </c>
      <c r="AA595" s="1" t="s">
        <v>133</v>
      </c>
      <c r="AB595" s="1" t="s">
        <v>45</v>
      </c>
      <c r="AC595" s="1">
        <v>4.8214261E8</v>
      </c>
      <c r="AD595" s="1">
        <v>6.9840817E7</v>
      </c>
      <c r="AE595" s="1" t="s">
        <v>131</v>
      </c>
      <c r="AF595" s="1">
        <v>275500.0</v>
      </c>
      <c r="AG595" s="2">
        <v>41759.0</v>
      </c>
      <c r="AH595" s="1">
        <v>7500.0</v>
      </c>
      <c r="AI595" s="1" t="s">
        <v>40</v>
      </c>
      <c r="AJ595" s="1" t="s">
        <v>1585</v>
      </c>
      <c r="AK595" s="1" t="s">
        <v>1262</v>
      </c>
      <c r="AL595" s="1">
        <v>4.0</v>
      </c>
      <c r="AM595" s="1">
        <v>2014.0</v>
      </c>
      <c r="AN595" s="1">
        <v>2014.0</v>
      </c>
      <c r="AO595" s="1" t="s">
        <v>136</v>
      </c>
    </row>
    <row r="596">
      <c r="A596" s="5">
        <v>1.0</v>
      </c>
      <c r="B596" s="1">
        <f t="shared" si="1"/>
        <v>596</v>
      </c>
      <c r="C596" s="1" t="s">
        <v>1586</v>
      </c>
      <c r="D596" s="1" t="s">
        <v>1586</v>
      </c>
      <c r="E596" s="1" t="s">
        <v>38</v>
      </c>
      <c r="G596" s="1">
        <v>1159052.0</v>
      </c>
      <c r="H596" s="2">
        <v>41775.0</v>
      </c>
      <c r="I596" s="1" t="s">
        <v>1587</v>
      </c>
      <c r="K596" s="1" t="s">
        <v>1587</v>
      </c>
      <c r="N596" s="1" t="s">
        <v>40</v>
      </c>
      <c r="O596" s="1">
        <v>7500.0</v>
      </c>
      <c r="P596" s="1" t="s">
        <v>40</v>
      </c>
      <c r="Q596" s="1" t="str">
        <f>IF(ISERROR(VLOOKUP(P596,'unique fed agency names'!A:C,3,FALSE)),P596,VLOOKUP(P596,'unique fed agency names'!A:C,3,FALSE))
</f>
        <v>U.S. Department of Health and Human Services (DHHS)</v>
      </c>
      <c r="R596" s="1">
        <v>1962224.0</v>
      </c>
      <c r="S596" s="1" t="s">
        <v>52</v>
      </c>
      <c r="T596" s="1" t="str">
        <f>IF(ISERROR(VLOOKUP(S596,'unique org names'!A:C,3,FALSE)),S596,VLOOKUP(S596,'unique org names'!A:C,3,FALSE))
</f>
        <v>WAYNE STATE UNIVERSITY</v>
      </c>
      <c r="U596" s="1" t="s">
        <v>1566</v>
      </c>
      <c r="V596" s="1" t="s">
        <v>53</v>
      </c>
      <c r="W596" s="1" t="s">
        <v>44</v>
      </c>
      <c r="X596" s="1" t="s">
        <v>45</v>
      </c>
      <c r="Y596" s="1">
        <v>4.82023692E8</v>
      </c>
      <c r="AA596" s="1" t="s">
        <v>46</v>
      </c>
      <c r="AB596" s="1" t="s">
        <v>45</v>
      </c>
      <c r="AC596" s="1">
        <v>4.82012119E8</v>
      </c>
      <c r="AD596" s="1">
        <v>1962224.0</v>
      </c>
      <c r="AE596" s="1" t="s">
        <v>52</v>
      </c>
      <c r="AF596" s="1">
        <v>61044.9</v>
      </c>
      <c r="AG596" s="2">
        <v>41775.0</v>
      </c>
      <c r="AH596" s="1">
        <v>7500.0</v>
      </c>
      <c r="AI596" s="1" t="s">
        <v>40</v>
      </c>
      <c r="AJ596" s="1" t="s">
        <v>1588</v>
      </c>
      <c r="AK596" s="1" t="s">
        <v>1589</v>
      </c>
      <c r="AL596" s="1">
        <v>5.0</v>
      </c>
      <c r="AM596" s="1">
        <v>2014.0</v>
      </c>
      <c r="AN596" s="1">
        <v>2014.0</v>
      </c>
      <c r="AO596" s="1" t="s">
        <v>256</v>
      </c>
    </row>
    <row r="597">
      <c r="A597" s="5">
        <v>1.0</v>
      </c>
      <c r="B597" s="1">
        <f t="shared" si="1"/>
        <v>597</v>
      </c>
      <c r="C597" s="1" t="s">
        <v>992</v>
      </c>
      <c r="D597" s="1" t="s">
        <v>992</v>
      </c>
      <c r="E597" s="1" t="s">
        <v>159</v>
      </c>
      <c r="G597" s="1">
        <v>3.6982132E7</v>
      </c>
      <c r="H597" s="2">
        <v>41745.0</v>
      </c>
      <c r="I597" s="1" t="s">
        <v>993</v>
      </c>
      <c r="K597" s="1" t="s">
        <v>993</v>
      </c>
      <c r="N597" s="1" t="s">
        <v>40</v>
      </c>
      <c r="O597" s="1">
        <v>7500.0</v>
      </c>
      <c r="P597" s="1" t="s">
        <v>40</v>
      </c>
      <c r="Q597" s="1" t="str">
        <f>IF(ISERROR(VLOOKUP(P597,'unique fed agency names'!A:C,3,FALSE)),P597,VLOOKUP(P597,'unique fed agency names'!A:C,3,FALSE))
</f>
        <v>U.S. Department of Health and Human Services (DHHS)</v>
      </c>
      <c r="R597" s="1">
        <v>1.42793053E8</v>
      </c>
      <c r="S597" s="1" t="s">
        <v>994</v>
      </c>
      <c r="T597" s="1" t="str">
        <f>IF(ISERROR(VLOOKUP(S597,'unique org names'!A:C,3,FALSE)),S597,VLOOKUP(S597,'unique org names'!A:C,3,FALSE))
</f>
        <v>CARE FIRST COMMUNITY HEALTH SERVICES</v>
      </c>
      <c r="V597" s="1" t="s">
        <v>995</v>
      </c>
      <c r="W597" s="1" t="s">
        <v>44</v>
      </c>
      <c r="X597" s="1" t="s">
        <v>45</v>
      </c>
      <c r="Y597" s="1">
        <v>4.82282721E8</v>
      </c>
      <c r="AA597" s="1" t="s">
        <v>46</v>
      </c>
      <c r="AB597" s="1" t="s">
        <v>45</v>
      </c>
      <c r="AC597" s="1">
        <v>4.82282721E8</v>
      </c>
      <c r="AF597" s="1">
        <v>19000.0</v>
      </c>
      <c r="AG597" s="2">
        <v>41745.0</v>
      </c>
      <c r="AH597" s="1">
        <v>7500.0</v>
      </c>
      <c r="AI597" s="1" t="s">
        <v>40</v>
      </c>
      <c r="AJ597" s="1">
        <v>2.0606865E7</v>
      </c>
      <c r="AK597" s="1" t="s">
        <v>1590</v>
      </c>
      <c r="AL597" s="1">
        <v>4.0</v>
      </c>
      <c r="AM597" s="1">
        <v>2014.0</v>
      </c>
      <c r="AN597" s="1">
        <v>2014.0</v>
      </c>
      <c r="AO597" s="1" t="s">
        <v>997</v>
      </c>
    </row>
    <row r="598">
      <c r="A598" s="5">
        <v>1.0</v>
      </c>
      <c r="B598" s="1">
        <f t="shared" si="1"/>
        <v>598</v>
      </c>
      <c r="C598" s="1" t="s">
        <v>992</v>
      </c>
      <c r="D598" s="1" t="s">
        <v>992</v>
      </c>
      <c r="E598" s="1" t="s">
        <v>159</v>
      </c>
      <c r="G598" s="1">
        <v>3.6982132E7</v>
      </c>
      <c r="H598" s="2">
        <v>41744.0</v>
      </c>
      <c r="I598" s="1" t="s">
        <v>993</v>
      </c>
      <c r="K598" s="1" t="s">
        <v>993</v>
      </c>
      <c r="N598" s="1" t="s">
        <v>40</v>
      </c>
      <c r="O598" s="1">
        <v>7500.0</v>
      </c>
      <c r="P598" s="1" t="s">
        <v>40</v>
      </c>
      <c r="Q598" s="1" t="str">
        <f>IF(ISERROR(VLOOKUP(P598,'unique fed agency names'!A:C,3,FALSE)),P598,VLOOKUP(P598,'unique fed agency names'!A:C,3,FALSE))
</f>
        <v>U.S. Department of Health and Human Services (DHHS)</v>
      </c>
      <c r="R598" s="1">
        <v>2.0830303E7</v>
      </c>
      <c r="S598" s="1" t="s">
        <v>424</v>
      </c>
      <c r="T598" s="1" t="str">
        <f>IF(ISERROR(VLOOKUP(S598,'unique org names'!A:C,3,FALSE)),S598,VLOOKUP(S598,'unique org names'!A:C,3,FALSE))
</f>
        <v>MATRIX HUMAN SERVICES</v>
      </c>
      <c r="U598" s="1" t="s">
        <v>425</v>
      </c>
      <c r="V598" s="1" t="s">
        <v>426</v>
      </c>
      <c r="W598" s="1" t="s">
        <v>44</v>
      </c>
      <c r="X598" s="1" t="s">
        <v>45</v>
      </c>
      <c r="Y598" s="1">
        <v>4.82012002E8</v>
      </c>
      <c r="AA598" s="1" t="s">
        <v>46</v>
      </c>
      <c r="AB598" s="1" t="s">
        <v>45</v>
      </c>
      <c r="AC598" s="1">
        <v>4.82012002E8</v>
      </c>
      <c r="AD598" s="1">
        <v>2.0830303E7</v>
      </c>
      <c r="AE598" s="1" t="s">
        <v>424</v>
      </c>
      <c r="AF598" s="1">
        <v>324862.13</v>
      </c>
      <c r="AG598" s="2">
        <v>41744.0</v>
      </c>
      <c r="AH598" s="1">
        <v>7500.0</v>
      </c>
      <c r="AI598" s="1" t="s">
        <v>40</v>
      </c>
      <c r="AJ598" s="1">
        <v>3.81358015E8</v>
      </c>
      <c r="AK598" s="1" t="s">
        <v>1591</v>
      </c>
      <c r="AL598" s="1">
        <v>4.0</v>
      </c>
      <c r="AM598" s="1">
        <v>2014.0</v>
      </c>
      <c r="AN598" s="1">
        <v>2014.0</v>
      </c>
      <c r="AO598" s="1" t="s">
        <v>997</v>
      </c>
    </row>
    <row r="599">
      <c r="A599" s="5">
        <v>1.0</v>
      </c>
      <c r="B599" s="1">
        <f t="shared" si="1"/>
        <v>599</v>
      </c>
      <c r="C599" s="1" t="s">
        <v>992</v>
      </c>
      <c r="D599" s="1" t="s">
        <v>992</v>
      </c>
      <c r="E599" s="1" t="s">
        <v>159</v>
      </c>
      <c r="G599" s="1">
        <v>3.6982132E7</v>
      </c>
      <c r="H599" s="2">
        <v>41744.0</v>
      </c>
      <c r="I599" s="1" t="s">
        <v>993</v>
      </c>
      <c r="K599" s="1" t="s">
        <v>993</v>
      </c>
      <c r="N599" s="1" t="s">
        <v>40</v>
      </c>
      <c r="O599" s="1">
        <v>7500.0</v>
      </c>
      <c r="P599" s="1" t="s">
        <v>40</v>
      </c>
      <c r="Q599" s="1" t="str">
        <f>IF(ISERROR(VLOOKUP(P599,'unique fed agency names'!A:C,3,FALSE)),P599,VLOOKUP(P599,'unique fed agency names'!A:C,3,FALSE))
</f>
        <v>U.S. Department of Health and Human Services (DHHS)</v>
      </c>
      <c r="R599" s="1">
        <v>1.97862014E8</v>
      </c>
      <c r="S599" s="1" t="s">
        <v>1056</v>
      </c>
      <c r="T599" s="1" t="str">
        <f>IF(ISERROR(VLOOKUP(S599,'unique org names'!A:C,3,FALSE)),S599,VLOOKUP(S599,'unique org names'!A:C,3,FALSE))
</f>
        <v>WAYNE COUNTY NEIGHBORHOOD LEGAL SERVICES</v>
      </c>
      <c r="U599" s="1" t="s">
        <v>1057</v>
      </c>
      <c r="V599" s="1" t="s">
        <v>1058</v>
      </c>
      <c r="W599" s="1" t="s">
        <v>44</v>
      </c>
      <c r="X599" s="1" t="s">
        <v>45</v>
      </c>
      <c r="Y599" s="1">
        <v>4.82023165E8</v>
      </c>
      <c r="AA599" s="1" t="s">
        <v>46</v>
      </c>
      <c r="AB599" s="1" t="s">
        <v>45</v>
      </c>
      <c r="AC599" s="1">
        <v>4.82262917E8</v>
      </c>
      <c r="AD599" s="1">
        <v>1.97862014E8</v>
      </c>
      <c r="AE599" s="1" t="s">
        <v>1056</v>
      </c>
      <c r="AF599" s="1">
        <v>34240.26</v>
      </c>
      <c r="AG599" s="2">
        <v>41744.0</v>
      </c>
      <c r="AH599" s="1">
        <v>7500.0</v>
      </c>
      <c r="AI599" s="1" t="s">
        <v>40</v>
      </c>
      <c r="AJ599" s="1">
        <v>3.81818068E8</v>
      </c>
      <c r="AK599" s="1" t="s">
        <v>1059</v>
      </c>
      <c r="AL599" s="1">
        <v>4.0</v>
      </c>
      <c r="AM599" s="1">
        <v>2014.0</v>
      </c>
      <c r="AN599" s="1">
        <v>2014.0</v>
      </c>
      <c r="AO599" s="1" t="s">
        <v>997</v>
      </c>
    </row>
    <row r="600">
      <c r="A600" s="5">
        <v>1.0</v>
      </c>
      <c r="B600" s="1">
        <f t="shared" si="1"/>
        <v>600</v>
      </c>
      <c r="C600" s="1" t="s">
        <v>992</v>
      </c>
      <c r="D600" s="1" t="s">
        <v>992</v>
      </c>
      <c r="E600" s="1" t="s">
        <v>159</v>
      </c>
      <c r="G600" s="1">
        <v>3.6982132E7</v>
      </c>
      <c r="H600" s="2">
        <v>41744.0</v>
      </c>
      <c r="I600" s="1" t="s">
        <v>993</v>
      </c>
      <c r="K600" s="1" t="s">
        <v>993</v>
      </c>
      <c r="N600" s="1" t="s">
        <v>40</v>
      </c>
      <c r="O600" s="1">
        <v>7500.0</v>
      </c>
      <c r="P600" s="1" t="s">
        <v>40</v>
      </c>
      <c r="Q600" s="1" t="str">
        <f>IF(ISERROR(VLOOKUP(P600,'unique fed agency names'!A:C,3,FALSE)),P600,VLOOKUP(P600,'unique fed agency names'!A:C,3,FALSE))
</f>
        <v>U.S. Department of Health and Human Services (DHHS)</v>
      </c>
      <c r="R600" s="1">
        <v>1.98999146E8</v>
      </c>
      <c r="S600" s="1" t="s">
        <v>999</v>
      </c>
      <c r="T600" s="1" t="str">
        <f>IF(ISERROR(VLOOKUP(S600,'unique org names'!A:C,3,FALSE)),S600,VLOOKUP(S600,'unique org names'!A:C,3,FALSE))
</f>
        <v>COMMUNITY HEALTH AWARENESS GROUP</v>
      </c>
      <c r="V600" s="1" t="s">
        <v>1000</v>
      </c>
      <c r="W600" s="1" t="s">
        <v>44</v>
      </c>
      <c r="X600" s="1" t="s">
        <v>45</v>
      </c>
      <c r="Y600" s="1">
        <v>4.82263007E8</v>
      </c>
      <c r="AA600" s="1" t="s">
        <v>46</v>
      </c>
      <c r="AB600" s="1" t="s">
        <v>45</v>
      </c>
      <c r="AC600" s="1">
        <v>4.82263007E8</v>
      </c>
      <c r="AF600" s="1">
        <v>272274.26</v>
      </c>
      <c r="AG600" s="2">
        <v>41744.0</v>
      </c>
      <c r="AH600" s="1">
        <v>7500.0</v>
      </c>
      <c r="AI600" s="1" t="s">
        <v>40</v>
      </c>
      <c r="AJ600" s="1">
        <v>3.82704374E8</v>
      </c>
      <c r="AK600" s="1" t="s">
        <v>1592</v>
      </c>
      <c r="AL600" s="1">
        <v>4.0</v>
      </c>
      <c r="AM600" s="1">
        <v>2014.0</v>
      </c>
      <c r="AN600" s="1">
        <v>2014.0</v>
      </c>
      <c r="AO600" s="1" t="s">
        <v>997</v>
      </c>
    </row>
    <row r="601">
      <c r="A601" s="5">
        <v>1.0</v>
      </c>
      <c r="B601" s="1">
        <f t="shared" si="1"/>
        <v>601</v>
      </c>
      <c r="C601" s="1" t="s">
        <v>992</v>
      </c>
      <c r="D601" s="1" t="s">
        <v>992</v>
      </c>
      <c r="E601" s="1" t="s">
        <v>159</v>
      </c>
      <c r="G601" s="1">
        <v>3.6982132E7</v>
      </c>
      <c r="H601" s="2">
        <v>41744.0</v>
      </c>
      <c r="I601" s="1" t="s">
        <v>993</v>
      </c>
      <c r="K601" s="1" t="s">
        <v>993</v>
      </c>
      <c r="N601" s="1" t="s">
        <v>40</v>
      </c>
      <c r="O601" s="1">
        <v>7500.0</v>
      </c>
      <c r="P601" s="1" t="s">
        <v>40</v>
      </c>
      <c r="Q601" s="1" t="str">
        <f>IF(ISERROR(VLOOKUP(P601,'unique fed agency names'!A:C,3,FALSE)),P601,VLOOKUP(P601,'unique fed agency names'!A:C,3,FALSE))
</f>
        <v>U.S. Department of Health and Human Services (DHHS)</v>
      </c>
      <c r="R601" s="1">
        <v>1962224.0</v>
      </c>
      <c r="S601" s="1" t="s">
        <v>52</v>
      </c>
      <c r="T601" s="1" t="str">
        <f>IF(ISERROR(VLOOKUP(S601,'unique org names'!A:C,3,FALSE)),S601,VLOOKUP(S601,'unique org names'!A:C,3,FALSE))
</f>
        <v>WAYNE STATE UNIVERSITY</v>
      </c>
      <c r="U601" s="1" t="s">
        <v>1566</v>
      </c>
      <c r="V601" s="1" t="s">
        <v>53</v>
      </c>
      <c r="W601" s="1" t="s">
        <v>44</v>
      </c>
      <c r="X601" s="1" t="s">
        <v>45</v>
      </c>
      <c r="Y601" s="1">
        <v>4.82023692E8</v>
      </c>
      <c r="AA601" s="1" t="s">
        <v>46</v>
      </c>
      <c r="AB601" s="1" t="s">
        <v>45</v>
      </c>
      <c r="AC601" s="1">
        <v>4.82023692E8</v>
      </c>
      <c r="AD601" s="1">
        <v>1962224.0</v>
      </c>
      <c r="AE601" s="1" t="s">
        <v>52</v>
      </c>
      <c r="AF601" s="1">
        <v>250600.38</v>
      </c>
      <c r="AG601" s="2">
        <v>41744.0</v>
      </c>
      <c r="AH601" s="1">
        <v>7500.0</v>
      </c>
      <c r="AI601" s="1" t="s">
        <v>40</v>
      </c>
      <c r="AJ601" s="1">
        <v>3.86028429E8</v>
      </c>
      <c r="AK601" s="1" t="s">
        <v>1593</v>
      </c>
      <c r="AL601" s="1">
        <v>4.0</v>
      </c>
      <c r="AM601" s="1">
        <v>2014.0</v>
      </c>
      <c r="AN601" s="1">
        <v>2014.0</v>
      </c>
      <c r="AO601" s="1" t="s">
        <v>997</v>
      </c>
    </row>
    <row r="602">
      <c r="A602" s="5">
        <v>1.0</v>
      </c>
      <c r="B602" s="1">
        <f t="shared" si="1"/>
        <v>602</v>
      </c>
      <c r="C602" s="1" t="s">
        <v>992</v>
      </c>
      <c r="D602" s="1" t="s">
        <v>992</v>
      </c>
      <c r="E602" s="1" t="s">
        <v>159</v>
      </c>
      <c r="G602" s="1">
        <v>3.6982132E7</v>
      </c>
      <c r="H602" s="2">
        <v>41746.0</v>
      </c>
      <c r="I602" s="1" t="s">
        <v>993</v>
      </c>
      <c r="K602" s="1" t="s">
        <v>993</v>
      </c>
      <c r="N602" s="1" t="s">
        <v>40</v>
      </c>
      <c r="O602" s="1">
        <v>7500.0</v>
      </c>
      <c r="P602" s="1" t="s">
        <v>40</v>
      </c>
      <c r="Q602" s="1" t="str">
        <f>IF(ISERROR(VLOOKUP(P602,'unique fed agency names'!A:C,3,FALSE)),P602,VLOOKUP(P602,'unique fed agency names'!A:C,3,FALSE))
</f>
        <v>U.S. Department of Health and Human Services (DHHS)</v>
      </c>
      <c r="R602" s="1">
        <v>8.48764171E8</v>
      </c>
      <c r="S602" s="1" t="s">
        <v>1050</v>
      </c>
      <c r="T602" s="1" t="str">
        <f>IF(ISERROR(VLOOKUP(S602,'unique org names'!A:C,3,FALSE)),S602,VLOOKUP(S602,'unique org names'!A:C,3,FALSE))
</f>
        <v>AIDS Partnership Michigan, Inc</v>
      </c>
      <c r="U602" s="1" t="s">
        <v>1051</v>
      </c>
      <c r="V602" s="1" t="s">
        <v>1052</v>
      </c>
      <c r="W602" s="1" t="s">
        <v>44</v>
      </c>
      <c r="X602" s="1" t="s">
        <v>45</v>
      </c>
      <c r="Y602" s="1">
        <v>4.820741E8</v>
      </c>
      <c r="AA602" s="1" t="s">
        <v>46</v>
      </c>
      <c r="AB602" s="1" t="s">
        <v>45</v>
      </c>
      <c r="AC602" s="1">
        <v>4.820741E8</v>
      </c>
      <c r="AF602" s="1">
        <v>251022.45</v>
      </c>
      <c r="AG602" s="2">
        <v>41746.0</v>
      </c>
      <c r="AH602" s="1">
        <v>7500.0</v>
      </c>
      <c r="AI602" s="1" t="s">
        <v>40</v>
      </c>
      <c r="AJ602" s="1">
        <v>3.82464851E8</v>
      </c>
      <c r="AK602" s="1" t="s">
        <v>1594</v>
      </c>
      <c r="AL602" s="1">
        <v>4.0</v>
      </c>
      <c r="AM602" s="1">
        <v>2014.0</v>
      </c>
      <c r="AN602" s="1">
        <v>2014.0</v>
      </c>
      <c r="AO602" s="1" t="s">
        <v>997</v>
      </c>
    </row>
    <row r="603">
      <c r="A603" s="5">
        <v>1.0</v>
      </c>
      <c r="B603" s="1">
        <f t="shared" si="1"/>
        <v>603</v>
      </c>
      <c r="C603" s="1" t="s">
        <v>992</v>
      </c>
      <c r="D603" s="1" t="s">
        <v>992</v>
      </c>
      <c r="E603" s="1" t="s">
        <v>159</v>
      </c>
      <c r="G603" s="1">
        <v>3.6982132E7</v>
      </c>
      <c r="H603" s="2">
        <v>41746.0</v>
      </c>
      <c r="I603" s="1" t="s">
        <v>993</v>
      </c>
      <c r="K603" s="1" t="s">
        <v>993</v>
      </c>
      <c r="N603" s="1" t="s">
        <v>40</v>
      </c>
      <c r="O603" s="1">
        <v>7500.0</v>
      </c>
      <c r="P603" s="1" t="s">
        <v>40</v>
      </c>
      <c r="Q603" s="1" t="str">
        <f>IF(ISERROR(VLOOKUP(P603,'unique fed agency names'!A:C,3,FALSE)),P603,VLOOKUP(P603,'unique fed agency names'!A:C,3,FALSE))
</f>
        <v>U.S. Department of Health and Human Services (DHHS)</v>
      </c>
      <c r="R603" s="1">
        <v>7.3134603E7</v>
      </c>
      <c r="S603" s="1" t="s">
        <v>41</v>
      </c>
      <c r="T603" s="1" t="str">
        <f>IF(ISERROR(VLOOKUP(S603,'unique org names'!A:C,3,FALSE)),S603,VLOOKUP(S603,'unique org names'!A:C,3,FALSE))
</f>
        <v>Henry Ford Health System</v>
      </c>
      <c r="U603" s="1" t="s">
        <v>252</v>
      </c>
      <c r="V603" s="1" t="s">
        <v>253</v>
      </c>
      <c r="W603" s="1" t="s">
        <v>44</v>
      </c>
      <c r="X603" s="1" t="s">
        <v>45</v>
      </c>
      <c r="Y603" s="1">
        <v>4.8202345E8</v>
      </c>
      <c r="AA603" s="1" t="s">
        <v>46</v>
      </c>
      <c r="AB603" s="1" t="s">
        <v>45</v>
      </c>
      <c r="AC603" s="1">
        <v>4.82022608E8</v>
      </c>
      <c r="AD603" s="1">
        <v>7.3134603E7</v>
      </c>
      <c r="AE603" s="1" t="s">
        <v>41</v>
      </c>
      <c r="AF603" s="1">
        <v>189427.05</v>
      </c>
      <c r="AG603" s="2">
        <v>41746.0</v>
      </c>
      <c r="AH603" s="1">
        <v>7500.0</v>
      </c>
      <c r="AI603" s="1" t="s">
        <v>40</v>
      </c>
      <c r="AJ603" s="1">
        <v>3.8135702E8</v>
      </c>
      <c r="AK603" s="1" t="s">
        <v>1595</v>
      </c>
      <c r="AL603" s="1">
        <v>4.0</v>
      </c>
      <c r="AM603" s="1">
        <v>2014.0</v>
      </c>
      <c r="AN603" s="1">
        <v>2014.0</v>
      </c>
      <c r="AO603" s="1" t="s">
        <v>997</v>
      </c>
    </row>
    <row r="604">
      <c r="A604" s="5">
        <v>1.0</v>
      </c>
      <c r="B604" s="1">
        <f t="shared" si="1"/>
        <v>604</v>
      </c>
      <c r="C604" s="1" t="s">
        <v>992</v>
      </c>
      <c r="D604" s="1" t="s">
        <v>992</v>
      </c>
      <c r="E604" s="1" t="s">
        <v>159</v>
      </c>
      <c r="G604" s="1">
        <v>3.6982132E7</v>
      </c>
      <c r="H604" s="2">
        <v>41745.0</v>
      </c>
      <c r="I604" s="1" t="s">
        <v>993</v>
      </c>
      <c r="K604" s="1" t="s">
        <v>993</v>
      </c>
      <c r="N604" s="1" t="s">
        <v>40</v>
      </c>
      <c r="O604" s="1">
        <v>7500.0</v>
      </c>
      <c r="P604" s="1" t="s">
        <v>40</v>
      </c>
      <c r="Q604" s="1" t="str">
        <f>IF(ISERROR(VLOOKUP(P604,'unique fed agency names'!A:C,3,FALSE)),P604,VLOOKUP(P604,'unique fed agency names'!A:C,3,FALSE))
</f>
        <v>U.S. Department of Health and Human Services (DHHS)</v>
      </c>
      <c r="R604" s="1">
        <v>9.29292464E8</v>
      </c>
      <c r="S604" s="1" t="s">
        <v>1043</v>
      </c>
      <c r="T604" s="1" t="str">
        <f>IF(ISERROR(VLOOKUP(S604,'unique org names'!A:C,3,FALSE)),S604,VLOOKUP(S604,'unique org names'!A:C,3,FALSE))
</f>
        <v>HEALTH EMERGENCY LIFELINE PROGRAM</v>
      </c>
      <c r="V604" s="1" t="s">
        <v>1044</v>
      </c>
      <c r="W604" s="1" t="s">
        <v>44</v>
      </c>
      <c r="X604" s="1" t="s">
        <v>45</v>
      </c>
      <c r="Y604" s="1">
        <v>4.82161921E8</v>
      </c>
      <c r="AA604" s="1" t="s">
        <v>46</v>
      </c>
      <c r="AB604" s="1" t="s">
        <v>45</v>
      </c>
      <c r="AC604" s="1">
        <v>4.82161921E8</v>
      </c>
      <c r="AF604" s="1">
        <v>355167.48</v>
      </c>
      <c r="AG604" s="2">
        <v>41745.0</v>
      </c>
      <c r="AH604" s="1">
        <v>7500.0</v>
      </c>
      <c r="AI604" s="1" t="s">
        <v>40</v>
      </c>
      <c r="AJ604" s="1">
        <v>3.82719621E8</v>
      </c>
      <c r="AK604" s="1" t="s">
        <v>1596</v>
      </c>
      <c r="AL604" s="1">
        <v>4.0</v>
      </c>
      <c r="AM604" s="1">
        <v>2014.0</v>
      </c>
      <c r="AN604" s="1">
        <v>2014.0</v>
      </c>
      <c r="AO604" s="1" t="s">
        <v>997</v>
      </c>
    </row>
    <row r="605">
      <c r="A605" s="5">
        <v>1.0</v>
      </c>
      <c r="B605" s="1">
        <f t="shared" si="1"/>
        <v>605</v>
      </c>
      <c r="C605" s="1" t="s">
        <v>992</v>
      </c>
      <c r="D605" s="1" t="s">
        <v>992</v>
      </c>
      <c r="E605" s="1" t="s">
        <v>159</v>
      </c>
      <c r="G605" s="1">
        <v>3.6982132E7</v>
      </c>
      <c r="H605" s="2">
        <v>41744.0</v>
      </c>
      <c r="I605" s="1" t="s">
        <v>993</v>
      </c>
      <c r="K605" s="1" t="s">
        <v>993</v>
      </c>
      <c r="N605" s="1" t="s">
        <v>40</v>
      </c>
      <c r="O605" s="1">
        <v>7500.0</v>
      </c>
      <c r="P605" s="1" t="s">
        <v>40</v>
      </c>
      <c r="Q605" s="1" t="str">
        <f>IF(ISERROR(VLOOKUP(P605,'unique fed agency names'!A:C,3,FALSE)),P605,VLOOKUP(P605,'unique fed agency names'!A:C,3,FALSE))
</f>
        <v>U.S. Department of Health and Human Services (DHHS)</v>
      </c>
      <c r="R605" s="1">
        <v>2.0830303E7</v>
      </c>
      <c r="S605" s="1" t="s">
        <v>424</v>
      </c>
      <c r="T605" s="1" t="str">
        <f>IF(ISERROR(VLOOKUP(S605,'unique org names'!A:C,3,FALSE)),S605,VLOOKUP(S605,'unique org names'!A:C,3,FALSE))
</f>
        <v>MATRIX HUMAN SERVICES</v>
      </c>
      <c r="U605" s="1" t="s">
        <v>425</v>
      </c>
      <c r="V605" s="1" t="s">
        <v>426</v>
      </c>
      <c r="W605" s="1" t="s">
        <v>44</v>
      </c>
      <c r="X605" s="1" t="s">
        <v>45</v>
      </c>
      <c r="Y605" s="1">
        <v>4.82012002E8</v>
      </c>
      <c r="AA605" s="1" t="s">
        <v>46</v>
      </c>
      <c r="AB605" s="1" t="s">
        <v>45</v>
      </c>
      <c r="AC605" s="1">
        <v>4.82012002E8</v>
      </c>
      <c r="AD605" s="1">
        <v>2.0830303E7</v>
      </c>
      <c r="AE605" s="1" t="s">
        <v>424</v>
      </c>
      <c r="AF605" s="1">
        <v>324862.13</v>
      </c>
      <c r="AG605" s="2">
        <v>41744.0</v>
      </c>
      <c r="AH605" s="1">
        <v>7500.0</v>
      </c>
      <c r="AI605" s="1" t="s">
        <v>40</v>
      </c>
      <c r="AJ605" s="1">
        <v>3.81358015E8</v>
      </c>
      <c r="AK605" s="1" t="s">
        <v>1591</v>
      </c>
      <c r="AL605" s="1">
        <v>4.0</v>
      </c>
      <c r="AM605" s="1">
        <v>2014.0</v>
      </c>
      <c r="AN605" s="1">
        <v>2014.0</v>
      </c>
      <c r="AO605" s="1" t="s">
        <v>997</v>
      </c>
    </row>
    <row r="606">
      <c r="A606" s="5">
        <v>1.0</v>
      </c>
      <c r="B606" s="1">
        <f t="shared" si="1"/>
        <v>606</v>
      </c>
      <c r="C606" s="1" t="s">
        <v>992</v>
      </c>
      <c r="D606" s="1" t="s">
        <v>992</v>
      </c>
      <c r="E606" s="1" t="s">
        <v>159</v>
      </c>
      <c r="G606" s="1">
        <v>3.6982132E7</v>
      </c>
      <c r="H606" s="2">
        <v>41773.0</v>
      </c>
      <c r="I606" s="1" t="s">
        <v>993</v>
      </c>
      <c r="K606" s="1" t="s">
        <v>993</v>
      </c>
      <c r="N606" s="1" t="s">
        <v>40</v>
      </c>
      <c r="O606" s="1">
        <v>7500.0</v>
      </c>
      <c r="P606" s="1" t="s">
        <v>40</v>
      </c>
      <c r="Q606" s="1" t="str">
        <f>IF(ISERROR(VLOOKUP(P606,'unique fed agency names'!A:C,3,FALSE)),P606,VLOOKUP(P606,'unique fed agency names'!A:C,3,FALSE))
</f>
        <v>U.S. Department of Health and Human Services (DHHS)</v>
      </c>
      <c r="R606" s="1">
        <v>1.41947783E8</v>
      </c>
      <c r="S606" s="1" t="s">
        <v>144</v>
      </c>
      <c r="T606" s="1" t="str">
        <f>IF(ISERROR(VLOOKUP(S606,'unique org names'!A:C,3,FALSE)),S606,VLOOKUP(S606,'unique org names'!A:C,3,FALSE))
</f>
        <v>St John Community Health Investment Corporation</v>
      </c>
      <c r="V606" s="1" t="s">
        <v>145</v>
      </c>
      <c r="W606" s="1" t="s">
        <v>44</v>
      </c>
      <c r="X606" s="1" t="s">
        <v>45</v>
      </c>
      <c r="Y606" s="1">
        <v>4.82362148E8</v>
      </c>
      <c r="AA606" s="1" t="s">
        <v>1454</v>
      </c>
      <c r="AB606" s="1" t="s">
        <v>45</v>
      </c>
      <c r="AC606" s="1">
        <v>4.80922468E8</v>
      </c>
      <c r="AF606" s="1">
        <v>87000.0</v>
      </c>
      <c r="AG606" s="2">
        <v>41773.0</v>
      </c>
      <c r="AH606" s="1">
        <v>7500.0</v>
      </c>
      <c r="AI606" s="1" t="s">
        <v>40</v>
      </c>
      <c r="AJ606" s="1">
        <v>3.82262856E8</v>
      </c>
      <c r="AK606" s="1" t="s">
        <v>1054</v>
      </c>
      <c r="AL606" s="1">
        <v>4.0</v>
      </c>
      <c r="AM606" s="1">
        <v>2014.0</v>
      </c>
      <c r="AN606" s="1">
        <v>2014.0</v>
      </c>
      <c r="AO606" s="1" t="s">
        <v>997</v>
      </c>
    </row>
    <row r="607">
      <c r="A607" s="5">
        <v>1.0</v>
      </c>
      <c r="B607" s="1">
        <f t="shared" si="1"/>
        <v>607</v>
      </c>
      <c r="C607" s="1" t="s">
        <v>1597</v>
      </c>
      <c r="D607" s="1" t="s">
        <v>1597</v>
      </c>
      <c r="E607" s="1" t="s">
        <v>645</v>
      </c>
      <c r="G607" s="1">
        <v>1243102.0</v>
      </c>
      <c r="H607" s="2">
        <v>41753.0</v>
      </c>
      <c r="I607" s="1" t="s">
        <v>754</v>
      </c>
      <c r="K607" s="1" t="s">
        <v>754</v>
      </c>
      <c r="N607" s="1" t="s">
        <v>647</v>
      </c>
      <c r="O607" s="1">
        <v>1200.0</v>
      </c>
      <c r="P607" s="1" t="s">
        <v>647</v>
      </c>
      <c r="Q607" s="1" t="str">
        <f>IF(ISERROR(VLOOKUP(P607,'unique fed agency names'!A:C,3,FALSE)),P607,VLOOKUP(P607,'unique fed agency names'!A:C,3,FALSE))
</f>
        <v>U.S. Department of Agriculture (USDA)</v>
      </c>
      <c r="R607" s="1">
        <v>2.0830303E7</v>
      </c>
      <c r="S607" s="1" t="s">
        <v>424</v>
      </c>
      <c r="T607" s="1" t="str">
        <f>IF(ISERROR(VLOOKUP(S607,'unique org names'!A:C,3,FALSE)),S607,VLOOKUP(S607,'unique org names'!A:C,3,FALSE))
</f>
        <v>MATRIX HUMAN SERVICES</v>
      </c>
      <c r="U607" s="1" t="s">
        <v>425</v>
      </c>
      <c r="V607" s="1" t="s">
        <v>426</v>
      </c>
      <c r="W607" s="1" t="s">
        <v>44</v>
      </c>
      <c r="X607" s="1" t="s">
        <v>45</v>
      </c>
      <c r="Y607" s="1">
        <v>4.82012002E8</v>
      </c>
      <c r="AA607" s="1" t="s">
        <v>44</v>
      </c>
      <c r="AB607" s="1" t="s">
        <v>45</v>
      </c>
      <c r="AC607" s="1">
        <v>4.82012002E8</v>
      </c>
      <c r="AD607" s="1">
        <v>2.0830303E7</v>
      </c>
      <c r="AE607" s="1" t="s">
        <v>424</v>
      </c>
      <c r="AF607" s="1">
        <v>33980.1</v>
      </c>
      <c r="AG607" s="2">
        <v>41753.0</v>
      </c>
      <c r="AH607" s="1">
        <v>1200.0</v>
      </c>
      <c r="AI607" s="1" t="s">
        <v>647</v>
      </c>
      <c r="AJ607" s="1" t="s">
        <v>1598</v>
      </c>
      <c r="AK607" s="1" t="s">
        <v>756</v>
      </c>
      <c r="AL607" s="1">
        <v>5.0</v>
      </c>
      <c r="AM607" s="1">
        <v>2014.0</v>
      </c>
      <c r="AN607" s="1">
        <v>2014.0</v>
      </c>
      <c r="AO607" s="1" t="s">
        <v>757</v>
      </c>
    </row>
    <row r="608">
      <c r="A608" s="5">
        <v>1.0</v>
      </c>
      <c r="B608" s="1">
        <f t="shared" si="1"/>
        <v>608</v>
      </c>
      <c r="C608" s="1" t="s">
        <v>1597</v>
      </c>
      <c r="D608" s="1" t="s">
        <v>1597</v>
      </c>
      <c r="E608" s="1" t="s">
        <v>645</v>
      </c>
      <c r="G608" s="1">
        <v>1243102.0</v>
      </c>
      <c r="H608" s="2">
        <v>41613.0</v>
      </c>
      <c r="I608" s="1" t="s">
        <v>754</v>
      </c>
      <c r="K608" s="1" t="s">
        <v>754</v>
      </c>
      <c r="N608" s="1" t="s">
        <v>647</v>
      </c>
      <c r="O608" s="1">
        <v>1200.0</v>
      </c>
      <c r="P608" s="1" t="s">
        <v>647</v>
      </c>
      <c r="Q608" s="1" t="str">
        <f>IF(ISERROR(VLOOKUP(P608,'unique fed agency names'!A:C,3,FALSE)),P608,VLOOKUP(P608,'unique fed agency names'!A:C,3,FALSE))
</f>
        <v>U.S. Department of Agriculture (USDA)</v>
      </c>
      <c r="R608" s="1">
        <v>7.6340843E7</v>
      </c>
      <c r="S608" s="1" t="s">
        <v>461</v>
      </c>
      <c r="T608" s="1" t="str">
        <f>IF(ISERROR(VLOOKUP(S608,'unique org names'!A:C,3,FALSE)),S608,VLOOKUP(S608,'unique org names'!A:C,3,FALSE))
</f>
        <v>BOARD OF EDUCATION OF THE CITY OF DETROIT</v>
      </c>
      <c r="V608" s="1" t="s">
        <v>1599</v>
      </c>
      <c r="W608" s="1" t="s">
        <v>44</v>
      </c>
      <c r="X608" s="1" t="s">
        <v>45</v>
      </c>
      <c r="Y608" s="1">
        <v>4.8202301E8</v>
      </c>
      <c r="AA608" s="1" t="s">
        <v>44</v>
      </c>
      <c r="AB608" s="1" t="s">
        <v>45</v>
      </c>
      <c r="AC608" s="1">
        <v>4.82023096E8</v>
      </c>
      <c r="AD608" s="1">
        <v>7.6340843E7</v>
      </c>
      <c r="AE608" s="1" t="s">
        <v>461</v>
      </c>
      <c r="AF608" s="1">
        <v>113945.4</v>
      </c>
      <c r="AG608" s="2">
        <v>41613.0</v>
      </c>
      <c r="AH608" s="1">
        <v>1200.0</v>
      </c>
      <c r="AI608" s="1" t="s">
        <v>647</v>
      </c>
      <c r="AJ608" s="1" t="s">
        <v>1600</v>
      </c>
      <c r="AK608" s="1" t="s">
        <v>756</v>
      </c>
      <c r="AL608" s="1">
        <v>5.0</v>
      </c>
      <c r="AM608" s="1">
        <v>2014.0</v>
      </c>
      <c r="AN608" s="1">
        <v>2014.0</v>
      </c>
      <c r="AO608" s="1" t="s">
        <v>757</v>
      </c>
    </row>
    <row r="609">
      <c r="A609" s="5">
        <v>1.0</v>
      </c>
      <c r="B609" s="1">
        <f t="shared" si="1"/>
        <v>609</v>
      </c>
      <c r="C609" s="1" t="s">
        <v>1601</v>
      </c>
      <c r="D609" s="1" t="s">
        <v>1601</v>
      </c>
      <c r="E609" s="1" t="s">
        <v>224</v>
      </c>
      <c r="G609" s="1">
        <v>95355.0</v>
      </c>
      <c r="H609" s="2">
        <v>41521.0</v>
      </c>
      <c r="I609" s="1" t="s">
        <v>1150</v>
      </c>
      <c r="K609" s="1" t="s">
        <v>1150</v>
      </c>
      <c r="N609" s="1" t="s">
        <v>151</v>
      </c>
      <c r="O609" s="1">
        <v>6900.0</v>
      </c>
      <c r="P609" s="1" t="s">
        <v>151</v>
      </c>
      <c r="Q609" s="1" t="str">
        <f>IF(ISERROR(VLOOKUP(P609,'unique fed agency names'!A:C,3,FALSE)),P609,VLOOKUP(P609,'unique fed agency names'!A:C,3,FALSE))
</f>
        <v>U.S. Department of Transportation (DOT)</v>
      </c>
      <c r="R609" s="1">
        <v>9.63886101E8</v>
      </c>
      <c r="S609" s="1" t="s">
        <v>259</v>
      </c>
      <c r="T609" s="1" t="str">
        <f>IF(ISERROR(VLOOKUP(S609,'unique org names'!A:C,3,FALSE)),S609,VLOOKUP(S609,'unique org names'!A:C,3,FALSE))
</f>
        <v>Wayne County</v>
      </c>
      <c r="V609" s="1" t="s">
        <v>260</v>
      </c>
      <c r="W609" s="1" t="s">
        <v>44</v>
      </c>
      <c r="X609" s="1" t="s">
        <v>45</v>
      </c>
      <c r="Y609" s="1">
        <v>4.8226348E8</v>
      </c>
      <c r="AA609" s="1" t="s">
        <v>46</v>
      </c>
      <c r="AB609" s="1" t="s">
        <v>45</v>
      </c>
      <c r="AC609" s="1">
        <v>4.8226348E8</v>
      </c>
      <c r="AD609" s="1">
        <v>7.3134884E7</v>
      </c>
      <c r="AE609" s="1" t="s">
        <v>261</v>
      </c>
      <c r="AF609" s="1">
        <v>95355.25</v>
      </c>
      <c r="AG609" s="2">
        <v>41521.0</v>
      </c>
      <c r="AH609" s="1">
        <v>6900.0</v>
      </c>
      <c r="AI609" s="1" t="s">
        <v>151</v>
      </c>
      <c r="AJ609" s="1">
        <v>1.0</v>
      </c>
      <c r="AK609" s="1" t="s">
        <v>1602</v>
      </c>
      <c r="AL609" s="1">
        <v>10.0</v>
      </c>
      <c r="AM609" s="1">
        <v>2013.0</v>
      </c>
      <c r="AN609" s="1">
        <v>2013.0</v>
      </c>
      <c r="AO609" s="1" t="s">
        <v>229</v>
      </c>
    </row>
    <row r="610">
      <c r="A610" s="5">
        <v>1.0</v>
      </c>
      <c r="B610" s="1">
        <f t="shared" si="1"/>
        <v>610</v>
      </c>
      <c r="C610" s="1" t="s">
        <v>1603</v>
      </c>
      <c r="D610" s="1" t="s">
        <v>1603</v>
      </c>
      <c r="E610" s="1" t="s">
        <v>224</v>
      </c>
      <c r="G610" s="1">
        <v>588197.0</v>
      </c>
      <c r="H610" s="2">
        <v>41521.0</v>
      </c>
      <c r="I610" s="1" t="s">
        <v>1153</v>
      </c>
      <c r="K610" s="1" t="s">
        <v>1153</v>
      </c>
      <c r="N610" s="1" t="s">
        <v>151</v>
      </c>
      <c r="O610" s="1">
        <v>6900.0</v>
      </c>
      <c r="P610" s="1" t="s">
        <v>151</v>
      </c>
      <c r="Q610" s="1" t="str">
        <f>IF(ISERROR(VLOOKUP(P610,'unique fed agency names'!A:C,3,FALSE)),P610,VLOOKUP(P610,'unique fed agency names'!A:C,3,FALSE))
</f>
        <v>U.S. Department of Transportation (DOT)</v>
      </c>
      <c r="R610" s="1">
        <v>9.63886101E8</v>
      </c>
      <c r="S610" s="1" t="s">
        <v>259</v>
      </c>
      <c r="T610" s="1" t="str">
        <f>IF(ISERROR(VLOOKUP(S610,'unique org names'!A:C,3,FALSE)),S610,VLOOKUP(S610,'unique org names'!A:C,3,FALSE))
</f>
        <v>Wayne County</v>
      </c>
      <c r="V610" s="1" t="s">
        <v>260</v>
      </c>
      <c r="W610" s="1" t="s">
        <v>44</v>
      </c>
      <c r="X610" s="1" t="s">
        <v>45</v>
      </c>
      <c r="Y610" s="1">
        <v>4.8226348E8</v>
      </c>
      <c r="AA610" s="1" t="s">
        <v>46</v>
      </c>
      <c r="AB610" s="1" t="s">
        <v>45</v>
      </c>
      <c r="AC610" s="1">
        <v>4.8226348E8</v>
      </c>
      <c r="AD610" s="1">
        <v>7.3134884E7</v>
      </c>
      <c r="AE610" s="1" t="s">
        <v>261</v>
      </c>
      <c r="AF610" s="1">
        <v>588197.63</v>
      </c>
      <c r="AG610" s="2">
        <v>41521.0</v>
      </c>
      <c r="AH610" s="1">
        <v>6900.0</v>
      </c>
      <c r="AI610" s="1" t="s">
        <v>151</v>
      </c>
      <c r="AJ610" s="1">
        <v>1.0</v>
      </c>
      <c r="AK610" s="1" t="s">
        <v>1154</v>
      </c>
      <c r="AL610" s="1">
        <v>10.0</v>
      </c>
      <c r="AM610" s="1">
        <v>2013.0</v>
      </c>
      <c r="AN610" s="1">
        <v>2013.0</v>
      </c>
      <c r="AO610" s="1" t="s">
        <v>229</v>
      </c>
    </row>
    <row r="611">
      <c r="A611" s="5">
        <v>1.0</v>
      </c>
      <c r="B611" s="1">
        <f t="shared" si="1"/>
        <v>611</v>
      </c>
      <c r="C611" s="1" t="s">
        <v>1604</v>
      </c>
      <c r="D611" s="1" t="s">
        <v>1604</v>
      </c>
      <c r="E611" s="1" t="s">
        <v>224</v>
      </c>
      <c r="G611" s="1">
        <v>397582.0</v>
      </c>
      <c r="H611" s="2">
        <v>41523.0</v>
      </c>
      <c r="I611" s="1" t="s">
        <v>1216</v>
      </c>
      <c r="K611" s="1" t="s">
        <v>1216</v>
      </c>
      <c r="N611" s="1" t="s">
        <v>151</v>
      </c>
      <c r="O611" s="1">
        <v>6900.0</v>
      </c>
      <c r="P611" s="1" t="s">
        <v>151</v>
      </c>
      <c r="Q611" s="1" t="str">
        <f>IF(ISERROR(VLOOKUP(P611,'unique fed agency names'!A:C,3,FALSE)),P611,VLOOKUP(P611,'unique fed agency names'!A:C,3,FALSE))
</f>
        <v>U.S. Department of Transportation (DOT)</v>
      </c>
      <c r="R611" s="1">
        <v>9.63886101E8</v>
      </c>
      <c r="S611" s="1" t="s">
        <v>259</v>
      </c>
      <c r="T611" s="1" t="str">
        <f>IF(ISERROR(VLOOKUP(S611,'unique org names'!A:C,3,FALSE)),S611,VLOOKUP(S611,'unique org names'!A:C,3,FALSE))
</f>
        <v>Wayne County</v>
      </c>
      <c r="V611" s="1" t="s">
        <v>260</v>
      </c>
      <c r="W611" s="1" t="s">
        <v>44</v>
      </c>
      <c r="X611" s="1" t="s">
        <v>45</v>
      </c>
      <c r="Y611" s="1">
        <v>4.8226348E8</v>
      </c>
      <c r="AA611" s="1" t="s">
        <v>46</v>
      </c>
      <c r="AB611" s="1" t="s">
        <v>45</v>
      </c>
      <c r="AC611" s="1">
        <v>4.8226348E8</v>
      </c>
      <c r="AD611" s="1">
        <v>7.3134884E7</v>
      </c>
      <c r="AE611" s="1" t="s">
        <v>261</v>
      </c>
      <c r="AF611" s="1">
        <v>397582.45</v>
      </c>
      <c r="AG611" s="2">
        <v>41523.0</v>
      </c>
      <c r="AH611" s="1">
        <v>6900.0</v>
      </c>
      <c r="AI611" s="1" t="s">
        <v>151</v>
      </c>
      <c r="AJ611" s="1">
        <v>1.0</v>
      </c>
      <c r="AK611" s="1" t="s">
        <v>1217</v>
      </c>
      <c r="AL611" s="1">
        <v>10.0</v>
      </c>
      <c r="AM611" s="1">
        <v>2013.0</v>
      </c>
      <c r="AN611" s="1">
        <v>2013.0</v>
      </c>
      <c r="AO611" s="1" t="s">
        <v>229</v>
      </c>
    </row>
    <row r="612">
      <c r="A612" s="5">
        <v>1.0</v>
      </c>
      <c r="B612" s="1">
        <f t="shared" si="1"/>
        <v>612</v>
      </c>
      <c r="C612" s="1" t="s">
        <v>1605</v>
      </c>
      <c r="D612" s="1" t="s">
        <v>1605</v>
      </c>
      <c r="E612" s="1" t="s">
        <v>224</v>
      </c>
      <c r="G612" s="1">
        <v>93571.0</v>
      </c>
      <c r="H612" s="2">
        <v>41523.0</v>
      </c>
      <c r="I612" s="1" t="s">
        <v>1156</v>
      </c>
      <c r="K612" s="1" t="s">
        <v>1156</v>
      </c>
      <c r="N612" s="1" t="s">
        <v>151</v>
      </c>
      <c r="O612" s="1">
        <v>6900.0</v>
      </c>
      <c r="P612" s="1" t="s">
        <v>151</v>
      </c>
      <c r="Q612" s="1" t="str">
        <f>IF(ISERROR(VLOOKUP(P612,'unique fed agency names'!A:C,3,FALSE)),P612,VLOOKUP(P612,'unique fed agency names'!A:C,3,FALSE))
</f>
        <v>U.S. Department of Transportation (DOT)</v>
      </c>
      <c r="R612" s="1">
        <v>9.63886101E8</v>
      </c>
      <c r="S612" s="1" t="s">
        <v>259</v>
      </c>
      <c r="T612" s="1" t="str">
        <f>IF(ISERROR(VLOOKUP(S612,'unique org names'!A:C,3,FALSE)),S612,VLOOKUP(S612,'unique org names'!A:C,3,FALSE))
</f>
        <v>Wayne County</v>
      </c>
      <c r="V612" s="1" t="s">
        <v>260</v>
      </c>
      <c r="W612" s="1" t="s">
        <v>44</v>
      </c>
      <c r="X612" s="1" t="s">
        <v>45</v>
      </c>
      <c r="Y612" s="1">
        <v>4.8226348E8</v>
      </c>
      <c r="AA612" s="1" t="s">
        <v>46</v>
      </c>
      <c r="AB612" s="1" t="s">
        <v>45</v>
      </c>
      <c r="AC612" s="1">
        <v>4.8226348E8</v>
      </c>
      <c r="AD612" s="1">
        <v>7.3134884E7</v>
      </c>
      <c r="AE612" s="1" t="s">
        <v>261</v>
      </c>
      <c r="AF612" s="1">
        <v>93571.85</v>
      </c>
      <c r="AG612" s="2">
        <v>41523.0</v>
      </c>
      <c r="AH612" s="1">
        <v>6900.0</v>
      </c>
      <c r="AI612" s="1" t="s">
        <v>151</v>
      </c>
      <c r="AJ612" s="1">
        <v>1.0</v>
      </c>
      <c r="AK612" s="1" t="s">
        <v>1157</v>
      </c>
      <c r="AL612" s="1">
        <v>10.0</v>
      </c>
      <c r="AM612" s="1">
        <v>2013.0</v>
      </c>
      <c r="AN612" s="1">
        <v>2013.0</v>
      </c>
      <c r="AO612" s="1" t="s">
        <v>229</v>
      </c>
    </row>
    <row r="613">
      <c r="A613" s="5">
        <v>1.0</v>
      </c>
      <c r="B613" s="1">
        <f t="shared" si="1"/>
        <v>613</v>
      </c>
      <c r="C613" s="1" t="s">
        <v>1606</v>
      </c>
      <c r="D613" s="1" t="s">
        <v>1606</v>
      </c>
      <c r="E613" s="1" t="s">
        <v>224</v>
      </c>
      <c r="G613" s="1">
        <v>61978.0</v>
      </c>
      <c r="H613" s="2">
        <v>41523.0</v>
      </c>
      <c r="I613" s="1" t="s">
        <v>1159</v>
      </c>
      <c r="K613" s="1" t="s">
        <v>1159</v>
      </c>
      <c r="N613" s="1" t="s">
        <v>151</v>
      </c>
      <c r="O613" s="1">
        <v>6900.0</v>
      </c>
      <c r="P613" s="1" t="s">
        <v>151</v>
      </c>
      <c r="Q613" s="1" t="str">
        <f>IF(ISERROR(VLOOKUP(P613,'unique fed agency names'!A:C,3,FALSE)),P613,VLOOKUP(P613,'unique fed agency names'!A:C,3,FALSE))
</f>
        <v>U.S. Department of Transportation (DOT)</v>
      </c>
      <c r="R613" s="1">
        <v>9.63886101E8</v>
      </c>
      <c r="S613" s="1" t="s">
        <v>259</v>
      </c>
      <c r="T613" s="1" t="str">
        <f>IF(ISERROR(VLOOKUP(S613,'unique org names'!A:C,3,FALSE)),S613,VLOOKUP(S613,'unique org names'!A:C,3,FALSE))
</f>
        <v>Wayne County</v>
      </c>
      <c r="V613" s="1" t="s">
        <v>260</v>
      </c>
      <c r="W613" s="1" t="s">
        <v>44</v>
      </c>
      <c r="X613" s="1" t="s">
        <v>45</v>
      </c>
      <c r="Y613" s="1">
        <v>4.8226348E8</v>
      </c>
      <c r="AA613" s="1" t="s">
        <v>46</v>
      </c>
      <c r="AB613" s="1" t="s">
        <v>45</v>
      </c>
      <c r="AC613" s="1">
        <v>4.8226348E8</v>
      </c>
      <c r="AD613" s="1">
        <v>7.3134884E7</v>
      </c>
      <c r="AE613" s="1" t="s">
        <v>261</v>
      </c>
      <c r="AF613" s="1">
        <v>61978.91</v>
      </c>
      <c r="AG613" s="2">
        <v>41523.0</v>
      </c>
      <c r="AH613" s="1">
        <v>6900.0</v>
      </c>
      <c r="AI613" s="1" t="s">
        <v>151</v>
      </c>
      <c r="AJ613" s="1">
        <v>1.0</v>
      </c>
      <c r="AK613" s="1" t="s">
        <v>1160</v>
      </c>
      <c r="AL613" s="1">
        <v>10.0</v>
      </c>
      <c r="AM613" s="1">
        <v>2013.0</v>
      </c>
      <c r="AN613" s="1">
        <v>2013.0</v>
      </c>
      <c r="AO613" s="1" t="s">
        <v>229</v>
      </c>
    </row>
    <row r="614">
      <c r="A614" s="5">
        <v>1.0</v>
      </c>
      <c r="B614" s="1">
        <f t="shared" si="1"/>
        <v>614</v>
      </c>
      <c r="C614" s="1" t="s">
        <v>1607</v>
      </c>
      <c r="D614" s="1" t="s">
        <v>1607</v>
      </c>
      <c r="E614" s="1" t="s">
        <v>224</v>
      </c>
      <c r="G614" s="1">
        <v>254830.0</v>
      </c>
      <c r="H614" s="2">
        <v>41527.0</v>
      </c>
      <c r="I614" s="1" t="s">
        <v>1162</v>
      </c>
      <c r="K614" s="1" t="s">
        <v>1162</v>
      </c>
      <c r="N614" s="1" t="s">
        <v>151</v>
      </c>
      <c r="O614" s="1">
        <v>6900.0</v>
      </c>
      <c r="P614" s="1" t="s">
        <v>151</v>
      </c>
      <c r="Q614" s="1" t="str">
        <f>IF(ISERROR(VLOOKUP(P614,'unique fed agency names'!A:C,3,FALSE)),P614,VLOOKUP(P614,'unique fed agency names'!A:C,3,FALSE))
</f>
        <v>U.S. Department of Transportation (DOT)</v>
      </c>
      <c r="R614" s="1">
        <v>9.63886101E8</v>
      </c>
      <c r="S614" s="1" t="s">
        <v>259</v>
      </c>
      <c r="T614" s="1" t="str">
        <f>IF(ISERROR(VLOOKUP(S614,'unique org names'!A:C,3,FALSE)),S614,VLOOKUP(S614,'unique org names'!A:C,3,FALSE))
</f>
        <v>Wayne County</v>
      </c>
      <c r="V614" s="1" t="s">
        <v>260</v>
      </c>
      <c r="W614" s="1" t="s">
        <v>44</v>
      </c>
      <c r="X614" s="1" t="s">
        <v>45</v>
      </c>
      <c r="Y614" s="1">
        <v>4.8226348E8</v>
      </c>
      <c r="AA614" s="1" t="s">
        <v>46</v>
      </c>
      <c r="AB614" s="1" t="s">
        <v>45</v>
      </c>
      <c r="AC614" s="1">
        <v>4.8226348E8</v>
      </c>
      <c r="AD614" s="1">
        <v>7.3134884E7</v>
      </c>
      <c r="AE614" s="1" t="s">
        <v>261</v>
      </c>
      <c r="AF614" s="1">
        <v>254830.2</v>
      </c>
      <c r="AG614" s="2">
        <v>41527.0</v>
      </c>
      <c r="AH614" s="1">
        <v>6900.0</v>
      </c>
      <c r="AI614" s="1" t="s">
        <v>151</v>
      </c>
      <c r="AJ614" s="1">
        <v>1.0</v>
      </c>
      <c r="AK614" s="1" t="s">
        <v>1163</v>
      </c>
      <c r="AL614" s="1">
        <v>10.0</v>
      </c>
      <c r="AM614" s="1">
        <v>2013.0</v>
      </c>
      <c r="AN614" s="1">
        <v>2013.0</v>
      </c>
      <c r="AO614" s="1" t="s">
        <v>229</v>
      </c>
    </row>
    <row r="615">
      <c r="A615" s="5">
        <v>1.0</v>
      </c>
      <c r="B615" s="1">
        <f t="shared" si="1"/>
        <v>615</v>
      </c>
      <c r="C615" s="1" t="s">
        <v>1608</v>
      </c>
      <c r="D615" s="1" t="s">
        <v>1608</v>
      </c>
      <c r="E615" s="1" t="s">
        <v>224</v>
      </c>
      <c r="G615" s="1">
        <v>152486.0</v>
      </c>
      <c r="H615" s="2">
        <v>41527.0</v>
      </c>
      <c r="I615" s="1" t="s">
        <v>1162</v>
      </c>
      <c r="K615" s="1" t="s">
        <v>1162</v>
      </c>
      <c r="N615" s="1" t="s">
        <v>151</v>
      </c>
      <c r="O615" s="1">
        <v>6900.0</v>
      </c>
      <c r="P615" s="1" t="s">
        <v>151</v>
      </c>
      <c r="Q615" s="1" t="str">
        <f>IF(ISERROR(VLOOKUP(P615,'unique fed agency names'!A:C,3,FALSE)),P615,VLOOKUP(P615,'unique fed agency names'!A:C,3,FALSE))
</f>
        <v>U.S. Department of Transportation (DOT)</v>
      </c>
      <c r="R615" s="1">
        <v>9.63886101E8</v>
      </c>
      <c r="S615" s="1" t="s">
        <v>259</v>
      </c>
      <c r="T615" s="1" t="str">
        <f>IF(ISERROR(VLOOKUP(S615,'unique org names'!A:C,3,FALSE)),S615,VLOOKUP(S615,'unique org names'!A:C,3,FALSE))
</f>
        <v>Wayne County</v>
      </c>
      <c r="V615" s="1" t="s">
        <v>260</v>
      </c>
      <c r="W615" s="1" t="s">
        <v>44</v>
      </c>
      <c r="X615" s="1" t="s">
        <v>45</v>
      </c>
      <c r="Y615" s="1">
        <v>4.8226348E8</v>
      </c>
      <c r="AA615" s="1" t="s">
        <v>46</v>
      </c>
      <c r="AB615" s="1" t="s">
        <v>45</v>
      </c>
      <c r="AC615" s="1">
        <v>4.8226348E8</v>
      </c>
      <c r="AD615" s="1">
        <v>7.3134884E7</v>
      </c>
      <c r="AE615" s="1" t="s">
        <v>261</v>
      </c>
      <c r="AF615" s="1">
        <v>152486.25</v>
      </c>
      <c r="AG615" s="2">
        <v>41527.0</v>
      </c>
      <c r="AH615" s="1">
        <v>6900.0</v>
      </c>
      <c r="AI615" s="1" t="s">
        <v>151</v>
      </c>
      <c r="AJ615" s="1">
        <v>1.0</v>
      </c>
      <c r="AK615" s="1" t="s">
        <v>1163</v>
      </c>
      <c r="AL615" s="1">
        <v>10.0</v>
      </c>
      <c r="AM615" s="1">
        <v>2013.0</v>
      </c>
      <c r="AN615" s="1">
        <v>2013.0</v>
      </c>
      <c r="AO615" s="1" t="s">
        <v>229</v>
      </c>
    </row>
    <row r="616">
      <c r="A616" s="5">
        <v>1.0</v>
      </c>
      <c r="B616" s="1">
        <f t="shared" si="1"/>
        <v>616</v>
      </c>
      <c r="C616" s="1" t="s">
        <v>1609</v>
      </c>
      <c r="D616" s="1" t="s">
        <v>1609</v>
      </c>
      <c r="E616" s="1" t="s">
        <v>224</v>
      </c>
      <c r="G616" s="1">
        <v>290509.0</v>
      </c>
      <c r="H616" s="2">
        <v>41565.0</v>
      </c>
      <c r="I616" s="1" t="s">
        <v>1610</v>
      </c>
      <c r="K616" s="1" t="s">
        <v>1610</v>
      </c>
      <c r="N616" s="1" t="s">
        <v>151</v>
      </c>
      <c r="O616" s="1">
        <v>6900.0</v>
      </c>
      <c r="P616" s="1" t="s">
        <v>151</v>
      </c>
      <c r="Q616" s="1" t="str">
        <f>IF(ISERROR(VLOOKUP(P616,'unique fed agency names'!A:C,3,FALSE)),P616,VLOOKUP(P616,'unique fed agency names'!A:C,3,FALSE))
</f>
        <v>U.S. Department of Transportation (DOT)</v>
      </c>
      <c r="R616" s="1">
        <v>9.63886101E8</v>
      </c>
      <c r="S616" s="1" t="s">
        <v>259</v>
      </c>
      <c r="T616" s="1" t="str">
        <f>IF(ISERROR(VLOOKUP(S616,'unique org names'!A:C,3,FALSE)),S616,VLOOKUP(S616,'unique org names'!A:C,3,FALSE))
</f>
        <v>Wayne County</v>
      </c>
      <c r="V616" s="1" t="s">
        <v>260</v>
      </c>
      <c r="W616" s="1" t="s">
        <v>44</v>
      </c>
      <c r="X616" s="1" t="s">
        <v>45</v>
      </c>
      <c r="Y616" s="1">
        <v>4.8226348E8</v>
      </c>
      <c r="AA616" s="1" t="s">
        <v>46</v>
      </c>
      <c r="AB616" s="1" t="s">
        <v>45</v>
      </c>
      <c r="AC616" s="1">
        <v>4.8226348E8</v>
      </c>
      <c r="AD616" s="1">
        <v>7.3134884E7</v>
      </c>
      <c r="AE616" s="1" t="s">
        <v>261</v>
      </c>
      <c r="AF616" s="1">
        <v>290509.77</v>
      </c>
      <c r="AG616" s="2">
        <v>41565.0</v>
      </c>
      <c r="AH616" s="1">
        <v>6900.0</v>
      </c>
      <c r="AI616" s="1" t="s">
        <v>151</v>
      </c>
      <c r="AJ616" s="1">
        <v>1.0</v>
      </c>
      <c r="AK616" s="1" t="s">
        <v>1611</v>
      </c>
      <c r="AL616" s="1">
        <v>11.0</v>
      </c>
      <c r="AM616" s="1">
        <v>2013.0</v>
      </c>
      <c r="AN616" s="1">
        <v>2014.0</v>
      </c>
      <c r="AO616" s="1" t="s">
        <v>229</v>
      </c>
    </row>
    <row r="617">
      <c r="A617" s="5">
        <v>1.0</v>
      </c>
      <c r="B617" s="1">
        <f t="shared" si="1"/>
        <v>617</v>
      </c>
      <c r="C617" s="1" t="s">
        <v>1612</v>
      </c>
      <c r="D617" s="1" t="s">
        <v>1612</v>
      </c>
      <c r="E617" s="1" t="s">
        <v>224</v>
      </c>
      <c r="G617" s="1">
        <v>591486.0</v>
      </c>
      <c r="H617" s="2">
        <v>41565.0</v>
      </c>
      <c r="I617" s="1" t="s">
        <v>1610</v>
      </c>
      <c r="K617" s="1" t="s">
        <v>1610</v>
      </c>
      <c r="N617" s="1" t="s">
        <v>151</v>
      </c>
      <c r="O617" s="1">
        <v>6900.0</v>
      </c>
      <c r="P617" s="1" t="s">
        <v>151</v>
      </c>
      <c r="Q617" s="1" t="str">
        <f>IF(ISERROR(VLOOKUP(P617,'unique fed agency names'!A:C,3,FALSE)),P617,VLOOKUP(P617,'unique fed agency names'!A:C,3,FALSE))
</f>
        <v>U.S. Department of Transportation (DOT)</v>
      </c>
      <c r="R617" s="1">
        <v>9.63886101E8</v>
      </c>
      <c r="S617" s="1" t="s">
        <v>259</v>
      </c>
      <c r="T617" s="1" t="str">
        <f>IF(ISERROR(VLOOKUP(S617,'unique org names'!A:C,3,FALSE)),S617,VLOOKUP(S617,'unique org names'!A:C,3,FALSE))
</f>
        <v>Wayne County</v>
      </c>
      <c r="V617" s="1" t="s">
        <v>260</v>
      </c>
      <c r="W617" s="1" t="s">
        <v>44</v>
      </c>
      <c r="X617" s="1" t="s">
        <v>45</v>
      </c>
      <c r="Y617" s="1">
        <v>4.8226348E8</v>
      </c>
      <c r="AA617" s="1" t="s">
        <v>46</v>
      </c>
      <c r="AB617" s="1" t="s">
        <v>45</v>
      </c>
      <c r="AC617" s="1">
        <v>4.8226348E8</v>
      </c>
      <c r="AD617" s="1">
        <v>7.3134884E7</v>
      </c>
      <c r="AE617" s="1" t="s">
        <v>261</v>
      </c>
      <c r="AF617" s="1">
        <v>591486.22</v>
      </c>
      <c r="AG617" s="2">
        <v>41565.0</v>
      </c>
      <c r="AH617" s="1">
        <v>6900.0</v>
      </c>
      <c r="AI617" s="1" t="s">
        <v>151</v>
      </c>
      <c r="AJ617" s="1">
        <v>1.0</v>
      </c>
      <c r="AK617" s="1" t="s">
        <v>1613</v>
      </c>
      <c r="AL617" s="1">
        <v>11.0</v>
      </c>
      <c r="AM617" s="1">
        <v>2013.0</v>
      </c>
      <c r="AN617" s="1">
        <v>2014.0</v>
      </c>
      <c r="AO617" s="1" t="s">
        <v>229</v>
      </c>
    </row>
    <row r="618">
      <c r="A618" s="5">
        <v>1.0</v>
      </c>
      <c r="B618" s="1">
        <f t="shared" si="1"/>
        <v>618</v>
      </c>
      <c r="C618" s="1" t="s">
        <v>1614</v>
      </c>
      <c r="D618" s="1" t="s">
        <v>1614</v>
      </c>
      <c r="E618" s="1" t="s">
        <v>224</v>
      </c>
      <c r="G618" s="1">
        <v>283500.0</v>
      </c>
      <c r="H618" s="2">
        <v>41578.0</v>
      </c>
      <c r="I618" s="1" t="s">
        <v>1615</v>
      </c>
      <c r="K618" s="1" t="s">
        <v>1615</v>
      </c>
      <c r="N618" s="1" t="s">
        <v>151</v>
      </c>
      <c r="O618" s="1">
        <v>6900.0</v>
      </c>
      <c r="P618" s="1" t="s">
        <v>151</v>
      </c>
      <c r="Q618" s="1" t="str">
        <f>IF(ISERROR(VLOOKUP(P618,'unique fed agency names'!A:C,3,FALSE)),P618,VLOOKUP(P618,'unique fed agency names'!A:C,3,FALSE))
</f>
        <v>U.S. Department of Transportation (DOT)</v>
      </c>
      <c r="R618" s="1">
        <v>9.63886101E8</v>
      </c>
      <c r="S618" s="1" t="s">
        <v>259</v>
      </c>
      <c r="T618" s="1" t="str">
        <f>IF(ISERROR(VLOOKUP(S618,'unique org names'!A:C,3,FALSE)),S618,VLOOKUP(S618,'unique org names'!A:C,3,FALSE))
</f>
        <v>Wayne County</v>
      </c>
      <c r="V618" s="1" t="s">
        <v>260</v>
      </c>
      <c r="W618" s="1" t="s">
        <v>44</v>
      </c>
      <c r="X618" s="1" t="s">
        <v>45</v>
      </c>
      <c r="Y618" s="1">
        <v>4.8226348E8</v>
      </c>
      <c r="AA618" s="1" t="s">
        <v>46</v>
      </c>
      <c r="AB618" s="1" t="s">
        <v>45</v>
      </c>
      <c r="AC618" s="1">
        <v>4.8226348E8</v>
      </c>
      <c r="AD618" s="1">
        <v>7.3134884E7</v>
      </c>
      <c r="AE618" s="1" t="s">
        <v>261</v>
      </c>
      <c r="AF618" s="1">
        <v>283500.0</v>
      </c>
      <c r="AG618" s="2">
        <v>41578.0</v>
      </c>
      <c r="AH618" s="1">
        <v>6900.0</v>
      </c>
      <c r="AI618" s="1" t="s">
        <v>151</v>
      </c>
      <c r="AJ618" s="1">
        <v>1.0</v>
      </c>
      <c r="AK618" s="1" t="s">
        <v>1616</v>
      </c>
      <c r="AL618" s="1">
        <v>11.0</v>
      </c>
      <c r="AM618" s="1">
        <v>2013.0</v>
      </c>
      <c r="AN618" s="1">
        <v>2014.0</v>
      </c>
      <c r="AO618" s="1" t="s">
        <v>229</v>
      </c>
    </row>
    <row r="619">
      <c r="A619" s="5">
        <v>1.0</v>
      </c>
      <c r="B619" s="1">
        <f t="shared" si="1"/>
        <v>619</v>
      </c>
      <c r="C619" s="1" t="s">
        <v>1167</v>
      </c>
      <c r="D619" s="1" t="s">
        <v>1167</v>
      </c>
      <c r="E619" s="1" t="s">
        <v>194</v>
      </c>
      <c r="G619" s="1">
        <v>5.38112E8</v>
      </c>
      <c r="H619" s="2">
        <v>41409.0</v>
      </c>
      <c r="I619" s="1" t="s">
        <v>1168</v>
      </c>
      <c r="K619" s="1" t="s">
        <v>1168</v>
      </c>
      <c r="N619" s="1" t="s">
        <v>194</v>
      </c>
      <c r="O619" s="1">
        <v>9100.0</v>
      </c>
      <c r="P619" s="1" t="s">
        <v>194</v>
      </c>
      <c r="Q619" s="1" t="str">
        <f>IF(ISERROR(VLOOKUP(P619,'unique fed agency names'!A:C,3,FALSE)),P619,VLOOKUP(P619,'unique fed agency names'!A:C,3,FALSE))
</f>
        <v>U.S. Department of Education (ED)</v>
      </c>
      <c r="R619" s="1">
        <v>7.93697942E8</v>
      </c>
      <c r="S619" s="1" t="s">
        <v>459</v>
      </c>
      <c r="T619" s="1" t="str">
        <f>IF(ISERROR(VLOOKUP(S619,'unique org names'!A:C,3,FALSE)),S619,VLOOKUP(S619,'unique org names'!A:C,3,FALSE))
</f>
        <v>DETROIT PUBLIC SCHOOLS</v>
      </c>
      <c r="V619" s="1" t="s">
        <v>460</v>
      </c>
      <c r="W619" s="1" t="s">
        <v>44</v>
      </c>
      <c r="X619" s="1" t="s">
        <v>45</v>
      </c>
      <c r="Y619" s="1">
        <v>4.82141601E8</v>
      </c>
      <c r="AA619" s="1" t="s">
        <v>44</v>
      </c>
      <c r="AB619" s="1" t="s">
        <v>45</v>
      </c>
      <c r="AC619" s="1">
        <v>4.82141601E8</v>
      </c>
      <c r="AD619" s="1">
        <v>7.6340843E7</v>
      </c>
      <c r="AE619" s="1" t="s">
        <v>461</v>
      </c>
      <c r="AF619" s="1">
        <v>353311.0</v>
      </c>
      <c r="AG619" s="2">
        <v>41409.0</v>
      </c>
      <c r="AH619" s="1">
        <v>9100.0</v>
      </c>
      <c r="AI619" s="1" t="s">
        <v>194</v>
      </c>
      <c r="AJ619" s="1" t="s">
        <v>1617</v>
      </c>
      <c r="AK619" s="1" t="s">
        <v>1170</v>
      </c>
      <c r="AL619" s="1">
        <v>11.0</v>
      </c>
      <c r="AM619" s="1">
        <v>2013.0</v>
      </c>
      <c r="AN619" s="1">
        <v>2013.0</v>
      </c>
      <c r="AO619" s="1" t="s">
        <v>1171</v>
      </c>
    </row>
    <row r="620">
      <c r="A620" s="5">
        <v>1.0</v>
      </c>
      <c r="B620" s="1">
        <f t="shared" si="1"/>
        <v>620</v>
      </c>
      <c r="C620" s="1" t="s">
        <v>1167</v>
      </c>
      <c r="D620" s="1" t="s">
        <v>1167</v>
      </c>
      <c r="E620" s="1" t="s">
        <v>194</v>
      </c>
      <c r="G620" s="1">
        <v>5.38112E8</v>
      </c>
      <c r="H620" s="2">
        <v>41404.0</v>
      </c>
      <c r="I620" s="1" t="s">
        <v>1168</v>
      </c>
      <c r="K620" s="1" t="s">
        <v>1168</v>
      </c>
      <c r="N620" s="1" t="s">
        <v>194</v>
      </c>
      <c r="O620" s="1">
        <v>9100.0</v>
      </c>
      <c r="P620" s="1" t="s">
        <v>194</v>
      </c>
      <c r="Q620" s="1" t="str">
        <f>IF(ISERROR(VLOOKUP(P620,'unique fed agency names'!A:C,3,FALSE)),P620,VLOOKUP(P620,'unique fed agency names'!A:C,3,FALSE))
</f>
        <v>U.S. Department of Education (ED)</v>
      </c>
      <c r="R620" s="1">
        <v>8.32093392E8</v>
      </c>
      <c r="S620" s="1" t="s">
        <v>769</v>
      </c>
      <c r="T620" s="1" t="str">
        <f>IF(ISERROR(VLOOKUP(S620,'unique org names'!A:C,3,FALSE)),S620,VLOOKUP(S620,'unique org names'!A:C,3,FALSE))
</f>
        <v>MARTIN LUTHER KING, JR EDUCATION CENTER ACADEMY</v>
      </c>
      <c r="U620" s="1" t="s">
        <v>1618</v>
      </c>
      <c r="V620" s="1" t="s">
        <v>770</v>
      </c>
      <c r="W620" s="1" t="s">
        <v>44</v>
      </c>
      <c r="X620" s="1" t="s">
        <v>45</v>
      </c>
      <c r="Y620" s="1">
        <v>4.82354205E8</v>
      </c>
      <c r="AA620" s="1" t="s">
        <v>44</v>
      </c>
      <c r="AB620" s="1" t="s">
        <v>45</v>
      </c>
      <c r="AC620" s="1">
        <v>4.82354205E8</v>
      </c>
      <c r="AD620" s="1">
        <v>1.00035732E8</v>
      </c>
      <c r="AE620" s="1" t="s">
        <v>1619</v>
      </c>
      <c r="AF620" s="1">
        <v>179573.0</v>
      </c>
      <c r="AG620" s="2">
        <v>41404.0</v>
      </c>
      <c r="AH620" s="1">
        <v>9100.0</v>
      </c>
      <c r="AI620" s="1" t="s">
        <v>194</v>
      </c>
      <c r="AJ620" s="1" t="s">
        <v>1620</v>
      </c>
      <c r="AK620" s="1" t="s">
        <v>1170</v>
      </c>
      <c r="AL620" s="1">
        <v>11.0</v>
      </c>
      <c r="AM620" s="1">
        <v>2013.0</v>
      </c>
      <c r="AN620" s="1">
        <v>2013.0</v>
      </c>
      <c r="AO620" s="1" t="s">
        <v>1171</v>
      </c>
    </row>
    <row r="621">
      <c r="A621" s="5">
        <v>1.0</v>
      </c>
      <c r="B621" s="1">
        <f t="shared" si="1"/>
        <v>621</v>
      </c>
      <c r="C621" s="1" t="s">
        <v>1167</v>
      </c>
      <c r="D621" s="1" t="s">
        <v>1167</v>
      </c>
      <c r="E621" s="1" t="s">
        <v>194</v>
      </c>
      <c r="G621" s="1">
        <v>5.38112E8</v>
      </c>
      <c r="H621" s="2">
        <v>41352.0</v>
      </c>
      <c r="I621" s="1" t="s">
        <v>1168</v>
      </c>
      <c r="K621" s="1" t="s">
        <v>1168</v>
      </c>
      <c r="N621" s="1" t="s">
        <v>194</v>
      </c>
      <c r="O621" s="1">
        <v>9100.0</v>
      </c>
      <c r="P621" s="1" t="s">
        <v>194</v>
      </c>
      <c r="Q621" s="1" t="str">
        <f>IF(ISERROR(VLOOKUP(P621,'unique fed agency names'!A:C,3,FALSE)),P621,VLOOKUP(P621,'unique fed agency names'!A:C,3,FALSE))
</f>
        <v>U.S. Department of Education (ED)</v>
      </c>
      <c r="R621" s="1">
        <v>1.3032514E8</v>
      </c>
      <c r="S621" s="1" t="s">
        <v>819</v>
      </c>
      <c r="T621" s="1" t="str">
        <f>IF(ISERROR(VLOOKUP(S621,'unique org names'!A:C,3,FALSE)),S621,VLOOKUP(S621,'unique org names'!A:C,3,FALSE))
</f>
        <v>ROSS HILL ACADEMY SCHOOL DISTRICT</v>
      </c>
      <c r="V621" s="1" t="s">
        <v>820</v>
      </c>
      <c r="W621" s="1" t="s">
        <v>44</v>
      </c>
      <c r="X621" s="1" t="s">
        <v>45</v>
      </c>
      <c r="Y621" s="1">
        <v>4.82072418E8</v>
      </c>
      <c r="AA621" s="1" t="s">
        <v>44</v>
      </c>
      <c r="AB621" s="1" t="s">
        <v>45</v>
      </c>
      <c r="AC621" s="1">
        <v>4.82072418E8</v>
      </c>
      <c r="AD621" s="1">
        <v>1.3032514E8</v>
      </c>
      <c r="AE621" s="1" t="s">
        <v>819</v>
      </c>
      <c r="AF621" s="1">
        <v>151756.0</v>
      </c>
      <c r="AG621" s="2">
        <v>41352.0</v>
      </c>
      <c r="AH621" s="1">
        <v>9100.0</v>
      </c>
      <c r="AI621" s="1" t="s">
        <v>194</v>
      </c>
      <c r="AJ621" s="1" t="s">
        <v>1621</v>
      </c>
      <c r="AK621" s="1" t="s">
        <v>1170</v>
      </c>
      <c r="AL621" s="1">
        <v>11.0</v>
      </c>
      <c r="AM621" s="1">
        <v>2013.0</v>
      </c>
      <c r="AN621" s="1">
        <v>2013.0</v>
      </c>
      <c r="AO621" s="1" t="s">
        <v>1171</v>
      </c>
    </row>
    <row r="622">
      <c r="A622" s="5">
        <v>1.0</v>
      </c>
      <c r="B622" s="1">
        <f t="shared" si="1"/>
        <v>622</v>
      </c>
      <c r="C622" s="1" t="s">
        <v>1167</v>
      </c>
      <c r="D622" s="1" t="s">
        <v>1167</v>
      </c>
      <c r="E622" s="1" t="s">
        <v>194</v>
      </c>
      <c r="G622" s="1">
        <v>5.38112E8</v>
      </c>
      <c r="H622" s="2">
        <v>41351.0</v>
      </c>
      <c r="I622" s="1" t="s">
        <v>1168</v>
      </c>
      <c r="K622" s="1" t="s">
        <v>1168</v>
      </c>
      <c r="N622" s="1" t="s">
        <v>194</v>
      </c>
      <c r="O622" s="1">
        <v>9100.0</v>
      </c>
      <c r="P622" s="1" t="s">
        <v>194</v>
      </c>
      <c r="Q622" s="1" t="str">
        <f>IF(ISERROR(VLOOKUP(P622,'unique fed agency names'!A:C,3,FALSE)),P622,VLOOKUP(P622,'unique fed agency names'!A:C,3,FALSE))
</f>
        <v>U.S. Department of Education (ED)</v>
      </c>
      <c r="R622" s="1">
        <v>3537326.0</v>
      </c>
      <c r="S622" s="1" t="s">
        <v>560</v>
      </c>
      <c r="T622" s="1" t="str">
        <f>IF(ISERROR(VLOOKUP(S622,'unique org names'!A:C,3,FALSE)),S622,VLOOKUP(S622,'unique org names'!A:C,3,FALSE))
</f>
        <v>COMMONWEALTH COMMUNITY DEVELOPMENT ACADEMY</v>
      </c>
      <c r="U622" s="1" t="s">
        <v>1622</v>
      </c>
      <c r="V622" s="1" t="s">
        <v>561</v>
      </c>
      <c r="W622" s="1" t="s">
        <v>44</v>
      </c>
      <c r="X622" s="1" t="s">
        <v>45</v>
      </c>
      <c r="Y622" s="1">
        <v>4.8212177E8</v>
      </c>
      <c r="AA622" s="1" t="s">
        <v>498</v>
      </c>
      <c r="AB622" s="1" t="s">
        <v>45</v>
      </c>
      <c r="AC622" s="1">
        <v>4.82121754E8</v>
      </c>
      <c r="AD622" s="1">
        <v>3537326.0</v>
      </c>
      <c r="AE622" s="1" t="s">
        <v>560</v>
      </c>
      <c r="AF622" s="1">
        <v>285171.0</v>
      </c>
      <c r="AG622" s="2">
        <v>41351.0</v>
      </c>
      <c r="AH622" s="1">
        <v>9100.0</v>
      </c>
      <c r="AI622" s="1" t="s">
        <v>194</v>
      </c>
      <c r="AJ622" s="1" t="s">
        <v>1623</v>
      </c>
      <c r="AK622" s="1" t="s">
        <v>1170</v>
      </c>
      <c r="AL622" s="1">
        <v>11.0</v>
      </c>
      <c r="AM622" s="1">
        <v>2013.0</v>
      </c>
      <c r="AN622" s="1">
        <v>2013.0</v>
      </c>
      <c r="AO622" s="1" t="s">
        <v>1171</v>
      </c>
    </row>
    <row r="623">
      <c r="A623" s="5">
        <v>1.0</v>
      </c>
      <c r="B623" s="1">
        <f t="shared" si="1"/>
        <v>623</v>
      </c>
      <c r="C623" s="1" t="s">
        <v>1167</v>
      </c>
      <c r="D623" s="1" t="s">
        <v>1167</v>
      </c>
      <c r="E623" s="1" t="s">
        <v>194</v>
      </c>
      <c r="G623" s="1">
        <v>5.38112E8</v>
      </c>
      <c r="H623" s="2">
        <v>41348.0</v>
      </c>
      <c r="I623" s="1" t="s">
        <v>1168</v>
      </c>
      <c r="K623" s="1" t="s">
        <v>1168</v>
      </c>
      <c r="N623" s="1" t="s">
        <v>194</v>
      </c>
      <c r="O623" s="1">
        <v>9100.0</v>
      </c>
      <c r="P623" s="1" t="s">
        <v>194</v>
      </c>
      <c r="Q623" s="1" t="str">
        <f>IF(ISERROR(VLOOKUP(P623,'unique fed agency names'!A:C,3,FALSE)),P623,VLOOKUP(P623,'unique fed agency names'!A:C,3,FALSE))
</f>
        <v>U.S. Department of Education (ED)</v>
      </c>
      <c r="R623" s="1">
        <v>7.94990296E8</v>
      </c>
      <c r="S623" s="1" t="s">
        <v>601</v>
      </c>
      <c r="T623" s="1" t="str">
        <f>IF(ISERROR(VLOOKUP(S623,'unique org names'!A:C,3,FALSE)),S623,VLOOKUP(S623,'unique org names'!A:C,3,FALSE))
</f>
        <v>NORTHPOINTE ACADEMY</v>
      </c>
      <c r="U623" s="1" t="s">
        <v>1624</v>
      </c>
      <c r="V623" s="1" t="s">
        <v>602</v>
      </c>
      <c r="W623" s="1" t="s">
        <v>44</v>
      </c>
      <c r="X623" s="1" t="s">
        <v>45</v>
      </c>
      <c r="Y623" s="1">
        <v>4.82032827E8</v>
      </c>
      <c r="AA623" s="1" t="s">
        <v>603</v>
      </c>
      <c r="AB623" s="1" t="s">
        <v>45</v>
      </c>
      <c r="AC623" s="1">
        <v>4.82032827E8</v>
      </c>
      <c r="AD623" s="1">
        <v>1.208669E7</v>
      </c>
      <c r="AE623" s="1" t="s">
        <v>1625</v>
      </c>
      <c r="AF623" s="1">
        <v>264987.0</v>
      </c>
      <c r="AG623" s="2">
        <v>41348.0</v>
      </c>
      <c r="AH623" s="1">
        <v>9100.0</v>
      </c>
      <c r="AI623" s="1" t="s">
        <v>194</v>
      </c>
      <c r="AJ623" s="1" t="s">
        <v>1626</v>
      </c>
      <c r="AK623" s="1" t="s">
        <v>1170</v>
      </c>
      <c r="AL623" s="1">
        <v>11.0</v>
      </c>
      <c r="AM623" s="1">
        <v>2013.0</v>
      </c>
      <c r="AN623" s="1">
        <v>2013.0</v>
      </c>
      <c r="AO623" s="1" t="s">
        <v>1171</v>
      </c>
    </row>
    <row r="624">
      <c r="A624" s="5">
        <v>1.0</v>
      </c>
      <c r="B624" s="1">
        <f t="shared" si="1"/>
        <v>624</v>
      </c>
      <c r="C624" s="1" t="s">
        <v>1167</v>
      </c>
      <c r="D624" s="1" t="s">
        <v>1167</v>
      </c>
      <c r="E624" s="1" t="s">
        <v>194</v>
      </c>
      <c r="G624" s="1">
        <v>5.38112E8</v>
      </c>
      <c r="H624" s="2">
        <v>41326.0</v>
      </c>
      <c r="I624" s="1" t="s">
        <v>1168</v>
      </c>
      <c r="K624" s="1" t="s">
        <v>1168</v>
      </c>
      <c r="N624" s="1" t="s">
        <v>194</v>
      </c>
      <c r="O624" s="1">
        <v>9100.0</v>
      </c>
      <c r="P624" s="1" t="s">
        <v>194</v>
      </c>
      <c r="Q624" s="1" t="str">
        <f>IF(ISERROR(VLOOKUP(P624,'unique fed agency names'!A:C,3,FALSE)),P624,VLOOKUP(P624,'unique fed agency names'!A:C,3,FALSE))
</f>
        <v>U.S. Department of Education (ED)</v>
      </c>
      <c r="R624" s="1">
        <v>9.63121426E8</v>
      </c>
      <c r="S624" s="1" t="s">
        <v>490</v>
      </c>
      <c r="T624" s="1" t="str">
        <f>IF(ISERROR(VLOOKUP(S624,'unique org names'!A:C,3,FALSE)),S624,VLOOKUP(S624,'unique org names'!A:C,3,FALSE))
</f>
        <v>DETROIT LEADERSHIP ACADEMY</v>
      </c>
      <c r="U624" s="1" t="s">
        <v>1627</v>
      </c>
      <c r="V624" s="1" t="s">
        <v>491</v>
      </c>
      <c r="W624" s="1" t="s">
        <v>44</v>
      </c>
      <c r="X624" s="1" t="s">
        <v>45</v>
      </c>
      <c r="Y624" s="1">
        <v>4.82233051E8</v>
      </c>
      <c r="AA624" s="1" t="s">
        <v>46</v>
      </c>
      <c r="AB624" s="1" t="s">
        <v>45</v>
      </c>
      <c r="AC624" s="1">
        <v>4.82233051E8</v>
      </c>
      <c r="AF624" s="1">
        <v>396832.0</v>
      </c>
      <c r="AG624" s="2">
        <v>41326.0</v>
      </c>
      <c r="AH624" s="1">
        <v>9100.0</v>
      </c>
      <c r="AI624" s="1" t="s">
        <v>194</v>
      </c>
      <c r="AJ624" s="1" t="s">
        <v>1628</v>
      </c>
      <c r="AK624" s="1" t="s">
        <v>1170</v>
      </c>
      <c r="AL624" s="1">
        <v>11.0</v>
      </c>
      <c r="AM624" s="1">
        <v>2013.0</v>
      </c>
      <c r="AN624" s="1">
        <v>2013.0</v>
      </c>
      <c r="AO624" s="1" t="s">
        <v>1171</v>
      </c>
    </row>
    <row r="625">
      <c r="A625" s="5">
        <v>1.0</v>
      </c>
      <c r="B625" s="1">
        <f t="shared" si="1"/>
        <v>625</v>
      </c>
      <c r="C625" s="1" t="s">
        <v>1167</v>
      </c>
      <c r="D625" s="1" t="s">
        <v>1167</v>
      </c>
      <c r="E625" s="1" t="s">
        <v>194</v>
      </c>
      <c r="G625" s="1">
        <v>5.38112E8</v>
      </c>
      <c r="H625" s="2">
        <v>41325.0</v>
      </c>
      <c r="I625" s="1" t="s">
        <v>1168</v>
      </c>
      <c r="K625" s="1" t="s">
        <v>1168</v>
      </c>
      <c r="N625" s="1" t="s">
        <v>194</v>
      </c>
      <c r="O625" s="1">
        <v>9100.0</v>
      </c>
      <c r="P625" s="1" t="s">
        <v>194</v>
      </c>
      <c r="Q625" s="1" t="str">
        <f>IF(ISERROR(VLOOKUP(P625,'unique fed agency names'!A:C,3,FALSE)),P625,VLOOKUP(P625,'unique fed agency names'!A:C,3,FALSE))
</f>
        <v>U.S. Department of Education (ED)</v>
      </c>
      <c r="R625" s="1">
        <v>1.52807538E8</v>
      </c>
      <c r="S625" s="1" t="s">
        <v>591</v>
      </c>
      <c r="T625" s="1" t="str">
        <f>IF(ISERROR(VLOOKUP(S625,'unique org names'!A:C,3,FALSE)),S625,VLOOKUP(S625,'unique org names'!A:C,3,FALSE))
</f>
        <v>WESTON TECHNICAL ACADEMY</v>
      </c>
      <c r="V625" s="1" t="s">
        <v>592</v>
      </c>
      <c r="W625" s="1" t="s">
        <v>44</v>
      </c>
      <c r="X625" s="1" t="s">
        <v>45</v>
      </c>
      <c r="Y625" s="1">
        <v>4.82191161E8</v>
      </c>
      <c r="AA625" s="1" t="s">
        <v>44</v>
      </c>
      <c r="AB625" s="1" t="s">
        <v>45</v>
      </c>
      <c r="AC625" s="1">
        <v>4.82191161E8</v>
      </c>
      <c r="AD625" s="1">
        <v>6.0968096E7</v>
      </c>
      <c r="AE625" s="1" t="s">
        <v>1629</v>
      </c>
      <c r="AF625" s="1">
        <v>197442.0</v>
      </c>
      <c r="AG625" s="2">
        <v>41325.0</v>
      </c>
      <c r="AH625" s="1">
        <v>9100.0</v>
      </c>
      <c r="AI625" s="1" t="s">
        <v>194</v>
      </c>
      <c r="AJ625" s="1" t="s">
        <v>1630</v>
      </c>
      <c r="AK625" s="1" t="s">
        <v>1170</v>
      </c>
      <c r="AL625" s="1">
        <v>11.0</v>
      </c>
      <c r="AM625" s="1">
        <v>2013.0</v>
      </c>
      <c r="AN625" s="1">
        <v>2013.0</v>
      </c>
      <c r="AO625" s="1" t="s">
        <v>1171</v>
      </c>
    </row>
    <row r="626">
      <c r="A626" s="5">
        <v>1.0</v>
      </c>
      <c r="B626" s="1">
        <f t="shared" si="1"/>
        <v>626</v>
      </c>
      <c r="C626" s="1" t="s">
        <v>1167</v>
      </c>
      <c r="D626" s="1" t="s">
        <v>1167</v>
      </c>
      <c r="E626" s="1" t="s">
        <v>194</v>
      </c>
      <c r="G626" s="1">
        <v>5.38112E8</v>
      </c>
      <c r="H626" s="2">
        <v>41325.0</v>
      </c>
      <c r="I626" s="1" t="s">
        <v>1168</v>
      </c>
      <c r="K626" s="1" t="s">
        <v>1168</v>
      </c>
      <c r="N626" s="1" t="s">
        <v>194</v>
      </c>
      <c r="O626" s="1">
        <v>9100.0</v>
      </c>
      <c r="P626" s="1" t="s">
        <v>194</v>
      </c>
      <c r="Q626" s="1" t="str">
        <f>IF(ISERROR(VLOOKUP(P626,'unique fed agency names'!A:C,3,FALSE)),P626,VLOOKUP(P626,'unique fed agency names'!A:C,3,FALSE))
</f>
        <v>U.S. Department of Education (ED)</v>
      </c>
      <c r="R626" s="1">
        <v>7.8414877E7</v>
      </c>
      <c r="S626" s="1" t="s">
        <v>1631</v>
      </c>
      <c r="T626" s="1" t="str">
        <f>IF(ISERROR(VLOOKUP(S626,'unique org names'!A:C,3,FALSE)),S626,VLOOKUP(S626,'unique org names'!A:C,3,FALSE))
</f>
        <v>CENTER FOR LITERACY &amp; CREATIVITY</v>
      </c>
      <c r="U626" s="1" t="s">
        <v>466</v>
      </c>
      <c r="V626" s="1" t="s">
        <v>1632</v>
      </c>
      <c r="W626" s="1" t="s">
        <v>44</v>
      </c>
      <c r="X626" s="1" t="s">
        <v>45</v>
      </c>
      <c r="Y626" s="1">
        <v>4.82194113E8</v>
      </c>
      <c r="AA626" s="1" t="s">
        <v>44</v>
      </c>
      <c r="AB626" s="1" t="s">
        <v>45</v>
      </c>
      <c r="AC626" s="1">
        <v>4.82194113E8</v>
      </c>
      <c r="AD626" s="1">
        <v>1.6338926E8</v>
      </c>
      <c r="AE626" s="1" t="s">
        <v>465</v>
      </c>
      <c r="AF626" s="1">
        <v>88901.0</v>
      </c>
      <c r="AG626" s="2">
        <v>41325.0</v>
      </c>
      <c r="AH626" s="1">
        <v>9100.0</v>
      </c>
      <c r="AI626" s="1" t="s">
        <v>194</v>
      </c>
      <c r="AJ626" s="1" t="s">
        <v>1633</v>
      </c>
      <c r="AK626" s="1" t="s">
        <v>1170</v>
      </c>
      <c r="AL626" s="1">
        <v>11.0</v>
      </c>
      <c r="AM626" s="1">
        <v>2013.0</v>
      </c>
      <c r="AN626" s="1">
        <v>2013.0</v>
      </c>
      <c r="AO626" s="1" t="s">
        <v>1171</v>
      </c>
    </row>
    <row r="627">
      <c r="A627" s="5">
        <v>1.0</v>
      </c>
      <c r="B627" s="1">
        <f t="shared" si="1"/>
        <v>627</v>
      </c>
      <c r="C627" s="1" t="s">
        <v>1167</v>
      </c>
      <c r="D627" s="1" t="s">
        <v>1167</v>
      </c>
      <c r="E627" s="1" t="s">
        <v>194</v>
      </c>
      <c r="G627" s="1">
        <v>5.38112E8</v>
      </c>
      <c r="H627" s="2">
        <v>41304.0</v>
      </c>
      <c r="I627" s="1" t="s">
        <v>1168</v>
      </c>
      <c r="K627" s="1" t="s">
        <v>1168</v>
      </c>
      <c r="N627" s="1" t="s">
        <v>194</v>
      </c>
      <c r="O627" s="1">
        <v>9100.0</v>
      </c>
      <c r="P627" s="1" t="s">
        <v>194</v>
      </c>
      <c r="Q627" s="1" t="str">
        <f>IF(ISERROR(VLOOKUP(P627,'unique fed agency names'!A:C,3,FALSE)),P627,VLOOKUP(P627,'unique fed agency names'!A:C,3,FALSE))
</f>
        <v>U.S. Department of Education (ED)</v>
      </c>
      <c r="R627" s="1">
        <v>1.23577707E8</v>
      </c>
      <c r="S627" s="1" t="s">
        <v>563</v>
      </c>
      <c r="T627" s="1" t="str">
        <f>IF(ISERROR(VLOOKUP(S627,'unique org names'!A:C,3,FALSE)),S627,VLOOKUP(S627,'unique org names'!A:C,3,FALSE))
</f>
        <v>WARRENDALE CHARTER ACADEMY</v>
      </c>
      <c r="V627" s="1" t="s">
        <v>565</v>
      </c>
      <c r="W627" s="1" t="s">
        <v>44</v>
      </c>
      <c r="X627" s="1" t="s">
        <v>45</v>
      </c>
      <c r="Y627" s="1">
        <v>4.8228333E8</v>
      </c>
      <c r="AA627" s="1" t="s">
        <v>44</v>
      </c>
      <c r="AB627" s="1" t="s">
        <v>45</v>
      </c>
      <c r="AC627" s="1">
        <v>4.82283396E8</v>
      </c>
      <c r="AD627" s="1">
        <v>9.60742484E8</v>
      </c>
      <c r="AF627" s="1">
        <v>515097.0</v>
      </c>
      <c r="AG627" s="2">
        <v>41304.0</v>
      </c>
      <c r="AH627" s="1">
        <v>9100.0</v>
      </c>
      <c r="AI627" s="1" t="s">
        <v>194</v>
      </c>
      <c r="AJ627" s="1" t="s">
        <v>1634</v>
      </c>
      <c r="AK627" s="1" t="s">
        <v>1170</v>
      </c>
      <c r="AL627" s="1">
        <v>11.0</v>
      </c>
      <c r="AM627" s="1">
        <v>2013.0</v>
      </c>
      <c r="AN627" s="1">
        <v>2013.0</v>
      </c>
      <c r="AO627" s="1" t="s">
        <v>1171</v>
      </c>
    </row>
    <row r="628">
      <c r="A628" s="5">
        <v>1.0</v>
      </c>
      <c r="B628" s="1">
        <f t="shared" si="1"/>
        <v>628</v>
      </c>
      <c r="C628" s="1" t="s">
        <v>1167</v>
      </c>
      <c r="D628" s="1" t="s">
        <v>1167</v>
      </c>
      <c r="E628" s="1" t="s">
        <v>194</v>
      </c>
      <c r="G628" s="1">
        <v>5.38112E8</v>
      </c>
      <c r="H628" s="2">
        <v>41298.0</v>
      </c>
      <c r="I628" s="1" t="s">
        <v>1168</v>
      </c>
      <c r="K628" s="1" t="s">
        <v>1168</v>
      </c>
      <c r="N628" s="1" t="s">
        <v>194</v>
      </c>
      <c r="O628" s="1">
        <v>9100.0</v>
      </c>
      <c r="P628" s="1" t="s">
        <v>194</v>
      </c>
      <c r="Q628" s="1" t="str">
        <f>IF(ISERROR(VLOOKUP(P628,'unique fed agency names'!A:C,3,FALSE)),P628,VLOOKUP(P628,'unique fed agency names'!A:C,3,FALSE))
</f>
        <v>U.S. Department of Education (ED)</v>
      </c>
      <c r="R628" s="1">
        <v>4.2136734E7</v>
      </c>
      <c r="S628" s="1" t="s">
        <v>557</v>
      </c>
      <c r="T628" s="1" t="str">
        <f>IF(ISERROR(VLOOKUP(S628,'unique org names'!A:C,3,FALSE)),S628,VLOOKUP(S628,'unique org names'!A:C,3,FALSE))
</f>
        <v>GEORGE CROCKETT ACADEMY</v>
      </c>
      <c r="U628" s="1" t="s">
        <v>1635</v>
      </c>
      <c r="V628" s="1" t="s">
        <v>558</v>
      </c>
      <c r="W628" s="1" t="s">
        <v>44</v>
      </c>
      <c r="X628" s="1" t="s">
        <v>45</v>
      </c>
      <c r="Y628" s="1">
        <v>4.82082204E8</v>
      </c>
      <c r="AA628" s="1" t="s">
        <v>44</v>
      </c>
      <c r="AB628" s="1" t="s">
        <v>45</v>
      </c>
      <c r="AC628" s="1">
        <v>4.82082204E8</v>
      </c>
      <c r="AF628" s="1">
        <v>467321.0</v>
      </c>
      <c r="AG628" s="2">
        <v>41298.0</v>
      </c>
      <c r="AH628" s="1">
        <v>9100.0</v>
      </c>
      <c r="AI628" s="1" t="s">
        <v>194</v>
      </c>
      <c r="AJ628" s="1" t="s">
        <v>1636</v>
      </c>
      <c r="AK628" s="1" t="s">
        <v>1170</v>
      </c>
      <c r="AL628" s="1">
        <v>11.0</v>
      </c>
      <c r="AM628" s="1">
        <v>2013.0</v>
      </c>
      <c r="AN628" s="1">
        <v>2013.0</v>
      </c>
      <c r="AO628" s="1" t="s">
        <v>1171</v>
      </c>
    </row>
    <row r="629">
      <c r="A629" s="5">
        <v>1.0</v>
      </c>
      <c r="B629" s="1">
        <f t="shared" si="1"/>
        <v>629</v>
      </c>
      <c r="C629" s="1" t="s">
        <v>1167</v>
      </c>
      <c r="D629" s="1" t="s">
        <v>1167</v>
      </c>
      <c r="E629" s="1" t="s">
        <v>194</v>
      </c>
      <c r="G629" s="1">
        <v>5.38112E8</v>
      </c>
      <c r="H629" s="2">
        <v>41284.0</v>
      </c>
      <c r="I629" s="1" t="s">
        <v>1168</v>
      </c>
      <c r="K629" s="1" t="s">
        <v>1168</v>
      </c>
      <c r="N629" s="1" t="s">
        <v>194</v>
      </c>
      <c r="O629" s="1">
        <v>9100.0</v>
      </c>
      <c r="P629" s="1" t="s">
        <v>194</v>
      </c>
      <c r="Q629" s="1" t="str">
        <f>IF(ISERROR(VLOOKUP(P629,'unique fed agency names'!A:C,3,FALSE)),P629,VLOOKUP(P629,'unique fed agency names'!A:C,3,FALSE))
</f>
        <v>U.S. Department of Education (ED)</v>
      </c>
      <c r="R629" s="1">
        <v>5.4074575E7</v>
      </c>
      <c r="S629" s="1" t="s">
        <v>629</v>
      </c>
      <c r="T629" s="1" t="str">
        <f>IF(ISERROR(VLOOKUP(S629,'unique org names'!A:C,3,FALSE)),S629,VLOOKUP(S629,'unique org names'!A:C,3,FALSE))
</f>
        <v>PIERRE TOUSSAINT ACADEMY</v>
      </c>
      <c r="U629" s="1" t="s">
        <v>630</v>
      </c>
      <c r="V629" s="1" t="s">
        <v>631</v>
      </c>
      <c r="W629" s="1" t="s">
        <v>44</v>
      </c>
      <c r="X629" s="1" t="s">
        <v>45</v>
      </c>
      <c r="Y629" s="1">
        <v>4.82171631E8</v>
      </c>
      <c r="AA629" s="1" t="s">
        <v>44</v>
      </c>
      <c r="AB629" s="1" t="s">
        <v>45</v>
      </c>
      <c r="AC629" s="1">
        <v>4.82171631E8</v>
      </c>
      <c r="AF629" s="1">
        <v>295640.0</v>
      </c>
      <c r="AG629" s="2">
        <v>41284.0</v>
      </c>
      <c r="AH629" s="1">
        <v>9100.0</v>
      </c>
      <c r="AI629" s="1" t="s">
        <v>194</v>
      </c>
      <c r="AJ629" s="1" t="s">
        <v>1637</v>
      </c>
      <c r="AK629" s="1" t="s">
        <v>1170</v>
      </c>
      <c r="AL629" s="1">
        <v>11.0</v>
      </c>
      <c r="AM629" s="1">
        <v>2013.0</v>
      </c>
      <c r="AN629" s="1">
        <v>2013.0</v>
      </c>
      <c r="AO629" s="1" t="s">
        <v>1171</v>
      </c>
    </row>
    <row r="630">
      <c r="A630" s="5">
        <v>1.0</v>
      </c>
      <c r="B630" s="1">
        <f t="shared" si="1"/>
        <v>630</v>
      </c>
      <c r="C630" s="1" t="s">
        <v>1167</v>
      </c>
      <c r="D630" s="1" t="s">
        <v>1167</v>
      </c>
      <c r="E630" s="1" t="s">
        <v>194</v>
      </c>
      <c r="G630" s="1">
        <v>5.38112E8</v>
      </c>
      <c r="H630" s="2">
        <v>41240.0</v>
      </c>
      <c r="I630" s="1" t="s">
        <v>1168</v>
      </c>
      <c r="K630" s="1" t="s">
        <v>1168</v>
      </c>
      <c r="N630" s="1" t="s">
        <v>194</v>
      </c>
      <c r="O630" s="1">
        <v>9100.0</v>
      </c>
      <c r="P630" s="1" t="s">
        <v>194</v>
      </c>
      <c r="Q630" s="1" t="str">
        <f>IF(ISERROR(VLOOKUP(P630,'unique fed agency names'!A:C,3,FALSE)),P630,VLOOKUP(P630,'unique fed agency names'!A:C,3,FALSE))
</f>
        <v>U.S. Department of Education (ED)</v>
      </c>
      <c r="R630" s="1">
        <v>7.97531295E8</v>
      </c>
      <c r="S630" s="1" t="s">
        <v>582</v>
      </c>
      <c r="T630" s="1" t="str">
        <f>IF(ISERROR(VLOOKUP(S630,'unique org names'!A:C,3,FALSE)),S630,VLOOKUP(S630,'unique org names'!A:C,3,FALSE))
</f>
        <v>FRONTIER INTERNATIONAL ACADEMY, THE</v>
      </c>
      <c r="V630" s="1" t="s">
        <v>583</v>
      </c>
      <c r="W630" s="1" t="s">
        <v>44</v>
      </c>
      <c r="X630" s="1" t="s">
        <v>45</v>
      </c>
      <c r="Y630" s="1">
        <v>4.82123452E8</v>
      </c>
      <c r="AA630" s="1" t="s">
        <v>498</v>
      </c>
      <c r="AB630" s="1" t="s">
        <v>45</v>
      </c>
      <c r="AC630" s="1">
        <v>4.82123452E8</v>
      </c>
      <c r="AF630" s="1">
        <v>297523.0</v>
      </c>
      <c r="AG630" s="2">
        <v>41240.0</v>
      </c>
      <c r="AH630" s="1">
        <v>9100.0</v>
      </c>
      <c r="AI630" s="1" t="s">
        <v>194</v>
      </c>
      <c r="AJ630" s="1" t="s">
        <v>1638</v>
      </c>
      <c r="AK630" s="1" t="s">
        <v>1170</v>
      </c>
      <c r="AL630" s="1">
        <v>11.0</v>
      </c>
      <c r="AM630" s="1">
        <v>2013.0</v>
      </c>
      <c r="AN630" s="1">
        <v>2013.0</v>
      </c>
      <c r="AO630" s="1" t="s">
        <v>1171</v>
      </c>
    </row>
    <row r="631">
      <c r="A631" s="5">
        <v>1.0</v>
      </c>
      <c r="B631" s="1">
        <f t="shared" si="1"/>
        <v>631</v>
      </c>
      <c r="C631" s="1" t="s">
        <v>1167</v>
      </c>
      <c r="D631" s="1" t="s">
        <v>1167</v>
      </c>
      <c r="E631" s="1" t="s">
        <v>194</v>
      </c>
      <c r="G631" s="1">
        <v>5.38112E8</v>
      </c>
      <c r="H631" s="2">
        <v>41219.0</v>
      </c>
      <c r="I631" s="1" t="s">
        <v>1168</v>
      </c>
      <c r="K631" s="1" t="s">
        <v>1168</v>
      </c>
      <c r="N631" s="1" t="s">
        <v>194</v>
      </c>
      <c r="O631" s="1">
        <v>9100.0</v>
      </c>
      <c r="P631" s="1" t="s">
        <v>194</v>
      </c>
      <c r="Q631" s="1" t="str">
        <f>IF(ISERROR(VLOOKUP(P631,'unique fed agency names'!A:C,3,FALSE)),P631,VLOOKUP(P631,'unique fed agency names'!A:C,3,FALSE))
</f>
        <v>U.S. Department of Education (ED)</v>
      </c>
      <c r="R631" s="1">
        <v>8.29503312E8</v>
      </c>
      <c r="S631" s="1" t="s">
        <v>622</v>
      </c>
      <c r="T631" s="1" t="str">
        <f>IF(ISERROR(VLOOKUP(S631,'unique org names'!A:C,3,FALSE)),S631,VLOOKUP(S631,'unique org names'!A:C,3,FALSE))
</f>
        <v>GEORGE WASHINGTON CARVER ACADEMY</v>
      </c>
      <c r="U631" s="1" t="s">
        <v>1639</v>
      </c>
      <c r="V631" s="1" t="s">
        <v>623</v>
      </c>
      <c r="W631" s="1" t="s">
        <v>44</v>
      </c>
      <c r="X631" s="1" t="s">
        <v>45</v>
      </c>
      <c r="Y631" s="1">
        <v>4.82035715E8</v>
      </c>
      <c r="AA631" s="1" t="s">
        <v>603</v>
      </c>
      <c r="AB631" s="1" t="s">
        <v>45</v>
      </c>
      <c r="AC631" s="1">
        <v>4.82035715E8</v>
      </c>
      <c r="AF631" s="1">
        <v>427043.0</v>
      </c>
      <c r="AG631" s="2">
        <v>41219.0</v>
      </c>
      <c r="AH631" s="1">
        <v>9100.0</v>
      </c>
      <c r="AI631" s="1" t="s">
        <v>194</v>
      </c>
      <c r="AJ631" s="1" t="s">
        <v>1640</v>
      </c>
      <c r="AK631" s="1" t="s">
        <v>1170</v>
      </c>
      <c r="AL631" s="1">
        <v>11.0</v>
      </c>
      <c r="AM631" s="1">
        <v>2013.0</v>
      </c>
      <c r="AN631" s="1">
        <v>2013.0</v>
      </c>
      <c r="AO631" s="1" t="s">
        <v>1171</v>
      </c>
    </row>
    <row r="632">
      <c r="A632" s="5">
        <v>1.0</v>
      </c>
      <c r="B632" s="1">
        <f t="shared" si="1"/>
        <v>632</v>
      </c>
      <c r="C632" s="1" t="s">
        <v>1167</v>
      </c>
      <c r="D632" s="1" t="s">
        <v>1167</v>
      </c>
      <c r="E632" s="1" t="s">
        <v>194</v>
      </c>
      <c r="G632" s="1">
        <v>5.38112E8</v>
      </c>
      <c r="H632" s="2">
        <v>41204.0</v>
      </c>
      <c r="I632" s="1" t="s">
        <v>1168</v>
      </c>
      <c r="K632" s="1" t="s">
        <v>1168</v>
      </c>
      <c r="N632" s="1" t="s">
        <v>194</v>
      </c>
      <c r="O632" s="1">
        <v>9100.0</v>
      </c>
      <c r="P632" s="1" t="s">
        <v>194</v>
      </c>
      <c r="Q632" s="1" t="str">
        <f>IF(ISERROR(VLOOKUP(P632,'unique fed agency names'!A:C,3,FALSE)),P632,VLOOKUP(P632,'unique fed agency names'!A:C,3,FALSE))
</f>
        <v>U.S. Department of Education (ED)</v>
      </c>
      <c r="R632" s="1">
        <v>1.17726252E8</v>
      </c>
      <c r="S632" s="1" t="s">
        <v>512</v>
      </c>
      <c r="T632" s="1" t="str">
        <f>IF(ISERROR(VLOOKUP(S632,'unique org names'!A:C,3,FALSE)),S632,VLOOKUP(S632,'unique org names'!A:C,3,FALSE))
</f>
        <v>OLD REDFORD ACADEMY</v>
      </c>
      <c r="U632" s="1" t="s">
        <v>1641</v>
      </c>
      <c r="V632" s="1" t="s">
        <v>513</v>
      </c>
      <c r="W632" s="1" t="s">
        <v>44</v>
      </c>
      <c r="X632" s="1" t="s">
        <v>45</v>
      </c>
      <c r="Y632" s="1">
        <v>4.82193259E8</v>
      </c>
      <c r="AA632" s="1" t="s">
        <v>44</v>
      </c>
      <c r="AB632" s="1" t="s">
        <v>45</v>
      </c>
      <c r="AC632" s="1">
        <v>4.82193259E8</v>
      </c>
      <c r="AD632" s="1">
        <v>6.0179603E7</v>
      </c>
      <c r="AE632" s="1" t="s">
        <v>1642</v>
      </c>
      <c r="AF632" s="1">
        <v>1101619.0</v>
      </c>
      <c r="AG632" s="2">
        <v>41204.0</v>
      </c>
      <c r="AH632" s="1">
        <v>9100.0</v>
      </c>
      <c r="AI632" s="1" t="s">
        <v>194</v>
      </c>
      <c r="AJ632" s="1" t="s">
        <v>1643</v>
      </c>
      <c r="AK632" s="1" t="s">
        <v>1170</v>
      </c>
      <c r="AL632" s="1">
        <v>11.0</v>
      </c>
      <c r="AM632" s="1">
        <v>2013.0</v>
      </c>
      <c r="AN632" s="1">
        <v>2013.0</v>
      </c>
      <c r="AO632" s="1" t="s">
        <v>1171</v>
      </c>
    </row>
    <row r="633">
      <c r="A633" s="5">
        <v>1.0</v>
      </c>
      <c r="B633" s="1">
        <f t="shared" si="1"/>
        <v>633</v>
      </c>
      <c r="C633" s="1" t="s">
        <v>1167</v>
      </c>
      <c r="D633" s="1" t="s">
        <v>1167</v>
      </c>
      <c r="E633" s="1" t="s">
        <v>194</v>
      </c>
      <c r="G633" s="1">
        <v>5.38112E8</v>
      </c>
      <c r="H633" s="2">
        <v>41204.0</v>
      </c>
      <c r="I633" s="1" t="s">
        <v>1168</v>
      </c>
      <c r="K633" s="1" t="s">
        <v>1168</v>
      </c>
      <c r="N633" s="1" t="s">
        <v>194</v>
      </c>
      <c r="O633" s="1">
        <v>9100.0</v>
      </c>
      <c r="P633" s="1" t="s">
        <v>194</v>
      </c>
      <c r="Q633" s="1" t="str">
        <f>IF(ISERROR(VLOOKUP(P633,'unique fed agency names'!A:C,3,FALSE)),P633,VLOOKUP(P633,'unique fed agency names'!A:C,3,FALSE))
</f>
        <v>U.S. Department of Education (ED)</v>
      </c>
      <c r="R633" s="1">
        <v>1.96632496E8</v>
      </c>
      <c r="S633" s="1" t="s">
        <v>715</v>
      </c>
      <c r="T633" s="1" t="str">
        <f>IF(ISERROR(VLOOKUP(S633,'unique org names'!A:C,3,FALSE)),S633,VLOOKUP(S633,'unique org names'!A:C,3,FALSE))
</f>
        <v>CASA RICHARD ACADEMY</v>
      </c>
      <c r="U633" s="1" t="s">
        <v>1644</v>
      </c>
      <c r="V633" s="1" t="s">
        <v>716</v>
      </c>
      <c r="W633" s="1" t="s">
        <v>44</v>
      </c>
      <c r="X633" s="1" t="s">
        <v>45</v>
      </c>
      <c r="Y633" s="1">
        <v>4.82162058E8</v>
      </c>
      <c r="AA633" s="1" t="s">
        <v>44</v>
      </c>
      <c r="AB633" s="1" t="s">
        <v>45</v>
      </c>
      <c r="AC633" s="1">
        <v>4.82162058E8</v>
      </c>
      <c r="AD633" s="1">
        <v>5.1915775E7</v>
      </c>
      <c r="AE633" s="1" t="s">
        <v>1645</v>
      </c>
      <c r="AF633" s="1">
        <v>65644.0</v>
      </c>
      <c r="AG633" s="2">
        <v>41204.0</v>
      </c>
      <c r="AH633" s="1">
        <v>9100.0</v>
      </c>
      <c r="AI633" s="1" t="s">
        <v>194</v>
      </c>
      <c r="AJ633" s="1" t="s">
        <v>1646</v>
      </c>
      <c r="AK633" s="1" t="s">
        <v>1170</v>
      </c>
      <c r="AL633" s="1">
        <v>11.0</v>
      </c>
      <c r="AM633" s="1">
        <v>2013.0</v>
      </c>
      <c r="AN633" s="1">
        <v>2013.0</v>
      </c>
      <c r="AO633" s="1" t="s">
        <v>1171</v>
      </c>
    </row>
    <row r="634">
      <c r="A634" s="5">
        <v>1.0</v>
      </c>
      <c r="B634" s="1">
        <f t="shared" si="1"/>
        <v>634</v>
      </c>
      <c r="C634" s="1" t="s">
        <v>1167</v>
      </c>
      <c r="D634" s="1" t="s">
        <v>1167</v>
      </c>
      <c r="E634" s="1" t="s">
        <v>194</v>
      </c>
      <c r="G634" s="1">
        <v>5.38112E8</v>
      </c>
      <c r="H634" s="2">
        <v>41200.0</v>
      </c>
      <c r="I634" s="1" t="s">
        <v>1168</v>
      </c>
      <c r="K634" s="1" t="s">
        <v>1168</v>
      </c>
      <c r="N634" s="1" t="s">
        <v>194</v>
      </c>
      <c r="O634" s="1">
        <v>9100.0</v>
      </c>
      <c r="P634" s="1" t="s">
        <v>194</v>
      </c>
      <c r="Q634" s="1" t="str">
        <f>IF(ISERROR(VLOOKUP(P634,'unique fed agency names'!A:C,3,FALSE)),P634,VLOOKUP(P634,'unique fed agency names'!A:C,3,FALSE))
</f>
        <v>U.S. Department of Education (ED)</v>
      </c>
      <c r="R634" s="1">
        <v>1.0030049E8</v>
      </c>
      <c r="S634" s="1" t="s">
        <v>459</v>
      </c>
      <c r="T634" s="1" t="str">
        <f>IF(ISERROR(VLOOKUP(S634,'unique org names'!A:C,3,FALSE)),S634,VLOOKUP(S634,'unique org names'!A:C,3,FALSE))
</f>
        <v>DETROIT PUBLIC SCHOOLS</v>
      </c>
      <c r="U634" s="1" t="s">
        <v>570</v>
      </c>
      <c r="V634" s="1" t="s">
        <v>571</v>
      </c>
      <c r="W634" s="1" t="s">
        <v>44</v>
      </c>
      <c r="X634" s="1" t="s">
        <v>45</v>
      </c>
      <c r="Y634" s="1">
        <v>4.82382941E8</v>
      </c>
      <c r="AA634" s="1" t="s">
        <v>44</v>
      </c>
      <c r="AB634" s="1" t="s">
        <v>45</v>
      </c>
      <c r="AC634" s="1">
        <v>4.82382941E8</v>
      </c>
      <c r="AD634" s="1">
        <v>7.6340843E7</v>
      </c>
      <c r="AE634" s="1" t="s">
        <v>461</v>
      </c>
      <c r="AF634" s="1">
        <v>101030.0</v>
      </c>
      <c r="AG634" s="2">
        <v>41200.0</v>
      </c>
      <c r="AH634" s="1">
        <v>9100.0</v>
      </c>
      <c r="AI634" s="1" t="s">
        <v>194</v>
      </c>
      <c r="AJ634" s="1" t="s">
        <v>1647</v>
      </c>
      <c r="AK634" s="1" t="s">
        <v>1170</v>
      </c>
      <c r="AL634" s="1">
        <v>11.0</v>
      </c>
      <c r="AM634" s="1">
        <v>2013.0</v>
      </c>
      <c r="AN634" s="1">
        <v>2013.0</v>
      </c>
      <c r="AO634" s="1" t="s">
        <v>1171</v>
      </c>
    </row>
    <row r="635">
      <c r="A635" s="5">
        <v>1.0</v>
      </c>
      <c r="B635" s="1">
        <f t="shared" si="1"/>
        <v>635</v>
      </c>
      <c r="C635" s="1" t="s">
        <v>1167</v>
      </c>
      <c r="D635" s="1" t="s">
        <v>1167</v>
      </c>
      <c r="E635" s="1" t="s">
        <v>194</v>
      </c>
      <c r="G635" s="1">
        <v>5.38112E8</v>
      </c>
      <c r="H635" s="2">
        <v>41197.0</v>
      </c>
      <c r="I635" s="1" t="s">
        <v>1168</v>
      </c>
      <c r="K635" s="1" t="s">
        <v>1168</v>
      </c>
      <c r="N635" s="1" t="s">
        <v>194</v>
      </c>
      <c r="O635" s="1">
        <v>9100.0</v>
      </c>
      <c r="P635" s="1" t="s">
        <v>194</v>
      </c>
      <c r="Q635" s="1" t="str">
        <f>IF(ISERROR(VLOOKUP(P635,'unique fed agency names'!A:C,3,FALSE)),P635,VLOOKUP(P635,'unique fed agency names'!A:C,3,FALSE))
</f>
        <v>U.S. Department of Education (ED)</v>
      </c>
      <c r="R635" s="1">
        <v>1.47552186E8</v>
      </c>
      <c r="S635" s="1" t="s">
        <v>822</v>
      </c>
      <c r="T635" s="1" t="str">
        <f>IF(ISERROR(VLOOKUP(S635,'unique org names'!A:C,3,FALSE)),S635,VLOOKUP(S635,'unique org names'!A:C,3,FALSE))
</f>
        <v>NATAKI TALIBAH SCHOOLHOUSE OF DETROIT</v>
      </c>
      <c r="V635" s="1" t="s">
        <v>823</v>
      </c>
      <c r="W635" s="1" t="s">
        <v>44</v>
      </c>
      <c r="X635" s="1" t="s">
        <v>45</v>
      </c>
      <c r="Y635" s="1">
        <v>4.82191857E8</v>
      </c>
      <c r="AA635" s="1" t="s">
        <v>44</v>
      </c>
      <c r="AB635" s="1" t="s">
        <v>45</v>
      </c>
      <c r="AC635" s="1">
        <v>4.82191857E8</v>
      </c>
      <c r="AF635" s="1">
        <v>172367.0</v>
      </c>
      <c r="AG635" s="2">
        <v>41197.0</v>
      </c>
      <c r="AH635" s="1">
        <v>9100.0</v>
      </c>
      <c r="AI635" s="1" t="s">
        <v>194</v>
      </c>
      <c r="AJ635" s="1" t="s">
        <v>1648</v>
      </c>
      <c r="AK635" s="1" t="s">
        <v>1170</v>
      </c>
      <c r="AL635" s="1">
        <v>11.0</v>
      </c>
      <c r="AM635" s="1">
        <v>2013.0</v>
      </c>
      <c r="AN635" s="1">
        <v>2013.0</v>
      </c>
      <c r="AO635" s="1" t="s">
        <v>1171</v>
      </c>
    </row>
    <row r="636">
      <c r="A636" s="5">
        <v>1.0</v>
      </c>
      <c r="B636" s="1">
        <f t="shared" si="1"/>
        <v>636</v>
      </c>
      <c r="C636" s="1" t="s">
        <v>1649</v>
      </c>
      <c r="D636" s="1" t="s">
        <v>1649</v>
      </c>
      <c r="E636" s="1" t="s">
        <v>224</v>
      </c>
      <c r="G636" s="1">
        <v>116273.0</v>
      </c>
      <c r="H636" s="2">
        <v>41523.0</v>
      </c>
      <c r="I636" s="1" t="s">
        <v>1650</v>
      </c>
      <c r="K636" s="1" t="s">
        <v>1650</v>
      </c>
      <c r="N636" s="1" t="s">
        <v>151</v>
      </c>
      <c r="O636" s="1">
        <v>6900.0</v>
      </c>
      <c r="P636" s="1" t="s">
        <v>151</v>
      </c>
      <c r="Q636" s="1" t="str">
        <f>IF(ISERROR(VLOOKUP(P636,'unique fed agency names'!A:C,3,FALSE)),P636,VLOOKUP(P636,'unique fed agency names'!A:C,3,FALSE))
</f>
        <v>U.S. Department of Transportation (DOT)</v>
      </c>
      <c r="R636" s="1">
        <v>9.63886101E8</v>
      </c>
      <c r="S636" s="1" t="s">
        <v>259</v>
      </c>
      <c r="T636" s="1" t="str">
        <f>IF(ISERROR(VLOOKUP(S636,'unique org names'!A:C,3,FALSE)),S636,VLOOKUP(S636,'unique org names'!A:C,3,FALSE))
</f>
        <v>Wayne County</v>
      </c>
      <c r="V636" s="1" t="s">
        <v>260</v>
      </c>
      <c r="W636" s="1" t="s">
        <v>44</v>
      </c>
      <c r="X636" s="1" t="s">
        <v>45</v>
      </c>
      <c r="Y636" s="1">
        <v>4.8226348E8</v>
      </c>
      <c r="AA636" s="1" t="s">
        <v>46</v>
      </c>
      <c r="AB636" s="1" t="s">
        <v>45</v>
      </c>
      <c r="AC636" s="1">
        <v>4.8226348E8</v>
      </c>
      <c r="AD636" s="1">
        <v>7.3134884E7</v>
      </c>
      <c r="AE636" s="1" t="s">
        <v>261</v>
      </c>
      <c r="AF636" s="1">
        <v>116273.84</v>
      </c>
      <c r="AG636" s="2">
        <v>41523.0</v>
      </c>
      <c r="AH636" s="1">
        <v>6900.0</v>
      </c>
      <c r="AI636" s="1" t="s">
        <v>151</v>
      </c>
      <c r="AJ636" s="1">
        <v>1.0</v>
      </c>
      <c r="AK636" s="1" t="s">
        <v>1651</v>
      </c>
      <c r="AL636" s="1">
        <v>10.0</v>
      </c>
      <c r="AM636" s="1">
        <v>2013.0</v>
      </c>
      <c r="AN636" s="1">
        <v>2013.0</v>
      </c>
      <c r="AO636" s="1" t="s">
        <v>229</v>
      </c>
    </row>
    <row r="637">
      <c r="A637" s="5">
        <v>1.0</v>
      </c>
      <c r="B637" s="1">
        <f t="shared" si="1"/>
        <v>637</v>
      </c>
      <c r="C637" s="1" t="s">
        <v>1652</v>
      </c>
      <c r="D637" s="1" t="s">
        <v>1652</v>
      </c>
      <c r="E637" s="1" t="s">
        <v>224</v>
      </c>
      <c r="G637" s="1">
        <v>1187031.0</v>
      </c>
      <c r="H637" s="2">
        <v>41523.0</v>
      </c>
      <c r="I637" s="1" t="s">
        <v>1159</v>
      </c>
      <c r="K637" s="1" t="s">
        <v>1159</v>
      </c>
      <c r="N637" s="1" t="s">
        <v>151</v>
      </c>
      <c r="O637" s="1">
        <v>6900.0</v>
      </c>
      <c r="P637" s="1" t="s">
        <v>151</v>
      </c>
      <c r="Q637" s="1" t="str">
        <f>IF(ISERROR(VLOOKUP(P637,'unique fed agency names'!A:C,3,FALSE)),P637,VLOOKUP(P637,'unique fed agency names'!A:C,3,FALSE))
</f>
        <v>U.S. Department of Transportation (DOT)</v>
      </c>
      <c r="R637" s="1">
        <v>9.63886101E8</v>
      </c>
      <c r="S637" s="1" t="s">
        <v>259</v>
      </c>
      <c r="T637" s="1" t="str">
        <f>IF(ISERROR(VLOOKUP(S637,'unique org names'!A:C,3,FALSE)),S637,VLOOKUP(S637,'unique org names'!A:C,3,FALSE))
</f>
        <v>Wayne County</v>
      </c>
      <c r="V637" s="1" t="s">
        <v>260</v>
      </c>
      <c r="W637" s="1" t="s">
        <v>44</v>
      </c>
      <c r="X637" s="1" t="s">
        <v>45</v>
      </c>
      <c r="Y637" s="1">
        <v>4.8226348E8</v>
      </c>
      <c r="AA637" s="1" t="s">
        <v>46</v>
      </c>
      <c r="AB637" s="1" t="s">
        <v>45</v>
      </c>
      <c r="AC637" s="1">
        <v>4.8226348E8</v>
      </c>
      <c r="AD637" s="1">
        <v>7.3134884E7</v>
      </c>
      <c r="AE637" s="1" t="s">
        <v>261</v>
      </c>
      <c r="AF637" s="1">
        <v>1187031.06</v>
      </c>
      <c r="AG637" s="2">
        <v>41523.0</v>
      </c>
      <c r="AH637" s="1">
        <v>6900.0</v>
      </c>
      <c r="AI637" s="1" t="s">
        <v>151</v>
      </c>
      <c r="AJ637" s="1">
        <v>1.0</v>
      </c>
      <c r="AK637" s="1" t="s">
        <v>1160</v>
      </c>
      <c r="AL637" s="1">
        <v>10.0</v>
      </c>
      <c r="AM637" s="1">
        <v>2013.0</v>
      </c>
      <c r="AN637" s="1">
        <v>2013.0</v>
      </c>
      <c r="AO637" s="1" t="s">
        <v>229</v>
      </c>
    </row>
    <row r="638">
      <c r="A638" s="5">
        <v>1.0</v>
      </c>
      <c r="B638" s="1">
        <f t="shared" si="1"/>
        <v>638</v>
      </c>
      <c r="C638" s="1" t="s">
        <v>1653</v>
      </c>
      <c r="D638" s="1" t="s">
        <v>1653</v>
      </c>
      <c r="E638" s="1" t="s">
        <v>224</v>
      </c>
      <c r="G638" s="1">
        <v>238165.0</v>
      </c>
      <c r="H638" s="2">
        <v>41523.0</v>
      </c>
      <c r="I638" s="1" t="s">
        <v>1220</v>
      </c>
      <c r="K638" s="1" t="s">
        <v>1220</v>
      </c>
      <c r="N638" s="1" t="s">
        <v>151</v>
      </c>
      <c r="O638" s="1">
        <v>6900.0</v>
      </c>
      <c r="P638" s="1" t="s">
        <v>151</v>
      </c>
      <c r="Q638" s="1" t="str">
        <f>IF(ISERROR(VLOOKUP(P638,'unique fed agency names'!A:C,3,FALSE)),P638,VLOOKUP(P638,'unique fed agency names'!A:C,3,FALSE))
</f>
        <v>U.S. Department of Transportation (DOT)</v>
      </c>
      <c r="R638" s="1">
        <v>9.63886101E8</v>
      </c>
      <c r="S638" s="1" t="s">
        <v>259</v>
      </c>
      <c r="T638" s="1" t="str">
        <f>IF(ISERROR(VLOOKUP(S638,'unique org names'!A:C,3,FALSE)),S638,VLOOKUP(S638,'unique org names'!A:C,3,FALSE))
</f>
        <v>Wayne County</v>
      </c>
      <c r="V638" s="1" t="s">
        <v>260</v>
      </c>
      <c r="W638" s="1" t="s">
        <v>44</v>
      </c>
      <c r="X638" s="1" t="s">
        <v>45</v>
      </c>
      <c r="Y638" s="1">
        <v>4.8226348E8</v>
      </c>
      <c r="AA638" s="1" t="s">
        <v>46</v>
      </c>
      <c r="AB638" s="1" t="s">
        <v>45</v>
      </c>
      <c r="AC638" s="1">
        <v>4.8226348E8</v>
      </c>
      <c r="AD638" s="1">
        <v>7.3134884E7</v>
      </c>
      <c r="AE638" s="1" t="s">
        <v>261</v>
      </c>
      <c r="AF638" s="1">
        <v>238165.06</v>
      </c>
      <c r="AG638" s="2">
        <v>41523.0</v>
      </c>
      <c r="AH638" s="1">
        <v>6900.0</v>
      </c>
      <c r="AI638" s="1" t="s">
        <v>151</v>
      </c>
      <c r="AJ638" s="1">
        <v>1.0</v>
      </c>
      <c r="AK638" s="1" t="s">
        <v>1221</v>
      </c>
      <c r="AL638" s="1">
        <v>10.0</v>
      </c>
      <c r="AM638" s="1">
        <v>2013.0</v>
      </c>
      <c r="AN638" s="1">
        <v>2013.0</v>
      </c>
      <c r="AO638" s="1" t="s">
        <v>229</v>
      </c>
    </row>
    <row r="639">
      <c r="A639" s="5">
        <v>1.0</v>
      </c>
      <c r="B639" s="1">
        <f t="shared" si="1"/>
        <v>639</v>
      </c>
      <c r="C639" s="1" t="s">
        <v>1654</v>
      </c>
      <c r="D639" s="1" t="s">
        <v>1654</v>
      </c>
      <c r="E639" s="1" t="s">
        <v>224</v>
      </c>
      <c r="G639" s="1">
        <v>1439930.0</v>
      </c>
      <c r="H639" s="2">
        <v>41529.0</v>
      </c>
      <c r="I639" s="1" t="s">
        <v>1165</v>
      </c>
      <c r="K639" s="1" t="s">
        <v>1165</v>
      </c>
      <c r="N639" s="1" t="s">
        <v>151</v>
      </c>
      <c r="O639" s="1">
        <v>6900.0</v>
      </c>
      <c r="P639" s="1" t="s">
        <v>151</v>
      </c>
      <c r="Q639" s="1" t="str">
        <f>IF(ISERROR(VLOOKUP(P639,'unique fed agency names'!A:C,3,FALSE)),P639,VLOOKUP(P639,'unique fed agency names'!A:C,3,FALSE))
</f>
        <v>U.S. Department of Transportation (DOT)</v>
      </c>
      <c r="R639" s="1">
        <v>9.63886101E8</v>
      </c>
      <c r="S639" s="1" t="s">
        <v>259</v>
      </c>
      <c r="T639" s="1" t="str">
        <f>IF(ISERROR(VLOOKUP(S639,'unique org names'!A:C,3,FALSE)),S639,VLOOKUP(S639,'unique org names'!A:C,3,FALSE))
</f>
        <v>Wayne County</v>
      </c>
      <c r="V639" s="1" t="s">
        <v>260</v>
      </c>
      <c r="W639" s="1" t="s">
        <v>44</v>
      </c>
      <c r="X639" s="1" t="s">
        <v>45</v>
      </c>
      <c r="Y639" s="1">
        <v>4.8226348E8</v>
      </c>
      <c r="AA639" s="1" t="s">
        <v>46</v>
      </c>
      <c r="AB639" s="1" t="s">
        <v>45</v>
      </c>
      <c r="AC639" s="1">
        <v>4.8226348E8</v>
      </c>
      <c r="AD639" s="1">
        <v>7.3134884E7</v>
      </c>
      <c r="AE639" s="1" t="s">
        <v>261</v>
      </c>
      <c r="AF639" s="1">
        <v>1439930.11</v>
      </c>
      <c r="AG639" s="2">
        <v>41529.0</v>
      </c>
      <c r="AH639" s="1">
        <v>6900.0</v>
      </c>
      <c r="AI639" s="1" t="s">
        <v>151</v>
      </c>
      <c r="AJ639" s="1">
        <v>1.0</v>
      </c>
      <c r="AK639" s="1" t="s">
        <v>1166</v>
      </c>
      <c r="AL639" s="1">
        <v>10.0</v>
      </c>
      <c r="AM639" s="1">
        <v>2013.0</v>
      </c>
      <c r="AN639" s="1">
        <v>2013.0</v>
      </c>
      <c r="AO639" s="1" t="s">
        <v>229</v>
      </c>
    </row>
    <row r="640">
      <c r="A640" s="5">
        <v>1.0</v>
      </c>
      <c r="B640" s="1">
        <f t="shared" si="1"/>
        <v>640</v>
      </c>
      <c r="C640" s="1" t="s">
        <v>1167</v>
      </c>
      <c r="D640" s="1" t="s">
        <v>1167</v>
      </c>
      <c r="E640" s="1" t="s">
        <v>194</v>
      </c>
      <c r="G640" s="1">
        <v>5.38112E8</v>
      </c>
      <c r="H640" s="2">
        <v>41395.0</v>
      </c>
      <c r="I640" s="1" t="s">
        <v>1168</v>
      </c>
      <c r="K640" s="1" t="s">
        <v>1168</v>
      </c>
      <c r="N640" s="1" t="s">
        <v>194</v>
      </c>
      <c r="O640" s="1">
        <v>9100.0</v>
      </c>
      <c r="P640" s="1" t="s">
        <v>194</v>
      </c>
      <c r="Q640" s="1" t="str">
        <f>IF(ISERROR(VLOOKUP(P640,'unique fed agency names'!A:C,3,FALSE)),P640,VLOOKUP(P640,'unique fed agency names'!A:C,3,FALSE))
</f>
        <v>U.S. Department of Education (ED)</v>
      </c>
      <c r="R640" s="1">
        <v>7.8583963E7</v>
      </c>
      <c r="S640" s="1" t="s">
        <v>526</v>
      </c>
      <c r="T640" s="1" t="str">
        <f>IF(ISERROR(VLOOKUP(S640,'unique org names'!A:C,3,FALSE)),S640,VLOOKUP(S640,'unique org names'!A:C,3,FALSE))
</f>
        <v>WAY ACADEMY</v>
      </c>
      <c r="U640" s="1" t="s">
        <v>527</v>
      </c>
      <c r="V640" s="1" t="s">
        <v>528</v>
      </c>
      <c r="W640" s="1" t="s">
        <v>44</v>
      </c>
      <c r="X640" s="1" t="s">
        <v>45</v>
      </c>
      <c r="Y640" s="1">
        <v>4.82091434E8</v>
      </c>
      <c r="AA640" s="1" t="s">
        <v>46</v>
      </c>
      <c r="AB640" s="1" t="s">
        <v>45</v>
      </c>
      <c r="AC640" s="1">
        <v>4.82091434E8</v>
      </c>
      <c r="AD640" s="1">
        <v>7.4255332E7</v>
      </c>
      <c r="AE640" s="1" t="s">
        <v>1655</v>
      </c>
      <c r="AF640" s="1">
        <v>138166.0</v>
      </c>
      <c r="AG640" s="2">
        <v>41395.0</v>
      </c>
      <c r="AH640" s="1">
        <v>9100.0</v>
      </c>
      <c r="AI640" s="1" t="s">
        <v>194</v>
      </c>
      <c r="AJ640" s="1" t="s">
        <v>1656</v>
      </c>
      <c r="AK640" s="1" t="s">
        <v>1170</v>
      </c>
      <c r="AL640" s="1">
        <v>11.0</v>
      </c>
      <c r="AM640" s="1">
        <v>2013.0</v>
      </c>
      <c r="AN640" s="1">
        <v>2013.0</v>
      </c>
      <c r="AO640" s="1" t="s">
        <v>1171</v>
      </c>
    </row>
    <row r="641">
      <c r="A641" s="5">
        <v>1.0</v>
      </c>
      <c r="B641" s="1">
        <f t="shared" si="1"/>
        <v>641</v>
      </c>
      <c r="C641" s="1" t="s">
        <v>1167</v>
      </c>
      <c r="D641" s="1" t="s">
        <v>1167</v>
      </c>
      <c r="E641" s="1" t="s">
        <v>194</v>
      </c>
      <c r="G641" s="1">
        <v>5.38112E8</v>
      </c>
      <c r="H641" s="2">
        <v>41393.0</v>
      </c>
      <c r="I641" s="1" t="s">
        <v>1168</v>
      </c>
      <c r="K641" s="1" t="s">
        <v>1168</v>
      </c>
      <c r="N641" s="1" t="s">
        <v>194</v>
      </c>
      <c r="O641" s="1">
        <v>9100.0</v>
      </c>
      <c r="P641" s="1" t="s">
        <v>194</v>
      </c>
      <c r="Q641" s="1" t="str">
        <f>IF(ISERROR(VLOOKUP(P641,'unique fed agency names'!A:C,3,FALSE)),P641,VLOOKUP(P641,'unique fed agency names'!A:C,3,FALSE))
</f>
        <v>U.S. Department of Education (ED)</v>
      </c>
      <c r="R641" s="1">
        <v>1.9859919E7</v>
      </c>
      <c r="S641" s="1" t="s">
        <v>1657</v>
      </c>
      <c r="T641" s="1" t="str">
        <f>IF(ISERROR(VLOOKUP(S641,'unique org names'!A:C,3,FALSE)),S641,VLOOKUP(S641,'unique org names'!A:C,3,FALSE))
</f>
        <v>Cornerstone Health High School</v>
      </c>
      <c r="V641" s="1" t="s">
        <v>1173</v>
      </c>
      <c r="W641" s="1" t="s">
        <v>44</v>
      </c>
      <c r="X641" s="1" t="s">
        <v>45</v>
      </c>
      <c r="Y641" s="1">
        <v>4.82191263E8</v>
      </c>
      <c r="AA641" s="1" t="s">
        <v>44</v>
      </c>
      <c r="AB641" s="1" t="s">
        <v>45</v>
      </c>
      <c r="AC641" s="1">
        <v>4.82191263E8</v>
      </c>
      <c r="AD641" s="1">
        <v>7.4233974E7</v>
      </c>
      <c r="AE641" s="1" t="s">
        <v>1658</v>
      </c>
      <c r="AF641" s="1">
        <v>35790.0</v>
      </c>
      <c r="AG641" s="2">
        <v>41393.0</v>
      </c>
      <c r="AH641" s="1">
        <v>9100.0</v>
      </c>
      <c r="AI641" s="1" t="s">
        <v>194</v>
      </c>
      <c r="AJ641" s="1" t="s">
        <v>1659</v>
      </c>
      <c r="AK641" s="1" t="s">
        <v>1170</v>
      </c>
      <c r="AL641" s="1">
        <v>11.0</v>
      </c>
      <c r="AM641" s="1">
        <v>2013.0</v>
      </c>
      <c r="AN641" s="1">
        <v>2013.0</v>
      </c>
      <c r="AO641" s="1" t="s">
        <v>1171</v>
      </c>
    </row>
    <row r="642">
      <c r="A642" s="5">
        <v>1.0</v>
      </c>
      <c r="B642" s="1">
        <f t="shared" si="1"/>
        <v>642</v>
      </c>
      <c r="C642" s="1" t="s">
        <v>1167</v>
      </c>
      <c r="D642" s="1" t="s">
        <v>1167</v>
      </c>
      <c r="E642" s="1" t="s">
        <v>194</v>
      </c>
      <c r="G642" s="1">
        <v>5.38112E8</v>
      </c>
      <c r="H642" s="2">
        <v>41390.0</v>
      </c>
      <c r="I642" s="1" t="s">
        <v>1168</v>
      </c>
      <c r="K642" s="1" t="s">
        <v>1168</v>
      </c>
      <c r="N642" s="1" t="s">
        <v>194</v>
      </c>
      <c r="O642" s="1">
        <v>9100.0</v>
      </c>
      <c r="P642" s="1" t="s">
        <v>194</v>
      </c>
      <c r="Q642" s="1" t="str">
        <f>IF(ISERROR(VLOOKUP(P642,'unique fed agency names'!A:C,3,FALSE)),P642,VLOOKUP(P642,'unique fed agency names'!A:C,3,FALSE))
</f>
        <v>U.S. Department of Education (ED)</v>
      </c>
      <c r="R642" s="1">
        <v>7.3832607E7</v>
      </c>
      <c r="S642" s="1" t="s">
        <v>482</v>
      </c>
      <c r="T642" s="1" t="str">
        <f>IF(ISERROR(VLOOKUP(S642,'unique org names'!A:C,3,FALSE)),S642,VLOOKUP(S642,'unique org names'!A:C,3,FALSE))
</f>
        <v>DETROIT ACADEMY OF ARTS AND SCIENCES</v>
      </c>
      <c r="V642" s="1" t="s">
        <v>483</v>
      </c>
      <c r="W642" s="1" t="s">
        <v>44</v>
      </c>
      <c r="X642" s="1" t="s">
        <v>45</v>
      </c>
      <c r="Y642" s="1">
        <v>4.82074288E8</v>
      </c>
      <c r="AA642" s="1" t="s">
        <v>44</v>
      </c>
      <c r="AB642" s="1" t="s">
        <v>45</v>
      </c>
      <c r="AC642" s="1">
        <v>4.82074288E8</v>
      </c>
      <c r="AD642" s="1">
        <v>1.0861417E7</v>
      </c>
      <c r="AE642" s="1" t="s">
        <v>1660</v>
      </c>
      <c r="AF642" s="1">
        <v>1518323.0</v>
      </c>
      <c r="AG642" s="2">
        <v>41390.0</v>
      </c>
      <c r="AH642" s="1">
        <v>9100.0</v>
      </c>
      <c r="AI642" s="1" t="s">
        <v>194</v>
      </c>
      <c r="AJ642" s="1" t="s">
        <v>1661</v>
      </c>
      <c r="AK642" s="1" t="s">
        <v>1170</v>
      </c>
      <c r="AL642" s="1">
        <v>11.0</v>
      </c>
      <c r="AM642" s="1">
        <v>2013.0</v>
      </c>
      <c r="AN642" s="1">
        <v>2013.0</v>
      </c>
      <c r="AO642" s="1" t="s">
        <v>1171</v>
      </c>
    </row>
    <row r="643">
      <c r="A643" s="5">
        <v>1.0</v>
      </c>
      <c r="B643" s="1">
        <f t="shared" si="1"/>
        <v>643</v>
      </c>
      <c r="C643" s="1" t="s">
        <v>1167</v>
      </c>
      <c r="D643" s="1" t="s">
        <v>1167</v>
      </c>
      <c r="E643" s="1" t="s">
        <v>194</v>
      </c>
      <c r="G643" s="1">
        <v>5.38112E8</v>
      </c>
      <c r="H643" s="2">
        <v>41310.0</v>
      </c>
      <c r="I643" s="1" t="s">
        <v>1168</v>
      </c>
      <c r="K643" s="1" t="s">
        <v>1168</v>
      </c>
      <c r="N643" s="1" t="s">
        <v>194</v>
      </c>
      <c r="O643" s="1">
        <v>9100.0</v>
      </c>
      <c r="P643" s="1" t="s">
        <v>194</v>
      </c>
      <c r="Q643" s="1" t="str">
        <f>IF(ISERROR(VLOOKUP(P643,'unique fed agency names'!A:C,3,FALSE)),P643,VLOOKUP(P643,'unique fed agency names'!A:C,3,FALSE))
</f>
        <v>U.S. Department of Education (ED)</v>
      </c>
      <c r="R643" s="1">
        <v>8.25304442E8</v>
      </c>
      <c r="S643" s="1" t="s">
        <v>829</v>
      </c>
      <c r="T643" s="1" t="str">
        <f>IF(ISERROR(VLOOKUP(S643,'unique org names'!A:C,3,FALSE)),S643,VLOOKUP(S643,'unique org names'!A:C,3,FALSE))
</f>
        <v>DAVID ELLIS ACADEMY</v>
      </c>
      <c r="V643" s="1" t="s">
        <v>830</v>
      </c>
      <c r="W643" s="1" t="s">
        <v>44</v>
      </c>
      <c r="X643" s="1" t="s">
        <v>45</v>
      </c>
      <c r="Y643" s="1">
        <v>4.82351762E8</v>
      </c>
      <c r="AA643" s="1" t="s">
        <v>44</v>
      </c>
      <c r="AB643" s="1" t="s">
        <v>45</v>
      </c>
      <c r="AC643" s="1">
        <v>4.82351762E8</v>
      </c>
      <c r="AF643" s="1">
        <v>115963.0</v>
      </c>
      <c r="AG643" s="2">
        <v>41310.0</v>
      </c>
      <c r="AH643" s="1">
        <v>9100.0</v>
      </c>
      <c r="AI643" s="1" t="s">
        <v>194</v>
      </c>
      <c r="AJ643" s="1" t="s">
        <v>1662</v>
      </c>
      <c r="AK643" s="1" t="s">
        <v>1170</v>
      </c>
      <c r="AL643" s="1">
        <v>11.0</v>
      </c>
      <c r="AM643" s="1">
        <v>2013.0</v>
      </c>
      <c r="AN643" s="1">
        <v>2013.0</v>
      </c>
      <c r="AO643" s="1" t="s">
        <v>1171</v>
      </c>
    </row>
    <row r="644">
      <c r="A644" s="5">
        <v>1.0</v>
      </c>
      <c r="B644" s="1">
        <f t="shared" si="1"/>
        <v>644</v>
      </c>
      <c r="C644" s="1" t="s">
        <v>1167</v>
      </c>
      <c r="D644" s="1" t="s">
        <v>1167</v>
      </c>
      <c r="E644" s="1" t="s">
        <v>194</v>
      </c>
      <c r="G644" s="1">
        <v>5.38112E8</v>
      </c>
      <c r="H644" s="2">
        <v>41302.0</v>
      </c>
      <c r="I644" s="1" t="s">
        <v>1168</v>
      </c>
      <c r="K644" s="1" t="s">
        <v>1168</v>
      </c>
      <c r="N644" s="1" t="s">
        <v>194</v>
      </c>
      <c r="O644" s="1">
        <v>9100.0</v>
      </c>
      <c r="P644" s="1" t="s">
        <v>194</v>
      </c>
      <c r="Q644" s="1" t="str">
        <f>IF(ISERROR(VLOOKUP(P644,'unique fed agency names'!A:C,3,FALSE)),P644,VLOOKUP(P644,'unique fed agency names'!A:C,3,FALSE))
</f>
        <v>U.S. Department of Education (ED)</v>
      </c>
      <c r="R644" s="1">
        <v>8.01081899E8</v>
      </c>
      <c r="S644" s="1" t="s">
        <v>280</v>
      </c>
      <c r="T644" s="1" t="str">
        <f>IF(ISERROR(VLOOKUP(S644,'unique org names'!A:C,3,FALSE)),S644,VLOOKUP(S644,'unique org names'!A:C,3,FALSE))
</f>
        <v>ACE ACADEMY</v>
      </c>
      <c r="V644" s="1" t="s">
        <v>281</v>
      </c>
      <c r="W644" s="1" t="s">
        <v>44</v>
      </c>
      <c r="X644" s="1" t="s">
        <v>45</v>
      </c>
      <c r="Y644" s="1">
        <v>4.82033277E8</v>
      </c>
      <c r="AA644" s="1" t="s">
        <v>282</v>
      </c>
      <c r="AB644" s="1" t="s">
        <v>45</v>
      </c>
      <c r="AC644" s="1">
        <v>4.82202899E8</v>
      </c>
      <c r="AD644" s="1">
        <v>6.9827459E7</v>
      </c>
      <c r="AE644" s="1" t="s">
        <v>1663</v>
      </c>
      <c r="AF644" s="1">
        <v>243255.0</v>
      </c>
      <c r="AG644" s="2">
        <v>41302.0</v>
      </c>
      <c r="AH644" s="1">
        <v>9100.0</v>
      </c>
      <c r="AI644" s="1" t="s">
        <v>194</v>
      </c>
      <c r="AJ644" s="1" t="s">
        <v>1664</v>
      </c>
      <c r="AK644" s="1" t="s">
        <v>1170</v>
      </c>
      <c r="AL644" s="1">
        <v>11.0</v>
      </c>
      <c r="AM644" s="1">
        <v>2013.0</v>
      </c>
      <c r="AN644" s="1">
        <v>2013.0</v>
      </c>
      <c r="AO644" s="1" t="s">
        <v>1171</v>
      </c>
    </row>
    <row r="645">
      <c r="A645" s="5">
        <v>1.0</v>
      </c>
      <c r="B645" s="1">
        <f t="shared" si="1"/>
        <v>645</v>
      </c>
      <c r="C645" s="1" t="s">
        <v>1167</v>
      </c>
      <c r="D645" s="1" t="s">
        <v>1167</v>
      </c>
      <c r="E645" s="1" t="s">
        <v>194</v>
      </c>
      <c r="G645" s="1">
        <v>5.38112E8</v>
      </c>
      <c r="H645" s="2">
        <v>41298.0</v>
      </c>
      <c r="I645" s="1" t="s">
        <v>1168</v>
      </c>
      <c r="K645" s="1" t="s">
        <v>1168</v>
      </c>
      <c r="N645" s="1" t="s">
        <v>194</v>
      </c>
      <c r="O645" s="1">
        <v>9100.0</v>
      </c>
      <c r="P645" s="1" t="s">
        <v>194</v>
      </c>
      <c r="Q645" s="1" t="str">
        <f>IF(ISERROR(VLOOKUP(P645,'unique fed agency names'!A:C,3,FALSE)),P645,VLOOKUP(P645,'unique fed agency names'!A:C,3,FALSE))
</f>
        <v>U.S. Department of Education (ED)</v>
      </c>
      <c r="R645" s="1">
        <v>2.5773859E7</v>
      </c>
      <c r="S645" s="1" t="s">
        <v>872</v>
      </c>
      <c r="T645" s="1" t="str">
        <f>IF(ISERROR(VLOOKUP(S645,'unique org names'!A:C,3,FALSE)),S645,VLOOKUP(S645,'unique org names'!A:C,3,FALSE))
</f>
        <v>HOPE ACADEMY</v>
      </c>
      <c r="U645" s="1" t="s">
        <v>1635</v>
      </c>
      <c r="V645" s="1" t="s">
        <v>873</v>
      </c>
      <c r="W645" s="1" t="s">
        <v>44</v>
      </c>
      <c r="X645" s="1" t="s">
        <v>45</v>
      </c>
      <c r="Y645" s="1">
        <v>4.82042042E8</v>
      </c>
      <c r="AA645" s="1" t="s">
        <v>44</v>
      </c>
      <c r="AB645" s="1" t="s">
        <v>45</v>
      </c>
      <c r="AC645" s="1">
        <v>4.82042042E8</v>
      </c>
      <c r="AF645" s="1">
        <v>410658.0</v>
      </c>
      <c r="AG645" s="2">
        <v>41298.0</v>
      </c>
      <c r="AH645" s="1">
        <v>9100.0</v>
      </c>
      <c r="AI645" s="1" t="s">
        <v>194</v>
      </c>
      <c r="AJ645" s="1" t="s">
        <v>1665</v>
      </c>
      <c r="AK645" s="1" t="s">
        <v>1170</v>
      </c>
      <c r="AL645" s="1">
        <v>11.0</v>
      </c>
      <c r="AM645" s="1">
        <v>2013.0</v>
      </c>
      <c r="AN645" s="1">
        <v>2013.0</v>
      </c>
      <c r="AO645" s="1" t="s">
        <v>1171</v>
      </c>
    </row>
    <row r="646">
      <c r="A646" s="5">
        <v>1.0</v>
      </c>
      <c r="B646" s="1">
        <f t="shared" si="1"/>
        <v>646</v>
      </c>
      <c r="C646" s="1" t="s">
        <v>1167</v>
      </c>
      <c r="D646" s="1" t="s">
        <v>1167</v>
      </c>
      <c r="E646" s="1" t="s">
        <v>194</v>
      </c>
      <c r="G646" s="1">
        <v>5.38112E8</v>
      </c>
      <c r="H646" s="2">
        <v>41228.0</v>
      </c>
      <c r="I646" s="1" t="s">
        <v>1168</v>
      </c>
      <c r="K646" s="1" t="s">
        <v>1168</v>
      </c>
      <c r="N646" s="1" t="s">
        <v>194</v>
      </c>
      <c r="O646" s="1">
        <v>9100.0</v>
      </c>
      <c r="P646" s="1" t="s">
        <v>194</v>
      </c>
      <c r="Q646" s="1" t="str">
        <f>IF(ISERROR(VLOOKUP(P646,'unique fed agency names'!A:C,3,FALSE)),P646,VLOOKUP(P646,'unique fed agency names'!A:C,3,FALSE))
</f>
        <v>U.S. Department of Education (ED)</v>
      </c>
      <c r="R646" s="1">
        <v>7.8359005E7</v>
      </c>
      <c r="S646" s="1" t="s">
        <v>486</v>
      </c>
      <c r="T646" s="1" t="str">
        <f>IF(ISERROR(VLOOKUP(S646,'unique org names'!A:C,3,FALSE)),S646,VLOOKUP(S646,'unique org names'!A:C,3,FALSE))
</f>
        <v>GEE EDMONSON ACADEMY</v>
      </c>
      <c r="V646" s="1" t="s">
        <v>487</v>
      </c>
      <c r="W646" s="1" t="s">
        <v>44</v>
      </c>
      <c r="X646" s="1" t="s">
        <v>45</v>
      </c>
      <c r="Y646" s="1">
        <v>4.82011006E8</v>
      </c>
      <c r="AA646" s="1" t="s">
        <v>46</v>
      </c>
      <c r="AB646" s="1" t="s">
        <v>45</v>
      </c>
      <c r="AC646" s="1">
        <v>4.82011006E8</v>
      </c>
      <c r="AD646" s="1">
        <v>8.887307E7</v>
      </c>
      <c r="AE646" s="1" t="s">
        <v>1666</v>
      </c>
      <c r="AF646" s="1">
        <v>166075.0</v>
      </c>
      <c r="AG646" s="2">
        <v>41228.0</v>
      </c>
      <c r="AH646" s="1">
        <v>9100.0</v>
      </c>
      <c r="AI646" s="1" t="s">
        <v>194</v>
      </c>
      <c r="AJ646" s="1" t="s">
        <v>1667</v>
      </c>
      <c r="AK646" s="1" t="s">
        <v>1170</v>
      </c>
      <c r="AL646" s="1">
        <v>11.0</v>
      </c>
      <c r="AM646" s="1">
        <v>2013.0</v>
      </c>
      <c r="AN646" s="1">
        <v>2013.0</v>
      </c>
      <c r="AO646" s="1" t="s">
        <v>1171</v>
      </c>
    </row>
    <row r="647">
      <c r="A647" s="5">
        <v>1.0</v>
      </c>
      <c r="B647" s="1">
        <f t="shared" si="1"/>
        <v>647</v>
      </c>
      <c r="C647" s="1" t="s">
        <v>1167</v>
      </c>
      <c r="D647" s="1" t="s">
        <v>1167</v>
      </c>
      <c r="E647" s="1" t="s">
        <v>194</v>
      </c>
      <c r="G647" s="1">
        <v>5.38112E8</v>
      </c>
      <c r="H647" s="2">
        <v>41197.0</v>
      </c>
      <c r="I647" s="1" t="s">
        <v>1168</v>
      </c>
      <c r="K647" s="1" t="s">
        <v>1168</v>
      </c>
      <c r="N647" s="1" t="s">
        <v>194</v>
      </c>
      <c r="O647" s="1">
        <v>9100.0</v>
      </c>
      <c r="P647" s="1" t="s">
        <v>194</v>
      </c>
      <c r="Q647" s="1" t="str">
        <f>IF(ISERROR(VLOOKUP(P647,'unique fed agency names'!A:C,3,FALSE)),P647,VLOOKUP(P647,'unique fed agency names'!A:C,3,FALSE))
</f>
        <v>U.S. Department of Education (ED)</v>
      </c>
      <c r="R647" s="1">
        <v>9.48021373E8</v>
      </c>
      <c r="S647" s="1" t="s">
        <v>501</v>
      </c>
      <c r="T647" s="1" t="str">
        <f>IF(ISERROR(VLOOKUP(S647,'unique org names'!A:C,3,FALSE)),S647,VLOOKUP(S647,'unique org names'!A:C,3,FALSE))
</f>
        <v>WOODWARD ACADEMY</v>
      </c>
      <c r="V647" s="1" t="s">
        <v>502</v>
      </c>
      <c r="W647" s="1" t="s">
        <v>44</v>
      </c>
      <c r="X647" s="1" t="s">
        <v>45</v>
      </c>
      <c r="Y647" s="1">
        <v>4.82072901E8</v>
      </c>
      <c r="AA647" s="1" t="s">
        <v>44</v>
      </c>
      <c r="AB647" s="1" t="s">
        <v>45</v>
      </c>
      <c r="AC647" s="1">
        <v>4.82072901E8</v>
      </c>
      <c r="AF647" s="1">
        <v>366965.0</v>
      </c>
      <c r="AG647" s="2">
        <v>41197.0</v>
      </c>
      <c r="AH647" s="1">
        <v>9100.0</v>
      </c>
      <c r="AI647" s="1" t="s">
        <v>194</v>
      </c>
      <c r="AJ647" s="1" t="s">
        <v>1668</v>
      </c>
      <c r="AK647" s="1" t="s">
        <v>1170</v>
      </c>
      <c r="AL647" s="1">
        <v>11.0</v>
      </c>
      <c r="AM647" s="1">
        <v>2013.0</v>
      </c>
      <c r="AN647" s="1">
        <v>2013.0</v>
      </c>
      <c r="AO647" s="1" t="s">
        <v>1171</v>
      </c>
    </row>
    <row r="648">
      <c r="A648" s="5">
        <v>1.0</v>
      </c>
      <c r="B648" s="1">
        <f t="shared" si="1"/>
        <v>648</v>
      </c>
      <c r="C648" s="1" t="s">
        <v>1167</v>
      </c>
      <c r="D648" s="1" t="s">
        <v>1167</v>
      </c>
      <c r="E648" s="1" t="s">
        <v>194</v>
      </c>
      <c r="G648" s="1">
        <v>5.38112E8</v>
      </c>
      <c r="H648" s="2">
        <v>41185.0</v>
      </c>
      <c r="I648" s="1" t="s">
        <v>1168</v>
      </c>
      <c r="K648" s="1" t="s">
        <v>1168</v>
      </c>
      <c r="N648" s="1" t="s">
        <v>194</v>
      </c>
      <c r="O648" s="1">
        <v>9100.0</v>
      </c>
      <c r="P648" s="1" t="s">
        <v>194</v>
      </c>
      <c r="Q648" s="1" t="str">
        <f>IF(ISERROR(VLOOKUP(P648,'unique fed agency names'!A:C,3,FALSE)),P648,VLOOKUP(P648,'unique fed agency names'!A:C,3,FALSE))
</f>
        <v>U.S. Department of Education (ED)</v>
      </c>
      <c r="R648" s="1">
        <v>7.8634042E7</v>
      </c>
      <c r="S648" s="1" t="s">
        <v>473</v>
      </c>
      <c r="T648" s="1" t="str">
        <f>IF(ISERROR(VLOOKUP(S648,'unique org names'!A:C,3,FALSE)),S648,VLOOKUP(S648,'unique org names'!A:C,3,FALSE))
</f>
        <v>Hamilton Eman Academy</v>
      </c>
      <c r="V648" s="1" t="s">
        <v>475</v>
      </c>
      <c r="W648" s="1" t="s">
        <v>44</v>
      </c>
      <c r="X648" s="1" t="s">
        <v>45</v>
      </c>
      <c r="Y648" s="1">
        <v>4.82133744E8</v>
      </c>
      <c r="AA648" s="1" t="s">
        <v>46</v>
      </c>
      <c r="AB648" s="1" t="s">
        <v>45</v>
      </c>
      <c r="AC648" s="1">
        <v>4.82133744E8</v>
      </c>
      <c r="AF648" s="1">
        <v>340455.0</v>
      </c>
      <c r="AG648" s="2">
        <v>41185.0</v>
      </c>
      <c r="AH648" s="1">
        <v>9100.0</v>
      </c>
      <c r="AI648" s="1" t="s">
        <v>194</v>
      </c>
      <c r="AJ648" s="1" t="s">
        <v>1669</v>
      </c>
      <c r="AK648" s="1" t="s">
        <v>1170</v>
      </c>
      <c r="AL648" s="1">
        <v>11.0</v>
      </c>
      <c r="AM648" s="1">
        <v>2013.0</v>
      </c>
      <c r="AN648" s="1">
        <v>2013.0</v>
      </c>
      <c r="AO648" s="1" t="s">
        <v>1171</v>
      </c>
    </row>
    <row r="649">
      <c r="A649" s="5">
        <v>1.0</v>
      </c>
      <c r="B649" s="1">
        <f t="shared" si="1"/>
        <v>649</v>
      </c>
      <c r="C649" s="1" t="s">
        <v>1167</v>
      </c>
      <c r="D649" s="1" t="s">
        <v>1167</v>
      </c>
      <c r="E649" s="1" t="s">
        <v>194</v>
      </c>
      <c r="G649" s="1">
        <v>5.38112E8</v>
      </c>
      <c r="H649" s="2">
        <v>41424.0</v>
      </c>
      <c r="I649" s="1" t="s">
        <v>1168</v>
      </c>
      <c r="K649" s="1" t="s">
        <v>1168</v>
      </c>
      <c r="N649" s="1" t="s">
        <v>194</v>
      </c>
      <c r="O649" s="1">
        <v>9100.0</v>
      </c>
      <c r="P649" s="1" t="s">
        <v>194</v>
      </c>
      <c r="Q649" s="1" t="str">
        <f>IF(ISERROR(VLOOKUP(P649,'unique fed agency names'!A:C,3,FALSE)),P649,VLOOKUP(P649,'unique fed agency names'!A:C,3,FALSE))
</f>
        <v>U.S. Department of Education (ED)</v>
      </c>
      <c r="R649" s="1">
        <v>8.00475803E8</v>
      </c>
      <c r="S649" s="1" t="s">
        <v>1670</v>
      </c>
      <c r="T649" s="1" t="str">
        <f>IF(ISERROR(VLOOKUP(S649,'unique org names'!A:C,3,FALSE)),S649,VLOOKUP(S649,'unique org names'!A:C,3,FALSE))
</f>
        <v>Wolverine Academy</v>
      </c>
      <c r="V649" s="1" t="s">
        <v>1671</v>
      </c>
      <c r="W649" s="1" t="s">
        <v>44</v>
      </c>
      <c r="X649" s="1" t="s">
        <v>45</v>
      </c>
      <c r="Y649" s="1">
        <v>4.82152667E8</v>
      </c>
      <c r="AA649" s="1" t="s">
        <v>46</v>
      </c>
      <c r="AB649" s="1" t="s">
        <v>45</v>
      </c>
      <c r="AC649" s="1">
        <v>4.82152667E8</v>
      </c>
      <c r="AF649" s="1">
        <v>225415.0</v>
      </c>
      <c r="AG649" s="2">
        <v>41424.0</v>
      </c>
      <c r="AH649" s="1">
        <v>9100.0</v>
      </c>
      <c r="AI649" s="1" t="s">
        <v>194</v>
      </c>
      <c r="AJ649" s="1" t="s">
        <v>1672</v>
      </c>
      <c r="AK649" s="1" t="s">
        <v>1170</v>
      </c>
      <c r="AL649" s="1">
        <v>11.0</v>
      </c>
      <c r="AM649" s="1">
        <v>2013.0</v>
      </c>
      <c r="AN649" s="1">
        <v>2013.0</v>
      </c>
      <c r="AO649" s="1" t="s">
        <v>1171</v>
      </c>
    </row>
    <row r="650">
      <c r="A650" s="5">
        <v>1.0</v>
      </c>
      <c r="B650" s="1">
        <f t="shared" si="1"/>
        <v>650</v>
      </c>
      <c r="C650" s="1" t="s">
        <v>1167</v>
      </c>
      <c r="D650" s="1" t="s">
        <v>1167</v>
      </c>
      <c r="E650" s="1" t="s">
        <v>194</v>
      </c>
      <c r="G650" s="1">
        <v>5.38112E8</v>
      </c>
      <c r="H650" s="2">
        <v>41424.0</v>
      </c>
      <c r="I650" s="1" t="s">
        <v>1168</v>
      </c>
      <c r="K650" s="1" t="s">
        <v>1168</v>
      </c>
      <c r="N650" s="1" t="s">
        <v>194</v>
      </c>
      <c r="O650" s="1">
        <v>9100.0</v>
      </c>
      <c r="P650" s="1" t="s">
        <v>194</v>
      </c>
      <c r="Q650" s="1" t="str">
        <f>IF(ISERROR(VLOOKUP(P650,'unique fed agency names'!A:C,3,FALSE)),P650,VLOOKUP(P650,'unique fed agency names'!A:C,3,FALSE))
</f>
        <v>U.S. Department of Education (ED)</v>
      </c>
      <c r="R650" s="1">
        <v>8.00475803E8</v>
      </c>
      <c r="S650" s="1" t="s">
        <v>1670</v>
      </c>
      <c r="T650" s="1" t="str">
        <f>IF(ISERROR(VLOOKUP(S650,'unique org names'!A:C,3,FALSE)),S650,VLOOKUP(S650,'unique org names'!A:C,3,FALSE))
</f>
        <v>Wolverine Academy</v>
      </c>
      <c r="U650" s="1" t="s">
        <v>1673</v>
      </c>
      <c r="V650" s="1" t="s">
        <v>1671</v>
      </c>
      <c r="W650" s="1" t="s">
        <v>44</v>
      </c>
      <c r="X650" s="1" t="s">
        <v>45</v>
      </c>
      <c r="Y650" s="1">
        <v>4.82152667E8</v>
      </c>
      <c r="AA650" s="1" t="s">
        <v>46</v>
      </c>
      <c r="AB650" s="1" t="s">
        <v>45</v>
      </c>
      <c r="AC650" s="1">
        <v>4.82152667E8</v>
      </c>
      <c r="AD650" s="1">
        <v>8.874258E7</v>
      </c>
      <c r="AE650" s="1" t="s">
        <v>1674</v>
      </c>
      <c r="AF650" s="1">
        <v>225415.0</v>
      </c>
      <c r="AG650" s="2">
        <v>41424.0</v>
      </c>
      <c r="AH650" s="1">
        <v>9100.0</v>
      </c>
      <c r="AI650" s="1" t="s">
        <v>194</v>
      </c>
      <c r="AJ650" s="1" t="s">
        <v>1672</v>
      </c>
      <c r="AK650" s="1" t="s">
        <v>1170</v>
      </c>
      <c r="AL650" s="1">
        <v>11.0</v>
      </c>
      <c r="AM650" s="1">
        <v>2013.0</v>
      </c>
      <c r="AN650" s="1">
        <v>2013.0</v>
      </c>
      <c r="AO650" s="1" t="s">
        <v>1171</v>
      </c>
    </row>
    <row r="651">
      <c r="A651" s="5">
        <v>1.0</v>
      </c>
      <c r="B651" s="1">
        <f t="shared" si="1"/>
        <v>651</v>
      </c>
      <c r="C651" s="1" t="s">
        <v>1167</v>
      </c>
      <c r="D651" s="1" t="s">
        <v>1167</v>
      </c>
      <c r="E651" s="1" t="s">
        <v>194</v>
      </c>
      <c r="G651" s="1">
        <v>5.38112E8</v>
      </c>
      <c r="H651" s="2">
        <v>41414.0</v>
      </c>
      <c r="I651" s="1" t="s">
        <v>1168</v>
      </c>
      <c r="K651" s="1" t="s">
        <v>1168</v>
      </c>
      <c r="N651" s="1" t="s">
        <v>194</v>
      </c>
      <c r="O651" s="1">
        <v>9100.0</v>
      </c>
      <c r="P651" s="1" t="s">
        <v>194</v>
      </c>
      <c r="Q651" s="1" t="str">
        <f>IF(ISERROR(VLOOKUP(P651,'unique fed agency names'!A:C,3,FALSE)),P651,VLOOKUP(P651,'unique fed agency names'!A:C,3,FALSE))
</f>
        <v>U.S. Department of Education (ED)</v>
      </c>
      <c r="R651" s="1">
        <v>7.6340843E7</v>
      </c>
      <c r="S651" s="1" t="s">
        <v>461</v>
      </c>
      <c r="T651" s="1" t="str">
        <f>IF(ISERROR(VLOOKUP(S651,'unique org names'!A:C,3,FALSE)),S651,VLOOKUP(S651,'unique org names'!A:C,3,FALSE))
</f>
        <v>BOARD OF EDUCATION OF THE CITY OF DETROIT</v>
      </c>
      <c r="U651" s="1" t="s">
        <v>459</v>
      </c>
      <c r="V651" s="1" t="s">
        <v>524</v>
      </c>
      <c r="W651" s="1" t="s">
        <v>44</v>
      </c>
      <c r="X651" s="1" t="s">
        <v>45</v>
      </c>
      <c r="Y651" s="1">
        <v>4.82023046E8</v>
      </c>
      <c r="AA651" s="1" t="s">
        <v>44</v>
      </c>
      <c r="AB651" s="1" t="s">
        <v>45</v>
      </c>
      <c r="AC651" s="1">
        <v>4.82023096E8</v>
      </c>
      <c r="AD651" s="1">
        <v>7.6340843E7</v>
      </c>
      <c r="AE651" s="1" t="s">
        <v>461</v>
      </c>
      <c r="AF651" s="1">
        <v>1.51041746E8</v>
      </c>
      <c r="AG651" s="2">
        <v>41414.0</v>
      </c>
      <c r="AH651" s="1">
        <v>9100.0</v>
      </c>
      <c r="AI651" s="1" t="s">
        <v>194</v>
      </c>
      <c r="AJ651" s="1" t="s">
        <v>1675</v>
      </c>
      <c r="AK651" s="1" t="s">
        <v>1170</v>
      </c>
      <c r="AL651" s="1">
        <v>11.0</v>
      </c>
      <c r="AM651" s="1">
        <v>2013.0</v>
      </c>
      <c r="AN651" s="1">
        <v>2013.0</v>
      </c>
      <c r="AO651" s="1" t="s">
        <v>1171</v>
      </c>
    </row>
    <row r="652">
      <c r="A652" s="5">
        <v>1.0</v>
      </c>
      <c r="B652" s="1">
        <f t="shared" si="1"/>
        <v>652</v>
      </c>
      <c r="C652" s="1" t="s">
        <v>1167</v>
      </c>
      <c r="D652" s="1" t="s">
        <v>1167</v>
      </c>
      <c r="E652" s="1" t="s">
        <v>194</v>
      </c>
      <c r="G652" s="1">
        <v>5.38112E8</v>
      </c>
      <c r="H652" s="2">
        <v>41407.0</v>
      </c>
      <c r="I652" s="1" t="s">
        <v>1168</v>
      </c>
      <c r="K652" s="1" t="s">
        <v>1168</v>
      </c>
      <c r="N652" s="1" t="s">
        <v>194</v>
      </c>
      <c r="O652" s="1">
        <v>9100.0</v>
      </c>
      <c r="P652" s="1" t="s">
        <v>194</v>
      </c>
      <c r="Q652" s="1" t="str">
        <f>IF(ISERROR(VLOOKUP(P652,'unique fed agency names'!A:C,3,FALSE)),P652,VLOOKUP(P652,'unique fed agency names'!A:C,3,FALSE))
</f>
        <v>U.S. Department of Education (ED)</v>
      </c>
      <c r="R652" s="1">
        <v>7894403.0</v>
      </c>
      <c r="S652" s="1" t="s">
        <v>1676</v>
      </c>
      <c r="T652" s="1" t="str">
        <f>IF(ISERROR(VLOOKUP(S652,'unique org names'!A:C,3,FALSE)),S652,VLOOKUP(S652,'unique org names'!A:C,3,FALSE))
</f>
        <v>Detroit Capstone Academy</v>
      </c>
      <c r="U652" s="1" t="s">
        <v>1618</v>
      </c>
      <c r="V652" s="1" t="s">
        <v>1677</v>
      </c>
      <c r="W652" s="1" t="s">
        <v>44</v>
      </c>
      <c r="X652" s="1" t="s">
        <v>45</v>
      </c>
      <c r="Y652" s="1">
        <v>4.82012402E8</v>
      </c>
      <c r="AA652" s="1" t="s">
        <v>46</v>
      </c>
      <c r="AB652" s="1" t="s">
        <v>45</v>
      </c>
      <c r="AC652" s="1">
        <v>4.8202403E8</v>
      </c>
      <c r="AD652" s="1">
        <v>3.7750114E7</v>
      </c>
      <c r="AE652" s="1" t="s">
        <v>1678</v>
      </c>
      <c r="AF652" s="1">
        <v>116762.0</v>
      </c>
      <c r="AG652" s="2">
        <v>41407.0</v>
      </c>
      <c r="AH652" s="1">
        <v>9100.0</v>
      </c>
      <c r="AI652" s="1" t="s">
        <v>194</v>
      </c>
      <c r="AJ652" s="1" t="s">
        <v>1679</v>
      </c>
      <c r="AK652" s="1" t="s">
        <v>1170</v>
      </c>
      <c r="AL652" s="1">
        <v>11.0</v>
      </c>
      <c r="AM652" s="1">
        <v>2013.0</v>
      </c>
      <c r="AN652" s="1">
        <v>2013.0</v>
      </c>
      <c r="AO652" s="1" t="s">
        <v>1171</v>
      </c>
    </row>
    <row r="653">
      <c r="A653" s="5">
        <v>1.0</v>
      </c>
      <c r="B653" s="1">
        <f t="shared" si="1"/>
        <v>653</v>
      </c>
      <c r="C653" s="1" t="s">
        <v>1167</v>
      </c>
      <c r="D653" s="1" t="s">
        <v>1167</v>
      </c>
      <c r="E653" s="1" t="s">
        <v>194</v>
      </c>
      <c r="G653" s="1">
        <v>5.38112E8</v>
      </c>
      <c r="H653" s="2">
        <v>41395.0</v>
      </c>
      <c r="I653" s="1" t="s">
        <v>1168</v>
      </c>
      <c r="K653" s="1" t="s">
        <v>1168</v>
      </c>
      <c r="N653" s="1" t="s">
        <v>194</v>
      </c>
      <c r="O653" s="1">
        <v>9100.0</v>
      </c>
      <c r="P653" s="1" t="s">
        <v>194</v>
      </c>
      <c r="Q653" s="1" t="str">
        <f>IF(ISERROR(VLOOKUP(P653,'unique fed agency names'!A:C,3,FALSE)),P653,VLOOKUP(P653,'unique fed agency names'!A:C,3,FALSE))
</f>
        <v>U.S. Department of Education (ED)</v>
      </c>
      <c r="R653" s="1">
        <v>7.8577051E7</v>
      </c>
      <c r="S653" s="1" t="s">
        <v>1680</v>
      </c>
      <c r="T653" s="1" t="str">
        <f>IF(ISERROR(VLOOKUP(S653,'unique org names'!A:C,3,FALSE)),S653,VLOOKUP(S653,'unique org names'!A:C,3,FALSE))
</f>
        <v>International Preparatory Academy</v>
      </c>
      <c r="V653" s="1" t="s">
        <v>1681</v>
      </c>
      <c r="W653" s="1" t="s">
        <v>44</v>
      </c>
      <c r="X653" s="1" t="s">
        <v>45</v>
      </c>
      <c r="Y653" s="1">
        <v>4.82211457E8</v>
      </c>
      <c r="AA653" s="1" t="s">
        <v>46</v>
      </c>
      <c r="AB653" s="1" t="s">
        <v>45</v>
      </c>
      <c r="AC653" s="1">
        <v>4.82211457E8</v>
      </c>
      <c r="AD653" s="1">
        <v>7.8580799E7</v>
      </c>
      <c r="AF653" s="1">
        <v>288083.0</v>
      </c>
      <c r="AG653" s="2">
        <v>41395.0</v>
      </c>
      <c r="AH653" s="1">
        <v>9100.0</v>
      </c>
      <c r="AI653" s="1" t="s">
        <v>194</v>
      </c>
      <c r="AJ653" s="1" t="s">
        <v>1682</v>
      </c>
      <c r="AK653" s="1" t="s">
        <v>1170</v>
      </c>
      <c r="AL653" s="1">
        <v>11.0</v>
      </c>
      <c r="AM653" s="1">
        <v>2013.0</v>
      </c>
      <c r="AN653" s="1">
        <v>2013.0</v>
      </c>
      <c r="AO653" s="1" t="s">
        <v>1171</v>
      </c>
    </row>
    <row r="654">
      <c r="A654" s="5">
        <v>1.0</v>
      </c>
      <c r="B654" s="1">
        <f t="shared" si="1"/>
        <v>654</v>
      </c>
      <c r="C654" s="1" t="s">
        <v>1167</v>
      </c>
      <c r="D654" s="1" t="s">
        <v>1167</v>
      </c>
      <c r="E654" s="1" t="s">
        <v>194</v>
      </c>
      <c r="G654" s="1">
        <v>5.38112E8</v>
      </c>
      <c r="H654" s="2">
        <v>41390.0</v>
      </c>
      <c r="I654" s="1" t="s">
        <v>1168</v>
      </c>
      <c r="K654" s="1" t="s">
        <v>1168</v>
      </c>
      <c r="N654" s="1" t="s">
        <v>194</v>
      </c>
      <c r="O654" s="1">
        <v>9100.0</v>
      </c>
      <c r="P654" s="1" t="s">
        <v>194</v>
      </c>
      <c r="Q654" s="1" t="str">
        <f>IF(ISERROR(VLOOKUP(P654,'unique fed agency names'!A:C,3,FALSE)),P654,VLOOKUP(P654,'unique fed agency names'!A:C,3,FALSE))
</f>
        <v>U.S. Department of Education (ED)</v>
      </c>
      <c r="R654" s="1">
        <v>7.0381949E7</v>
      </c>
      <c r="S654" s="1" t="s">
        <v>605</v>
      </c>
      <c r="T654" s="1" t="str">
        <f>IF(ISERROR(VLOOKUP(S654,'unique org names'!A:C,3,FALSE)),S654,VLOOKUP(S654,'unique org names'!A:C,3,FALSE))
</f>
        <v>Liberty Caniff Academy</v>
      </c>
      <c r="V654" s="1" t="s">
        <v>606</v>
      </c>
      <c r="W654" s="1" t="s">
        <v>44</v>
      </c>
      <c r="X654" s="1" t="s">
        <v>45</v>
      </c>
      <c r="Y654" s="1">
        <v>4.82123033E8</v>
      </c>
      <c r="AA654" s="1" t="s">
        <v>607</v>
      </c>
      <c r="AB654" s="1" t="s">
        <v>45</v>
      </c>
      <c r="AC654" s="1">
        <v>4.82123033E8</v>
      </c>
      <c r="AD654" s="1">
        <v>1.00035146E8</v>
      </c>
      <c r="AE654" s="1" t="s">
        <v>1683</v>
      </c>
      <c r="AF654" s="1">
        <v>205106.0</v>
      </c>
      <c r="AG654" s="2">
        <v>41390.0</v>
      </c>
      <c r="AH654" s="1">
        <v>9100.0</v>
      </c>
      <c r="AI654" s="1" t="s">
        <v>194</v>
      </c>
      <c r="AJ654" s="1" t="s">
        <v>1684</v>
      </c>
      <c r="AK654" s="1" t="s">
        <v>1170</v>
      </c>
      <c r="AL654" s="1">
        <v>11.0</v>
      </c>
      <c r="AM654" s="1">
        <v>2013.0</v>
      </c>
      <c r="AN654" s="1">
        <v>2013.0</v>
      </c>
      <c r="AO654" s="1" t="s">
        <v>1171</v>
      </c>
    </row>
    <row r="655">
      <c r="A655" s="5">
        <v>1.0</v>
      </c>
      <c r="B655" s="1">
        <f t="shared" si="1"/>
        <v>655</v>
      </c>
      <c r="C655" s="1" t="s">
        <v>1167</v>
      </c>
      <c r="D655" s="1" t="s">
        <v>1167</v>
      </c>
      <c r="E655" s="1" t="s">
        <v>194</v>
      </c>
      <c r="G655" s="1">
        <v>5.38112E8</v>
      </c>
      <c r="H655" s="2">
        <v>41351.0</v>
      </c>
      <c r="I655" s="1" t="s">
        <v>1168</v>
      </c>
      <c r="K655" s="1" t="s">
        <v>1168</v>
      </c>
      <c r="N655" s="1" t="s">
        <v>194</v>
      </c>
      <c r="O655" s="1">
        <v>9100.0</v>
      </c>
      <c r="P655" s="1" t="s">
        <v>194</v>
      </c>
      <c r="Q655" s="1" t="str">
        <f>IF(ISERROR(VLOOKUP(P655,'unique fed agency names'!A:C,3,FALSE)),P655,VLOOKUP(P655,'unique fed agency names'!A:C,3,FALSE))
</f>
        <v>U.S. Department of Education (ED)</v>
      </c>
      <c r="R655" s="1">
        <v>1.98438892E8</v>
      </c>
      <c r="S655" s="1" t="s">
        <v>505</v>
      </c>
      <c r="T655" s="1" t="str">
        <f>IF(ISERROR(VLOOKUP(S655,'unique org names'!A:C,3,FALSE)),S655,VLOOKUP(S655,'unique org names'!A:C,3,FALSE))
</f>
        <v>HANLEY INTERNATIONAL ACADEMY, INC</v>
      </c>
      <c r="V655" s="1" t="s">
        <v>506</v>
      </c>
      <c r="W655" s="1" t="s">
        <v>44</v>
      </c>
      <c r="X655" s="1" t="s">
        <v>45</v>
      </c>
      <c r="Y655" s="1">
        <v>4.82123572E8</v>
      </c>
      <c r="AA655" s="1" t="s">
        <v>498</v>
      </c>
      <c r="AB655" s="1" t="s">
        <v>45</v>
      </c>
      <c r="AC655" s="1">
        <v>4.82123572E8</v>
      </c>
      <c r="AD655" s="1">
        <v>1.98438892E8</v>
      </c>
      <c r="AE655" s="1" t="s">
        <v>505</v>
      </c>
      <c r="AF655" s="1">
        <v>457128.0</v>
      </c>
      <c r="AG655" s="2">
        <v>41351.0</v>
      </c>
      <c r="AH655" s="1">
        <v>9100.0</v>
      </c>
      <c r="AI655" s="1" t="s">
        <v>194</v>
      </c>
      <c r="AJ655" s="1" t="s">
        <v>1685</v>
      </c>
      <c r="AK655" s="1" t="s">
        <v>1170</v>
      </c>
      <c r="AL655" s="1">
        <v>11.0</v>
      </c>
      <c r="AM655" s="1">
        <v>2013.0</v>
      </c>
      <c r="AN655" s="1">
        <v>2013.0</v>
      </c>
      <c r="AO655" s="1" t="s">
        <v>1171</v>
      </c>
    </row>
    <row r="656">
      <c r="A656" s="5">
        <v>1.0</v>
      </c>
      <c r="B656" s="1">
        <f t="shared" si="1"/>
        <v>656</v>
      </c>
      <c r="C656" s="1" t="s">
        <v>1167</v>
      </c>
      <c r="D656" s="1" t="s">
        <v>1167</v>
      </c>
      <c r="E656" s="1" t="s">
        <v>194</v>
      </c>
      <c r="G656" s="1">
        <v>5.38112E8</v>
      </c>
      <c r="H656" s="2">
        <v>41351.0</v>
      </c>
      <c r="I656" s="1" t="s">
        <v>1168</v>
      </c>
      <c r="K656" s="1" t="s">
        <v>1168</v>
      </c>
      <c r="N656" s="1" t="s">
        <v>194</v>
      </c>
      <c r="O656" s="1">
        <v>9100.0</v>
      </c>
      <c r="P656" s="1" t="s">
        <v>194</v>
      </c>
      <c r="Q656" s="1" t="str">
        <f>IF(ISERROR(VLOOKUP(P656,'unique fed agency names'!A:C,3,FALSE)),P656,VLOOKUP(P656,'unique fed agency names'!A:C,3,FALSE))
</f>
        <v>U.S. Department of Education (ED)</v>
      </c>
      <c r="R656" s="1">
        <v>5.2874042E7</v>
      </c>
      <c r="S656" s="1" t="s">
        <v>538</v>
      </c>
      <c r="T656" s="1" t="str">
        <f>IF(ISERROR(VLOOKUP(S656,'unique org names'!A:C,3,FALSE)),S656,VLOOKUP(S656,'unique org names'!A:C,3,FALSE))
</f>
        <v>CESAR CHAVEZ ACADEMY</v>
      </c>
      <c r="V656" s="1" t="s">
        <v>539</v>
      </c>
      <c r="W656" s="1" t="s">
        <v>44</v>
      </c>
      <c r="X656" s="1" t="s">
        <v>45</v>
      </c>
      <c r="Y656" s="1">
        <v>4.82091524E8</v>
      </c>
      <c r="AA656" s="1" t="s">
        <v>44</v>
      </c>
      <c r="AB656" s="1" t="s">
        <v>45</v>
      </c>
      <c r="AC656" s="1">
        <v>4.82091524E8</v>
      </c>
      <c r="AD656" s="1">
        <v>7.7575256E7</v>
      </c>
      <c r="AE656" s="1" t="s">
        <v>1686</v>
      </c>
      <c r="AF656" s="1">
        <v>1949775.0</v>
      </c>
      <c r="AG656" s="2">
        <v>41351.0</v>
      </c>
      <c r="AH656" s="1">
        <v>9100.0</v>
      </c>
      <c r="AI656" s="1" t="s">
        <v>194</v>
      </c>
      <c r="AJ656" s="1" t="s">
        <v>1687</v>
      </c>
      <c r="AK656" s="1" t="s">
        <v>1170</v>
      </c>
      <c r="AL656" s="1">
        <v>11.0</v>
      </c>
      <c r="AM656" s="1">
        <v>2013.0</v>
      </c>
      <c r="AN656" s="1">
        <v>2013.0</v>
      </c>
      <c r="AO656" s="1" t="s">
        <v>1171</v>
      </c>
    </row>
    <row r="657">
      <c r="A657" s="5">
        <v>1.0</v>
      </c>
      <c r="B657" s="1">
        <f t="shared" si="1"/>
        <v>657</v>
      </c>
      <c r="C657" s="1" t="s">
        <v>1167</v>
      </c>
      <c r="D657" s="1" t="s">
        <v>1167</v>
      </c>
      <c r="E657" s="1" t="s">
        <v>194</v>
      </c>
      <c r="G657" s="1">
        <v>5.38112E8</v>
      </c>
      <c r="H657" s="2">
        <v>41351.0</v>
      </c>
      <c r="I657" s="1" t="s">
        <v>1168</v>
      </c>
      <c r="K657" s="1" t="s">
        <v>1168</v>
      </c>
      <c r="N657" s="1" t="s">
        <v>194</v>
      </c>
      <c r="O657" s="1">
        <v>9100.0</v>
      </c>
      <c r="P657" s="1" t="s">
        <v>194</v>
      </c>
      <c r="Q657" s="1" t="str">
        <f>IF(ISERROR(VLOOKUP(P657,'unique fed agency names'!A:C,3,FALSE)),P657,VLOOKUP(P657,'unique fed agency names'!A:C,3,FALSE))
</f>
        <v>U.S. Department of Education (ED)</v>
      </c>
      <c r="R657" s="1">
        <v>8.30649195E8</v>
      </c>
      <c r="S657" s="1" t="s">
        <v>545</v>
      </c>
      <c r="T657" s="1" t="str">
        <f>IF(ISERROR(VLOOKUP(S657,'unique org names'!A:C,3,FALSE)),S657,VLOOKUP(S657,'unique org names'!A:C,3,FALSE))
</f>
        <v>PLYMOUTH EDUCATIONAL CENTER CHARTER SCHOOL</v>
      </c>
      <c r="U657" s="1" t="s">
        <v>1688</v>
      </c>
      <c r="V657" s="1" t="s">
        <v>547</v>
      </c>
      <c r="W657" s="1" t="s">
        <v>44</v>
      </c>
      <c r="X657" s="1" t="s">
        <v>45</v>
      </c>
      <c r="Y657" s="1">
        <v>4.82071E8</v>
      </c>
      <c r="AA657" s="1" t="s">
        <v>44</v>
      </c>
      <c r="AB657" s="1" t="s">
        <v>45</v>
      </c>
      <c r="AC657" s="1">
        <v>4.82071E8</v>
      </c>
      <c r="AD657" s="1">
        <v>3537326.0</v>
      </c>
      <c r="AE657" s="1" t="s">
        <v>560</v>
      </c>
      <c r="AF657" s="1">
        <v>599705.0</v>
      </c>
      <c r="AG657" s="2">
        <v>41351.0</v>
      </c>
      <c r="AH657" s="1">
        <v>9100.0</v>
      </c>
      <c r="AI657" s="1" t="s">
        <v>194</v>
      </c>
      <c r="AJ657" s="1" t="s">
        <v>1689</v>
      </c>
      <c r="AK657" s="1" t="s">
        <v>1170</v>
      </c>
      <c r="AL657" s="1">
        <v>11.0</v>
      </c>
      <c r="AM657" s="1">
        <v>2013.0</v>
      </c>
      <c r="AN657" s="1">
        <v>2013.0</v>
      </c>
      <c r="AO657" s="1" t="s">
        <v>1171</v>
      </c>
    </row>
    <row r="658">
      <c r="A658" s="5">
        <v>1.0</v>
      </c>
      <c r="B658" s="1">
        <f t="shared" si="1"/>
        <v>658</v>
      </c>
      <c r="C658" s="1" t="s">
        <v>1167</v>
      </c>
      <c r="D658" s="1" t="s">
        <v>1167</v>
      </c>
      <c r="E658" s="1" t="s">
        <v>194</v>
      </c>
      <c r="G658" s="1">
        <v>5.38112E8</v>
      </c>
      <c r="H658" s="2">
        <v>41341.0</v>
      </c>
      <c r="I658" s="1" t="s">
        <v>1168</v>
      </c>
      <c r="K658" s="1" t="s">
        <v>1168</v>
      </c>
      <c r="N658" s="1" t="s">
        <v>194</v>
      </c>
      <c r="O658" s="1">
        <v>9100.0</v>
      </c>
      <c r="P658" s="1" t="s">
        <v>194</v>
      </c>
      <c r="Q658" s="1" t="str">
        <f>IF(ISERROR(VLOOKUP(P658,'unique fed agency names'!A:C,3,FALSE)),P658,VLOOKUP(P658,'unique fed agency names'!A:C,3,FALSE))
</f>
        <v>U.S. Department of Education (ED)</v>
      </c>
      <c r="R658" s="1">
        <v>8.7299367E8</v>
      </c>
      <c r="S658" s="1" t="s">
        <v>888</v>
      </c>
      <c r="T658" s="1" t="str">
        <f>IF(ISERROR(VLOOKUP(S658,'unique org names'!A:C,3,FALSE)),S658,VLOOKUP(S658,'unique org names'!A:C,3,FALSE))
</f>
        <v>NSOROMA INSTITUTE</v>
      </c>
      <c r="U658" s="1" t="s">
        <v>1690</v>
      </c>
      <c r="V658" s="1" t="s">
        <v>889</v>
      </c>
      <c r="W658" s="1" t="s">
        <v>44</v>
      </c>
      <c r="X658" s="1" t="s">
        <v>45</v>
      </c>
      <c r="Y658" s="1">
        <v>4.82051136E8</v>
      </c>
      <c r="AA658" s="1" t="s">
        <v>44</v>
      </c>
      <c r="AB658" s="1" t="s">
        <v>45</v>
      </c>
      <c r="AC658" s="1">
        <v>4.82051136E8</v>
      </c>
      <c r="AD658" s="1">
        <v>1.00318781E8</v>
      </c>
      <c r="AF658" s="1">
        <v>133545.0</v>
      </c>
      <c r="AG658" s="2">
        <v>41341.0</v>
      </c>
      <c r="AH658" s="1">
        <v>9100.0</v>
      </c>
      <c r="AI658" s="1" t="s">
        <v>194</v>
      </c>
      <c r="AJ658" s="1" t="s">
        <v>1691</v>
      </c>
      <c r="AK658" s="1" t="s">
        <v>1170</v>
      </c>
      <c r="AL658" s="1">
        <v>11.0</v>
      </c>
      <c r="AM658" s="1">
        <v>2013.0</v>
      </c>
      <c r="AN658" s="1">
        <v>2013.0</v>
      </c>
      <c r="AO658" s="1" t="s">
        <v>1171</v>
      </c>
    </row>
    <row r="659">
      <c r="A659" s="5">
        <v>1.0</v>
      </c>
      <c r="B659" s="1">
        <f t="shared" si="1"/>
        <v>659</v>
      </c>
      <c r="C659" s="1" t="s">
        <v>1167</v>
      </c>
      <c r="D659" s="1" t="s">
        <v>1167</v>
      </c>
      <c r="E659" s="1" t="s">
        <v>194</v>
      </c>
      <c r="G659" s="1">
        <v>5.38112E8</v>
      </c>
      <c r="H659" s="2">
        <v>41327.0</v>
      </c>
      <c r="I659" s="1" t="s">
        <v>1168</v>
      </c>
      <c r="K659" s="1" t="s">
        <v>1168</v>
      </c>
      <c r="N659" s="1" t="s">
        <v>194</v>
      </c>
      <c r="O659" s="1">
        <v>9100.0</v>
      </c>
      <c r="P659" s="1" t="s">
        <v>194</v>
      </c>
      <c r="Q659" s="1" t="str">
        <f>IF(ISERROR(VLOOKUP(P659,'unique fed agency names'!A:C,3,FALSE)),P659,VLOOKUP(P659,'unique fed agency names'!A:C,3,FALSE))
</f>
        <v>U.S. Department of Education (ED)</v>
      </c>
      <c r="R659" s="1">
        <v>9.6910162E8</v>
      </c>
      <c r="S659" s="1" t="s">
        <v>579</v>
      </c>
      <c r="T659" s="1" t="str">
        <f>IF(ISERROR(VLOOKUP(S659,'unique org names'!A:C,3,FALSE)),S659,VLOOKUP(S659,'unique org names'!A:C,3,FALSE))
</f>
        <v>AMERICAN INTERNATIONAL ACADEMY, INC.</v>
      </c>
      <c r="U659" s="1" t="s">
        <v>1692</v>
      </c>
      <c r="V659" s="1" t="s">
        <v>580</v>
      </c>
      <c r="W659" s="1" t="s">
        <v>44</v>
      </c>
      <c r="X659" s="1" t="s">
        <v>45</v>
      </c>
      <c r="Y659" s="1">
        <v>4.82283905E8</v>
      </c>
      <c r="AA659" s="1" t="s">
        <v>287</v>
      </c>
      <c r="AB659" s="1" t="s">
        <v>45</v>
      </c>
      <c r="AC659" s="1">
        <v>4.82283905E8</v>
      </c>
      <c r="AD659" s="1">
        <v>2.1087911E7</v>
      </c>
      <c r="AE659" s="1" t="s">
        <v>1693</v>
      </c>
      <c r="AF659" s="1">
        <v>177002.0</v>
      </c>
      <c r="AG659" s="2">
        <v>41327.0</v>
      </c>
      <c r="AH659" s="1">
        <v>9100.0</v>
      </c>
      <c r="AI659" s="1" t="s">
        <v>194</v>
      </c>
      <c r="AJ659" s="1" t="s">
        <v>1694</v>
      </c>
      <c r="AK659" s="1" t="s">
        <v>1170</v>
      </c>
      <c r="AL659" s="1">
        <v>11.0</v>
      </c>
      <c r="AM659" s="1">
        <v>2013.0</v>
      </c>
      <c r="AN659" s="1">
        <v>2013.0</v>
      </c>
      <c r="AO659" s="1" t="s">
        <v>1171</v>
      </c>
    </row>
    <row r="660">
      <c r="A660" s="5">
        <v>1.0</v>
      </c>
      <c r="B660" s="1">
        <f t="shared" si="1"/>
        <v>660</v>
      </c>
      <c r="C660" s="1" t="s">
        <v>1167</v>
      </c>
      <c r="D660" s="1" t="s">
        <v>1167</v>
      </c>
      <c r="E660" s="1" t="s">
        <v>194</v>
      </c>
      <c r="G660" s="1">
        <v>5.38112E8</v>
      </c>
      <c r="H660" s="2">
        <v>41327.0</v>
      </c>
      <c r="I660" s="1" t="s">
        <v>1168</v>
      </c>
      <c r="K660" s="1" t="s">
        <v>1168</v>
      </c>
      <c r="N660" s="1" t="s">
        <v>194</v>
      </c>
      <c r="O660" s="1">
        <v>9100.0</v>
      </c>
      <c r="P660" s="1" t="s">
        <v>194</v>
      </c>
      <c r="Q660" s="1" t="str">
        <f>IF(ISERROR(VLOOKUP(P660,'unique fed agency names'!A:C,3,FALSE)),P660,VLOOKUP(P660,'unique fed agency names'!A:C,3,FALSE))
</f>
        <v>U.S. Department of Education (ED)</v>
      </c>
      <c r="R660" s="1">
        <v>8.00515244E8</v>
      </c>
      <c r="S660" s="1" t="s">
        <v>637</v>
      </c>
      <c r="T660" s="1" t="str">
        <f>IF(ISERROR(VLOOKUP(S660,'unique org names'!A:C,3,FALSE)),S660,VLOOKUP(S660,'unique org names'!A:C,3,FALSE))
</f>
        <v>EDUCATION, MICHIGAN DEPARTMENT OF</v>
      </c>
      <c r="U660" s="1" t="s">
        <v>638</v>
      </c>
      <c r="V660" s="1" t="s">
        <v>639</v>
      </c>
      <c r="W660" s="1" t="s">
        <v>44</v>
      </c>
      <c r="X660" s="1" t="s">
        <v>45</v>
      </c>
      <c r="Y660" s="1">
        <v>4.82343358E8</v>
      </c>
      <c r="AA660" s="1" t="s">
        <v>44</v>
      </c>
      <c r="AB660" s="1" t="s">
        <v>45</v>
      </c>
      <c r="AC660" s="1">
        <v>4.82343358E8</v>
      </c>
      <c r="AD660" s="1">
        <v>5.4698428E7</v>
      </c>
      <c r="AF660" s="1">
        <v>300216.0</v>
      </c>
      <c r="AG660" s="2">
        <v>41327.0</v>
      </c>
      <c r="AH660" s="1">
        <v>9100.0</v>
      </c>
      <c r="AI660" s="1" t="s">
        <v>194</v>
      </c>
      <c r="AJ660" s="1" t="s">
        <v>1695</v>
      </c>
      <c r="AK660" s="1" t="s">
        <v>1170</v>
      </c>
      <c r="AL660" s="1">
        <v>11.0</v>
      </c>
      <c r="AM660" s="1">
        <v>2013.0</v>
      </c>
      <c r="AN660" s="1">
        <v>2013.0</v>
      </c>
      <c r="AO660" s="1" t="s">
        <v>1171</v>
      </c>
    </row>
    <row r="661">
      <c r="A661" s="5">
        <v>1.0</v>
      </c>
      <c r="B661" s="1">
        <f t="shared" si="1"/>
        <v>661</v>
      </c>
      <c r="C661" s="1" t="s">
        <v>1167</v>
      </c>
      <c r="D661" s="1" t="s">
        <v>1167</v>
      </c>
      <c r="E661" s="1" t="s">
        <v>194</v>
      </c>
      <c r="G661" s="1">
        <v>5.38112E8</v>
      </c>
      <c r="H661" s="2">
        <v>41326.0</v>
      </c>
      <c r="I661" s="1" t="s">
        <v>1168</v>
      </c>
      <c r="K661" s="1" t="s">
        <v>1168</v>
      </c>
      <c r="N661" s="1" t="s">
        <v>194</v>
      </c>
      <c r="O661" s="1">
        <v>9100.0</v>
      </c>
      <c r="P661" s="1" t="s">
        <v>194</v>
      </c>
      <c r="Q661" s="1" t="str">
        <f>IF(ISERROR(VLOOKUP(P661,'unique fed agency names'!A:C,3,FALSE)),P661,VLOOKUP(P661,'unique fed agency names'!A:C,3,FALSE))
</f>
        <v>U.S. Department of Education (ED)</v>
      </c>
      <c r="R661" s="1">
        <v>1.80070547E8</v>
      </c>
      <c r="S661" s="1" t="s">
        <v>508</v>
      </c>
      <c r="T661" s="1" t="str">
        <f>IF(ISERROR(VLOOKUP(S661,'unique org names'!A:C,3,FALSE)),S661,VLOOKUP(S661,'unique org names'!A:C,3,FALSE))
</f>
        <v>BLANCHE KELSO BRUCE ACADEMY</v>
      </c>
      <c r="U661" s="1" t="s">
        <v>1627</v>
      </c>
      <c r="V661" s="1" t="s">
        <v>509</v>
      </c>
      <c r="W661" s="1" t="s">
        <v>44</v>
      </c>
      <c r="X661" s="1" t="s">
        <v>45</v>
      </c>
      <c r="Y661" s="1">
        <v>4.82133487E8</v>
      </c>
      <c r="AA661" s="1" t="s">
        <v>44</v>
      </c>
      <c r="AB661" s="1" t="s">
        <v>45</v>
      </c>
      <c r="AC661" s="1">
        <v>4.82133448E8</v>
      </c>
      <c r="AD661" s="1">
        <v>9.60742484E8</v>
      </c>
      <c r="AF661" s="1">
        <v>2256903.0</v>
      </c>
      <c r="AG661" s="2">
        <v>41326.0</v>
      </c>
      <c r="AH661" s="1">
        <v>9100.0</v>
      </c>
      <c r="AI661" s="1" t="s">
        <v>194</v>
      </c>
      <c r="AJ661" s="1" t="s">
        <v>1696</v>
      </c>
      <c r="AK661" s="1" t="s">
        <v>1170</v>
      </c>
      <c r="AL661" s="1">
        <v>11.0</v>
      </c>
      <c r="AM661" s="1">
        <v>2013.0</v>
      </c>
      <c r="AN661" s="1">
        <v>2013.0</v>
      </c>
      <c r="AO661" s="1" t="s">
        <v>1171</v>
      </c>
    </row>
    <row r="662">
      <c r="A662" s="5">
        <v>1.0</v>
      </c>
      <c r="B662" s="1">
        <f t="shared" si="1"/>
        <v>662</v>
      </c>
      <c r="C662" s="1" t="s">
        <v>1167</v>
      </c>
      <c r="D662" s="1" t="s">
        <v>1167</v>
      </c>
      <c r="E662" s="1" t="s">
        <v>194</v>
      </c>
      <c r="G662" s="1">
        <v>5.38112E8</v>
      </c>
      <c r="H662" s="2">
        <v>41325.0</v>
      </c>
      <c r="I662" s="1" t="s">
        <v>1168</v>
      </c>
      <c r="K662" s="1" t="s">
        <v>1168</v>
      </c>
      <c r="N662" s="1" t="s">
        <v>194</v>
      </c>
      <c r="O662" s="1">
        <v>9100.0</v>
      </c>
      <c r="P662" s="1" t="s">
        <v>194</v>
      </c>
      <c r="Q662" s="1" t="str">
        <f>IF(ISERROR(VLOOKUP(P662,'unique fed agency names'!A:C,3,FALSE)),P662,VLOOKUP(P662,'unique fed agency names'!A:C,3,FALSE))
</f>
        <v>U.S. Department of Education (ED)</v>
      </c>
      <c r="R662" s="1">
        <v>9.65349769E8</v>
      </c>
      <c r="S662" s="1" t="s">
        <v>465</v>
      </c>
      <c r="T662" s="1" t="str">
        <f>IF(ISERROR(VLOOKUP(S662,'unique org names'!A:C,3,FALSE)),S662,VLOOKUP(S662,'unique org names'!A:C,3,FALSE))
</f>
        <v>Public School Academies of Detroit</v>
      </c>
      <c r="U662" s="1" t="s">
        <v>466</v>
      </c>
      <c r="V662" s="1" t="s">
        <v>467</v>
      </c>
      <c r="W662" s="1" t="s">
        <v>44</v>
      </c>
      <c r="X662" s="1" t="s">
        <v>45</v>
      </c>
      <c r="Y662" s="1">
        <v>4.8202322E8</v>
      </c>
      <c r="AA662" s="1" t="s">
        <v>44</v>
      </c>
      <c r="AB662" s="1" t="s">
        <v>45</v>
      </c>
      <c r="AC662" s="1">
        <v>4.8202322E8</v>
      </c>
      <c r="AD662" s="1">
        <v>1.6338926E8</v>
      </c>
      <c r="AE662" s="1" t="s">
        <v>465</v>
      </c>
      <c r="AF662" s="1">
        <v>404378.0</v>
      </c>
      <c r="AG662" s="2">
        <v>41325.0</v>
      </c>
      <c r="AH662" s="1">
        <v>9100.0</v>
      </c>
      <c r="AI662" s="1" t="s">
        <v>194</v>
      </c>
      <c r="AJ662" s="1" t="s">
        <v>1697</v>
      </c>
      <c r="AK662" s="1" t="s">
        <v>1170</v>
      </c>
      <c r="AL662" s="1">
        <v>11.0</v>
      </c>
      <c r="AM662" s="1">
        <v>2013.0</v>
      </c>
      <c r="AN662" s="1">
        <v>2013.0</v>
      </c>
      <c r="AO662" s="1" t="s">
        <v>1171</v>
      </c>
    </row>
    <row r="663">
      <c r="A663" s="5">
        <v>1.0</v>
      </c>
      <c r="B663" s="1">
        <f t="shared" si="1"/>
        <v>663</v>
      </c>
      <c r="C663" s="1" t="s">
        <v>1167</v>
      </c>
      <c r="D663" s="1" t="s">
        <v>1167</v>
      </c>
      <c r="E663" s="1" t="s">
        <v>194</v>
      </c>
      <c r="G663" s="1">
        <v>5.38112E8</v>
      </c>
      <c r="H663" s="2">
        <v>41313.0</v>
      </c>
      <c r="I663" s="1" t="s">
        <v>1168</v>
      </c>
      <c r="K663" s="1" t="s">
        <v>1168</v>
      </c>
      <c r="N663" s="1" t="s">
        <v>194</v>
      </c>
      <c r="O663" s="1">
        <v>9100.0</v>
      </c>
      <c r="P663" s="1" t="s">
        <v>194</v>
      </c>
      <c r="Q663" s="1" t="str">
        <f>IF(ISERROR(VLOOKUP(P663,'unique fed agency names'!A:C,3,FALSE)),P663,VLOOKUP(P663,'unique fed agency names'!A:C,3,FALSE))
</f>
        <v>U.S. Department of Education (ED)</v>
      </c>
      <c r="R663" s="1">
        <v>3.7602699E7</v>
      </c>
      <c r="S663" s="1" t="s">
        <v>535</v>
      </c>
      <c r="T663" s="1" t="str">
        <f>IF(ISERROR(VLOOKUP(S663,'unique org names'!A:C,3,FALSE)),S663,VLOOKUP(S663,'unique org names'!A:C,3,FALSE))
</f>
        <v>REGENT PARK SCHOLARS CHARTER ACADEMY</v>
      </c>
      <c r="U663" s="1" t="s">
        <v>1698</v>
      </c>
      <c r="V663" s="1" t="s">
        <v>536</v>
      </c>
      <c r="W663" s="1" t="s">
        <v>44</v>
      </c>
      <c r="X663" s="1" t="s">
        <v>45</v>
      </c>
      <c r="Y663" s="1">
        <v>4.82052545E8</v>
      </c>
      <c r="AA663" s="1" t="s">
        <v>46</v>
      </c>
      <c r="AB663" s="1" t="s">
        <v>45</v>
      </c>
      <c r="AC663" s="1">
        <v>4.82052545E8</v>
      </c>
      <c r="AD663" s="1">
        <v>4.4025484E7</v>
      </c>
      <c r="AE663" s="1" t="s">
        <v>1699</v>
      </c>
      <c r="AF663" s="1">
        <v>476406.0</v>
      </c>
      <c r="AG663" s="2">
        <v>41313.0</v>
      </c>
      <c r="AH663" s="1">
        <v>9100.0</v>
      </c>
      <c r="AI663" s="1" t="s">
        <v>194</v>
      </c>
      <c r="AJ663" s="1" t="s">
        <v>1700</v>
      </c>
      <c r="AK663" s="1" t="s">
        <v>1170</v>
      </c>
      <c r="AL663" s="1">
        <v>11.0</v>
      </c>
      <c r="AM663" s="1">
        <v>2013.0</v>
      </c>
      <c r="AN663" s="1">
        <v>2013.0</v>
      </c>
      <c r="AO663" s="1" t="s">
        <v>1171</v>
      </c>
    </row>
    <row r="664">
      <c r="A664" s="5">
        <v>1.0</v>
      </c>
      <c r="B664" s="1">
        <f t="shared" si="1"/>
        <v>664</v>
      </c>
      <c r="C664" s="1" t="s">
        <v>1167</v>
      </c>
      <c r="D664" s="1" t="s">
        <v>1167</v>
      </c>
      <c r="E664" s="1" t="s">
        <v>194</v>
      </c>
      <c r="G664" s="1">
        <v>5.38112E8</v>
      </c>
      <c r="H664" s="2">
        <v>41310.0</v>
      </c>
      <c r="I664" s="1" t="s">
        <v>1168</v>
      </c>
      <c r="K664" s="1" t="s">
        <v>1168</v>
      </c>
      <c r="N664" s="1" t="s">
        <v>194</v>
      </c>
      <c r="O664" s="1">
        <v>9100.0</v>
      </c>
      <c r="P664" s="1" t="s">
        <v>194</v>
      </c>
      <c r="Q664" s="1" t="str">
        <f>IF(ISERROR(VLOOKUP(P664,'unique fed agency names'!A:C,3,FALSE)),P664,VLOOKUP(P664,'unique fed agency names'!A:C,3,FALSE))
</f>
        <v>U.S. Department of Education (ED)</v>
      </c>
      <c r="R664" s="1">
        <v>9.62378779E8</v>
      </c>
      <c r="S664" s="1" t="s">
        <v>478</v>
      </c>
      <c r="T664" s="1" t="str">
        <f>IF(ISERROR(VLOOKUP(S664,'unique org names'!A:C,3,FALSE)),S664,VLOOKUP(S664,'unique org names'!A:C,3,FALSE))
</f>
        <v>LEGACY CHARTER ACADEMY</v>
      </c>
      <c r="V664" s="1" t="s">
        <v>479</v>
      </c>
      <c r="W664" s="1" t="s">
        <v>44</v>
      </c>
      <c r="X664" s="1" t="s">
        <v>45</v>
      </c>
      <c r="Y664" s="1">
        <v>4.82342225E8</v>
      </c>
      <c r="AA664" s="1" t="s">
        <v>44</v>
      </c>
      <c r="AB664" s="1" t="s">
        <v>45</v>
      </c>
      <c r="AC664" s="1">
        <v>4.82342225E8</v>
      </c>
      <c r="AD664" s="1">
        <v>7.6381037E7</v>
      </c>
      <c r="AE664" s="1" t="s">
        <v>1701</v>
      </c>
      <c r="AF664" s="1">
        <v>791700.0</v>
      </c>
      <c r="AG664" s="2">
        <v>41310.0</v>
      </c>
      <c r="AH664" s="1">
        <v>9100.0</v>
      </c>
      <c r="AI664" s="1" t="s">
        <v>194</v>
      </c>
      <c r="AJ664" s="1" t="s">
        <v>1702</v>
      </c>
      <c r="AK664" s="1" t="s">
        <v>1170</v>
      </c>
      <c r="AL664" s="1">
        <v>11.0</v>
      </c>
      <c r="AM664" s="1">
        <v>2013.0</v>
      </c>
      <c r="AN664" s="1">
        <v>2013.0</v>
      </c>
      <c r="AO664" s="1" t="s">
        <v>1171</v>
      </c>
    </row>
    <row r="665">
      <c r="A665" s="5">
        <v>1.0</v>
      </c>
      <c r="B665" s="1">
        <f t="shared" si="1"/>
        <v>665</v>
      </c>
      <c r="C665" s="1" t="s">
        <v>1167</v>
      </c>
      <c r="D665" s="1" t="s">
        <v>1167</v>
      </c>
      <c r="E665" s="1" t="s">
        <v>194</v>
      </c>
      <c r="G665" s="1">
        <v>5.38112E8</v>
      </c>
      <c r="H665" s="2">
        <v>41306.0</v>
      </c>
      <c r="I665" s="1" t="s">
        <v>1168</v>
      </c>
      <c r="K665" s="1" t="s">
        <v>1168</v>
      </c>
      <c r="N665" s="1" t="s">
        <v>194</v>
      </c>
      <c r="O665" s="1">
        <v>9100.0</v>
      </c>
      <c r="P665" s="1" t="s">
        <v>194</v>
      </c>
      <c r="Q665" s="1" t="str">
        <f>IF(ISERROR(VLOOKUP(P665,'unique fed agency names'!A:C,3,FALSE)),P665,VLOOKUP(P665,'unique fed agency names'!A:C,3,FALSE))
</f>
        <v>U.S. Department of Education (ED)</v>
      </c>
      <c r="R665" s="1">
        <v>1.38064923E8</v>
      </c>
      <c r="S665" s="1" t="s">
        <v>585</v>
      </c>
      <c r="T665" s="1" t="str">
        <f>IF(ISERROR(VLOOKUP(S665,'unique org names'!A:C,3,FALSE)),S665,VLOOKUP(S665,'unique org names'!A:C,3,FALSE))
</f>
        <v>DETROIT MERIT CHARTER ACADEMY</v>
      </c>
      <c r="V665" s="1" t="s">
        <v>586</v>
      </c>
      <c r="W665" s="1" t="s">
        <v>44</v>
      </c>
      <c r="X665" s="1" t="s">
        <v>45</v>
      </c>
      <c r="Y665" s="1">
        <v>4.82152861E8</v>
      </c>
      <c r="AA665" s="1" t="s">
        <v>44</v>
      </c>
      <c r="AB665" s="1" t="s">
        <v>45</v>
      </c>
      <c r="AC665" s="1">
        <v>4.82152861E8</v>
      </c>
      <c r="AD665" s="1">
        <v>9.60742484E8</v>
      </c>
      <c r="AF665" s="1">
        <v>485829.0</v>
      </c>
      <c r="AG665" s="2">
        <v>41306.0</v>
      </c>
      <c r="AH665" s="1">
        <v>9100.0</v>
      </c>
      <c r="AI665" s="1" t="s">
        <v>194</v>
      </c>
      <c r="AJ665" s="1" t="s">
        <v>1703</v>
      </c>
      <c r="AK665" s="1" t="s">
        <v>1170</v>
      </c>
      <c r="AL665" s="1">
        <v>11.0</v>
      </c>
      <c r="AM665" s="1">
        <v>2013.0</v>
      </c>
      <c r="AN665" s="1">
        <v>2013.0</v>
      </c>
      <c r="AO665" s="1" t="s">
        <v>1171</v>
      </c>
    </row>
    <row r="666">
      <c r="A666" s="5">
        <v>1.0</v>
      </c>
      <c r="B666" s="1">
        <f t="shared" si="1"/>
        <v>666</v>
      </c>
      <c r="C666" s="1" t="s">
        <v>1167</v>
      </c>
      <c r="D666" s="1" t="s">
        <v>1167</v>
      </c>
      <c r="E666" s="1" t="s">
        <v>194</v>
      </c>
      <c r="G666" s="1">
        <v>5.38112E8</v>
      </c>
      <c r="H666" s="2">
        <v>41297.0</v>
      </c>
      <c r="I666" s="1" t="s">
        <v>1168</v>
      </c>
      <c r="K666" s="1" t="s">
        <v>1168</v>
      </c>
      <c r="N666" s="1" t="s">
        <v>194</v>
      </c>
      <c r="O666" s="1">
        <v>9100.0</v>
      </c>
      <c r="P666" s="1" t="s">
        <v>194</v>
      </c>
      <c r="Q666" s="1" t="str">
        <f>IF(ISERROR(VLOOKUP(P666,'unique fed agency names'!A:C,3,FALSE)),P666,VLOOKUP(P666,'unique fed agency names'!A:C,3,FALSE))
</f>
        <v>U.S. Department of Education (ED)</v>
      </c>
      <c r="R666" s="1">
        <v>8.3082572E8</v>
      </c>
      <c r="S666" s="1" t="s">
        <v>465</v>
      </c>
      <c r="T666" s="1" t="str">
        <f>IF(ISERROR(VLOOKUP(S666,'unique org names'!A:C,3,FALSE)),S666,VLOOKUP(S666,'unique org names'!A:C,3,FALSE))
</f>
        <v>Public School Academies of Detroit</v>
      </c>
      <c r="U666" s="1" t="s">
        <v>554</v>
      </c>
      <c r="V666" s="1" t="s">
        <v>555</v>
      </c>
      <c r="W666" s="1" t="s">
        <v>44</v>
      </c>
      <c r="X666" s="1" t="s">
        <v>45</v>
      </c>
      <c r="Y666" s="1">
        <v>4.82024061E8</v>
      </c>
      <c r="AA666" s="1" t="s">
        <v>44</v>
      </c>
      <c r="AB666" s="1" t="s">
        <v>45</v>
      </c>
      <c r="AC666" s="1">
        <v>4.82023457E8</v>
      </c>
      <c r="AD666" s="1">
        <v>1.6338926E8</v>
      </c>
      <c r="AE666" s="1" t="s">
        <v>465</v>
      </c>
      <c r="AF666" s="1">
        <v>454274.0</v>
      </c>
      <c r="AG666" s="2">
        <v>41297.0</v>
      </c>
      <c r="AH666" s="1">
        <v>9100.0</v>
      </c>
      <c r="AI666" s="1" t="s">
        <v>194</v>
      </c>
      <c r="AJ666" s="1" t="s">
        <v>1704</v>
      </c>
      <c r="AK666" s="1" t="s">
        <v>1170</v>
      </c>
      <c r="AL666" s="1">
        <v>11.0</v>
      </c>
      <c r="AM666" s="1">
        <v>2013.0</v>
      </c>
      <c r="AN666" s="1">
        <v>2013.0</v>
      </c>
      <c r="AO666" s="1" t="s">
        <v>1171</v>
      </c>
    </row>
    <row r="667">
      <c r="A667" s="5">
        <v>1.0</v>
      </c>
      <c r="B667" s="1">
        <f t="shared" si="1"/>
        <v>667</v>
      </c>
      <c r="C667" s="1" t="s">
        <v>1167</v>
      </c>
      <c r="D667" s="1" t="s">
        <v>1167</v>
      </c>
      <c r="E667" s="1" t="s">
        <v>194</v>
      </c>
      <c r="G667" s="1">
        <v>5.38112E8</v>
      </c>
      <c r="H667" s="2">
        <v>41256.0</v>
      </c>
      <c r="I667" s="1" t="s">
        <v>1168</v>
      </c>
      <c r="K667" s="1" t="s">
        <v>1168</v>
      </c>
      <c r="N667" s="1" t="s">
        <v>194</v>
      </c>
      <c r="O667" s="1">
        <v>9100.0</v>
      </c>
      <c r="P667" s="1" t="s">
        <v>194</v>
      </c>
      <c r="Q667" s="1" t="str">
        <f>IF(ISERROR(VLOOKUP(P667,'unique fed agency names'!A:C,3,FALSE)),P667,VLOOKUP(P667,'unique fed agency names'!A:C,3,FALSE))
</f>
        <v>U.S. Department of Education (ED)</v>
      </c>
      <c r="R667" s="1">
        <v>9.65783199E8</v>
      </c>
      <c r="S667" s="1" t="s">
        <v>573</v>
      </c>
      <c r="T667" s="1" t="str">
        <f>IF(ISERROR(VLOOKUP(S667,'unique org names'!A:C,3,FALSE)),S667,VLOOKUP(S667,'unique org names'!A:C,3,FALSE))
</f>
        <v>COVENANT HOUSE ACADEMY SOUTHWEST</v>
      </c>
      <c r="V667" s="1" t="s">
        <v>574</v>
      </c>
      <c r="W667" s="1" t="s">
        <v>44</v>
      </c>
      <c r="X667" s="1" t="s">
        <v>45</v>
      </c>
      <c r="Y667" s="1">
        <v>4.82092169E8</v>
      </c>
      <c r="AA667" s="1" t="s">
        <v>44</v>
      </c>
      <c r="AB667" s="1" t="s">
        <v>45</v>
      </c>
      <c r="AC667" s="1">
        <v>4.82092169E8</v>
      </c>
      <c r="AD667" s="1">
        <v>1.00035757E8</v>
      </c>
      <c r="AE667" s="1" t="s">
        <v>1705</v>
      </c>
      <c r="AF667" s="1">
        <v>248740.0</v>
      </c>
      <c r="AG667" s="2">
        <v>41256.0</v>
      </c>
      <c r="AH667" s="1">
        <v>9100.0</v>
      </c>
      <c r="AI667" s="1" t="s">
        <v>194</v>
      </c>
      <c r="AJ667" s="1" t="s">
        <v>1706</v>
      </c>
      <c r="AK667" s="1" t="s">
        <v>1170</v>
      </c>
      <c r="AL667" s="1">
        <v>11.0</v>
      </c>
      <c r="AM667" s="1">
        <v>2013.0</v>
      </c>
      <c r="AN667" s="1">
        <v>2013.0</v>
      </c>
      <c r="AO667" s="1" t="s">
        <v>1171</v>
      </c>
    </row>
    <row r="668">
      <c r="A668" s="5">
        <v>1.0</v>
      </c>
      <c r="B668" s="1">
        <f t="shared" si="1"/>
        <v>668</v>
      </c>
      <c r="C668" s="1" t="s">
        <v>1167</v>
      </c>
      <c r="D668" s="1" t="s">
        <v>1167</v>
      </c>
      <c r="E668" s="1" t="s">
        <v>194</v>
      </c>
      <c r="G668" s="1">
        <v>5.38112E8</v>
      </c>
      <c r="H668" s="2">
        <v>41248.0</v>
      </c>
      <c r="I668" s="1" t="s">
        <v>1168</v>
      </c>
      <c r="K668" s="1" t="s">
        <v>1168</v>
      </c>
      <c r="N668" s="1" t="s">
        <v>194</v>
      </c>
      <c r="O668" s="1">
        <v>9100.0</v>
      </c>
      <c r="P668" s="1" t="s">
        <v>194</v>
      </c>
      <c r="Q668" s="1" t="str">
        <f>IF(ISERROR(VLOOKUP(P668,'unique fed agency names'!A:C,3,FALSE)),P668,VLOOKUP(P668,'unique fed agency names'!A:C,3,FALSE))
</f>
        <v>U.S. Department of Education (ED)</v>
      </c>
      <c r="R668" s="1">
        <v>9.62104118E8</v>
      </c>
      <c r="S668" s="1" t="s">
        <v>634</v>
      </c>
      <c r="T668" s="1" t="str">
        <f>IF(ISERROR(VLOOKUP(S668,'unique org names'!A:C,3,FALSE)),S668,VLOOKUP(S668,'unique org names'!A:C,3,FALSE))
</f>
        <v>UNIVERSITY YES ACADEMY</v>
      </c>
      <c r="V668" s="1" t="s">
        <v>635</v>
      </c>
      <c r="W668" s="1" t="s">
        <v>44</v>
      </c>
      <c r="X668" s="1" t="s">
        <v>45</v>
      </c>
      <c r="Y668" s="1">
        <v>4.82351111E8</v>
      </c>
      <c r="AA668" s="1" t="s">
        <v>46</v>
      </c>
      <c r="AB668" s="1" t="s">
        <v>45</v>
      </c>
      <c r="AC668" s="1">
        <v>4.82351111E8</v>
      </c>
      <c r="AF668" s="1">
        <v>264721.0</v>
      </c>
      <c r="AG668" s="2">
        <v>41248.0</v>
      </c>
      <c r="AH668" s="1">
        <v>9100.0</v>
      </c>
      <c r="AI668" s="1" t="s">
        <v>194</v>
      </c>
      <c r="AJ668" s="1" t="s">
        <v>1707</v>
      </c>
      <c r="AK668" s="1" t="s">
        <v>1170</v>
      </c>
      <c r="AL668" s="1">
        <v>11.0</v>
      </c>
      <c r="AM668" s="1">
        <v>2013.0</v>
      </c>
      <c r="AN668" s="1">
        <v>2013.0</v>
      </c>
      <c r="AO668" s="1" t="s">
        <v>1171</v>
      </c>
    </row>
    <row r="669">
      <c r="A669" s="5">
        <v>1.0</v>
      </c>
      <c r="B669" s="1">
        <f t="shared" si="1"/>
        <v>669</v>
      </c>
      <c r="C669" s="1" t="s">
        <v>1167</v>
      </c>
      <c r="D669" s="1" t="s">
        <v>1167</v>
      </c>
      <c r="E669" s="1" t="s">
        <v>194</v>
      </c>
      <c r="G669" s="1">
        <v>5.38112E8</v>
      </c>
      <c r="H669" s="2">
        <v>41240.0</v>
      </c>
      <c r="I669" s="1" t="s">
        <v>1168</v>
      </c>
      <c r="K669" s="1" t="s">
        <v>1168</v>
      </c>
      <c r="N669" s="1" t="s">
        <v>194</v>
      </c>
      <c r="O669" s="1">
        <v>9100.0</v>
      </c>
      <c r="P669" s="1" t="s">
        <v>194</v>
      </c>
      <c r="Q669" s="1" t="str">
        <f>IF(ISERROR(VLOOKUP(P669,'unique fed agency names'!A:C,3,FALSE)),P669,VLOOKUP(P669,'unique fed agency names'!A:C,3,FALSE))
</f>
        <v>U.S. Department of Education (ED)</v>
      </c>
      <c r="R669" s="1">
        <v>7.8346351E7</v>
      </c>
      <c r="S669" s="1" t="s">
        <v>615</v>
      </c>
      <c r="T669" s="1" t="str">
        <f>IF(ISERROR(VLOOKUP(S669,'unique org names'!A:C,3,FALSE)),S669,VLOOKUP(S669,'unique org names'!A:C,3,FALSE))
</f>
        <v>Education Achievement Authority</v>
      </c>
      <c r="V669" s="1" t="s">
        <v>1708</v>
      </c>
      <c r="W669" s="1" t="s">
        <v>44</v>
      </c>
      <c r="X669" s="1" t="s">
        <v>45</v>
      </c>
      <c r="Y669" s="1">
        <v>4.82074457E8</v>
      </c>
      <c r="AA669" s="1" t="s">
        <v>46</v>
      </c>
      <c r="AB669" s="1" t="s">
        <v>45</v>
      </c>
      <c r="AC669" s="1">
        <v>4.82023037E8</v>
      </c>
      <c r="AD669" s="1">
        <v>6.2226758E7</v>
      </c>
      <c r="AE669" s="1" t="s">
        <v>1709</v>
      </c>
      <c r="AF669" s="1">
        <v>5952615.0</v>
      </c>
      <c r="AG669" s="2">
        <v>41240.0</v>
      </c>
      <c r="AH669" s="1">
        <v>9100.0</v>
      </c>
      <c r="AI669" s="1" t="s">
        <v>194</v>
      </c>
      <c r="AJ669" s="1" t="s">
        <v>1710</v>
      </c>
      <c r="AK669" s="1" t="s">
        <v>1170</v>
      </c>
      <c r="AL669" s="1">
        <v>11.0</v>
      </c>
      <c r="AM669" s="1">
        <v>2013.0</v>
      </c>
      <c r="AN669" s="1">
        <v>2013.0</v>
      </c>
      <c r="AO669" s="1" t="s">
        <v>1171</v>
      </c>
    </row>
    <row r="670">
      <c r="A670" s="5">
        <v>1.0</v>
      </c>
      <c r="B670" s="1">
        <f t="shared" si="1"/>
        <v>670</v>
      </c>
      <c r="C670" s="1" t="s">
        <v>1167</v>
      </c>
      <c r="D670" s="1" t="s">
        <v>1167</v>
      </c>
      <c r="E670" s="1" t="s">
        <v>194</v>
      </c>
      <c r="G670" s="1">
        <v>5.38112E8</v>
      </c>
      <c r="H670" s="2">
        <v>41240.0</v>
      </c>
      <c r="I670" s="1" t="s">
        <v>1168</v>
      </c>
      <c r="K670" s="1" t="s">
        <v>1168</v>
      </c>
      <c r="N670" s="1" t="s">
        <v>194</v>
      </c>
      <c r="O670" s="1">
        <v>9100.0</v>
      </c>
      <c r="P670" s="1" t="s">
        <v>194</v>
      </c>
      <c r="Q670" s="1" t="str">
        <f>IF(ISERROR(VLOOKUP(P670,'unique fed agency names'!A:C,3,FALSE)),P670,VLOOKUP(P670,'unique fed agency names'!A:C,3,FALSE))
</f>
        <v>U.S. Department of Education (ED)</v>
      </c>
      <c r="R670" s="1">
        <v>9.0912429E7</v>
      </c>
      <c r="S670" s="1" t="s">
        <v>521</v>
      </c>
      <c r="T670" s="1" t="str">
        <f>IF(ISERROR(VLOOKUP(S670,'unique org names'!A:C,3,FALSE)),S670,VLOOKUP(S670,'unique org names'!A:C,3,FALSE))
</f>
        <v>DETROIT COMMUNITY SCHOOLS</v>
      </c>
      <c r="V670" s="1" t="s">
        <v>522</v>
      </c>
      <c r="W670" s="1" t="s">
        <v>44</v>
      </c>
      <c r="X670" s="1" t="s">
        <v>45</v>
      </c>
      <c r="Y670" s="1">
        <v>4.82233314E8</v>
      </c>
      <c r="AA670" s="1" t="s">
        <v>44</v>
      </c>
      <c r="AB670" s="1" t="s">
        <v>45</v>
      </c>
      <c r="AC670" s="1">
        <v>4.82233314E8</v>
      </c>
      <c r="AD670" s="1">
        <v>6.8092188E7</v>
      </c>
      <c r="AE670" s="1" t="s">
        <v>1711</v>
      </c>
      <c r="AF670" s="1">
        <v>657389.0</v>
      </c>
      <c r="AG670" s="2">
        <v>41240.0</v>
      </c>
      <c r="AH670" s="1">
        <v>9100.0</v>
      </c>
      <c r="AI670" s="1" t="s">
        <v>194</v>
      </c>
      <c r="AJ670" s="1" t="s">
        <v>1712</v>
      </c>
      <c r="AK670" s="1" t="s">
        <v>1170</v>
      </c>
      <c r="AL670" s="1">
        <v>11.0</v>
      </c>
      <c r="AM670" s="1">
        <v>2013.0</v>
      </c>
      <c r="AN670" s="1">
        <v>2013.0</v>
      </c>
      <c r="AO670" s="1" t="s">
        <v>1171</v>
      </c>
    </row>
    <row r="671">
      <c r="A671" s="5">
        <v>1.0</v>
      </c>
      <c r="B671" s="1">
        <f t="shared" si="1"/>
        <v>671</v>
      </c>
      <c r="C671" s="1" t="s">
        <v>1167</v>
      </c>
      <c r="D671" s="1" t="s">
        <v>1167</v>
      </c>
      <c r="E671" s="1" t="s">
        <v>194</v>
      </c>
      <c r="G671" s="1">
        <v>5.38112E8</v>
      </c>
      <c r="H671" s="2">
        <v>41233.0</v>
      </c>
      <c r="I671" s="1" t="s">
        <v>1168</v>
      </c>
      <c r="K671" s="1" t="s">
        <v>1168</v>
      </c>
      <c r="N671" s="1" t="s">
        <v>194</v>
      </c>
      <c r="O671" s="1">
        <v>9100.0</v>
      </c>
      <c r="P671" s="1" t="s">
        <v>194</v>
      </c>
      <c r="Q671" s="1" t="str">
        <f>IF(ISERROR(VLOOKUP(P671,'unique fed agency names'!A:C,3,FALSE)),P671,VLOOKUP(P671,'unique fed agency names'!A:C,3,FALSE))
</f>
        <v>U.S. Department of Education (ED)</v>
      </c>
      <c r="R671" s="1">
        <v>1.6338926E8</v>
      </c>
      <c r="S671" s="1" t="s">
        <v>465</v>
      </c>
      <c r="T671" s="1" t="str">
        <f>IF(ISERROR(VLOOKUP(S671,'unique org names'!A:C,3,FALSE)),S671,VLOOKUP(S671,'unique org names'!A:C,3,FALSE))
</f>
        <v>Public School Academies of Detroit</v>
      </c>
      <c r="U671" s="1" t="s">
        <v>598</v>
      </c>
      <c r="V671" s="1" t="s">
        <v>599</v>
      </c>
      <c r="W671" s="1" t="s">
        <v>44</v>
      </c>
      <c r="X671" s="1" t="s">
        <v>45</v>
      </c>
      <c r="Y671" s="1">
        <v>4.82023457E8</v>
      </c>
      <c r="AA671" s="1" t="s">
        <v>44</v>
      </c>
      <c r="AB671" s="1" t="s">
        <v>45</v>
      </c>
      <c r="AC671" s="1">
        <v>4.82023457E8</v>
      </c>
      <c r="AD671" s="1">
        <v>1.6338926E8</v>
      </c>
      <c r="AE671" s="1" t="s">
        <v>465</v>
      </c>
      <c r="AF671" s="1">
        <v>1311495.0</v>
      </c>
      <c r="AG671" s="2">
        <v>41233.0</v>
      </c>
      <c r="AH671" s="1">
        <v>9100.0</v>
      </c>
      <c r="AI671" s="1" t="s">
        <v>194</v>
      </c>
      <c r="AJ671" s="1" t="s">
        <v>1713</v>
      </c>
      <c r="AK671" s="1" t="s">
        <v>1170</v>
      </c>
      <c r="AL671" s="1">
        <v>11.0</v>
      </c>
      <c r="AM671" s="1">
        <v>2013.0</v>
      </c>
      <c r="AN671" s="1">
        <v>2013.0</v>
      </c>
      <c r="AO671" s="1" t="s">
        <v>1171</v>
      </c>
    </row>
    <row r="672">
      <c r="A672" s="5">
        <v>1.0</v>
      </c>
      <c r="B672" s="1">
        <f t="shared" si="1"/>
        <v>672</v>
      </c>
      <c r="C672" s="1" t="s">
        <v>1167</v>
      </c>
      <c r="D672" s="1" t="s">
        <v>1167</v>
      </c>
      <c r="E672" s="1" t="s">
        <v>194</v>
      </c>
      <c r="G672" s="1">
        <v>5.38112E8</v>
      </c>
      <c r="H672" s="2">
        <v>41228.0</v>
      </c>
      <c r="I672" s="1" t="s">
        <v>1168</v>
      </c>
      <c r="K672" s="1" t="s">
        <v>1168</v>
      </c>
      <c r="N672" s="1" t="s">
        <v>194</v>
      </c>
      <c r="O672" s="1">
        <v>9100.0</v>
      </c>
      <c r="P672" s="1" t="s">
        <v>194</v>
      </c>
      <c r="Q672" s="1" t="str">
        <f>IF(ISERROR(VLOOKUP(P672,'unique fed agency names'!A:C,3,FALSE)),P672,VLOOKUP(P672,'unique fed agency names'!A:C,3,FALSE))
</f>
        <v>U.S. Department of Education (ED)</v>
      </c>
      <c r="R672" s="1">
        <v>7.8359653E7</v>
      </c>
      <c r="S672" s="1" t="s">
        <v>469</v>
      </c>
      <c r="T672" s="1" t="str">
        <f>IF(ISERROR(VLOOKUP(S672,'unique org names'!A:C,3,FALSE)),S672,VLOOKUP(S672,'unique org names'!A:C,3,FALSE))
</f>
        <v>GEE WHITE ACADEMY</v>
      </c>
      <c r="U672" s="1" t="s">
        <v>1714</v>
      </c>
      <c r="V672" s="1" t="s">
        <v>470</v>
      </c>
      <c r="W672" s="1" t="s">
        <v>44</v>
      </c>
      <c r="X672" s="1" t="s">
        <v>45</v>
      </c>
      <c r="Y672" s="1">
        <v>4.82122462E8</v>
      </c>
      <c r="AA672" s="1" t="s">
        <v>46</v>
      </c>
      <c r="AB672" s="1" t="s">
        <v>45</v>
      </c>
      <c r="AC672" s="1">
        <v>4.82122462E8</v>
      </c>
      <c r="AD672" s="1">
        <v>2.0089256E7</v>
      </c>
      <c r="AE672" s="1" t="s">
        <v>1715</v>
      </c>
      <c r="AF672" s="1">
        <v>255214.0</v>
      </c>
      <c r="AG672" s="2">
        <v>41228.0</v>
      </c>
      <c r="AH672" s="1">
        <v>9100.0</v>
      </c>
      <c r="AI672" s="1" t="s">
        <v>194</v>
      </c>
      <c r="AJ672" s="1" t="s">
        <v>1716</v>
      </c>
      <c r="AK672" s="1" t="s">
        <v>1170</v>
      </c>
      <c r="AL672" s="1">
        <v>11.0</v>
      </c>
      <c r="AM672" s="1">
        <v>2013.0</v>
      </c>
      <c r="AN672" s="1">
        <v>2013.0</v>
      </c>
      <c r="AO672" s="1" t="s">
        <v>1171</v>
      </c>
    </row>
    <row r="673">
      <c r="A673" s="5">
        <v>1.0</v>
      </c>
      <c r="B673" s="1">
        <f t="shared" si="1"/>
        <v>673</v>
      </c>
      <c r="C673" s="1" t="s">
        <v>1167</v>
      </c>
      <c r="D673" s="1" t="s">
        <v>1167</v>
      </c>
      <c r="E673" s="1" t="s">
        <v>194</v>
      </c>
      <c r="G673" s="1">
        <v>5.38112E8</v>
      </c>
      <c r="H673" s="2">
        <v>41216.0</v>
      </c>
      <c r="I673" s="1" t="s">
        <v>1168</v>
      </c>
      <c r="K673" s="1" t="s">
        <v>1168</v>
      </c>
      <c r="N673" s="1" t="s">
        <v>194</v>
      </c>
      <c r="O673" s="1">
        <v>9100.0</v>
      </c>
      <c r="P673" s="1" t="s">
        <v>194</v>
      </c>
      <c r="Q673" s="1" t="str">
        <f>IF(ISERROR(VLOOKUP(P673,'unique fed agency names'!A:C,3,FALSE)),P673,VLOOKUP(P673,'unique fed agency names'!A:C,3,FALSE))
</f>
        <v>U.S. Department of Education (ED)</v>
      </c>
      <c r="R673" s="1">
        <v>7.97531279E8</v>
      </c>
      <c r="S673" s="1" t="s">
        <v>496</v>
      </c>
      <c r="T673" s="1" t="str">
        <f>IF(ISERROR(VLOOKUP(S673,'unique org names'!A:C,3,FALSE)),S673,VLOOKUP(S673,'unique org names'!A:C,3,FALSE))
</f>
        <v>BRIDGE ACADEMY</v>
      </c>
      <c r="V673" s="1" t="s">
        <v>497</v>
      </c>
      <c r="W673" s="1" t="s">
        <v>44</v>
      </c>
      <c r="X673" s="1" t="s">
        <v>45</v>
      </c>
      <c r="Y673" s="1">
        <v>4.82123323E8</v>
      </c>
      <c r="AA673" s="1" t="s">
        <v>498</v>
      </c>
      <c r="AB673" s="1" t="s">
        <v>45</v>
      </c>
      <c r="AC673" s="1">
        <v>4.82123323E8</v>
      </c>
      <c r="AD673" s="1">
        <v>7496979.0</v>
      </c>
      <c r="AE673" s="1" t="s">
        <v>488</v>
      </c>
      <c r="AF673" s="1">
        <v>485427.0</v>
      </c>
      <c r="AG673" s="2">
        <v>41216.0</v>
      </c>
      <c r="AH673" s="1">
        <v>9100.0</v>
      </c>
      <c r="AI673" s="1" t="s">
        <v>194</v>
      </c>
      <c r="AJ673" s="1" t="s">
        <v>1717</v>
      </c>
      <c r="AK673" s="1" t="s">
        <v>1170</v>
      </c>
      <c r="AL673" s="1">
        <v>11.0</v>
      </c>
      <c r="AM673" s="1">
        <v>2013.0</v>
      </c>
      <c r="AN673" s="1">
        <v>2013.0</v>
      </c>
      <c r="AO673" s="1" t="s">
        <v>1171</v>
      </c>
    </row>
    <row r="674">
      <c r="A674" s="5">
        <v>1.0</v>
      </c>
      <c r="B674" s="1">
        <f t="shared" si="1"/>
        <v>674</v>
      </c>
      <c r="C674" s="1" t="s">
        <v>1718</v>
      </c>
      <c r="D674" s="1" t="s">
        <v>1718</v>
      </c>
      <c r="E674" s="1" t="s">
        <v>224</v>
      </c>
      <c r="G674" s="1">
        <v>600000.0</v>
      </c>
      <c r="H674" s="2">
        <v>41570.0</v>
      </c>
      <c r="I674" s="1" t="s">
        <v>1719</v>
      </c>
      <c r="K674" s="1" t="s">
        <v>1719</v>
      </c>
      <c r="N674" s="1" t="s">
        <v>151</v>
      </c>
      <c r="O674" s="1">
        <v>6900.0</v>
      </c>
      <c r="P674" s="1" t="s">
        <v>151</v>
      </c>
      <c r="Q674" s="1" t="str">
        <f>IF(ISERROR(VLOOKUP(P674,'unique fed agency names'!A:C,3,FALSE)),P674,VLOOKUP(P674,'unique fed agency names'!A:C,3,FALSE))
</f>
        <v>U.S. Department of Transportation (DOT)</v>
      </c>
      <c r="R674" s="1">
        <v>1.1855476E8</v>
      </c>
      <c r="S674" s="1" t="s">
        <v>983</v>
      </c>
      <c r="T674" s="1" t="str">
        <f>IF(ISERROR(VLOOKUP(S674,'unique org names'!A:C,3,FALSE)),S674,VLOOKUP(S674,'unique org names'!A:C,3,FALSE))
</f>
        <v>City of Detroit</v>
      </c>
      <c r="U674" s="1" t="s">
        <v>984</v>
      </c>
      <c r="V674" s="1" t="s">
        <v>227</v>
      </c>
      <c r="W674" s="1" t="s">
        <v>44</v>
      </c>
      <c r="X674" s="1" t="s">
        <v>45</v>
      </c>
      <c r="Y674" s="1">
        <v>4.82262886E8</v>
      </c>
      <c r="AA674" s="1" t="s">
        <v>46</v>
      </c>
      <c r="AB674" s="1" t="s">
        <v>45</v>
      </c>
      <c r="AC674" s="1">
        <v>4.82262886E8</v>
      </c>
      <c r="AD674" s="1">
        <v>6530661.0</v>
      </c>
      <c r="AE674" s="1" t="s">
        <v>76</v>
      </c>
      <c r="AF674" s="1">
        <v>600000.0</v>
      </c>
      <c r="AG674" s="2">
        <v>41570.0</v>
      </c>
      <c r="AH674" s="1">
        <v>6900.0</v>
      </c>
      <c r="AI674" s="1" t="s">
        <v>151</v>
      </c>
      <c r="AJ674" s="1">
        <v>1.0</v>
      </c>
      <c r="AK674" s="1" t="s">
        <v>1719</v>
      </c>
      <c r="AL674" s="1">
        <v>11.0</v>
      </c>
      <c r="AM674" s="1">
        <v>2013.0</v>
      </c>
      <c r="AN674" s="1">
        <v>2014.0</v>
      </c>
      <c r="AO674" s="1" t="s">
        <v>229</v>
      </c>
    </row>
    <row r="675">
      <c r="A675" s="5">
        <v>1.0</v>
      </c>
      <c r="B675" s="1">
        <f t="shared" si="1"/>
        <v>675</v>
      </c>
      <c r="C675" s="1" t="s">
        <v>1720</v>
      </c>
      <c r="D675" s="1" t="s">
        <v>1720</v>
      </c>
      <c r="E675" s="1" t="s">
        <v>224</v>
      </c>
      <c r="G675" s="1">
        <v>567132.0</v>
      </c>
      <c r="H675" s="2">
        <v>41572.0</v>
      </c>
      <c r="I675" s="1" t="s">
        <v>1721</v>
      </c>
      <c r="K675" s="1" t="s">
        <v>1721</v>
      </c>
      <c r="N675" s="1" t="s">
        <v>151</v>
      </c>
      <c r="O675" s="1">
        <v>6900.0</v>
      </c>
      <c r="P675" s="1" t="s">
        <v>151</v>
      </c>
      <c r="Q675" s="1" t="str">
        <f>IF(ISERROR(VLOOKUP(P675,'unique fed agency names'!A:C,3,FALSE)),P675,VLOOKUP(P675,'unique fed agency names'!A:C,3,FALSE))
</f>
        <v>U.S. Department of Transportation (DOT)</v>
      </c>
      <c r="R675" s="1">
        <v>1.1855476E8</v>
      </c>
      <c r="S675" s="1" t="s">
        <v>983</v>
      </c>
      <c r="T675" s="1" t="str">
        <f>IF(ISERROR(VLOOKUP(S675,'unique org names'!A:C,3,FALSE)),S675,VLOOKUP(S675,'unique org names'!A:C,3,FALSE))
</f>
        <v>City of Detroit</v>
      </c>
      <c r="U675" s="1" t="s">
        <v>984</v>
      </c>
      <c r="V675" s="1" t="s">
        <v>227</v>
      </c>
      <c r="W675" s="1" t="s">
        <v>44</v>
      </c>
      <c r="X675" s="1" t="s">
        <v>45</v>
      </c>
      <c r="Y675" s="1">
        <v>4.82262886E8</v>
      </c>
      <c r="AA675" s="1" t="s">
        <v>46</v>
      </c>
      <c r="AB675" s="1" t="s">
        <v>45</v>
      </c>
      <c r="AC675" s="1">
        <v>4.82262886E8</v>
      </c>
      <c r="AD675" s="1">
        <v>6530661.0</v>
      </c>
      <c r="AE675" s="1" t="s">
        <v>76</v>
      </c>
      <c r="AF675" s="1">
        <v>567132.35</v>
      </c>
      <c r="AG675" s="2">
        <v>41572.0</v>
      </c>
      <c r="AH675" s="1">
        <v>6900.0</v>
      </c>
      <c r="AI675" s="1" t="s">
        <v>151</v>
      </c>
      <c r="AJ675" s="1">
        <v>1.0</v>
      </c>
      <c r="AK675" s="1" t="s">
        <v>1722</v>
      </c>
      <c r="AL675" s="1">
        <v>11.0</v>
      </c>
      <c r="AM675" s="1">
        <v>2013.0</v>
      </c>
      <c r="AN675" s="1">
        <v>2014.0</v>
      </c>
      <c r="AO675" s="1" t="s">
        <v>229</v>
      </c>
    </row>
    <row r="676">
      <c r="A676" s="5">
        <v>1.0</v>
      </c>
      <c r="B676" s="1">
        <f t="shared" si="1"/>
        <v>676</v>
      </c>
      <c r="C676" s="1" t="s">
        <v>1723</v>
      </c>
      <c r="D676" s="1" t="s">
        <v>1723</v>
      </c>
      <c r="E676" s="1" t="s">
        <v>224</v>
      </c>
      <c r="G676" s="1">
        <v>89774.0</v>
      </c>
      <c r="H676" s="2">
        <v>41565.0</v>
      </c>
      <c r="I676" s="1" t="s">
        <v>1610</v>
      </c>
      <c r="K676" s="1" t="s">
        <v>1610</v>
      </c>
      <c r="N676" s="1" t="s">
        <v>151</v>
      </c>
      <c r="O676" s="1">
        <v>6900.0</v>
      </c>
      <c r="P676" s="1" t="s">
        <v>151</v>
      </c>
      <c r="Q676" s="1" t="str">
        <f>IF(ISERROR(VLOOKUP(P676,'unique fed agency names'!A:C,3,FALSE)),P676,VLOOKUP(P676,'unique fed agency names'!A:C,3,FALSE))
</f>
        <v>U.S. Department of Transportation (DOT)</v>
      </c>
      <c r="R676" s="1">
        <v>9.63886101E8</v>
      </c>
      <c r="S676" s="1" t="s">
        <v>259</v>
      </c>
      <c r="T676" s="1" t="str">
        <f>IF(ISERROR(VLOOKUP(S676,'unique org names'!A:C,3,FALSE)),S676,VLOOKUP(S676,'unique org names'!A:C,3,FALSE))
</f>
        <v>Wayne County</v>
      </c>
      <c r="V676" s="1" t="s">
        <v>260</v>
      </c>
      <c r="W676" s="1" t="s">
        <v>44</v>
      </c>
      <c r="X676" s="1" t="s">
        <v>45</v>
      </c>
      <c r="Y676" s="1">
        <v>4.8226348E8</v>
      </c>
      <c r="AA676" s="1" t="s">
        <v>46</v>
      </c>
      <c r="AB676" s="1" t="s">
        <v>45</v>
      </c>
      <c r="AC676" s="1">
        <v>4.8226348E8</v>
      </c>
      <c r="AD676" s="1">
        <v>7.3134884E7</v>
      </c>
      <c r="AE676" s="1" t="s">
        <v>261</v>
      </c>
      <c r="AF676" s="1">
        <v>89774.36</v>
      </c>
      <c r="AG676" s="2">
        <v>41565.0</v>
      </c>
      <c r="AH676" s="1">
        <v>6900.0</v>
      </c>
      <c r="AI676" s="1" t="s">
        <v>151</v>
      </c>
      <c r="AJ676" s="1">
        <v>1.0</v>
      </c>
      <c r="AK676" s="1" t="s">
        <v>1613</v>
      </c>
      <c r="AL676" s="1">
        <v>11.0</v>
      </c>
      <c r="AM676" s="1">
        <v>2013.0</v>
      </c>
      <c r="AN676" s="1">
        <v>2014.0</v>
      </c>
      <c r="AO676" s="1" t="s">
        <v>229</v>
      </c>
    </row>
    <row r="677">
      <c r="A677" s="5">
        <v>1.0</v>
      </c>
      <c r="B677" s="1">
        <f t="shared" si="1"/>
        <v>677</v>
      </c>
      <c r="C677" s="1" t="s">
        <v>1724</v>
      </c>
      <c r="D677" s="1" t="s">
        <v>1724</v>
      </c>
      <c r="E677" s="1" t="s">
        <v>224</v>
      </c>
      <c r="G677" s="1">
        <v>382867.0</v>
      </c>
      <c r="H677" s="2">
        <v>41572.0</v>
      </c>
      <c r="I677" s="1" t="s">
        <v>1721</v>
      </c>
      <c r="K677" s="1" t="s">
        <v>1721</v>
      </c>
      <c r="N677" s="1" t="s">
        <v>151</v>
      </c>
      <c r="O677" s="1">
        <v>6900.0</v>
      </c>
      <c r="P677" s="1" t="s">
        <v>151</v>
      </c>
      <c r="Q677" s="1" t="str">
        <f>IF(ISERROR(VLOOKUP(P677,'unique fed agency names'!A:C,3,FALSE)),P677,VLOOKUP(P677,'unique fed agency names'!A:C,3,FALSE))
</f>
        <v>U.S. Department of Transportation (DOT)</v>
      </c>
      <c r="R677" s="1">
        <v>1.1855476E8</v>
      </c>
      <c r="S677" s="1" t="s">
        <v>983</v>
      </c>
      <c r="T677" s="1" t="str">
        <f>IF(ISERROR(VLOOKUP(S677,'unique org names'!A:C,3,FALSE)),S677,VLOOKUP(S677,'unique org names'!A:C,3,FALSE))
</f>
        <v>City of Detroit</v>
      </c>
      <c r="U677" s="1" t="s">
        <v>984</v>
      </c>
      <c r="V677" s="1" t="s">
        <v>227</v>
      </c>
      <c r="W677" s="1" t="s">
        <v>44</v>
      </c>
      <c r="X677" s="1" t="s">
        <v>45</v>
      </c>
      <c r="Y677" s="1">
        <v>4.82262886E8</v>
      </c>
      <c r="AA677" s="1" t="s">
        <v>46</v>
      </c>
      <c r="AB677" s="1" t="s">
        <v>45</v>
      </c>
      <c r="AC677" s="1">
        <v>4.82262886E8</v>
      </c>
      <c r="AD677" s="1">
        <v>6530661.0</v>
      </c>
      <c r="AE677" s="1" t="s">
        <v>76</v>
      </c>
      <c r="AF677" s="1">
        <v>382867.65</v>
      </c>
      <c r="AG677" s="2">
        <v>41572.0</v>
      </c>
      <c r="AH677" s="1">
        <v>6900.0</v>
      </c>
      <c r="AI677" s="1" t="s">
        <v>151</v>
      </c>
      <c r="AJ677" s="1">
        <v>1.0</v>
      </c>
      <c r="AK677" s="1" t="s">
        <v>1722</v>
      </c>
      <c r="AL677" s="1">
        <v>11.0</v>
      </c>
      <c r="AM677" s="1">
        <v>2013.0</v>
      </c>
      <c r="AN677" s="1">
        <v>2014.0</v>
      </c>
      <c r="AO677" s="1" t="s">
        <v>229</v>
      </c>
    </row>
    <row r="678">
      <c r="A678" s="5">
        <v>1.0</v>
      </c>
      <c r="B678" s="1">
        <f t="shared" si="1"/>
        <v>678</v>
      </c>
      <c r="C678" s="1" t="s">
        <v>1725</v>
      </c>
      <c r="D678" s="1" t="s">
        <v>1725</v>
      </c>
      <c r="E678" s="1" t="s">
        <v>224</v>
      </c>
      <c r="G678" s="1">
        <v>44092.0</v>
      </c>
      <c r="H678" s="2">
        <v>41565.0</v>
      </c>
      <c r="I678" s="1" t="s">
        <v>1610</v>
      </c>
      <c r="K678" s="1" t="s">
        <v>1610</v>
      </c>
      <c r="N678" s="1" t="s">
        <v>151</v>
      </c>
      <c r="O678" s="1">
        <v>6900.0</v>
      </c>
      <c r="P678" s="1" t="s">
        <v>151</v>
      </c>
      <c r="Q678" s="1" t="str">
        <f>IF(ISERROR(VLOOKUP(P678,'unique fed agency names'!A:C,3,FALSE)),P678,VLOOKUP(P678,'unique fed agency names'!A:C,3,FALSE))
</f>
        <v>U.S. Department of Transportation (DOT)</v>
      </c>
      <c r="R678" s="1">
        <v>9.63886101E8</v>
      </c>
      <c r="S678" s="1" t="s">
        <v>259</v>
      </c>
      <c r="T678" s="1" t="str">
        <f>IF(ISERROR(VLOOKUP(S678,'unique org names'!A:C,3,FALSE)),S678,VLOOKUP(S678,'unique org names'!A:C,3,FALSE))
</f>
        <v>Wayne County</v>
      </c>
      <c r="V678" s="1" t="s">
        <v>260</v>
      </c>
      <c r="W678" s="1" t="s">
        <v>44</v>
      </c>
      <c r="X678" s="1" t="s">
        <v>45</v>
      </c>
      <c r="Y678" s="1">
        <v>4.8226348E8</v>
      </c>
      <c r="AA678" s="1" t="s">
        <v>46</v>
      </c>
      <c r="AB678" s="1" t="s">
        <v>45</v>
      </c>
      <c r="AC678" s="1">
        <v>4.8226348E8</v>
      </c>
      <c r="AD678" s="1">
        <v>7.3134884E7</v>
      </c>
      <c r="AE678" s="1" t="s">
        <v>261</v>
      </c>
      <c r="AF678" s="1">
        <v>44092.88</v>
      </c>
      <c r="AG678" s="2">
        <v>41565.0</v>
      </c>
      <c r="AH678" s="1">
        <v>6900.0</v>
      </c>
      <c r="AI678" s="1" t="s">
        <v>151</v>
      </c>
      <c r="AJ678" s="1">
        <v>1.0</v>
      </c>
      <c r="AK678" s="1" t="s">
        <v>1613</v>
      </c>
      <c r="AL678" s="1">
        <v>11.0</v>
      </c>
      <c r="AM678" s="1">
        <v>2013.0</v>
      </c>
      <c r="AN678" s="1">
        <v>2014.0</v>
      </c>
      <c r="AO678" s="1" t="s">
        <v>229</v>
      </c>
    </row>
    <row r="679">
      <c r="A679" s="5">
        <v>1.0</v>
      </c>
      <c r="B679" s="1">
        <f t="shared" si="1"/>
        <v>679</v>
      </c>
      <c r="C679" s="1" t="s">
        <v>1426</v>
      </c>
      <c r="D679" s="1" t="s">
        <v>1426</v>
      </c>
      <c r="E679" s="1" t="s">
        <v>129</v>
      </c>
      <c r="G679" s="1">
        <v>1728394.0</v>
      </c>
      <c r="H679" s="2">
        <v>41183.0</v>
      </c>
      <c r="I679" s="1" t="s">
        <v>1427</v>
      </c>
      <c r="K679" s="1" t="s">
        <v>1427</v>
      </c>
      <c r="N679" s="1" t="s">
        <v>40</v>
      </c>
      <c r="O679" s="1">
        <v>7500.0</v>
      </c>
      <c r="P679" s="1" t="s">
        <v>40</v>
      </c>
      <c r="Q679" s="1" t="str">
        <f>IF(ISERROR(VLOOKUP(P679,'unique fed agency names'!A:C,3,FALSE)),P679,VLOOKUP(P679,'unique fed agency names'!A:C,3,FALSE))
</f>
        <v>U.S. Department of Health and Human Services (DHHS)</v>
      </c>
      <c r="R679" s="1">
        <v>7.3134603E7</v>
      </c>
      <c r="S679" s="1" t="s">
        <v>41</v>
      </c>
      <c r="T679" s="1" t="str">
        <f>IF(ISERROR(VLOOKUP(S679,'unique org names'!A:C,3,FALSE)),S679,VLOOKUP(S679,'unique org names'!A:C,3,FALSE))
</f>
        <v>Henry Ford Health System</v>
      </c>
      <c r="U679" s="1" t="s">
        <v>252</v>
      </c>
      <c r="V679" s="1" t="s">
        <v>253</v>
      </c>
      <c r="W679" s="1" t="s">
        <v>44</v>
      </c>
      <c r="X679" s="1" t="s">
        <v>45</v>
      </c>
      <c r="Y679" s="1">
        <v>4.8202345E8</v>
      </c>
      <c r="AA679" s="1" t="s">
        <v>46</v>
      </c>
      <c r="AB679" s="1" t="s">
        <v>45</v>
      </c>
      <c r="AC679" s="1">
        <v>4.8202345E8</v>
      </c>
      <c r="AD679" s="1">
        <v>7.3134603E7</v>
      </c>
      <c r="AE679" s="1" t="s">
        <v>41</v>
      </c>
      <c r="AF679" s="1">
        <v>100000.0</v>
      </c>
      <c r="AG679" s="2">
        <v>41183.0</v>
      </c>
      <c r="AH679" s="1">
        <v>7500.0</v>
      </c>
      <c r="AI679" s="1" t="s">
        <v>40</v>
      </c>
      <c r="AJ679" s="1">
        <v>2.0130119E7</v>
      </c>
      <c r="AK679" s="1" t="s">
        <v>1430</v>
      </c>
      <c r="AL679" s="1">
        <v>10.0</v>
      </c>
      <c r="AM679" s="1">
        <v>2010.0</v>
      </c>
      <c r="AN679" s="1">
        <v>2013.0</v>
      </c>
      <c r="AO679" s="1" t="s">
        <v>1431</v>
      </c>
    </row>
    <row r="680">
      <c r="A680" s="5">
        <v>1.0</v>
      </c>
      <c r="B680" s="1">
        <f t="shared" si="1"/>
        <v>680</v>
      </c>
      <c r="C680" s="1" t="s">
        <v>49</v>
      </c>
      <c r="D680" s="1" t="s">
        <v>49</v>
      </c>
      <c r="E680" s="1" t="s">
        <v>50</v>
      </c>
      <c r="G680" s="1">
        <v>1532243.0</v>
      </c>
      <c r="H680" s="2">
        <v>41562.0</v>
      </c>
      <c r="I680" s="1" t="s">
        <v>51</v>
      </c>
      <c r="K680" s="1" t="s">
        <v>51</v>
      </c>
      <c r="N680" s="1" t="s">
        <v>50</v>
      </c>
      <c r="O680" s="1">
        <v>8900.0</v>
      </c>
      <c r="P680" s="1" t="s">
        <v>50</v>
      </c>
      <c r="Q680" s="1" t="str">
        <f>IF(ISERROR(VLOOKUP(P680,'unique fed agency names'!A:C,3,FALSE)),P680,VLOOKUP(P680,'unique fed agency names'!A:C,3,FALSE))
</f>
        <v>U.S. Department of Energy</v>
      </c>
      <c r="R680" s="1">
        <v>1962224.0</v>
      </c>
      <c r="S680" s="1" t="s">
        <v>52</v>
      </c>
      <c r="T680" s="1" t="str">
        <f>IF(ISERROR(VLOOKUP(S680,'unique org names'!A:C,3,FALSE)),S680,VLOOKUP(S680,'unique org names'!A:C,3,FALSE))
</f>
        <v>WAYNE STATE UNIVERSITY</v>
      </c>
      <c r="V680" s="1" t="s">
        <v>53</v>
      </c>
      <c r="W680" s="1" t="s">
        <v>44</v>
      </c>
      <c r="X680" s="1" t="s">
        <v>45</v>
      </c>
      <c r="Y680" s="1">
        <v>4.82023692E8</v>
      </c>
      <c r="AA680" s="1" t="s">
        <v>46</v>
      </c>
      <c r="AB680" s="1" t="s">
        <v>45</v>
      </c>
      <c r="AC680" s="1">
        <v>4.8202405E8</v>
      </c>
      <c r="AD680" s="1">
        <v>1962224.0</v>
      </c>
      <c r="AE680" s="1" t="s">
        <v>52</v>
      </c>
      <c r="AF680" s="1">
        <v>25009.74</v>
      </c>
      <c r="AG680" s="2">
        <v>41562.0</v>
      </c>
      <c r="AH680" s="1">
        <v>8900.0</v>
      </c>
      <c r="AI680" s="1" t="s">
        <v>50</v>
      </c>
      <c r="AJ680" s="1" t="s">
        <v>1726</v>
      </c>
      <c r="AK680" s="1" t="s">
        <v>1727</v>
      </c>
      <c r="AL680" s="1">
        <v>11.0</v>
      </c>
      <c r="AM680" s="1">
        <v>2013.0</v>
      </c>
      <c r="AN680" s="1">
        <v>2014.0</v>
      </c>
      <c r="AO680" s="1" t="s">
        <v>56</v>
      </c>
    </row>
    <row r="681">
      <c r="A681" s="5">
        <v>1.0</v>
      </c>
      <c r="B681" s="1">
        <f t="shared" si="1"/>
        <v>681</v>
      </c>
      <c r="C681" s="1" t="s">
        <v>1728</v>
      </c>
      <c r="D681" s="1" t="s">
        <v>1728</v>
      </c>
      <c r="E681" s="1" t="s">
        <v>224</v>
      </c>
      <c r="G681" s="1">
        <v>317168.0</v>
      </c>
      <c r="H681" s="2">
        <v>41698.0</v>
      </c>
      <c r="I681" s="1" t="s">
        <v>1729</v>
      </c>
      <c r="K681" s="1" t="s">
        <v>1729</v>
      </c>
      <c r="N681" s="1" t="s">
        <v>151</v>
      </c>
      <c r="O681" s="1">
        <v>6900.0</v>
      </c>
      <c r="P681" s="1" t="s">
        <v>151</v>
      </c>
      <c r="Q681" s="1" t="str">
        <f>IF(ISERROR(VLOOKUP(P681,'unique fed agency names'!A:C,3,FALSE)),P681,VLOOKUP(P681,'unique fed agency names'!A:C,3,FALSE))
</f>
        <v>U.S. Department of Transportation (DOT)</v>
      </c>
      <c r="R681" s="1">
        <v>1.1855476E8</v>
      </c>
      <c r="S681" s="1" t="s">
        <v>983</v>
      </c>
      <c r="T681" s="1" t="str">
        <f>IF(ISERROR(VLOOKUP(S681,'unique org names'!A:C,3,FALSE)),S681,VLOOKUP(S681,'unique org names'!A:C,3,FALSE))
</f>
        <v>City of Detroit</v>
      </c>
      <c r="U681" s="1" t="s">
        <v>984</v>
      </c>
      <c r="V681" s="1" t="s">
        <v>227</v>
      </c>
      <c r="W681" s="1" t="s">
        <v>44</v>
      </c>
      <c r="X681" s="1" t="s">
        <v>45</v>
      </c>
      <c r="Y681" s="1">
        <v>4.82262886E8</v>
      </c>
      <c r="AA681" s="1" t="s">
        <v>46</v>
      </c>
      <c r="AB681" s="1" t="s">
        <v>45</v>
      </c>
      <c r="AC681" s="1">
        <v>4.82262886E8</v>
      </c>
      <c r="AD681" s="1">
        <v>6530661.0</v>
      </c>
      <c r="AE681" s="1" t="s">
        <v>76</v>
      </c>
      <c r="AF681" s="1">
        <v>317168.75</v>
      </c>
      <c r="AG681" s="2">
        <v>41698.0</v>
      </c>
      <c r="AH681" s="1">
        <v>6900.0</v>
      </c>
      <c r="AI681" s="1" t="s">
        <v>151</v>
      </c>
      <c r="AJ681" s="1">
        <v>1.0</v>
      </c>
      <c r="AK681" s="1" t="s">
        <v>1730</v>
      </c>
      <c r="AL681" s="1">
        <v>2.0</v>
      </c>
      <c r="AM681" s="1">
        <v>2014.0</v>
      </c>
      <c r="AN681" s="1">
        <v>2014.0</v>
      </c>
      <c r="AO681" s="1" t="s">
        <v>229</v>
      </c>
    </row>
    <row r="682">
      <c r="A682" s="5">
        <v>1.0</v>
      </c>
      <c r="B682" s="1">
        <f t="shared" si="1"/>
        <v>682</v>
      </c>
      <c r="C682" s="1" t="s">
        <v>1731</v>
      </c>
      <c r="D682" s="1" t="s">
        <v>1731</v>
      </c>
      <c r="E682" s="1" t="s">
        <v>224</v>
      </c>
      <c r="G682" s="1">
        <v>169407.0</v>
      </c>
      <c r="H682" s="2">
        <v>41683.0</v>
      </c>
      <c r="I682" s="1" t="s">
        <v>1732</v>
      </c>
      <c r="K682" s="1" t="s">
        <v>1732</v>
      </c>
      <c r="N682" s="1" t="s">
        <v>151</v>
      </c>
      <c r="O682" s="1">
        <v>6900.0</v>
      </c>
      <c r="P682" s="1" t="s">
        <v>151</v>
      </c>
      <c r="Q682" s="1" t="str">
        <f>IF(ISERROR(VLOOKUP(P682,'unique fed agency names'!A:C,3,FALSE)),P682,VLOOKUP(P682,'unique fed agency names'!A:C,3,FALSE))
</f>
        <v>U.S. Department of Transportation (DOT)</v>
      </c>
      <c r="R682" s="1">
        <v>9.63886101E8</v>
      </c>
      <c r="S682" s="1" t="s">
        <v>259</v>
      </c>
      <c r="T682" s="1" t="str">
        <f>IF(ISERROR(VLOOKUP(S682,'unique org names'!A:C,3,FALSE)),S682,VLOOKUP(S682,'unique org names'!A:C,3,FALSE))
</f>
        <v>Wayne County</v>
      </c>
      <c r="V682" s="1" t="s">
        <v>260</v>
      </c>
      <c r="W682" s="1" t="s">
        <v>44</v>
      </c>
      <c r="X682" s="1" t="s">
        <v>45</v>
      </c>
      <c r="Y682" s="1">
        <v>4.8226348E8</v>
      </c>
      <c r="AA682" s="1" t="s">
        <v>1733</v>
      </c>
      <c r="AB682" s="1" t="s">
        <v>45</v>
      </c>
      <c r="AC682" s="1">
        <v>4.8226348E8</v>
      </c>
      <c r="AD682" s="1">
        <v>7.3134884E7</v>
      </c>
      <c r="AE682" s="1" t="s">
        <v>261</v>
      </c>
      <c r="AF682" s="1">
        <v>169407.61</v>
      </c>
      <c r="AG682" s="2">
        <v>41683.0</v>
      </c>
      <c r="AH682" s="1">
        <v>6900.0</v>
      </c>
      <c r="AI682" s="1" t="s">
        <v>151</v>
      </c>
      <c r="AJ682" s="1">
        <v>1.0</v>
      </c>
      <c r="AK682" s="1" t="s">
        <v>1734</v>
      </c>
      <c r="AL682" s="1">
        <v>2.0</v>
      </c>
      <c r="AM682" s="1">
        <v>2014.0</v>
      </c>
      <c r="AN682" s="1">
        <v>2014.0</v>
      </c>
      <c r="AO682" s="1" t="s">
        <v>229</v>
      </c>
    </row>
    <row r="683">
      <c r="A683" s="5">
        <v>1.0</v>
      </c>
      <c r="B683" s="1">
        <f t="shared" si="1"/>
        <v>683</v>
      </c>
      <c r="C683" s="1" t="s">
        <v>1735</v>
      </c>
      <c r="D683" s="1" t="s">
        <v>1735</v>
      </c>
      <c r="E683" s="1" t="s">
        <v>224</v>
      </c>
      <c r="G683" s="1">
        <v>914206.0</v>
      </c>
      <c r="H683" s="2">
        <v>41683.0</v>
      </c>
      <c r="I683" s="1" t="s">
        <v>1732</v>
      </c>
      <c r="K683" s="1" t="s">
        <v>1732</v>
      </c>
      <c r="N683" s="1" t="s">
        <v>151</v>
      </c>
      <c r="O683" s="1">
        <v>6900.0</v>
      </c>
      <c r="P683" s="1" t="s">
        <v>151</v>
      </c>
      <c r="Q683" s="1" t="str">
        <f>IF(ISERROR(VLOOKUP(P683,'unique fed agency names'!A:C,3,FALSE)),P683,VLOOKUP(P683,'unique fed agency names'!A:C,3,FALSE))
</f>
        <v>U.S. Department of Transportation (DOT)</v>
      </c>
      <c r="R683" s="1">
        <v>9.63886101E8</v>
      </c>
      <c r="S683" s="1" t="s">
        <v>259</v>
      </c>
      <c r="T683" s="1" t="str">
        <f>IF(ISERROR(VLOOKUP(S683,'unique org names'!A:C,3,FALSE)),S683,VLOOKUP(S683,'unique org names'!A:C,3,FALSE))
</f>
        <v>Wayne County</v>
      </c>
      <c r="V683" s="1" t="s">
        <v>260</v>
      </c>
      <c r="W683" s="1" t="s">
        <v>44</v>
      </c>
      <c r="X683" s="1" t="s">
        <v>45</v>
      </c>
      <c r="Y683" s="1">
        <v>4.8226348E8</v>
      </c>
      <c r="AA683" s="1" t="s">
        <v>1733</v>
      </c>
      <c r="AB683" s="1" t="s">
        <v>45</v>
      </c>
      <c r="AC683" s="1">
        <v>4.8226348E8</v>
      </c>
      <c r="AD683" s="1">
        <v>7.3134884E7</v>
      </c>
      <c r="AE683" s="1" t="s">
        <v>261</v>
      </c>
      <c r="AF683" s="1">
        <v>914206.6</v>
      </c>
      <c r="AG683" s="2">
        <v>41683.0</v>
      </c>
      <c r="AH683" s="1">
        <v>6900.0</v>
      </c>
      <c r="AI683" s="1" t="s">
        <v>151</v>
      </c>
      <c r="AJ683" s="1">
        <v>1.0</v>
      </c>
      <c r="AK683" s="1" t="s">
        <v>1734</v>
      </c>
      <c r="AL683" s="1">
        <v>2.0</v>
      </c>
      <c r="AM683" s="1">
        <v>2014.0</v>
      </c>
      <c r="AN683" s="1">
        <v>2014.0</v>
      </c>
      <c r="AO683" s="1" t="s">
        <v>229</v>
      </c>
    </row>
    <row r="684">
      <c r="A684" s="5">
        <v>1.0</v>
      </c>
      <c r="B684" s="1">
        <f t="shared" si="1"/>
        <v>684</v>
      </c>
      <c r="C684" s="1" t="s">
        <v>1736</v>
      </c>
      <c r="D684" s="1" t="s">
        <v>1736</v>
      </c>
      <c r="E684" s="1" t="s">
        <v>224</v>
      </c>
      <c r="G684" s="1">
        <v>86782.0</v>
      </c>
      <c r="H684" s="2">
        <v>41683.0</v>
      </c>
      <c r="I684" s="1" t="s">
        <v>1737</v>
      </c>
      <c r="K684" s="1" t="s">
        <v>1737</v>
      </c>
      <c r="N684" s="1" t="s">
        <v>151</v>
      </c>
      <c r="O684" s="1">
        <v>6900.0</v>
      </c>
      <c r="P684" s="1" t="s">
        <v>151</v>
      </c>
      <c r="Q684" s="1" t="str">
        <f>IF(ISERROR(VLOOKUP(P684,'unique fed agency names'!A:C,3,FALSE)),P684,VLOOKUP(P684,'unique fed agency names'!A:C,3,FALSE))
</f>
        <v>U.S. Department of Transportation (DOT)</v>
      </c>
      <c r="R684" s="1">
        <v>1.1855476E8</v>
      </c>
      <c r="S684" s="1" t="s">
        <v>983</v>
      </c>
      <c r="T684" s="1" t="str">
        <f>IF(ISERROR(VLOOKUP(S684,'unique org names'!A:C,3,FALSE)),S684,VLOOKUP(S684,'unique org names'!A:C,3,FALSE))
</f>
        <v>City of Detroit</v>
      </c>
      <c r="U684" s="1" t="s">
        <v>984</v>
      </c>
      <c r="V684" s="1" t="s">
        <v>227</v>
      </c>
      <c r="W684" s="1" t="s">
        <v>44</v>
      </c>
      <c r="X684" s="1" t="s">
        <v>45</v>
      </c>
      <c r="Y684" s="1">
        <v>4.82262886E8</v>
      </c>
      <c r="AA684" s="1" t="s">
        <v>46</v>
      </c>
      <c r="AB684" s="1" t="s">
        <v>45</v>
      </c>
      <c r="AC684" s="1">
        <v>4.82262886E8</v>
      </c>
      <c r="AD684" s="1">
        <v>6530661.0</v>
      </c>
      <c r="AE684" s="1" t="s">
        <v>76</v>
      </c>
      <c r="AF684" s="1">
        <v>86782.61</v>
      </c>
      <c r="AG684" s="2">
        <v>41683.0</v>
      </c>
      <c r="AH684" s="1">
        <v>6900.0</v>
      </c>
      <c r="AI684" s="1" t="s">
        <v>151</v>
      </c>
      <c r="AJ684" s="1">
        <v>1.0</v>
      </c>
      <c r="AK684" s="1" t="s">
        <v>1738</v>
      </c>
      <c r="AL684" s="1">
        <v>2.0</v>
      </c>
      <c r="AM684" s="1">
        <v>2014.0</v>
      </c>
      <c r="AN684" s="1">
        <v>2014.0</v>
      </c>
      <c r="AO684" s="1" t="s">
        <v>229</v>
      </c>
    </row>
    <row r="685">
      <c r="A685" s="5">
        <v>1.0</v>
      </c>
      <c r="B685" s="1">
        <f t="shared" si="1"/>
        <v>685</v>
      </c>
      <c r="C685" s="1" t="s">
        <v>1739</v>
      </c>
      <c r="D685" s="1" t="s">
        <v>1739</v>
      </c>
      <c r="E685" s="1" t="s">
        <v>1740</v>
      </c>
      <c r="G685" s="1">
        <v>50000.0</v>
      </c>
      <c r="H685" s="2">
        <v>41677.0</v>
      </c>
      <c r="I685" s="1" t="s">
        <v>1741</v>
      </c>
      <c r="K685" s="1" t="s">
        <v>1741</v>
      </c>
      <c r="N685" s="1" t="s">
        <v>1305</v>
      </c>
      <c r="O685" s="1">
        <v>1300.0</v>
      </c>
      <c r="P685" s="1" t="s">
        <v>1305</v>
      </c>
      <c r="Q685" s="1" t="str">
        <f>IF(ISERROR(VLOOKUP(P685,'unique fed agency names'!A:C,3,FALSE)),P685,VLOOKUP(P685,'unique fed agency names'!A:C,3,FALSE))
</f>
        <v>U.S. Department of Commerce (DOC)</v>
      </c>
      <c r="R685" s="1">
        <v>1962224.0</v>
      </c>
      <c r="S685" s="1" t="s">
        <v>52</v>
      </c>
      <c r="T685" s="1" t="str">
        <f>IF(ISERROR(VLOOKUP(S685,'unique org names'!A:C,3,FALSE)),S685,VLOOKUP(S685,'unique org names'!A:C,3,FALSE))
</f>
        <v>WAYNE STATE UNIVERSITY</v>
      </c>
      <c r="U685" s="1" t="s">
        <v>1566</v>
      </c>
      <c r="V685" s="1" t="s">
        <v>53</v>
      </c>
      <c r="W685" s="1" t="s">
        <v>44</v>
      </c>
      <c r="X685" s="1" t="s">
        <v>45</v>
      </c>
      <c r="Y685" s="1">
        <v>4.82023692E8</v>
      </c>
      <c r="AA685" s="1" t="s">
        <v>46</v>
      </c>
      <c r="AB685" s="1" t="s">
        <v>45</v>
      </c>
      <c r="AC685" s="1">
        <v>4.8202405E8</v>
      </c>
      <c r="AD685" s="1">
        <v>1962224.0</v>
      </c>
      <c r="AE685" s="1" t="s">
        <v>52</v>
      </c>
      <c r="AF685" s="1">
        <v>25000.0</v>
      </c>
      <c r="AG685" s="2">
        <v>41677.0</v>
      </c>
      <c r="AH685" s="1">
        <v>1300.0</v>
      </c>
      <c r="AI685" s="1" t="s">
        <v>1305</v>
      </c>
      <c r="AJ685" s="1" t="s">
        <v>1742</v>
      </c>
      <c r="AK685" s="1" t="s">
        <v>1743</v>
      </c>
      <c r="AL685" s="1">
        <v>3.0</v>
      </c>
      <c r="AM685" s="1">
        <v>2014.0</v>
      </c>
      <c r="AN685" s="1">
        <v>2014.0</v>
      </c>
      <c r="AO685" s="1" t="s">
        <v>1744</v>
      </c>
    </row>
    <row r="686">
      <c r="A686" s="5">
        <v>1.0</v>
      </c>
      <c r="B686" s="1">
        <f t="shared" si="1"/>
        <v>686</v>
      </c>
      <c r="C686" s="1" t="s">
        <v>1745</v>
      </c>
      <c r="D686" s="1" t="s">
        <v>1745</v>
      </c>
      <c r="E686" s="1" t="s">
        <v>38</v>
      </c>
      <c r="G686" s="1">
        <v>727923.0</v>
      </c>
      <c r="H686" s="2">
        <v>41732.0</v>
      </c>
      <c r="I686" s="1" t="s">
        <v>1746</v>
      </c>
      <c r="K686" s="1" t="s">
        <v>1746</v>
      </c>
      <c r="N686" s="1" t="s">
        <v>40</v>
      </c>
      <c r="O686" s="1">
        <v>7500.0</v>
      </c>
      <c r="P686" s="1" t="s">
        <v>40</v>
      </c>
      <c r="Q686" s="1" t="str">
        <f>IF(ISERROR(VLOOKUP(P686,'unique fed agency names'!A:C,3,FALSE)),P686,VLOOKUP(P686,'unique fed agency names'!A:C,3,FALSE))
</f>
        <v>U.S. Department of Health and Human Services (DHHS)</v>
      </c>
      <c r="R686" s="1">
        <v>1962224.0</v>
      </c>
      <c r="S686" s="1" t="s">
        <v>52</v>
      </c>
      <c r="T686" s="1" t="str">
        <f>IF(ISERROR(VLOOKUP(S686,'unique org names'!A:C,3,FALSE)),S686,VLOOKUP(S686,'unique org names'!A:C,3,FALSE))
</f>
        <v>WAYNE STATE UNIVERSITY</v>
      </c>
      <c r="U686" s="1" t="s">
        <v>1566</v>
      </c>
      <c r="V686" s="1" t="s">
        <v>53</v>
      </c>
      <c r="W686" s="1" t="s">
        <v>44</v>
      </c>
      <c r="X686" s="1" t="s">
        <v>45</v>
      </c>
      <c r="Y686" s="1">
        <v>4.82023692E8</v>
      </c>
      <c r="AA686" s="1" t="s">
        <v>46</v>
      </c>
      <c r="AB686" s="1" t="s">
        <v>45</v>
      </c>
      <c r="AC686" s="1">
        <v>4.8201205E8</v>
      </c>
      <c r="AD686" s="1">
        <v>1962224.0</v>
      </c>
      <c r="AE686" s="1" t="s">
        <v>52</v>
      </c>
      <c r="AF686" s="1">
        <v>30120.0</v>
      </c>
      <c r="AG686" s="2">
        <v>41732.0</v>
      </c>
      <c r="AH686" s="1">
        <v>7500.0</v>
      </c>
      <c r="AI686" s="1" t="s">
        <v>40</v>
      </c>
      <c r="AJ686" s="1" t="s">
        <v>1747</v>
      </c>
      <c r="AK686" s="1" t="s">
        <v>1748</v>
      </c>
      <c r="AL686" s="1">
        <v>4.0</v>
      </c>
      <c r="AM686" s="1">
        <v>2014.0</v>
      </c>
      <c r="AN686" s="1">
        <v>2014.0</v>
      </c>
      <c r="AO686" s="1" t="s">
        <v>1749</v>
      </c>
    </row>
    <row r="687">
      <c r="A687" s="5">
        <v>1.0</v>
      </c>
      <c r="B687" s="1">
        <f t="shared" si="1"/>
        <v>687</v>
      </c>
      <c r="C687" s="1" t="s">
        <v>203</v>
      </c>
      <c r="D687" s="1" t="s">
        <v>203</v>
      </c>
      <c r="E687" s="1" t="s">
        <v>100</v>
      </c>
      <c r="G687" s="1">
        <v>2.2173386E7</v>
      </c>
      <c r="H687" s="2">
        <v>41675.0</v>
      </c>
      <c r="I687" s="1" t="s">
        <v>122</v>
      </c>
      <c r="K687" s="1" t="s">
        <v>122</v>
      </c>
      <c r="N687" s="1" t="s">
        <v>102</v>
      </c>
      <c r="O687" s="1">
        <v>8600.0</v>
      </c>
      <c r="P687" s="1" t="s">
        <v>102</v>
      </c>
      <c r="Q687" s="1" t="str">
        <f>IF(ISERROR(VLOOKUP(P687,'unique fed agency names'!A:C,3,FALSE)),P687,VLOOKUP(P687,'unique fed agency names'!A:C,3,FALSE))
</f>
        <v>U.S. Department of Housing and Urban Development (HUD)</v>
      </c>
      <c r="R687" s="1">
        <v>9.64523815E8</v>
      </c>
      <c r="S687" s="1" t="s">
        <v>123</v>
      </c>
      <c r="T687" s="1" t="str">
        <f>IF(ISERROR(VLOOKUP(S687,'unique org names'!A:C,3,FALSE)),S687,VLOOKUP(S687,'unique org names'!A:C,3,FALSE))
</f>
        <v>GRANDMONT ROSEDALE DEVELOPMENT CORPORATION</v>
      </c>
      <c r="U687" s="1" t="s">
        <v>124</v>
      </c>
      <c r="V687" s="1" t="s">
        <v>125</v>
      </c>
      <c r="W687" s="1" t="s">
        <v>44</v>
      </c>
      <c r="X687" s="1" t="s">
        <v>45</v>
      </c>
      <c r="Y687" s="1">
        <v>4.82231227E8</v>
      </c>
      <c r="AA687" s="1" t="s">
        <v>46</v>
      </c>
      <c r="AB687" s="1" t="s">
        <v>45</v>
      </c>
      <c r="AC687" s="1">
        <v>4.82231227E8</v>
      </c>
      <c r="AF687" s="1">
        <v>25000.0</v>
      </c>
      <c r="AG687" s="2">
        <v>41675.0</v>
      </c>
      <c r="AH687" s="1">
        <v>8600.0</v>
      </c>
      <c r="AI687" s="1" t="s">
        <v>102</v>
      </c>
      <c r="AJ687" s="1" t="s">
        <v>1750</v>
      </c>
      <c r="AK687" s="1" t="s">
        <v>1751</v>
      </c>
      <c r="AL687" s="1">
        <v>2.0</v>
      </c>
      <c r="AM687" s="1">
        <v>2014.0</v>
      </c>
      <c r="AN687" s="1">
        <v>2014.0</v>
      </c>
      <c r="AO687" s="1" t="s">
        <v>127</v>
      </c>
    </row>
    <row r="688">
      <c r="A688" s="5">
        <v>1.0</v>
      </c>
      <c r="B688" s="1">
        <f t="shared" si="1"/>
        <v>688</v>
      </c>
      <c r="C688" s="1" t="s">
        <v>1752</v>
      </c>
      <c r="D688" s="1" t="s">
        <v>1752</v>
      </c>
      <c r="E688" s="1" t="s">
        <v>224</v>
      </c>
      <c r="G688" s="1">
        <v>565717.0</v>
      </c>
      <c r="H688" s="2">
        <v>41683.0</v>
      </c>
      <c r="I688" s="1" t="s">
        <v>1737</v>
      </c>
      <c r="K688" s="1" t="s">
        <v>1737</v>
      </c>
      <c r="N688" s="1" t="s">
        <v>151</v>
      </c>
      <c r="O688" s="1">
        <v>6900.0</v>
      </c>
      <c r="P688" s="1" t="s">
        <v>151</v>
      </c>
      <c r="Q688" s="1" t="str">
        <f>IF(ISERROR(VLOOKUP(P688,'unique fed agency names'!A:C,3,FALSE)),P688,VLOOKUP(P688,'unique fed agency names'!A:C,3,FALSE))
</f>
        <v>U.S. Department of Transportation (DOT)</v>
      </c>
      <c r="R688" s="1">
        <v>1.1855476E8</v>
      </c>
      <c r="S688" s="1" t="s">
        <v>983</v>
      </c>
      <c r="T688" s="1" t="str">
        <f>IF(ISERROR(VLOOKUP(S688,'unique org names'!A:C,3,FALSE)),S688,VLOOKUP(S688,'unique org names'!A:C,3,FALSE))
</f>
        <v>City of Detroit</v>
      </c>
      <c r="U688" s="1" t="s">
        <v>984</v>
      </c>
      <c r="V688" s="1" t="s">
        <v>227</v>
      </c>
      <c r="W688" s="1" t="s">
        <v>44</v>
      </c>
      <c r="X688" s="1" t="s">
        <v>45</v>
      </c>
      <c r="Y688" s="1">
        <v>4.82262886E8</v>
      </c>
      <c r="AA688" s="1" t="s">
        <v>46</v>
      </c>
      <c r="AB688" s="1" t="s">
        <v>45</v>
      </c>
      <c r="AC688" s="1">
        <v>4.82262886E8</v>
      </c>
      <c r="AD688" s="1">
        <v>6530661.0</v>
      </c>
      <c r="AE688" s="1" t="s">
        <v>76</v>
      </c>
      <c r="AF688" s="1">
        <v>565717.39</v>
      </c>
      <c r="AG688" s="2">
        <v>41683.0</v>
      </c>
      <c r="AH688" s="1">
        <v>6900.0</v>
      </c>
      <c r="AI688" s="1" t="s">
        <v>151</v>
      </c>
      <c r="AJ688" s="1">
        <v>1.0</v>
      </c>
      <c r="AK688" s="1" t="s">
        <v>1738</v>
      </c>
      <c r="AL688" s="1">
        <v>2.0</v>
      </c>
      <c r="AM688" s="1">
        <v>2014.0</v>
      </c>
      <c r="AN688" s="1">
        <v>2014.0</v>
      </c>
      <c r="AO688" s="1" t="s">
        <v>229</v>
      </c>
    </row>
    <row r="689">
      <c r="A689" s="5">
        <v>1.0</v>
      </c>
      <c r="B689" s="1">
        <f t="shared" si="1"/>
        <v>689</v>
      </c>
      <c r="C689" s="1" t="s">
        <v>1753</v>
      </c>
      <c r="D689" s="1" t="s">
        <v>1753</v>
      </c>
      <c r="E689" s="1" t="s">
        <v>224</v>
      </c>
      <c r="G689" s="1">
        <v>1788422.0</v>
      </c>
      <c r="H689" s="2">
        <v>41698.0</v>
      </c>
      <c r="I689" s="1" t="s">
        <v>1729</v>
      </c>
      <c r="K689" s="1" t="s">
        <v>1729</v>
      </c>
      <c r="N689" s="1" t="s">
        <v>151</v>
      </c>
      <c r="O689" s="1">
        <v>6900.0</v>
      </c>
      <c r="P689" s="1" t="s">
        <v>151</v>
      </c>
      <c r="Q689" s="1" t="str">
        <f>IF(ISERROR(VLOOKUP(P689,'unique fed agency names'!A:C,3,FALSE)),P689,VLOOKUP(P689,'unique fed agency names'!A:C,3,FALSE))
</f>
        <v>U.S. Department of Transportation (DOT)</v>
      </c>
      <c r="R689" s="1">
        <v>1.1855476E8</v>
      </c>
      <c r="S689" s="1" t="s">
        <v>983</v>
      </c>
      <c r="T689" s="1" t="str">
        <f>IF(ISERROR(VLOOKUP(S689,'unique org names'!A:C,3,FALSE)),S689,VLOOKUP(S689,'unique org names'!A:C,3,FALSE))
</f>
        <v>City of Detroit</v>
      </c>
      <c r="U689" s="1" t="s">
        <v>984</v>
      </c>
      <c r="V689" s="1" t="s">
        <v>227</v>
      </c>
      <c r="W689" s="1" t="s">
        <v>44</v>
      </c>
      <c r="X689" s="1" t="s">
        <v>45</v>
      </c>
      <c r="Y689" s="1">
        <v>4.82262886E8</v>
      </c>
      <c r="AA689" s="1" t="s">
        <v>46</v>
      </c>
      <c r="AB689" s="1" t="s">
        <v>45</v>
      </c>
      <c r="AC689" s="1">
        <v>4.82262886E8</v>
      </c>
      <c r="AD689" s="1">
        <v>6530661.0</v>
      </c>
      <c r="AE689" s="1" t="s">
        <v>76</v>
      </c>
      <c r="AF689" s="1">
        <v>1788422.5</v>
      </c>
      <c r="AG689" s="2">
        <v>41698.0</v>
      </c>
      <c r="AH689" s="1">
        <v>6900.0</v>
      </c>
      <c r="AI689" s="1" t="s">
        <v>151</v>
      </c>
      <c r="AJ689" s="1">
        <v>1.0</v>
      </c>
      <c r="AK689" s="1" t="s">
        <v>1730</v>
      </c>
      <c r="AL689" s="1">
        <v>2.0</v>
      </c>
      <c r="AM689" s="1">
        <v>2014.0</v>
      </c>
      <c r="AN689" s="1">
        <v>2014.0</v>
      </c>
      <c r="AO689" s="1" t="s">
        <v>229</v>
      </c>
    </row>
    <row r="690">
      <c r="A690" s="5">
        <v>1.0</v>
      </c>
      <c r="B690" s="1">
        <f t="shared" si="1"/>
        <v>690</v>
      </c>
      <c r="C690" s="1" t="s">
        <v>1754</v>
      </c>
      <c r="D690" s="1" t="s">
        <v>1754</v>
      </c>
      <c r="E690" s="1" t="s">
        <v>224</v>
      </c>
      <c r="G690" s="1">
        <v>418100.0</v>
      </c>
      <c r="H690" s="2">
        <v>41680.0</v>
      </c>
      <c r="I690" s="1" t="s">
        <v>1755</v>
      </c>
      <c r="K690" s="1" t="s">
        <v>1755</v>
      </c>
      <c r="N690" s="1" t="s">
        <v>151</v>
      </c>
      <c r="O690" s="1">
        <v>6900.0</v>
      </c>
      <c r="P690" s="1" t="s">
        <v>151</v>
      </c>
      <c r="Q690" s="1" t="str">
        <f>IF(ISERROR(VLOOKUP(P690,'unique fed agency names'!A:C,3,FALSE)),P690,VLOOKUP(P690,'unique fed agency names'!A:C,3,FALSE))
</f>
        <v>U.S. Department of Transportation (DOT)</v>
      </c>
      <c r="R690" s="1">
        <v>1.1855476E8</v>
      </c>
      <c r="S690" s="1" t="s">
        <v>983</v>
      </c>
      <c r="T690" s="1" t="str">
        <f>IF(ISERROR(VLOOKUP(S690,'unique org names'!A:C,3,FALSE)),S690,VLOOKUP(S690,'unique org names'!A:C,3,FALSE))
</f>
        <v>City of Detroit</v>
      </c>
      <c r="U690" s="1" t="s">
        <v>984</v>
      </c>
      <c r="V690" s="1" t="s">
        <v>227</v>
      </c>
      <c r="W690" s="1" t="s">
        <v>44</v>
      </c>
      <c r="X690" s="1" t="s">
        <v>45</v>
      </c>
      <c r="Y690" s="1">
        <v>4.82262886E8</v>
      </c>
      <c r="AA690" s="1" t="s">
        <v>46</v>
      </c>
      <c r="AB690" s="1" t="s">
        <v>45</v>
      </c>
      <c r="AC690" s="1">
        <v>4.82262886E8</v>
      </c>
      <c r="AD690" s="1">
        <v>6530661.0</v>
      </c>
      <c r="AE690" s="1" t="s">
        <v>76</v>
      </c>
      <c r="AF690" s="1">
        <v>418100.42</v>
      </c>
      <c r="AG690" s="2">
        <v>41680.0</v>
      </c>
      <c r="AH690" s="1">
        <v>6900.0</v>
      </c>
      <c r="AI690" s="1" t="s">
        <v>151</v>
      </c>
      <c r="AJ690" s="1">
        <v>1.0</v>
      </c>
      <c r="AK690" s="1" t="s">
        <v>1756</v>
      </c>
      <c r="AL690" s="1">
        <v>2.0</v>
      </c>
      <c r="AM690" s="1">
        <v>2014.0</v>
      </c>
      <c r="AN690" s="1">
        <v>2014.0</v>
      </c>
      <c r="AO690" s="1" t="s">
        <v>229</v>
      </c>
    </row>
    <row r="691">
      <c r="A691" s="5">
        <v>1.0</v>
      </c>
      <c r="B691" s="1">
        <f t="shared" si="1"/>
        <v>691</v>
      </c>
      <c r="C691" s="1" t="s">
        <v>1757</v>
      </c>
      <c r="D691" s="1" t="s">
        <v>1757</v>
      </c>
      <c r="E691" s="1" t="s">
        <v>224</v>
      </c>
      <c r="G691" s="1">
        <v>137837.0</v>
      </c>
      <c r="H691" s="2">
        <v>41683.0</v>
      </c>
      <c r="I691" s="1" t="s">
        <v>1732</v>
      </c>
      <c r="K691" s="1" t="s">
        <v>1732</v>
      </c>
      <c r="N691" s="1" t="s">
        <v>151</v>
      </c>
      <c r="O691" s="1">
        <v>6900.0</v>
      </c>
      <c r="P691" s="1" t="s">
        <v>151</v>
      </c>
      <c r="Q691" s="1" t="str">
        <f>IF(ISERROR(VLOOKUP(P691,'unique fed agency names'!A:C,3,FALSE)),P691,VLOOKUP(P691,'unique fed agency names'!A:C,3,FALSE))
</f>
        <v>U.S. Department of Transportation (DOT)</v>
      </c>
      <c r="R691" s="1">
        <v>9.63886101E8</v>
      </c>
      <c r="S691" s="1" t="s">
        <v>259</v>
      </c>
      <c r="T691" s="1" t="str">
        <f>IF(ISERROR(VLOOKUP(S691,'unique org names'!A:C,3,FALSE)),S691,VLOOKUP(S691,'unique org names'!A:C,3,FALSE))
</f>
        <v>Wayne County</v>
      </c>
      <c r="V691" s="1" t="s">
        <v>260</v>
      </c>
      <c r="W691" s="1" t="s">
        <v>44</v>
      </c>
      <c r="X691" s="1" t="s">
        <v>45</v>
      </c>
      <c r="Y691" s="1">
        <v>4.8226348E8</v>
      </c>
      <c r="AA691" s="1" t="s">
        <v>1733</v>
      </c>
      <c r="AB691" s="1" t="s">
        <v>45</v>
      </c>
      <c r="AC691" s="1">
        <v>4.8226348E8</v>
      </c>
      <c r="AD691" s="1">
        <v>7.3134884E7</v>
      </c>
      <c r="AE691" s="1" t="s">
        <v>261</v>
      </c>
      <c r="AF691" s="1">
        <v>137837.84</v>
      </c>
      <c r="AG691" s="2">
        <v>41683.0</v>
      </c>
      <c r="AH691" s="1">
        <v>6900.0</v>
      </c>
      <c r="AI691" s="1" t="s">
        <v>151</v>
      </c>
      <c r="AJ691" s="1">
        <v>1.0</v>
      </c>
      <c r="AK691" s="1" t="s">
        <v>1734</v>
      </c>
      <c r="AL691" s="1">
        <v>2.0</v>
      </c>
      <c r="AM691" s="1">
        <v>2014.0</v>
      </c>
      <c r="AN691" s="1">
        <v>2014.0</v>
      </c>
      <c r="AO691" s="1" t="s">
        <v>229</v>
      </c>
    </row>
    <row r="692">
      <c r="A692" s="5">
        <v>1.0</v>
      </c>
      <c r="B692" s="1">
        <f t="shared" si="1"/>
        <v>692</v>
      </c>
      <c r="C692" s="1" t="s">
        <v>1758</v>
      </c>
      <c r="D692" s="1" t="s">
        <v>1758</v>
      </c>
      <c r="E692" s="1" t="s">
        <v>224</v>
      </c>
      <c r="G692" s="1">
        <v>1123592.0</v>
      </c>
      <c r="H692" s="2">
        <v>41683.0</v>
      </c>
      <c r="I692" s="1" t="s">
        <v>1732</v>
      </c>
      <c r="K692" s="1" t="s">
        <v>1732</v>
      </c>
      <c r="N692" s="1" t="s">
        <v>151</v>
      </c>
      <c r="O692" s="1">
        <v>6900.0</v>
      </c>
      <c r="P692" s="1" t="s">
        <v>151</v>
      </c>
      <c r="Q692" s="1" t="str">
        <f>IF(ISERROR(VLOOKUP(P692,'unique fed agency names'!A:C,3,FALSE)),P692,VLOOKUP(P692,'unique fed agency names'!A:C,3,FALSE))
</f>
        <v>U.S. Department of Transportation (DOT)</v>
      </c>
      <c r="R692" s="1">
        <v>9.63886101E8</v>
      </c>
      <c r="S692" s="1" t="s">
        <v>259</v>
      </c>
      <c r="T692" s="1" t="str">
        <f>IF(ISERROR(VLOOKUP(S692,'unique org names'!A:C,3,FALSE)),S692,VLOOKUP(S692,'unique org names'!A:C,3,FALSE))
</f>
        <v>Wayne County</v>
      </c>
      <c r="V692" s="1" t="s">
        <v>260</v>
      </c>
      <c r="W692" s="1" t="s">
        <v>44</v>
      </c>
      <c r="X692" s="1" t="s">
        <v>45</v>
      </c>
      <c r="Y692" s="1">
        <v>4.8226348E8</v>
      </c>
      <c r="AA692" s="1" t="s">
        <v>46</v>
      </c>
      <c r="AB692" s="1" t="s">
        <v>45</v>
      </c>
      <c r="AC692" s="1">
        <v>4.8226348E8</v>
      </c>
      <c r="AD692" s="1">
        <v>7.3134884E7</v>
      </c>
      <c r="AE692" s="1" t="s">
        <v>261</v>
      </c>
      <c r="AF692" s="1">
        <v>1123592.39</v>
      </c>
      <c r="AG692" s="2">
        <v>41683.0</v>
      </c>
      <c r="AH692" s="1">
        <v>6900.0</v>
      </c>
      <c r="AI692" s="1" t="s">
        <v>151</v>
      </c>
      <c r="AJ692" s="1">
        <v>1.0</v>
      </c>
      <c r="AK692" s="1" t="s">
        <v>1759</v>
      </c>
      <c r="AL692" s="1">
        <v>2.0</v>
      </c>
      <c r="AM692" s="1">
        <v>2014.0</v>
      </c>
      <c r="AN692" s="1">
        <v>2014.0</v>
      </c>
      <c r="AO692" s="1" t="s">
        <v>229</v>
      </c>
    </row>
    <row r="693">
      <c r="A693" s="5">
        <v>1.0</v>
      </c>
      <c r="B693" s="1">
        <f t="shared" si="1"/>
        <v>693</v>
      </c>
      <c r="C693" s="1" t="s">
        <v>1760</v>
      </c>
      <c r="D693" s="1" t="s">
        <v>1760</v>
      </c>
      <c r="E693" s="1" t="s">
        <v>224</v>
      </c>
      <c r="G693" s="1">
        <v>468000.0</v>
      </c>
      <c r="H693" s="2">
        <v>41680.0</v>
      </c>
      <c r="I693" s="1" t="s">
        <v>1761</v>
      </c>
      <c r="K693" s="1" t="s">
        <v>1761</v>
      </c>
      <c r="N693" s="1" t="s">
        <v>151</v>
      </c>
      <c r="O693" s="1">
        <v>6900.0</v>
      </c>
      <c r="P693" s="1" t="s">
        <v>151</v>
      </c>
      <c r="Q693" s="1" t="str">
        <f>IF(ISERROR(VLOOKUP(P693,'unique fed agency names'!A:C,3,FALSE)),P693,VLOOKUP(P693,'unique fed agency names'!A:C,3,FALSE))
</f>
        <v>U.S. Department of Transportation (DOT)</v>
      </c>
      <c r="R693" s="1">
        <v>1.1855476E8</v>
      </c>
      <c r="S693" s="1" t="s">
        <v>983</v>
      </c>
      <c r="T693" s="1" t="str">
        <f>IF(ISERROR(VLOOKUP(S693,'unique org names'!A:C,3,FALSE)),S693,VLOOKUP(S693,'unique org names'!A:C,3,FALSE))
</f>
        <v>City of Detroit</v>
      </c>
      <c r="U693" s="1" t="s">
        <v>984</v>
      </c>
      <c r="V693" s="1" t="s">
        <v>227</v>
      </c>
      <c r="W693" s="1" t="s">
        <v>44</v>
      </c>
      <c r="X693" s="1" t="s">
        <v>45</v>
      </c>
      <c r="Y693" s="1">
        <v>4.82262886E8</v>
      </c>
      <c r="AA693" s="1" t="s">
        <v>46</v>
      </c>
      <c r="AB693" s="1" t="s">
        <v>45</v>
      </c>
      <c r="AC693" s="1">
        <v>4.82262886E8</v>
      </c>
      <c r="AD693" s="1">
        <v>6530661.0</v>
      </c>
      <c r="AE693" s="1" t="s">
        <v>76</v>
      </c>
      <c r="AF693" s="1">
        <v>468000.0</v>
      </c>
      <c r="AG693" s="2">
        <v>41680.0</v>
      </c>
      <c r="AH693" s="1">
        <v>6900.0</v>
      </c>
      <c r="AI693" s="1" t="s">
        <v>151</v>
      </c>
      <c r="AJ693" s="1">
        <v>1.0</v>
      </c>
      <c r="AK693" s="1" t="s">
        <v>1762</v>
      </c>
      <c r="AL693" s="1">
        <v>2.0</v>
      </c>
      <c r="AM693" s="1">
        <v>2014.0</v>
      </c>
      <c r="AN693" s="1">
        <v>2014.0</v>
      </c>
      <c r="AO693" s="1" t="s">
        <v>229</v>
      </c>
    </row>
    <row r="694">
      <c r="A694" s="5">
        <v>1.0</v>
      </c>
      <c r="B694" s="1">
        <f t="shared" si="1"/>
        <v>694</v>
      </c>
      <c r="C694" s="1" t="s">
        <v>1763</v>
      </c>
      <c r="D694" s="1" t="s">
        <v>1763</v>
      </c>
      <c r="E694" s="1" t="s">
        <v>224</v>
      </c>
      <c r="G694" s="1">
        <v>567954.0</v>
      </c>
      <c r="H694" s="2">
        <v>41689.0</v>
      </c>
      <c r="I694" s="1" t="s">
        <v>1764</v>
      </c>
      <c r="K694" s="1" t="s">
        <v>1764</v>
      </c>
      <c r="N694" s="1" t="s">
        <v>151</v>
      </c>
      <c r="O694" s="1">
        <v>6900.0</v>
      </c>
      <c r="P694" s="1" t="s">
        <v>151</v>
      </c>
      <c r="Q694" s="1" t="str">
        <f>IF(ISERROR(VLOOKUP(P694,'unique fed agency names'!A:C,3,FALSE)),P694,VLOOKUP(P694,'unique fed agency names'!A:C,3,FALSE))
</f>
        <v>U.S. Department of Transportation (DOT)</v>
      </c>
      <c r="R694" s="1">
        <v>1.1855476E8</v>
      </c>
      <c r="S694" s="1" t="s">
        <v>983</v>
      </c>
      <c r="T694" s="1" t="str">
        <f>IF(ISERROR(VLOOKUP(S694,'unique org names'!A:C,3,FALSE)),S694,VLOOKUP(S694,'unique org names'!A:C,3,FALSE))
</f>
        <v>City of Detroit</v>
      </c>
      <c r="U694" s="1" t="s">
        <v>984</v>
      </c>
      <c r="V694" s="1" t="s">
        <v>227</v>
      </c>
      <c r="W694" s="1" t="s">
        <v>44</v>
      </c>
      <c r="X694" s="1" t="s">
        <v>45</v>
      </c>
      <c r="Y694" s="1">
        <v>4.82262886E8</v>
      </c>
      <c r="AA694" s="1" t="s">
        <v>46</v>
      </c>
      <c r="AB694" s="1" t="s">
        <v>45</v>
      </c>
      <c r="AC694" s="1">
        <v>4.82262886E8</v>
      </c>
      <c r="AD694" s="1">
        <v>6530661.0</v>
      </c>
      <c r="AE694" s="1" t="s">
        <v>76</v>
      </c>
      <c r="AF694" s="1">
        <v>567954.9</v>
      </c>
      <c r="AG694" s="2">
        <v>41689.0</v>
      </c>
      <c r="AH694" s="1">
        <v>6900.0</v>
      </c>
      <c r="AI694" s="1" t="s">
        <v>151</v>
      </c>
      <c r="AJ694" s="1">
        <v>1.0</v>
      </c>
      <c r="AK694" s="1" t="s">
        <v>1765</v>
      </c>
      <c r="AL694" s="1">
        <v>2.0</v>
      </c>
      <c r="AM694" s="1">
        <v>2014.0</v>
      </c>
      <c r="AN694" s="1">
        <v>2014.0</v>
      </c>
      <c r="AO694" s="1" t="s">
        <v>229</v>
      </c>
    </row>
    <row r="695">
      <c r="A695" s="5">
        <v>1.0</v>
      </c>
      <c r="B695" s="1">
        <f t="shared" si="1"/>
        <v>695</v>
      </c>
      <c r="C695" s="1" t="s">
        <v>1766</v>
      </c>
      <c r="D695" s="1" t="s">
        <v>1766</v>
      </c>
      <c r="E695" s="1" t="s">
        <v>224</v>
      </c>
      <c r="G695" s="1">
        <v>400000.0</v>
      </c>
      <c r="H695" s="2">
        <v>41694.0</v>
      </c>
      <c r="I695" s="1" t="s">
        <v>1767</v>
      </c>
      <c r="K695" s="1" t="s">
        <v>1767</v>
      </c>
      <c r="N695" s="1" t="s">
        <v>151</v>
      </c>
      <c r="O695" s="1">
        <v>6900.0</v>
      </c>
      <c r="P695" s="1" t="s">
        <v>151</v>
      </c>
      <c r="Q695" s="1" t="str">
        <f>IF(ISERROR(VLOOKUP(P695,'unique fed agency names'!A:C,3,FALSE)),P695,VLOOKUP(P695,'unique fed agency names'!A:C,3,FALSE))
</f>
        <v>U.S. Department of Transportation (DOT)</v>
      </c>
      <c r="R695" s="1">
        <v>9.63886101E8</v>
      </c>
      <c r="S695" s="1" t="s">
        <v>259</v>
      </c>
      <c r="T695" s="1" t="str">
        <f>IF(ISERROR(VLOOKUP(S695,'unique org names'!A:C,3,FALSE)),S695,VLOOKUP(S695,'unique org names'!A:C,3,FALSE))
</f>
        <v>Wayne County</v>
      </c>
      <c r="V695" s="1" t="s">
        <v>260</v>
      </c>
      <c r="W695" s="1" t="s">
        <v>44</v>
      </c>
      <c r="X695" s="1" t="s">
        <v>45</v>
      </c>
      <c r="Y695" s="1">
        <v>4.8226348E8</v>
      </c>
      <c r="AA695" s="1" t="s">
        <v>1733</v>
      </c>
      <c r="AB695" s="1" t="s">
        <v>45</v>
      </c>
      <c r="AC695" s="1">
        <v>4.8226348E8</v>
      </c>
      <c r="AD695" s="1">
        <v>7.3134884E7</v>
      </c>
      <c r="AE695" s="1" t="s">
        <v>261</v>
      </c>
      <c r="AF695" s="1">
        <v>400000.0</v>
      </c>
      <c r="AG695" s="2">
        <v>41694.0</v>
      </c>
      <c r="AH695" s="1">
        <v>6900.0</v>
      </c>
      <c r="AI695" s="1" t="s">
        <v>151</v>
      </c>
      <c r="AJ695" s="1">
        <v>1.0</v>
      </c>
      <c r="AK695" s="1" t="s">
        <v>1768</v>
      </c>
      <c r="AL695" s="1">
        <v>2.0</v>
      </c>
      <c r="AM695" s="1">
        <v>2014.0</v>
      </c>
      <c r="AN695" s="1">
        <v>2014.0</v>
      </c>
      <c r="AO695" s="1" t="s">
        <v>229</v>
      </c>
    </row>
    <row r="696">
      <c r="A696" s="5">
        <v>1.0</v>
      </c>
      <c r="B696" s="1">
        <f t="shared" si="1"/>
        <v>696</v>
      </c>
      <c r="C696" s="1" t="s">
        <v>1769</v>
      </c>
      <c r="D696" s="1" t="s">
        <v>1769</v>
      </c>
      <c r="E696" s="1" t="s">
        <v>194</v>
      </c>
      <c r="G696" s="1">
        <v>1.9650048E7</v>
      </c>
      <c r="H696" s="2">
        <v>41698.0</v>
      </c>
      <c r="I696" s="1" t="s">
        <v>1770</v>
      </c>
      <c r="K696" s="1" t="s">
        <v>1770</v>
      </c>
      <c r="N696" s="1" t="s">
        <v>194</v>
      </c>
      <c r="O696" s="1">
        <v>9100.0</v>
      </c>
      <c r="P696" s="1" t="s">
        <v>194</v>
      </c>
      <c r="Q696" s="1" t="str">
        <f>IF(ISERROR(VLOOKUP(P696,'unique fed agency names'!A:C,3,FALSE)),P696,VLOOKUP(P696,'unique fed agency names'!A:C,3,FALSE))
</f>
        <v>U.S. Department of Education (ED)</v>
      </c>
      <c r="R696" s="1">
        <v>7.8346351E7</v>
      </c>
      <c r="S696" s="1" t="s">
        <v>615</v>
      </c>
      <c r="T696" s="1" t="str">
        <f>IF(ISERROR(VLOOKUP(S696,'unique org names'!A:C,3,FALSE)),S696,VLOOKUP(S696,'unique org names'!A:C,3,FALSE))
</f>
        <v>Education Achievement Authority</v>
      </c>
      <c r="V696" s="1" t="s">
        <v>1708</v>
      </c>
      <c r="W696" s="1" t="s">
        <v>44</v>
      </c>
      <c r="X696" s="1" t="s">
        <v>45</v>
      </c>
      <c r="Y696" s="1">
        <v>4.82074457E8</v>
      </c>
      <c r="AA696" s="1" t="s">
        <v>46</v>
      </c>
      <c r="AB696" s="1" t="s">
        <v>45</v>
      </c>
      <c r="AC696" s="1">
        <v>4.82023037E8</v>
      </c>
      <c r="AF696" s="1">
        <v>1153685.0</v>
      </c>
      <c r="AG696" s="2">
        <v>41698.0</v>
      </c>
      <c r="AH696" s="1">
        <v>9100.0</v>
      </c>
      <c r="AI696" s="1" t="s">
        <v>194</v>
      </c>
      <c r="AJ696" s="1" t="s">
        <v>1771</v>
      </c>
      <c r="AK696" s="1" t="s">
        <v>1772</v>
      </c>
      <c r="AL696" s="1">
        <v>4.0</v>
      </c>
      <c r="AM696" s="1">
        <v>2014.0</v>
      </c>
      <c r="AN696" s="1">
        <v>2014.0</v>
      </c>
      <c r="AO696" s="1" t="s">
        <v>1773</v>
      </c>
    </row>
    <row r="697">
      <c r="A697" s="5">
        <v>1.0</v>
      </c>
      <c r="B697" s="1">
        <f t="shared" si="1"/>
        <v>697</v>
      </c>
      <c r="C697" s="1" t="s">
        <v>1769</v>
      </c>
      <c r="D697" s="1" t="s">
        <v>1769</v>
      </c>
      <c r="E697" s="1" t="s">
        <v>194</v>
      </c>
      <c r="G697" s="1">
        <v>1.9650048E7</v>
      </c>
      <c r="H697" s="2">
        <v>41725.0</v>
      </c>
      <c r="I697" s="1" t="s">
        <v>1770</v>
      </c>
      <c r="K697" s="1" t="s">
        <v>1770</v>
      </c>
      <c r="N697" s="1" t="s">
        <v>194</v>
      </c>
      <c r="O697" s="1">
        <v>9100.0</v>
      </c>
      <c r="P697" s="1" t="s">
        <v>194</v>
      </c>
      <c r="Q697" s="1" t="str">
        <f>IF(ISERROR(VLOOKUP(P697,'unique fed agency names'!A:C,3,FALSE)),P697,VLOOKUP(P697,'unique fed agency names'!A:C,3,FALSE))
</f>
        <v>U.S. Department of Education (ED)</v>
      </c>
      <c r="R697" s="1">
        <v>7.6340843E7</v>
      </c>
      <c r="S697" s="1" t="s">
        <v>461</v>
      </c>
      <c r="T697" s="1" t="str">
        <f>IF(ISERROR(VLOOKUP(S697,'unique org names'!A:C,3,FALSE)),S697,VLOOKUP(S697,'unique org names'!A:C,3,FALSE))
</f>
        <v>BOARD OF EDUCATION OF THE CITY OF DETROIT</v>
      </c>
      <c r="V697" s="1" t="s">
        <v>1599</v>
      </c>
      <c r="W697" s="1" t="s">
        <v>44</v>
      </c>
      <c r="X697" s="1" t="s">
        <v>45</v>
      </c>
      <c r="Y697" s="1">
        <v>4.8202301E8</v>
      </c>
      <c r="AA697" s="1" t="s">
        <v>44</v>
      </c>
      <c r="AB697" s="1" t="s">
        <v>45</v>
      </c>
      <c r="AC697" s="1">
        <v>4.82023096E8</v>
      </c>
      <c r="AD697" s="1">
        <v>7.6340843E7</v>
      </c>
      <c r="AE697" s="1" t="s">
        <v>461</v>
      </c>
      <c r="AF697" s="1">
        <v>703839.0</v>
      </c>
      <c r="AG697" s="2">
        <v>41725.0</v>
      </c>
      <c r="AH697" s="1">
        <v>9100.0</v>
      </c>
      <c r="AI697" s="1" t="s">
        <v>194</v>
      </c>
      <c r="AJ697" s="1" t="s">
        <v>1774</v>
      </c>
      <c r="AK697" s="1" t="s">
        <v>1772</v>
      </c>
      <c r="AL697" s="1">
        <v>4.0</v>
      </c>
      <c r="AM697" s="1">
        <v>2014.0</v>
      </c>
      <c r="AN697" s="1">
        <v>2014.0</v>
      </c>
      <c r="AO697" s="1" t="s">
        <v>1773</v>
      </c>
    </row>
    <row r="698">
      <c r="A698" s="5">
        <v>1.0</v>
      </c>
      <c r="B698" s="1">
        <f t="shared" si="1"/>
        <v>698</v>
      </c>
      <c r="C698" s="1" t="s">
        <v>1775</v>
      </c>
      <c r="D698" s="1" t="s">
        <v>1775</v>
      </c>
      <c r="E698" s="1" t="s">
        <v>645</v>
      </c>
      <c r="G698" s="1">
        <v>3753449.0</v>
      </c>
      <c r="H698" s="2">
        <v>41452.0</v>
      </c>
      <c r="I698" s="1" t="s">
        <v>677</v>
      </c>
      <c r="K698" s="1" t="s">
        <v>677</v>
      </c>
      <c r="N698" s="1" t="s">
        <v>647</v>
      </c>
      <c r="O698" s="1">
        <v>1200.0</v>
      </c>
      <c r="P698" s="1" t="s">
        <v>647</v>
      </c>
      <c r="Q698" s="1" t="str">
        <f>IF(ISERROR(VLOOKUP(P698,'unique fed agency names'!A:C,3,FALSE)),P698,VLOOKUP(P698,'unique fed agency names'!A:C,3,FALSE))
</f>
        <v>U.S. Department of Agriculture (USDA)</v>
      </c>
      <c r="R698" s="1">
        <v>1.17726252E8</v>
      </c>
      <c r="S698" s="1" t="s">
        <v>512</v>
      </c>
      <c r="T698" s="1" t="str">
        <f>IF(ISERROR(VLOOKUP(S698,'unique org names'!A:C,3,FALSE)),S698,VLOOKUP(S698,'unique org names'!A:C,3,FALSE))
</f>
        <v>OLD REDFORD ACADEMY</v>
      </c>
      <c r="V698" s="1" t="s">
        <v>513</v>
      </c>
      <c r="W698" s="1" t="s">
        <v>44</v>
      </c>
      <c r="X698" s="1" t="s">
        <v>45</v>
      </c>
      <c r="Y698" s="1">
        <v>4.82193259E8</v>
      </c>
      <c r="AA698" s="1" t="s">
        <v>44</v>
      </c>
      <c r="AB698" s="1" t="s">
        <v>45</v>
      </c>
      <c r="AC698" s="1">
        <v>4.82193259E8</v>
      </c>
      <c r="AF698" s="1">
        <v>38316.0</v>
      </c>
      <c r="AG698" s="2">
        <v>41452.0</v>
      </c>
      <c r="AH698" s="1">
        <v>1200.0</v>
      </c>
      <c r="AI698" s="1" t="s">
        <v>647</v>
      </c>
      <c r="AJ698" s="1" t="s">
        <v>1776</v>
      </c>
      <c r="AK698" s="1" t="s">
        <v>679</v>
      </c>
      <c r="AL698" s="1">
        <v>10.0</v>
      </c>
      <c r="AM698" s="1">
        <v>2013.0</v>
      </c>
      <c r="AN698" s="1">
        <v>2013.0</v>
      </c>
      <c r="AO698" s="1" t="s">
        <v>680</v>
      </c>
    </row>
    <row r="699">
      <c r="A699" s="5">
        <v>1.0</v>
      </c>
      <c r="B699" s="1">
        <f t="shared" si="1"/>
        <v>699</v>
      </c>
      <c r="C699" s="1" t="s">
        <v>1775</v>
      </c>
      <c r="D699" s="1" t="s">
        <v>1775</v>
      </c>
      <c r="E699" s="1" t="s">
        <v>645</v>
      </c>
      <c r="G699" s="1">
        <v>3753449.0</v>
      </c>
      <c r="H699" s="2">
        <v>41487.0</v>
      </c>
      <c r="I699" s="1" t="s">
        <v>677</v>
      </c>
      <c r="K699" s="1" t="s">
        <v>677</v>
      </c>
      <c r="N699" s="1" t="s">
        <v>647</v>
      </c>
      <c r="O699" s="1">
        <v>1200.0</v>
      </c>
      <c r="P699" s="1" t="s">
        <v>647</v>
      </c>
      <c r="Q699" s="1" t="str">
        <f>IF(ISERROR(VLOOKUP(P699,'unique fed agency names'!A:C,3,FALSE)),P699,VLOOKUP(P699,'unique fed agency names'!A:C,3,FALSE))
</f>
        <v>U.S. Department of Agriculture (USDA)</v>
      </c>
      <c r="R699" s="1">
        <v>7.6340843E7</v>
      </c>
      <c r="S699" s="1" t="s">
        <v>461</v>
      </c>
      <c r="T699" s="1" t="str">
        <f>IF(ISERROR(VLOOKUP(S699,'unique org names'!A:C,3,FALSE)),S699,VLOOKUP(S699,'unique org names'!A:C,3,FALSE))
</f>
        <v>BOARD OF EDUCATION OF THE CITY OF DETROIT</v>
      </c>
      <c r="U699" s="1" t="s">
        <v>459</v>
      </c>
      <c r="V699" s="1" t="s">
        <v>524</v>
      </c>
      <c r="W699" s="1" t="s">
        <v>44</v>
      </c>
      <c r="X699" s="1" t="s">
        <v>45</v>
      </c>
      <c r="Y699" s="1">
        <v>4.82023046E8</v>
      </c>
      <c r="AA699" s="1" t="s">
        <v>44</v>
      </c>
      <c r="AB699" s="1" t="s">
        <v>45</v>
      </c>
      <c r="AC699" s="1">
        <v>4.82023096E8</v>
      </c>
      <c r="AD699" s="1">
        <v>7.6340843E7</v>
      </c>
      <c r="AE699" s="1" t="s">
        <v>461</v>
      </c>
      <c r="AF699" s="1">
        <v>655957.0</v>
      </c>
      <c r="AG699" s="2">
        <v>41487.0</v>
      </c>
      <c r="AH699" s="1">
        <v>1200.0</v>
      </c>
      <c r="AI699" s="1" t="s">
        <v>647</v>
      </c>
      <c r="AJ699" s="1" t="s">
        <v>1777</v>
      </c>
      <c r="AK699" s="1" t="s">
        <v>679</v>
      </c>
      <c r="AL699" s="1">
        <v>10.0</v>
      </c>
      <c r="AM699" s="1">
        <v>2013.0</v>
      </c>
      <c r="AN699" s="1">
        <v>2013.0</v>
      </c>
      <c r="AO699" s="1" t="s">
        <v>680</v>
      </c>
    </row>
    <row r="700">
      <c r="A700" s="5">
        <v>1.0</v>
      </c>
      <c r="B700" s="1">
        <f t="shared" si="1"/>
        <v>700</v>
      </c>
      <c r="C700" s="1" t="s">
        <v>1778</v>
      </c>
      <c r="D700" s="1" t="s">
        <v>1778</v>
      </c>
      <c r="E700" s="1" t="s">
        <v>645</v>
      </c>
      <c r="G700" s="1">
        <v>5494750.0</v>
      </c>
      <c r="H700" s="2">
        <v>41592.0</v>
      </c>
      <c r="I700" s="1" t="s">
        <v>666</v>
      </c>
      <c r="K700" s="1" t="s">
        <v>666</v>
      </c>
      <c r="N700" s="1" t="s">
        <v>647</v>
      </c>
      <c r="O700" s="1">
        <v>1200.0</v>
      </c>
      <c r="P700" s="1" t="s">
        <v>647</v>
      </c>
      <c r="Q700" s="1" t="str">
        <f>IF(ISERROR(VLOOKUP(P700,'unique fed agency names'!A:C,3,FALSE)),P700,VLOOKUP(P700,'unique fed agency names'!A:C,3,FALSE))
</f>
        <v>U.S. Department of Agriculture (USDA)</v>
      </c>
      <c r="R700" s="1">
        <v>7.2761299E7</v>
      </c>
      <c r="S700" s="1" t="s">
        <v>667</v>
      </c>
      <c r="T700" s="1" t="str">
        <f>IF(ISERROR(VLOOKUP(S700,'unique org names'!A:C,3,FALSE)),S700,VLOOKUP(S700,'unique org names'!A:C,3,FALSE))
</f>
        <v>Focus: HOPE</v>
      </c>
      <c r="V700" s="1" t="s">
        <v>668</v>
      </c>
      <c r="W700" s="1" t="s">
        <v>44</v>
      </c>
      <c r="X700" s="1" t="s">
        <v>45</v>
      </c>
      <c r="Y700" s="1">
        <v>4.82382849E8</v>
      </c>
      <c r="AA700" s="1" t="s">
        <v>44</v>
      </c>
      <c r="AB700" s="1" t="s">
        <v>45</v>
      </c>
      <c r="AC700" s="1">
        <v>4.82382849E8</v>
      </c>
      <c r="AD700" s="1">
        <v>7.2761299E7</v>
      </c>
      <c r="AE700" s="1" t="s">
        <v>667</v>
      </c>
      <c r="AF700" s="1">
        <v>2951929.0</v>
      </c>
      <c r="AG700" s="2">
        <v>41592.0</v>
      </c>
      <c r="AH700" s="1">
        <v>1200.0</v>
      </c>
      <c r="AI700" s="1" t="s">
        <v>647</v>
      </c>
      <c r="AJ700" s="1" t="s">
        <v>1779</v>
      </c>
      <c r="AK700" s="1" t="s">
        <v>1780</v>
      </c>
      <c r="AL700" s="1">
        <v>12.0</v>
      </c>
      <c r="AM700" s="1">
        <v>2013.0</v>
      </c>
      <c r="AN700" s="1">
        <v>2014.0</v>
      </c>
      <c r="AO700" s="1" t="s">
        <v>671</v>
      </c>
    </row>
    <row r="701">
      <c r="A701" s="5">
        <v>1.0</v>
      </c>
      <c r="B701" s="1">
        <f t="shared" si="1"/>
        <v>701</v>
      </c>
      <c r="C701" s="1" t="s">
        <v>1775</v>
      </c>
      <c r="D701" s="1" t="s">
        <v>1775</v>
      </c>
      <c r="E701" s="1" t="s">
        <v>645</v>
      </c>
      <c r="G701" s="1">
        <v>3753449.0</v>
      </c>
      <c r="H701" s="2">
        <v>41438.0</v>
      </c>
      <c r="I701" s="1" t="s">
        <v>677</v>
      </c>
      <c r="K701" s="1" t="s">
        <v>677</v>
      </c>
      <c r="N701" s="1" t="s">
        <v>647</v>
      </c>
      <c r="O701" s="1">
        <v>1200.0</v>
      </c>
      <c r="P701" s="1" t="s">
        <v>647</v>
      </c>
      <c r="Q701" s="1" t="str">
        <f>IF(ISERROR(VLOOKUP(P701,'unique fed agency names'!A:C,3,FALSE)),P701,VLOOKUP(P701,'unique fed agency names'!A:C,3,FALSE))
</f>
        <v>U.S. Department of Agriculture (USDA)</v>
      </c>
      <c r="R701" s="1">
        <v>3.9866801E7</v>
      </c>
      <c r="S701" s="1" t="s">
        <v>612</v>
      </c>
      <c r="T701" s="1" t="str">
        <f>IF(ISERROR(VLOOKUP(S701,'unique org names'!A:C,3,FALSE)),S701,VLOOKUP(S701,'unique org names'!A:C,3,FALSE))
</f>
        <v>HAMTRAMCK PUBLIC SCHOOLS</v>
      </c>
      <c r="V701" s="1" t="s">
        <v>613</v>
      </c>
      <c r="W701" s="1" t="s">
        <v>44</v>
      </c>
      <c r="X701" s="1" t="s">
        <v>45</v>
      </c>
      <c r="Y701" s="1">
        <v>4.8212E8</v>
      </c>
      <c r="AA701" s="1" t="s">
        <v>607</v>
      </c>
      <c r="AB701" s="1" t="s">
        <v>45</v>
      </c>
      <c r="AC701" s="1">
        <v>4.82120012E8</v>
      </c>
      <c r="AD701" s="1">
        <v>3.9866801E7</v>
      </c>
      <c r="AE701" s="1" t="s">
        <v>612</v>
      </c>
      <c r="AF701" s="1">
        <v>87982.0</v>
      </c>
      <c r="AG701" s="2">
        <v>41438.0</v>
      </c>
      <c r="AH701" s="1">
        <v>1200.0</v>
      </c>
      <c r="AI701" s="1" t="s">
        <v>647</v>
      </c>
      <c r="AJ701" s="1" t="s">
        <v>1781</v>
      </c>
      <c r="AK701" s="1" t="s">
        <v>679</v>
      </c>
      <c r="AL701" s="1">
        <v>10.0</v>
      </c>
      <c r="AM701" s="1">
        <v>2013.0</v>
      </c>
      <c r="AN701" s="1">
        <v>2013.0</v>
      </c>
      <c r="AO701" s="1" t="s">
        <v>680</v>
      </c>
    </row>
    <row r="702">
      <c r="A702" s="5">
        <v>1.0</v>
      </c>
      <c r="B702" s="1">
        <f t="shared" si="1"/>
        <v>702</v>
      </c>
      <c r="C702" s="1" t="s">
        <v>1782</v>
      </c>
      <c r="D702" s="1" t="s">
        <v>1782</v>
      </c>
      <c r="E702" s="1" t="s">
        <v>1303</v>
      </c>
      <c r="G702" s="1">
        <v>958942.0</v>
      </c>
      <c r="H702" s="2">
        <v>41753.0</v>
      </c>
      <c r="I702" s="1" t="s">
        <v>1783</v>
      </c>
      <c r="K702" s="1" t="s">
        <v>1783</v>
      </c>
      <c r="N702" s="1" t="s">
        <v>1305</v>
      </c>
      <c r="O702" s="1">
        <v>1300.0</v>
      </c>
      <c r="P702" s="1" t="s">
        <v>1305</v>
      </c>
      <c r="Q702" s="1" t="str">
        <f>IF(ISERROR(VLOOKUP(P702,'unique fed agency names'!A:C,3,FALSE)),P702,VLOOKUP(P702,'unique fed agency names'!A:C,3,FALSE))
</f>
        <v>U.S. Department of Commerce (DOC)</v>
      </c>
      <c r="R702" s="1">
        <v>1962224.0</v>
      </c>
      <c r="S702" s="1" t="s">
        <v>52</v>
      </c>
      <c r="T702" s="1" t="str">
        <f>IF(ISERROR(VLOOKUP(S702,'unique org names'!A:C,3,FALSE)),S702,VLOOKUP(S702,'unique org names'!A:C,3,FALSE))
</f>
        <v>WAYNE STATE UNIVERSITY</v>
      </c>
      <c r="U702" s="1" t="s">
        <v>1566</v>
      </c>
      <c r="V702" s="1" t="s">
        <v>53</v>
      </c>
      <c r="W702" s="1" t="s">
        <v>44</v>
      </c>
      <c r="X702" s="1" t="s">
        <v>45</v>
      </c>
      <c r="Y702" s="1">
        <v>4.82023692E8</v>
      </c>
      <c r="AA702" s="1" t="s">
        <v>44</v>
      </c>
      <c r="AB702" s="1" t="s">
        <v>45</v>
      </c>
      <c r="AC702" s="1">
        <v>4.82023692E8</v>
      </c>
      <c r="AD702" s="1">
        <v>1962224.0</v>
      </c>
      <c r="AE702" s="1" t="s">
        <v>52</v>
      </c>
      <c r="AF702" s="1">
        <v>50000.0</v>
      </c>
      <c r="AG702" s="2">
        <v>41753.0</v>
      </c>
      <c r="AH702" s="1">
        <v>1300.0</v>
      </c>
      <c r="AI702" s="1" t="s">
        <v>1305</v>
      </c>
      <c r="AJ702" s="1">
        <v>3.00300294E9</v>
      </c>
      <c r="AK702" s="1" t="s">
        <v>1784</v>
      </c>
      <c r="AL702" s="1">
        <v>4.0</v>
      </c>
      <c r="AM702" s="1">
        <v>2014.0</v>
      </c>
      <c r="AN702" s="1">
        <v>2014.0</v>
      </c>
      <c r="AO702" s="1" t="s">
        <v>1785</v>
      </c>
    </row>
    <row r="703">
      <c r="A703" s="5">
        <v>1.0</v>
      </c>
      <c r="B703" s="1">
        <f t="shared" si="1"/>
        <v>703</v>
      </c>
      <c r="C703" s="1">
        <v>1346688.0</v>
      </c>
      <c r="D703" s="1">
        <v>1346688.0</v>
      </c>
      <c r="E703" s="1" t="s">
        <v>109</v>
      </c>
      <c r="G703" s="1">
        <v>7364810.0</v>
      </c>
      <c r="H703" s="2">
        <v>41625.0</v>
      </c>
      <c r="I703" s="1" t="s">
        <v>1786</v>
      </c>
      <c r="K703" s="1" t="s">
        <v>1786</v>
      </c>
      <c r="N703" s="1" t="s">
        <v>109</v>
      </c>
      <c r="O703" s="1">
        <v>4900.0</v>
      </c>
      <c r="P703" s="1" t="s">
        <v>109</v>
      </c>
      <c r="Q703" s="1" t="str">
        <f>IF(ISERROR(VLOOKUP(P703,'unique fed agency names'!A:C,3,FALSE)),P703,VLOOKUP(P703,'unique fed agency names'!A:C,3,FALSE))
</f>
        <v>National Science Foundation</v>
      </c>
      <c r="R703" s="1">
        <v>1962224.0</v>
      </c>
      <c r="S703" s="1" t="s">
        <v>52</v>
      </c>
      <c r="T703" s="1" t="str">
        <f>IF(ISERROR(VLOOKUP(S703,'unique org names'!A:C,3,FALSE)),S703,VLOOKUP(S703,'unique org names'!A:C,3,FALSE))
</f>
        <v>WAYNE STATE UNIVERSITY</v>
      </c>
      <c r="U703" s="1" t="s">
        <v>1566</v>
      </c>
      <c r="V703" s="1" t="s">
        <v>53</v>
      </c>
      <c r="W703" s="1" t="s">
        <v>44</v>
      </c>
      <c r="X703" s="1" t="s">
        <v>45</v>
      </c>
      <c r="Y703" s="1">
        <v>4.82023692E8</v>
      </c>
      <c r="AA703" s="1" t="s">
        <v>46</v>
      </c>
      <c r="AB703" s="1" t="s">
        <v>45</v>
      </c>
      <c r="AC703" s="1">
        <v>4.8202405E8</v>
      </c>
      <c r="AD703" s="1">
        <v>1962224.0</v>
      </c>
      <c r="AE703" s="1" t="s">
        <v>52</v>
      </c>
      <c r="AF703" s="1">
        <v>177710.0</v>
      </c>
      <c r="AG703" s="2">
        <v>41625.0</v>
      </c>
      <c r="AH703" s="1">
        <v>4900.0</v>
      </c>
      <c r="AI703" s="1" t="s">
        <v>109</v>
      </c>
      <c r="AJ703" s="1" t="s">
        <v>1787</v>
      </c>
      <c r="AK703" s="1" t="s">
        <v>1788</v>
      </c>
      <c r="AL703" s="1">
        <v>4.0</v>
      </c>
      <c r="AM703" s="1">
        <v>2014.0</v>
      </c>
      <c r="AN703" s="1">
        <v>2014.0</v>
      </c>
      <c r="AO703" s="1" t="s">
        <v>113</v>
      </c>
    </row>
    <row r="704">
      <c r="A704" s="5">
        <v>1.0</v>
      </c>
      <c r="B704" s="1">
        <f t="shared" si="1"/>
        <v>704</v>
      </c>
      <c r="C704" s="1" t="s">
        <v>1782</v>
      </c>
      <c r="D704" s="1" t="s">
        <v>1782</v>
      </c>
      <c r="E704" s="1" t="s">
        <v>1303</v>
      </c>
      <c r="G704" s="1">
        <v>958942.0</v>
      </c>
      <c r="H704" s="2">
        <v>41753.0</v>
      </c>
      <c r="I704" s="1" t="s">
        <v>1783</v>
      </c>
      <c r="K704" s="1" t="s">
        <v>1783</v>
      </c>
      <c r="N704" s="1" t="s">
        <v>1305</v>
      </c>
      <c r="O704" s="1">
        <v>1300.0</v>
      </c>
      <c r="P704" s="1" t="s">
        <v>1305</v>
      </c>
      <c r="Q704" s="1" t="str">
        <f>IF(ISERROR(VLOOKUP(P704,'unique fed agency names'!A:C,3,FALSE)),P704,VLOOKUP(P704,'unique fed agency names'!A:C,3,FALSE))
</f>
        <v>U.S. Department of Commerce (DOC)</v>
      </c>
      <c r="R704" s="1">
        <v>1962224.0</v>
      </c>
      <c r="S704" s="1" t="s">
        <v>52</v>
      </c>
      <c r="T704" s="1" t="str">
        <f>IF(ISERROR(VLOOKUP(S704,'unique org names'!A:C,3,FALSE)),S704,VLOOKUP(S704,'unique org names'!A:C,3,FALSE))
</f>
        <v>WAYNE STATE UNIVERSITY</v>
      </c>
      <c r="U704" s="1" t="s">
        <v>1566</v>
      </c>
      <c r="V704" s="1" t="s">
        <v>53</v>
      </c>
      <c r="W704" s="1" t="s">
        <v>44</v>
      </c>
      <c r="X704" s="1" t="s">
        <v>45</v>
      </c>
      <c r="Y704" s="1">
        <v>4.82023692E8</v>
      </c>
      <c r="AA704" s="1" t="s">
        <v>44</v>
      </c>
      <c r="AB704" s="1" t="s">
        <v>45</v>
      </c>
      <c r="AC704" s="1">
        <v>4.82023692E8</v>
      </c>
      <c r="AD704" s="1">
        <v>1962224.0</v>
      </c>
      <c r="AE704" s="1" t="s">
        <v>52</v>
      </c>
      <c r="AF704" s="1">
        <v>49997.0</v>
      </c>
      <c r="AG704" s="2">
        <v>41753.0</v>
      </c>
      <c r="AH704" s="1">
        <v>1300.0</v>
      </c>
      <c r="AI704" s="1" t="s">
        <v>1305</v>
      </c>
      <c r="AJ704" s="1">
        <v>3.00300304E9</v>
      </c>
      <c r="AK704" s="1" t="s">
        <v>1789</v>
      </c>
      <c r="AL704" s="1">
        <v>4.0</v>
      </c>
      <c r="AM704" s="1">
        <v>2014.0</v>
      </c>
      <c r="AN704" s="1">
        <v>2014.0</v>
      </c>
      <c r="AO704" s="1" t="s">
        <v>1785</v>
      </c>
    </row>
    <row r="705">
      <c r="A705" s="5">
        <v>1.0</v>
      </c>
      <c r="B705" s="1">
        <f t="shared" si="1"/>
        <v>705</v>
      </c>
      <c r="C705" s="1" t="s">
        <v>1790</v>
      </c>
      <c r="D705" s="1" t="s">
        <v>1790</v>
      </c>
      <c r="E705" s="1" t="s">
        <v>224</v>
      </c>
      <c r="G705" s="1">
        <v>435438.0</v>
      </c>
      <c r="H705" s="2">
        <v>41710.0</v>
      </c>
      <c r="I705" s="1" t="s">
        <v>1791</v>
      </c>
      <c r="K705" s="1" t="s">
        <v>1791</v>
      </c>
      <c r="N705" s="1" t="s">
        <v>151</v>
      </c>
      <c r="O705" s="1">
        <v>6900.0</v>
      </c>
      <c r="P705" s="1" t="s">
        <v>151</v>
      </c>
      <c r="Q705" s="1" t="str">
        <f>IF(ISERROR(VLOOKUP(P705,'unique fed agency names'!A:C,3,FALSE)),P705,VLOOKUP(P705,'unique fed agency names'!A:C,3,FALSE))
</f>
        <v>U.S. Department of Transportation (DOT)</v>
      </c>
      <c r="R705" s="1">
        <v>1.1855476E8</v>
      </c>
      <c r="S705" s="1" t="s">
        <v>983</v>
      </c>
      <c r="T705" s="1" t="str">
        <f>IF(ISERROR(VLOOKUP(S705,'unique org names'!A:C,3,FALSE)),S705,VLOOKUP(S705,'unique org names'!A:C,3,FALSE))
</f>
        <v>City of Detroit</v>
      </c>
      <c r="U705" s="1" t="s">
        <v>984</v>
      </c>
      <c r="V705" s="1" t="s">
        <v>227</v>
      </c>
      <c r="W705" s="1" t="s">
        <v>44</v>
      </c>
      <c r="X705" s="1" t="s">
        <v>45</v>
      </c>
      <c r="Y705" s="1">
        <v>4.82262886E8</v>
      </c>
      <c r="AA705" s="1" t="s">
        <v>46</v>
      </c>
      <c r="AB705" s="1" t="s">
        <v>45</v>
      </c>
      <c r="AC705" s="1">
        <v>4.82262886E8</v>
      </c>
      <c r="AD705" s="1">
        <v>6530661.0</v>
      </c>
      <c r="AE705" s="1" t="s">
        <v>76</v>
      </c>
      <c r="AF705" s="1">
        <v>435438.37</v>
      </c>
      <c r="AG705" s="2">
        <v>41710.0</v>
      </c>
      <c r="AH705" s="1">
        <v>6900.0</v>
      </c>
      <c r="AI705" s="1" t="s">
        <v>151</v>
      </c>
      <c r="AJ705" s="1">
        <v>1.0</v>
      </c>
      <c r="AK705" s="1" t="s">
        <v>1792</v>
      </c>
      <c r="AL705" s="1">
        <v>3.0</v>
      </c>
      <c r="AM705" s="1">
        <v>2014.0</v>
      </c>
      <c r="AN705" s="1">
        <v>2014.0</v>
      </c>
      <c r="AO705" s="1" t="s">
        <v>229</v>
      </c>
    </row>
    <row r="706">
      <c r="A706" s="5">
        <v>1.0</v>
      </c>
      <c r="B706" s="1">
        <f t="shared" si="1"/>
        <v>706</v>
      </c>
      <c r="C706" s="1" t="s">
        <v>1793</v>
      </c>
      <c r="D706" s="1" t="s">
        <v>1793</v>
      </c>
      <c r="E706" s="1" t="s">
        <v>224</v>
      </c>
      <c r="G706" s="1">
        <v>1292123.0</v>
      </c>
      <c r="H706" s="2">
        <v>41715.0</v>
      </c>
      <c r="I706" s="1" t="s">
        <v>1794</v>
      </c>
      <c r="K706" s="1" t="s">
        <v>1794</v>
      </c>
      <c r="N706" s="1" t="s">
        <v>151</v>
      </c>
      <c r="O706" s="1">
        <v>6900.0</v>
      </c>
      <c r="P706" s="1" t="s">
        <v>151</v>
      </c>
      <c r="Q706" s="1" t="str">
        <f>IF(ISERROR(VLOOKUP(P706,'unique fed agency names'!A:C,3,FALSE)),P706,VLOOKUP(P706,'unique fed agency names'!A:C,3,FALSE))
</f>
        <v>U.S. Department of Transportation (DOT)</v>
      </c>
      <c r="R706" s="1">
        <v>9.63886101E8</v>
      </c>
      <c r="S706" s="1" t="s">
        <v>259</v>
      </c>
      <c r="T706" s="1" t="str">
        <f>IF(ISERROR(VLOOKUP(S706,'unique org names'!A:C,3,FALSE)),S706,VLOOKUP(S706,'unique org names'!A:C,3,FALSE))
</f>
        <v>Wayne County</v>
      </c>
      <c r="U706" s="1" t="s">
        <v>1795</v>
      </c>
      <c r="V706" s="1" t="s">
        <v>260</v>
      </c>
      <c r="W706" s="1" t="s">
        <v>44</v>
      </c>
      <c r="X706" s="1" t="s">
        <v>45</v>
      </c>
      <c r="Y706" s="1">
        <v>4.8226348E8</v>
      </c>
      <c r="AA706" s="1" t="s">
        <v>46</v>
      </c>
      <c r="AB706" s="1" t="s">
        <v>45</v>
      </c>
      <c r="AC706" s="1">
        <v>4.8226348E8</v>
      </c>
      <c r="AD706" s="1">
        <v>7.3134884E7</v>
      </c>
      <c r="AE706" s="1" t="s">
        <v>1796</v>
      </c>
      <c r="AF706" s="1">
        <v>1292123.39</v>
      </c>
      <c r="AG706" s="2">
        <v>41715.0</v>
      </c>
      <c r="AH706" s="1">
        <v>6900.0</v>
      </c>
      <c r="AI706" s="1" t="s">
        <v>151</v>
      </c>
      <c r="AJ706" s="1">
        <v>1.0</v>
      </c>
      <c r="AK706" s="1" t="s">
        <v>1797</v>
      </c>
      <c r="AL706" s="1">
        <v>3.0</v>
      </c>
      <c r="AM706" s="1">
        <v>2014.0</v>
      </c>
      <c r="AN706" s="1">
        <v>2014.0</v>
      </c>
      <c r="AO706" s="1" t="s">
        <v>229</v>
      </c>
    </row>
    <row r="707">
      <c r="A707" s="5">
        <v>1.0</v>
      </c>
      <c r="B707" s="1">
        <f t="shared" si="1"/>
        <v>707</v>
      </c>
      <c r="C707" s="1" t="s">
        <v>1798</v>
      </c>
      <c r="D707" s="1" t="s">
        <v>1798</v>
      </c>
      <c r="E707" s="1" t="s">
        <v>224</v>
      </c>
      <c r="G707" s="1">
        <v>66891.0</v>
      </c>
      <c r="H707" s="2">
        <v>41710.0</v>
      </c>
      <c r="I707" s="1" t="s">
        <v>1791</v>
      </c>
      <c r="K707" s="1" t="s">
        <v>1791</v>
      </c>
      <c r="N707" s="1" t="s">
        <v>151</v>
      </c>
      <c r="O707" s="1">
        <v>6900.0</v>
      </c>
      <c r="P707" s="1" t="s">
        <v>151</v>
      </c>
      <c r="Q707" s="1" t="str">
        <f>IF(ISERROR(VLOOKUP(P707,'unique fed agency names'!A:C,3,FALSE)),P707,VLOOKUP(P707,'unique fed agency names'!A:C,3,FALSE))
</f>
        <v>U.S. Department of Transportation (DOT)</v>
      </c>
      <c r="R707" s="1">
        <v>1.1855476E8</v>
      </c>
      <c r="S707" s="1" t="s">
        <v>983</v>
      </c>
      <c r="T707" s="1" t="str">
        <f>IF(ISERROR(VLOOKUP(S707,'unique org names'!A:C,3,FALSE)),S707,VLOOKUP(S707,'unique org names'!A:C,3,FALSE))
</f>
        <v>City of Detroit</v>
      </c>
      <c r="U707" s="1" t="s">
        <v>984</v>
      </c>
      <c r="V707" s="1" t="s">
        <v>227</v>
      </c>
      <c r="W707" s="1" t="s">
        <v>44</v>
      </c>
      <c r="X707" s="1" t="s">
        <v>45</v>
      </c>
      <c r="Y707" s="1">
        <v>4.82262886E8</v>
      </c>
      <c r="AA707" s="1" t="s">
        <v>46</v>
      </c>
      <c r="AB707" s="1" t="s">
        <v>45</v>
      </c>
      <c r="AC707" s="1">
        <v>4.82262886E8</v>
      </c>
      <c r="AD707" s="1">
        <v>6530661.0</v>
      </c>
      <c r="AE707" s="1" t="s">
        <v>76</v>
      </c>
      <c r="AF707" s="1">
        <v>66891.09</v>
      </c>
      <c r="AG707" s="2">
        <v>41710.0</v>
      </c>
      <c r="AH707" s="1">
        <v>6900.0</v>
      </c>
      <c r="AI707" s="1" t="s">
        <v>151</v>
      </c>
      <c r="AJ707" s="1">
        <v>1.0</v>
      </c>
      <c r="AK707" s="1" t="s">
        <v>1799</v>
      </c>
      <c r="AL707" s="1">
        <v>3.0</v>
      </c>
      <c r="AM707" s="1">
        <v>2014.0</v>
      </c>
      <c r="AN707" s="1">
        <v>2014.0</v>
      </c>
      <c r="AO707" s="1" t="s">
        <v>229</v>
      </c>
    </row>
    <row r="708">
      <c r="A708" s="5">
        <v>1.0</v>
      </c>
      <c r="B708" s="1">
        <f t="shared" si="1"/>
        <v>708</v>
      </c>
      <c r="C708" s="1" t="s">
        <v>1800</v>
      </c>
      <c r="D708" s="1" t="s">
        <v>1800</v>
      </c>
      <c r="E708" s="1" t="s">
        <v>224</v>
      </c>
      <c r="G708" s="1">
        <v>195394.0</v>
      </c>
      <c r="H708" s="2">
        <v>41715.0</v>
      </c>
      <c r="I708" s="1" t="s">
        <v>1794</v>
      </c>
      <c r="K708" s="1" t="s">
        <v>1794</v>
      </c>
      <c r="N708" s="1" t="s">
        <v>151</v>
      </c>
      <c r="O708" s="1">
        <v>6900.0</v>
      </c>
      <c r="P708" s="1" t="s">
        <v>151</v>
      </c>
      <c r="Q708" s="1" t="str">
        <f>IF(ISERROR(VLOOKUP(P708,'unique fed agency names'!A:C,3,FALSE)),P708,VLOOKUP(P708,'unique fed agency names'!A:C,3,FALSE))
</f>
        <v>U.S. Department of Transportation (DOT)</v>
      </c>
      <c r="R708" s="1">
        <v>9.63886101E8</v>
      </c>
      <c r="S708" s="1" t="s">
        <v>259</v>
      </c>
      <c r="T708" s="1" t="str">
        <f>IF(ISERROR(VLOOKUP(S708,'unique org names'!A:C,3,FALSE)),S708,VLOOKUP(S708,'unique org names'!A:C,3,FALSE))
</f>
        <v>Wayne County</v>
      </c>
      <c r="U708" s="1" t="s">
        <v>1795</v>
      </c>
      <c r="V708" s="1" t="s">
        <v>260</v>
      </c>
      <c r="W708" s="1" t="s">
        <v>44</v>
      </c>
      <c r="X708" s="1" t="s">
        <v>45</v>
      </c>
      <c r="Y708" s="1">
        <v>4.8226348E8</v>
      </c>
      <c r="AA708" s="1" t="s">
        <v>46</v>
      </c>
      <c r="AB708" s="1" t="s">
        <v>45</v>
      </c>
      <c r="AC708" s="1">
        <v>4.8226348E8</v>
      </c>
      <c r="AD708" s="1">
        <v>7.3134884E7</v>
      </c>
      <c r="AE708" s="1" t="s">
        <v>1796</v>
      </c>
      <c r="AF708" s="1">
        <v>195394.11</v>
      </c>
      <c r="AG708" s="2">
        <v>41715.0</v>
      </c>
      <c r="AH708" s="1">
        <v>6900.0</v>
      </c>
      <c r="AI708" s="1" t="s">
        <v>151</v>
      </c>
      <c r="AJ708" s="1">
        <v>1.0</v>
      </c>
      <c r="AK708" s="1" t="s">
        <v>1801</v>
      </c>
      <c r="AL708" s="1">
        <v>3.0</v>
      </c>
      <c r="AM708" s="1">
        <v>2014.0</v>
      </c>
      <c r="AN708" s="1">
        <v>2014.0</v>
      </c>
      <c r="AO708" s="1" t="s">
        <v>229</v>
      </c>
    </row>
    <row r="709">
      <c r="A709" s="5">
        <v>1.0</v>
      </c>
      <c r="B709" s="1">
        <f t="shared" si="1"/>
        <v>709</v>
      </c>
      <c r="C709" s="1" t="s">
        <v>1802</v>
      </c>
      <c r="D709" s="1" t="s">
        <v>1802</v>
      </c>
      <c r="E709" s="1" t="s">
        <v>224</v>
      </c>
      <c r="G709" s="1">
        <v>340000.0</v>
      </c>
      <c r="H709" s="2">
        <v>41716.0</v>
      </c>
      <c r="I709" s="1" t="s">
        <v>1803</v>
      </c>
      <c r="K709" s="1" t="s">
        <v>1803</v>
      </c>
      <c r="N709" s="1" t="s">
        <v>151</v>
      </c>
      <c r="O709" s="1">
        <v>6900.0</v>
      </c>
      <c r="P709" s="1" t="s">
        <v>151</v>
      </c>
      <c r="Q709" s="1" t="str">
        <f>IF(ISERROR(VLOOKUP(P709,'unique fed agency names'!A:C,3,FALSE)),P709,VLOOKUP(P709,'unique fed agency names'!A:C,3,FALSE))
</f>
        <v>U.S. Department of Transportation (DOT)</v>
      </c>
      <c r="R709" s="1">
        <v>9.63886101E8</v>
      </c>
      <c r="S709" s="1" t="s">
        <v>259</v>
      </c>
      <c r="T709" s="1" t="str">
        <f>IF(ISERROR(VLOOKUP(S709,'unique org names'!A:C,3,FALSE)),S709,VLOOKUP(S709,'unique org names'!A:C,3,FALSE))
</f>
        <v>Wayne County</v>
      </c>
      <c r="U709" s="1" t="s">
        <v>1795</v>
      </c>
      <c r="V709" s="1" t="s">
        <v>260</v>
      </c>
      <c r="W709" s="1" t="s">
        <v>44</v>
      </c>
      <c r="X709" s="1" t="s">
        <v>45</v>
      </c>
      <c r="Y709" s="1">
        <v>4.8226348E8</v>
      </c>
      <c r="AA709" s="1" t="s">
        <v>46</v>
      </c>
      <c r="AB709" s="1" t="s">
        <v>45</v>
      </c>
      <c r="AC709" s="1">
        <v>4.8226348E8</v>
      </c>
      <c r="AD709" s="1">
        <v>7.3134884E7</v>
      </c>
      <c r="AE709" s="1" t="s">
        <v>1796</v>
      </c>
      <c r="AF709" s="1">
        <v>340000.0</v>
      </c>
      <c r="AG709" s="2">
        <v>41716.0</v>
      </c>
      <c r="AH709" s="1">
        <v>6900.0</v>
      </c>
      <c r="AI709" s="1" t="s">
        <v>151</v>
      </c>
      <c r="AJ709" s="1">
        <v>1.0</v>
      </c>
      <c r="AK709" s="1" t="s">
        <v>1804</v>
      </c>
      <c r="AL709" s="1">
        <v>3.0</v>
      </c>
      <c r="AM709" s="1">
        <v>2014.0</v>
      </c>
      <c r="AN709" s="1">
        <v>2014.0</v>
      </c>
      <c r="AO709" s="1" t="s">
        <v>229</v>
      </c>
    </row>
    <row r="710">
      <c r="A710" s="5">
        <v>1.0</v>
      </c>
      <c r="B710" s="1">
        <f t="shared" si="1"/>
        <v>710</v>
      </c>
      <c r="C710" s="1" t="s">
        <v>1805</v>
      </c>
      <c r="D710" s="1" t="s">
        <v>1805</v>
      </c>
      <c r="E710" s="1" t="s">
        <v>389</v>
      </c>
      <c r="G710" s="1">
        <v>5890192.0</v>
      </c>
      <c r="H710" s="2">
        <v>41466.0</v>
      </c>
      <c r="I710" s="1" t="s">
        <v>397</v>
      </c>
      <c r="K710" s="1" t="s">
        <v>397</v>
      </c>
      <c r="N710" s="1" t="s">
        <v>391</v>
      </c>
      <c r="O710" s="1">
        <v>1600.0</v>
      </c>
      <c r="P710" s="1" t="s">
        <v>391</v>
      </c>
      <c r="Q710" s="1" t="str">
        <f>IF(ISERROR(VLOOKUP(P710,'unique fed agency names'!A:C,3,FALSE)),P710,VLOOKUP(P710,'unique fed agency names'!A:C,3,FALSE))
</f>
        <v>U.S. Department of Labor (DOL)</v>
      </c>
      <c r="R710" s="1">
        <v>9.68755756E8</v>
      </c>
      <c r="S710" s="1" t="s">
        <v>1806</v>
      </c>
      <c r="T710" s="1" t="str">
        <f>IF(ISERROR(VLOOKUP(S710,'unique org names'!A:C,3,FALSE)),S710,VLOOKUP(S710,'unique org names'!A:C,3,FALSE))
</f>
        <v>Detroit Employment Solutions Corporation</v>
      </c>
      <c r="V710" s="1" t="s">
        <v>1807</v>
      </c>
      <c r="W710" s="1" t="s">
        <v>44</v>
      </c>
      <c r="X710" s="1" t="s">
        <v>45</v>
      </c>
      <c r="Y710" s="1">
        <v>4.82262917E8</v>
      </c>
      <c r="AA710" s="1" t="s">
        <v>46</v>
      </c>
      <c r="AB710" s="1" t="s">
        <v>45</v>
      </c>
      <c r="AC710" s="1">
        <v>4.82022943E8</v>
      </c>
      <c r="AF710" s="1">
        <v>382845.0</v>
      </c>
      <c r="AG710" s="2">
        <v>41466.0</v>
      </c>
      <c r="AH710" s="1">
        <v>1600.0</v>
      </c>
      <c r="AI710" s="1" t="s">
        <v>391</v>
      </c>
      <c r="AJ710" s="1" t="s">
        <v>1352</v>
      </c>
      <c r="AK710" s="1" t="s">
        <v>1353</v>
      </c>
      <c r="AL710" s="1">
        <v>2.0</v>
      </c>
      <c r="AM710" s="1">
        <v>2014.0</v>
      </c>
      <c r="AN710" s="1">
        <v>2013.0</v>
      </c>
      <c r="AO710" s="1" t="s">
        <v>1808</v>
      </c>
    </row>
    <row r="711">
      <c r="A711" s="5">
        <v>1.0</v>
      </c>
      <c r="B711" s="1">
        <f t="shared" si="1"/>
        <v>711</v>
      </c>
      <c r="C711" s="1" t="s">
        <v>1809</v>
      </c>
      <c r="D711" s="1" t="s">
        <v>1809</v>
      </c>
      <c r="E711" s="1" t="s">
        <v>38</v>
      </c>
      <c r="G711" s="1">
        <v>211964.0</v>
      </c>
      <c r="H711" s="2">
        <v>41771.0</v>
      </c>
      <c r="I711" s="1" t="s">
        <v>1810</v>
      </c>
      <c r="K711" s="1" t="s">
        <v>1810</v>
      </c>
      <c r="N711" s="1" t="s">
        <v>40</v>
      </c>
      <c r="O711" s="1">
        <v>7500.0</v>
      </c>
      <c r="P711" s="1" t="s">
        <v>40</v>
      </c>
      <c r="Q711" s="1" t="str">
        <f>IF(ISERROR(VLOOKUP(P711,'unique fed agency names'!A:C,3,FALSE)),P711,VLOOKUP(P711,'unique fed agency names'!A:C,3,FALSE))
</f>
        <v>U.S. Department of Health and Human Services (DHHS)</v>
      </c>
      <c r="R711" s="1">
        <v>1.58142448E8</v>
      </c>
      <c r="S711" s="1" t="s">
        <v>1316</v>
      </c>
      <c r="T711" s="1" t="str">
        <f>IF(ISERROR(VLOOKUP(S711,'unique org names'!A:C,3,FALSE)),S711,VLOOKUP(S711,'unique org names'!A:C,3,FALSE))
</f>
        <v>Community Health and Social Services Center</v>
      </c>
      <c r="U711" s="1" t="s">
        <v>1317</v>
      </c>
      <c r="V711" s="1" t="s">
        <v>1318</v>
      </c>
      <c r="W711" s="1" t="s">
        <v>44</v>
      </c>
      <c r="X711" s="1" t="s">
        <v>45</v>
      </c>
      <c r="Y711" s="1">
        <v>4.82093154E8</v>
      </c>
      <c r="AA711" s="1" t="s">
        <v>46</v>
      </c>
      <c r="AB711" s="1" t="s">
        <v>45</v>
      </c>
      <c r="AC711" s="1">
        <v>4.82093154E8</v>
      </c>
      <c r="AD711" s="1">
        <v>1.58142448E8</v>
      </c>
      <c r="AE711" s="1" t="s">
        <v>1316</v>
      </c>
      <c r="AF711" s="1">
        <v>100733.0</v>
      </c>
      <c r="AG711" s="2">
        <v>41771.0</v>
      </c>
      <c r="AH711" s="1">
        <v>7500.0</v>
      </c>
      <c r="AI711" s="1" t="s">
        <v>40</v>
      </c>
      <c r="AJ711" s="1" t="s">
        <v>1811</v>
      </c>
      <c r="AK711" s="1" t="s">
        <v>1812</v>
      </c>
      <c r="AL711" s="1">
        <v>5.0</v>
      </c>
      <c r="AM711" s="1">
        <v>2014.0</v>
      </c>
      <c r="AN711" s="1">
        <v>2014.0</v>
      </c>
      <c r="AO711" s="1" t="s">
        <v>1813</v>
      </c>
    </row>
    <row r="712">
      <c r="A712" s="5">
        <v>1.0</v>
      </c>
      <c r="B712" s="1">
        <f t="shared" si="1"/>
        <v>712</v>
      </c>
      <c r="C712" s="1" t="s">
        <v>1814</v>
      </c>
      <c r="D712" s="1" t="s">
        <v>1814</v>
      </c>
      <c r="E712" s="1" t="s">
        <v>194</v>
      </c>
      <c r="G712" s="1">
        <v>1.971155E7</v>
      </c>
      <c r="H712" s="2">
        <v>41725.0</v>
      </c>
      <c r="I712" s="1" t="s">
        <v>1770</v>
      </c>
      <c r="K712" s="1" t="s">
        <v>1770</v>
      </c>
      <c r="N712" s="1" t="s">
        <v>194</v>
      </c>
      <c r="O712" s="1">
        <v>9100.0</v>
      </c>
      <c r="P712" s="1" t="s">
        <v>194</v>
      </c>
      <c r="Q712" s="1" t="str">
        <f>IF(ISERROR(VLOOKUP(P712,'unique fed agency names'!A:C,3,FALSE)),P712,VLOOKUP(P712,'unique fed agency names'!A:C,3,FALSE))
</f>
        <v>U.S. Department of Education (ED)</v>
      </c>
      <c r="R712" s="1">
        <v>7.6340843E7</v>
      </c>
      <c r="S712" s="1" t="s">
        <v>461</v>
      </c>
      <c r="T712" s="1" t="str">
        <f>IF(ISERROR(VLOOKUP(S712,'unique org names'!A:C,3,FALSE)),S712,VLOOKUP(S712,'unique org names'!A:C,3,FALSE))
</f>
        <v>BOARD OF EDUCATION OF THE CITY OF DETROIT</v>
      </c>
      <c r="V712" s="1" t="s">
        <v>1599</v>
      </c>
      <c r="W712" s="1" t="s">
        <v>44</v>
      </c>
      <c r="X712" s="1" t="s">
        <v>45</v>
      </c>
      <c r="Y712" s="1">
        <v>4.8202301E8</v>
      </c>
      <c r="AA712" s="1" t="s">
        <v>44</v>
      </c>
      <c r="AB712" s="1" t="s">
        <v>45</v>
      </c>
      <c r="AC712" s="1">
        <v>4.82023096E8</v>
      </c>
      <c r="AD712" s="1">
        <v>7.6340843E7</v>
      </c>
      <c r="AE712" s="1" t="s">
        <v>461</v>
      </c>
      <c r="AF712" s="1">
        <v>2882356.0</v>
      </c>
      <c r="AG712" s="2">
        <v>41725.0</v>
      </c>
      <c r="AH712" s="1">
        <v>9100.0</v>
      </c>
      <c r="AI712" s="1" t="s">
        <v>194</v>
      </c>
      <c r="AJ712" s="1" t="s">
        <v>1815</v>
      </c>
      <c r="AK712" s="1" t="s">
        <v>1772</v>
      </c>
      <c r="AL712" s="1">
        <v>5.0</v>
      </c>
      <c r="AM712" s="1">
        <v>2014.0</v>
      </c>
      <c r="AN712" s="1">
        <v>2014.0</v>
      </c>
      <c r="AO712" s="1" t="s">
        <v>1773</v>
      </c>
    </row>
    <row r="713">
      <c r="A713" s="5">
        <v>1.0</v>
      </c>
      <c r="B713" s="1">
        <f t="shared" si="1"/>
        <v>713</v>
      </c>
      <c r="C713" s="1" t="s">
        <v>1016</v>
      </c>
      <c r="D713" s="1" t="s">
        <v>1016</v>
      </c>
      <c r="E713" s="1" t="s">
        <v>38</v>
      </c>
      <c r="G713" s="1">
        <v>1704425.0</v>
      </c>
      <c r="H713" s="2">
        <v>41766.0</v>
      </c>
      <c r="I713" s="1" t="s">
        <v>1017</v>
      </c>
      <c r="K713" s="1" t="s">
        <v>1017</v>
      </c>
      <c r="N713" s="1" t="s">
        <v>40</v>
      </c>
      <c r="O713" s="1">
        <v>7500.0</v>
      </c>
      <c r="P713" s="1" t="s">
        <v>40</v>
      </c>
      <c r="Q713" s="1" t="str">
        <f>IF(ISERROR(VLOOKUP(P713,'unique fed agency names'!A:C,3,FALSE)),P713,VLOOKUP(P713,'unique fed agency names'!A:C,3,FALSE))
</f>
        <v>U.S. Department of Health and Human Services (DHHS)</v>
      </c>
      <c r="R713" s="1">
        <v>8.29081207E8</v>
      </c>
      <c r="S713" s="1" t="s">
        <v>1018</v>
      </c>
      <c r="T713" s="1" t="str">
        <f>IF(ISERROR(VLOOKUP(S713,'unique org names'!A:C,3,FALSE)),S713,VLOOKUP(S713,'unique org names'!A:C,3,FALSE))
</f>
        <v>FRIENDS OF PARKSIDE</v>
      </c>
      <c r="V713" s="1" t="s">
        <v>1019</v>
      </c>
      <c r="W713" s="1" t="s">
        <v>44</v>
      </c>
      <c r="X713" s="1" t="s">
        <v>45</v>
      </c>
      <c r="Y713" s="1">
        <v>4.82133402E8</v>
      </c>
      <c r="AA713" s="1" t="s">
        <v>46</v>
      </c>
      <c r="AB713" s="1" t="s">
        <v>45</v>
      </c>
      <c r="AC713" s="1">
        <v>4.82133402E8</v>
      </c>
      <c r="AF713" s="1">
        <v>34950.0</v>
      </c>
      <c r="AG713" s="2">
        <v>41766.0</v>
      </c>
      <c r="AH713" s="1">
        <v>7500.0</v>
      </c>
      <c r="AI713" s="1" t="s">
        <v>40</v>
      </c>
      <c r="AJ713" s="1">
        <v>3.002042445E9</v>
      </c>
      <c r="AK713" s="1" t="s">
        <v>1020</v>
      </c>
      <c r="AL713" s="1">
        <v>5.0</v>
      </c>
      <c r="AM713" s="1">
        <v>2014.0</v>
      </c>
      <c r="AN713" s="1">
        <v>2014.0</v>
      </c>
      <c r="AO713" s="1" t="s">
        <v>1021</v>
      </c>
    </row>
    <row r="714">
      <c r="A714" s="5">
        <v>1.0</v>
      </c>
      <c r="B714" s="1">
        <f t="shared" si="1"/>
        <v>714</v>
      </c>
      <c r="C714" s="1" t="s">
        <v>1814</v>
      </c>
      <c r="D714" s="1" t="s">
        <v>1814</v>
      </c>
      <c r="E714" s="1" t="s">
        <v>194</v>
      </c>
      <c r="G714" s="1">
        <v>1.971155E7</v>
      </c>
      <c r="H714" s="2">
        <v>41536.0</v>
      </c>
      <c r="I714" s="1" t="s">
        <v>1770</v>
      </c>
      <c r="K714" s="1" t="s">
        <v>1770</v>
      </c>
      <c r="N714" s="1" t="s">
        <v>194</v>
      </c>
      <c r="O714" s="1">
        <v>9100.0</v>
      </c>
      <c r="P714" s="1" t="s">
        <v>194</v>
      </c>
      <c r="Q714" s="1" t="str">
        <f>IF(ISERROR(VLOOKUP(P714,'unique fed agency names'!A:C,3,FALSE)),P714,VLOOKUP(P714,'unique fed agency names'!A:C,3,FALSE))
</f>
        <v>U.S. Department of Education (ED)</v>
      </c>
      <c r="R714" s="1">
        <v>1.52807538E8</v>
      </c>
      <c r="S714" s="1" t="s">
        <v>591</v>
      </c>
      <c r="T714" s="1" t="str">
        <f>IF(ISERROR(VLOOKUP(S714,'unique org names'!A:C,3,FALSE)),S714,VLOOKUP(S714,'unique org names'!A:C,3,FALSE))
</f>
        <v>WESTON TECHNICAL ACADEMY</v>
      </c>
      <c r="V714" s="1" t="s">
        <v>592</v>
      </c>
      <c r="W714" s="1" t="s">
        <v>44</v>
      </c>
      <c r="X714" s="1" t="s">
        <v>45</v>
      </c>
      <c r="Y714" s="1">
        <v>4.82191161E8</v>
      </c>
      <c r="AA714" s="1" t="s">
        <v>44</v>
      </c>
      <c r="AB714" s="1" t="s">
        <v>45</v>
      </c>
      <c r="AC714" s="1">
        <v>4.82191161E8</v>
      </c>
      <c r="AF714" s="1">
        <v>40204.0</v>
      </c>
      <c r="AG714" s="2">
        <v>41536.0</v>
      </c>
      <c r="AH714" s="1">
        <v>9100.0</v>
      </c>
      <c r="AI714" s="1" t="s">
        <v>194</v>
      </c>
      <c r="AJ714" s="1" t="s">
        <v>1816</v>
      </c>
      <c r="AK714" s="1" t="s">
        <v>1772</v>
      </c>
      <c r="AL714" s="1">
        <v>5.0</v>
      </c>
      <c r="AM714" s="1">
        <v>2014.0</v>
      </c>
      <c r="AN714" s="1">
        <v>2013.0</v>
      </c>
      <c r="AO714" s="1" t="s">
        <v>1773</v>
      </c>
    </row>
    <row r="715">
      <c r="A715" s="5">
        <v>1.0</v>
      </c>
      <c r="B715" s="1">
        <f t="shared" si="1"/>
        <v>715</v>
      </c>
      <c r="C715" s="1" t="s">
        <v>1814</v>
      </c>
      <c r="D715" s="1" t="s">
        <v>1814</v>
      </c>
      <c r="E715" s="1" t="s">
        <v>194</v>
      </c>
      <c r="G715" s="1">
        <v>1.971155E7</v>
      </c>
      <c r="H715" s="2">
        <v>41698.0</v>
      </c>
      <c r="I715" s="1" t="s">
        <v>1770</v>
      </c>
      <c r="K715" s="1" t="s">
        <v>1770</v>
      </c>
      <c r="N715" s="1" t="s">
        <v>194</v>
      </c>
      <c r="O715" s="1">
        <v>9100.0</v>
      </c>
      <c r="P715" s="1" t="s">
        <v>194</v>
      </c>
      <c r="Q715" s="1" t="str">
        <f>IF(ISERROR(VLOOKUP(P715,'unique fed agency names'!A:C,3,FALSE)),P715,VLOOKUP(P715,'unique fed agency names'!A:C,3,FALSE))
</f>
        <v>U.S. Department of Education (ED)</v>
      </c>
      <c r="R715" s="1">
        <v>7.8346351E7</v>
      </c>
      <c r="S715" s="1" t="s">
        <v>615</v>
      </c>
      <c r="T715" s="1" t="str">
        <f>IF(ISERROR(VLOOKUP(S715,'unique org names'!A:C,3,FALSE)),S715,VLOOKUP(S715,'unique org names'!A:C,3,FALSE))
</f>
        <v>Education Achievement Authority</v>
      </c>
      <c r="V715" s="1" t="s">
        <v>1708</v>
      </c>
      <c r="W715" s="1" t="s">
        <v>44</v>
      </c>
      <c r="X715" s="1" t="s">
        <v>45</v>
      </c>
      <c r="Y715" s="1">
        <v>4.82074457E8</v>
      </c>
      <c r="AA715" s="1" t="s">
        <v>46</v>
      </c>
      <c r="AB715" s="1" t="s">
        <v>45</v>
      </c>
      <c r="AC715" s="1">
        <v>4.82026022E8</v>
      </c>
      <c r="AF715" s="1">
        <v>4522114.0</v>
      </c>
      <c r="AG715" s="2">
        <v>41698.0</v>
      </c>
      <c r="AH715" s="1">
        <v>9100.0</v>
      </c>
      <c r="AI715" s="1" t="s">
        <v>194</v>
      </c>
      <c r="AJ715" s="1" t="s">
        <v>1817</v>
      </c>
      <c r="AK715" s="1" t="s">
        <v>1772</v>
      </c>
      <c r="AL715" s="1">
        <v>5.0</v>
      </c>
      <c r="AM715" s="1">
        <v>2014.0</v>
      </c>
      <c r="AN715" s="1">
        <v>2014.0</v>
      </c>
      <c r="AO715" s="1" t="s">
        <v>1773</v>
      </c>
    </row>
    <row r="716">
      <c r="A716" s="5">
        <v>1.0</v>
      </c>
      <c r="B716" s="1">
        <f t="shared" si="1"/>
        <v>716</v>
      </c>
      <c r="C716" s="1" t="s">
        <v>1814</v>
      </c>
      <c r="D716" s="1" t="s">
        <v>1814</v>
      </c>
      <c r="E716" s="1" t="s">
        <v>194</v>
      </c>
      <c r="G716" s="1">
        <v>1.971155E7</v>
      </c>
      <c r="H716" s="2">
        <v>41536.0</v>
      </c>
      <c r="I716" s="1" t="s">
        <v>1770</v>
      </c>
      <c r="K716" s="1" t="s">
        <v>1770</v>
      </c>
      <c r="N716" s="1" t="s">
        <v>194</v>
      </c>
      <c r="O716" s="1">
        <v>9100.0</v>
      </c>
      <c r="P716" s="1" t="s">
        <v>194</v>
      </c>
      <c r="Q716" s="1" t="str">
        <f>IF(ISERROR(VLOOKUP(P716,'unique fed agency names'!A:C,3,FALSE)),P716,VLOOKUP(P716,'unique fed agency names'!A:C,3,FALSE))
</f>
        <v>U.S. Department of Education (ED)</v>
      </c>
      <c r="R716" s="1">
        <v>1.52807538E8</v>
      </c>
      <c r="S716" s="1" t="s">
        <v>591</v>
      </c>
      <c r="T716" s="1" t="str">
        <f>IF(ISERROR(VLOOKUP(S716,'unique org names'!A:C,3,FALSE)),S716,VLOOKUP(S716,'unique org names'!A:C,3,FALSE))
</f>
        <v>WESTON TECHNICAL ACADEMY</v>
      </c>
      <c r="V716" s="1" t="s">
        <v>592</v>
      </c>
      <c r="W716" s="1" t="s">
        <v>44</v>
      </c>
      <c r="X716" s="1" t="s">
        <v>45</v>
      </c>
      <c r="Y716" s="1">
        <v>4.82191161E8</v>
      </c>
      <c r="AA716" s="1" t="s">
        <v>44</v>
      </c>
      <c r="AB716" s="1" t="s">
        <v>45</v>
      </c>
      <c r="AC716" s="1">
        <v>4.82191161E8</v>
      </c>
      <c r="AF716" s="1">
        <v>40204.0</v>
      </c>
      <c r="AG716" s="2">
        <v>41536.0</v>
      </c>
      <c r="AH716" s="1">
        <v>9100.0</v>
      </c>
      <c r="AI716" s="1" t="s">
        <v>194</v>
      </c>
      <c r="AJ716" s="1" t="s">
        <v>1816</v>
      </c>
      <c r="AK716" s="1" t="s">
        <v>1772</v>
      </c>
      <c r="AL716" s="1">
        <v>5.0</v>
      </c>
      <c r="AM716" s="1">
        <v>2014.0</v>
      </c>
      <c r="AN716" s="1">
        <v>2013.0</v>
      </c>
      <c r="AO716" s="1" t="s">
        <v>1773</v>
      </c>
    </row>
    <row r="717">
      <c r="A717" s="5">
        <v>1.0</v>
      </c>
      <c r="B717" s="1">
        <f t="shared" si="1"/>
        <v>717</v>
      </c>
      <c r="C717" s="1" t="s">
        <v>1818</v>
      </c>
      <c r="D717" s="1" t="s">
        <v>1818</v>
      </c>
      <c r="E717" s="1" t="s">
        <v>63</v>
      </c>
      <c r="G717" s="1">
        <v>4298179.0</v>
      </c>
      <c r="H717" s="2">
        <v>41739.0</v>
      </c>
      <c r="I717" s="1" t="s">
        <v>1819</v>
      </c>
      <c r="K717" s="1" t="s">
        <v>1819</v>
      </c>
      <c r="N717" s="1" t="s">
        <v>40</v>
      </c>
      <c r="O717" s="1">
        <v>7500.0</v>
      </c>
      <c r="P717" s="1" t="s">
        <v>40</v>
      </c>
      <c r="Q717" s="1" t="str">
        <f>IF(ISERROR(VLOOKUP(P717,'unique fed agency names'!A:C,3,FALSE)),P717,VLOOKUP(P717,'unique fed agency names'!A:C,3,FALSE))
</f>
        <v>U.S. Department of Health and Human Services (DHHS)</v>
      </c>
      <c r="R717" s="1">
        <v>7.3134603E7</v>
      </c>
      <c r="S717" s="1" t="s">
        <v>41</v>
      </c>
      <c r="T717" s="1" t="str">
        <f>IF(ISERROR(VLOOKUP(S717,'unique org names'!A:C,3,FALSE)),S717,VLOOKUP(S717,'unique org names'!A:C,3,FALSE))
</f>
        <v>Henry Ford Health System</v>
      </c>
      <c r="U717" s="1" t="s">
        <v>252</v>
      </c>
      <c r="V717" s="1" t="s">
        <v>253</v>
      </c>
      <c r="W717" s="1" t="s">
        <v>44</v>
      </c>
      <c r="X717" s="1" t="s">
        <v>45</v>
      </c>
      <c r="Y717" s="1">
        <v>4.8202345E8</v>
      </c>
      <c r="AA717" s="1" t="s">
        <v>46</v>
      </c>
      <c r="AB717" s="1" t="s">
        <v>45</v>
      </c>
      <c r="AC717" s="1">
        <v>4.82022689E8</v>
      </c>
      <c r="AD717" s="1">
        <v>7.3134603E7</v>
      </c>
      <c r="AE717" s="1" t="s">
        <v>41</v>
      </c>
      <c r="AF717" s="1">
        <v>290000.0</v>
      </c>
      <c r="AG717" s="2">
        <v>41739.0</v>
      </c>
      <c r="AH717" s="1">
        <v>7500.0</v>
      </c>
      <c r="AI717" s="1" t="s">
        <v>40</v>
      </c>
      <c r="AJ717" s="1" t="s">
        <v>1820</v>
      </c>
      <c r="AK717" s="1" t="s">
        <v>1821</v>
      </c>
      <c r="AL717" s="1">
        <v>5.0</v>
      </c>
      <c r="AM717" s="1">
        <v>2014.0</v>
      </c>
      <c r="AN717" s="1">
        <v>2014.0</v>
      </c>
      <c r="AO717" s="1" t="s">
        <v>1822</v>
      </c>
    </row>
    <row r="718">
      <c r="A718" s="5">
        <v>1.0</v>
      </c>
      <c r="B718" s="1">
        <f t="shared" si="1"/>
        <v>718</v>
      </c>
      <c r="C718" s="1" t="s">
        <v>203</v>
      </c>
      <c r="D718" s="1" t="s">
        <v>203</v>
      </c>
      <c r="E718" s="1" t="s">
        <v>100</v>
      </c>
      <c r="G718" s="1">
        <v>2.2173386E7</v>
      </c>
      <c r="H718" s="2">
        <v>41730.0</v>
      </c>
      <c r="I718" s="1" t="s">
        <v>122</v>
      </c>
      <c r="K718" s="1" t="s">
        <v>122</v>
      </c>
      <c r="N718" s="1" t="s">
        <v>102</v>
      </c>
      <c r="O718" s="1">
        <v>8600.0</v>
      </c>
      <c r="P718" s="1" t="s">
        <v>102</v>
      </c>
      <c r="Q718" s="1" t="str">
        <f>IF(ISERROR(VLOOKUP(P718,'unique fed agency names'!A:C,3,FALSE)),P718,VLOOKUP(P718,'unique fed agency names'!A:C,3,FALSE))
</f>
        <v>U.S. Department of Housing and Urban Development (HUD)</v>
      </c>
      <c r="R718" s="1">
        <v>1.95614664E8</v>
      </c>
      <c r="S718" s="1" t="s">
        <v>1333</v>
      </c>
      <c r="T718" s="1" t="str">
        <f>IF(ISERROR(VLOOKUP(S718,'unique org names'!A:C,3,FALSE)),S718,VLOOKUP(S718,'unique org names'!A:C,3,FALSE))
</f>
        <v>Black Family Development, Inc</v>
      </c>
      <c r="V718" s="1" t="s">
        <v>1334</v>
      </c>
      <c r="W718" s="1" t="s">
        <v>44</v>
      </c>
      <c r="X718" s="1" t="s">
        <v>45</v>
      </c>
      <c r="Y718" s="1">
        <v>4.82023133E8</v>
      </c>
      <c r="AA718" s="1" t="s">
        <v>46</v>
      </c>
      <c r="AB718" s="1" t="s">
        <v>45</v>
      </c>
      <c r="AC718" s="1">
        <v>4.82023133E8</v>
      </c>
      <c r="AD718" s="1">
        <v>1.95614664E8</v>
      </c>
      <c r="AE718" s="1" t="s">
        <v>1333</v>
      </c>
      <c r="AF718" s="1">
        <v>25000.0</v>
      </c>
      <c r="AG718" s="2">
        <v>41730.0</v>
      </c>
      <c r="AH718" s="1">
        <v>8600.0</v>
      </c>
      <c r="AI718" s="1" t="s">
        <v>102</v>
      </c>
      <c r="AJ718" s="1" t="s">
        <v>1823</v>
      </c>
      <c r="AK718" s="1" t="s">
        <v>1824</v>
      </c>
      <c r="AL718" s="1">
        <v>4.0</v>
      </c>
      <c r="AM718" s="1">
        <v>2014.0</v>
      </c>
      <c r="AN718" s="1">
        <v>2014.0</v>
      </c>
      <c r="AO718" s="1" t="s">
        <v>127</v>
      </c>
    </row>
    <row r="719">
      <c r="A719" s="5">
        <v>1.0</v>
      </c>
      <c r="B719" s="1">
        <f t="shared" si="1"/>
        <v>719</v>
      </c>
      <c r="C719" s="1">
        <v>0.0</v>
      </c>
      <c r="D719" s="1">
        <v>0.0</v>
      </c>
      <c r="E719" s="1" t="s">
        <v>1825</v>
      </c>
      <c r="G719" s="1">
        <v>377062.0</v>
      </c>
      <c r="H719" s="2">
        <v>41682.0</v>
      </c>
      <c r="I719" s="1" t="s">
        <v>1826</v>
      </c>
      <c r="K719" s="1" t="s">
        <v>1826</v>
      </c>
      <c r="N719" s="1" t="s">
        <v>1825</v>
      </c>
      <c r="O719" s="1">
        <v>6800.0</v>
      </c>
      <c r="P719" s="1" t="s">
        <v>1825</v>
      </c>
      <c r="Q719" s="1" t="str">
        <f>IF(ISERROR(VLOOKUP(P719,'unique fed agency names'!A:C,3,FALSE)),P719,VLOOKUP(P719,'unique fed agency names'!A:C,3,FALSE))
</f>
        <v>U.S. Environmental Protection Agency (EPA)</v>
      </c>
      <c r="R719" s="1">
        <v>9.64954551E8</v>
      </c>
      <c r="S719" s="1" t="s">
        <v>1827</v>
      </c>
      <c r="T719" s="1" t="str">
        <f>IF(ISERROR(VLOOKUP(S719,'unique org names'!A:C,3,FALSE)),S719,VLOOKUP(S719,'unique org names'!A:C,3,FALSE))
</f>
        <v>Southwest Detroit Environmental Vision Project</v>
      </c>
      <c r="U719" s="1" t="s">
        <v>1828</v>
      </c>
      <c r="V719" s="1" t="s">
        <v>1829</v>
      </c>
      <c r="W719" s="1" t="s">
        <v>44</v>
      </c>
      <c r="X719" s="1" t="s">
        <v>45</v>
      </c>
      <c r="Y719" s="1">
        <v>4.82091337E8</v>
      </c>
      <c r="AA719" s="1" t="s">
        <v>46</v>
      </c>
      <c r="AB719" s="1" t="s">
        <v>45</v>
      </c>
      <c r="AC719" s="1">
        <v>4.820904E8</v>
      </c>
      <c r="AF719" s="1">
        <v>113386.32</v>
      </c>
      <c r="AG719" s="2">
        <v>41682.0</v>
      </c>
      <c r="AH719" s="1">
        <v>6800.0</v>
      </c>
      <c r="AI719" s="1" t="s">
        <v>1825</v>
      </c>
      <c r="AJ719" s="1" t="s">
        <v>1830</v>
      </c>
      <c r="AK719" s="1" t="s">
        <v>1831</v>
      </c>
      <c r="AL719" s="1">
        <v>5.0</v>
      </c>
      <c r="AM719" s="1">
        <v>2014.0</v>
      </c>
      <c r="AN719" s="1">
        <v>2014.0</v>
      </c>
      <c r="AO719" s="1" t="s">
        <v>1832</v>
      </c>
    </row>
    <row r="720">
      <c r="A720" s="5">
        <v>1.0</v>
      </c>
      <c r="B720" s="1">
        <f t="shared" si="1"/>
        <v>720</v>
      </c>
      <c r="C720" s="1" t="s">
        <v>1833</v>
      </c>
      <c r="D720" s="1" t="s">
        <v>1833</v>
      </c>
      <c r="E720" s="1" t="s">
        <v>38</v>
      </c>
      <c r="G720" s="1">
        <v>3243882.0</v>
      </c>
      <c r="H720" s="2">
        <v>41738.0</v>
      </c>
      <c r="I720" s="1" t="s">
        <v>1834</v>
      </c>
      <c r="K720" s="1" t="s">
        <v>1834</v>
      </c>
      <c r="N720" s="1" t="s">
        <v>40</v>
      </c>
      <c r="O720" s="1">
        <v>7500.0</v>
      </c>
      <c r="P720" s="1" t="s">
        <v>40</v>
      </c>
      <c r="Q720" s="1" t="str">
        <f>IF(ISERROR(VLOOKUP(P720,'unique fed agency names'!A:C,3,FALSE)),P720,VLOOKUP(P720,'unique fed agency names'!A:C,3,FALSE))
</f>
        <v>U.S. Department of Health and Human Services (DHHS)</v>
      </c>
      <c r="R720" s="1">
        <v>7.3134603E7</v>
      </c>
      <c r="S720" s="1" t="s">
        <v>41</v>
      </c>
      <c r="T720" s="1" t="str">
        <f>IF(ISERROR(VLOOKUP(S720,'unique org names'!A:C,3,FALSE)),S720,VLOOKUP(S720,'unique org names'!A:C,3,FALSE))
</f>
        <v>Henry Ford Health System</v>
      </c>
      <c r="U720" s="1" t="s">
        <v>252</v>
      </c>
      <c r="V720" s="1" t="s">
        <v>253</v>
      </c>
      <c r="W720" s="1" t="s">
        <v>44</v>
      </c>
      <c r="X720" s="1" t="s">
        <v>45</v>
      </c>
      <c r="Y720" s="1">
        <v>4.8202345E8</v>
      </c>
      <c r="AA720" s="1" t="s">
        <v>46</v>
      </c>
      <c r="AB720" s="1" t="s">
        <v>45</v>
      </c>
      <c r="AC720" s="1">
        <v>4.82022689E8</v>
      </c>
      <c r="AD720" s="1">
        <v>7.3134603E7</v>
      </c>
      <c r="AE720" s="1" t="s">
        <v>41</v>
      </c>
      <c r="AF720" s="1">
        <v>31502.0</v>
      </c>
      <c r="AG720" s="2">
        <v>41738.0</v>
      </c>
      <c r="AH720" s="1">
        <v>7500.0</v>
      </c>
      <c r="AI720" s="1" t="s">
        <v>40</v>
      </c>
      <c r="AJ720" s="1" t="s">
        <v>1835</v>
      </c>
      <c r="AK720" s="1" t="s">
        <v>1836</v>
      </c>
      <c r="AL720" s="1">
        <v>5.0</v>
      </c>
      <c r="AM720" s="1">
        <v>2014.0</v>
      </c>
      <c r="AN720" s="1">
        <v>2014.0</v>
      </c>
      <c r="AO720" s="1" t="s">
        <v>1837</v>
      </c>
    </row>
    <row r="721">
      <c r="A721" s="5">
        <v>1.0</v>
      </c>
      <c r="B721" s="1">
        <f t="shared" si="1"/>
        <v>721</v>
      </c>
      <c r="C721" s="1" t="s">
        <v>1838</v>
      </c>
      <c r="D721" s="1" t="s">
        <v>1838</v>
      </c>
      <c r="E721" s="1" t="s">
        <v>745</v>
      </c>
      <c r="G721" s="1">
        <v>2455657.0</v>
      </c>
      <c r="H721" s="2">
        <v>41757.0</v>
      </c>
      <c r="I721" s="1" t="s">
        <v>1839</v>
      </c>
      <c r="K721" s="1" t="s">
        <v>1839</v>
      </c>
      <c r="N721" s="1" t="s">
        <v>151</v>
      </c>
      <c r="O721" s="1">
        <v>6900.0</v>
      </c>
      <c r="P721" s="1" t="s">
        <v>151</v>
      </c>
      <c r="Q721" s="1" t="str">
        <f>IF(ISERROR(VLOOKUP(P721,'unique fed agency names'!A:C,3,FALSE)),P721,VLOOKUP(P721,'unique fed agency names'!A:C,3,FALSE))
</f>
        <v>U.S. Department of Transportation (DOT)</v>
      </c>
      <c r="R721" s="1">
        <v>1.01552941E8</v>
      </c>
      <c r="S721" s="1" t="s">
        <v>747</v>
      </c>
      <c r="T721" s="1" t="str">
        <f>IF(ISERROR(VLOOKUP(S721,'unique org names'!A:C,3,FALSE)),S721,VLOOKUP(S721,'unique org names'!A:C,3,FALSE))
</f>
        <v>SUBURBAN MOBILITY AUTHORITY FOR REGIONAL TRANSPORTATION</v>
      </c>
      <c r="U721" s="1" t="s">
        <v>748</v>
      </c>
      <c r="V721" s="1" t="s">
        <v>749</v>
      </c>
      <c r="W721" s="1" t="s">
        <v>44</v>
      </c>
      <c r="X721" s="1" t="s">
        <v>45</v>
      </c>
      <c r="Y721" s="1">
        <v>4.82263515E8</v>
      </c>
      <c r="AA721" s="1" t="s">
        <v>44</v>
      </c>
      <c r="AB721" s="1" t="s">
        <v>45</v>
      </c>
      <c r="AC721" s="1">
        <v>4.82263515E8</v>
      </c>
      <c r="AD721" s="1">
        <v>1.01552941E8</v>
      </c>
      <c r="AE721" s="1" t="s">
        <v>747</v>
      </c>
      <c r="AF721" s="1">
        <v>79932.0</v>
      </c>
      <c r="AG721" s="2">
        <v>41757.0</v>
      </c>
      <c r="AH721" s="1">
        <v>6900.0</v>
      </c>
      <c r="AI721" s="1" t="s">
        <v>151</v>
      </c>
      <c r="AJ721" s="1" t="s">
        <v>1840</v>
      </c>
      <c r="AK721" s="1" t="s">
        <v>1841</v>
      </c>
      <c r="AL721" s="1">
        <v>5.0</v>
      </c>
      <c r="AM721" s="1">
        <v>2014.0</v>
      </c>
      <c r="AN721" s="1">
        <v>2014.0</v>
      </c>
      <c r="AO721" s="1" t="s">
        <v>1842</v>
      </c>
    </row>
    <row r="722">
      <c r="A722" s="5">
        <v>1.0</v>
      </c>
      <c r="B722" s="1">
        <f t="shared" si="1"/>
        <v>722</v>
      </c>
      <c r="C722" s="1" t="s">
        <v>654</v>
      </c>
      <c r="D722" s="1" t="s">
        <v>654</v>
      </c>
      <c r="E722" s="1" t="s">
        <v>38</v>
      </c>
      <c r="G722" s="1">
        <v>931200.0</v>
      </c>
      <c r="H722" s="2">
        <v>41754.0</v>
      </c>
      <c r="I722" s="1" t="s">
        <v>655</v>
      </c>
      <c r="K722" s="1" t="s">
        <v>655</v>
      </c>
      <c r="N722" s="1" t="s">
        <v>40</v>
      </c>
      <c r="O722" s="1">
        <v>7500.0</v>
      </c>
      <c r="P722" s="1" t="s">
        <v>40</v>
      </c>
      <c r="Q722" s="1" t="str">
        <f>IF(ISERROR(VLOOKUP(P722,'unique fed agency names'!A:C,3,FALSE)),P722,VLOOKUP(P722,'unique fed agency names'!A:C,3,FALSE))
</f>
        <v>U.S. Department of Health and Human Services (DHHS)</v>
      </c>
      <c r="R722" s="1">
        <v>7.3134603E7</v>
      </c>
      <c r="S722" s="1" t="s">
        <v>41</v>
      </c>
      <c r="T722" s="1" t="str">
        <f>IF(ISERROR(VLOOKUP(S722,'unique org names'!A:C,3,FALSE)),S722,VLOOKUP(S722,'unique org names'!A:C,3,FALSE))
</f>
        <v>Henry Ford Health System</v>
      </c>
      <c r="U722" s="1" t="s">
        <v>252</v>
      </c>
      <c r="V722" s="1" t="s">
        <v>253</v>
      </c>
      <c r="W722" s="1" t="s">
        <v>44</v>
      </c>
      <c r="X722" s="1" t="s">
        <v>45</v>
      </c>
      <c r="Y722" s="1">
        <v>4.8202345E8</v>
      </c>
      <c r="AA722" s="1" t="s">
        <v>46</v>
      </c>
      <c r="AB722" s="1" t="s">
        <v>45</v>
      </c>
      <c r="AC722" s="1">
        <v>4.82022689E8</v>
      </c>
      <c r="AD722" s="1">
        <v>7.3134603E7</v>
      </c>
      <c r="AE722" s="1" t="s">
        <v>41</v>
      </c>
      <c r="AF722" s="1">
        <v>25000.0</v>
      </c>
      <c r="AG722" s="2">
        <v>41754.0</v>
      </c>
      <c r="AH722" s="1">
        <v>7500.0</v>
      </c>
      <c r="AI722" s="1" t="s">
        <v>40</v>
      </c>
      <c r="AJ722" s="1">
        <v>3.002735317E9</v>
      </c>
      <c r="AK722" s="1" t="s">
        <v>1291</v>
      </c>
      <c r="AL722" s="1">
        <v>4.0</v>
      </c>
      <c r="AM722" s="1">
        <v>2014.0</v>
      </c>
      <c r="AN722" s="1">
        <v>2014.0</v>
      </c>
      <c r="AO722" s="1" t="s">
        <v>415</v>
      </c>
    </row>
    <row r="723">
      <c r="A723" s="5">
        <v>1.0</v>
      </c>
      <c r="B723" s="1">
        <f t="shared" si="1"/>
        <v>723</v>
      </c>
      <c r="C723" s="1" t="s">
        <v>1843</v>
      </c>
      <c r="D723" s="1" t="s">
        <v>1843</v>
      </c>
      <c r="E723" s="1" t="s">
        <v>100</v>
      </c>
      <c r="G723" s="1">
        <v>3.3531252E7</v>
      </c>
      <c r="H723" s="2">
        <v>41232.0</v>
      </c>
      <c r="I723" s="1" t="s">
        <v>297</v>
      </c>
      <c r="K723" s="1" t="s">
        <v>297</v>
      </c>
      <c r="N723" s="1" t="s">
        <v>102</v>
      </c>
      <c r="O723" s="1">
        <v>8600.0</v>
      </c>
      <c r="P723" s="1" t="s">
        <v>102</v>
      </c>
      <c r="Q723" s="1" t="str">
        <f>IF(ISERROR(VLOOKUP(P723,'unique fed agency names'!A:C,3,FALSE)),P723,VLOOKUP(P723,'unique fed agency names'!A:C,3,FALSE))
</f>
        <v>U.S. Department of Housing and Urban Development (HUD)</v>
      </c>
      <c r="R723" s="1">
        <v>8.6754694E7</v>
      </c>
      <c r="S723" s="1" t="s">
        <v>1844</v>
      </c>
      <c r="T723" s="1" t="str">
        <f>IF(ISERROR(VLOOKUP(S723,'unique org names'!A:C,3,FALSE)),S723,VLOOKUP(S723,'unique org names'!A:C,3,FALSE))
</f>
        <v>SELF HELP ADDICTION REHABILITATION</v>
      </c>
      <c r="U723" s="1" t="s">
        <v>1845</v>
      </c>
      <c r="V723" s="1" t="s">
        <v>1846</v>
      </c>
      <c r="W723" s="1" t="s">
        <v>44</v>
      </c>
      <c r="X723" s="1" t="s">
        <v>45</v>
      </c>
      <c r="Y723" s="1">
        <v>4.82081006E8</v>
      </c>
      <c r="AA723" s="1" t="s">
        <v>46</v>
      </c>
      <c r="AB723" s="1" t="s">
        <v>45</v>
      </c>
      <c r="AC723" s="1">
        <v>4.82081006E8</v>
      </c>
      <c r="AF723" s="1">
        <v>84000.0</v>
      </c>
      <c r="AG723" s="2">
        <v>41232.0</v>
      </c>
      <c r="AH723" s="1">
        <v>8600.0</v>
      </c>
      <c r="AI723" s="1" t="s">
        <v>102</v>
      </c>
      <c r="AJ723" s="1">
        <v>7595.0</v>
      </c>
      <c r="AK723" s="1" t="s">
        <v>1847</v>
      </c>
      <c r="AL723" s="1">
        <v>6.0</v>
      </c>
      <c r="AM723" s="1">
        <v>2014.0</v>
      </c>
      <c r="AN723" s="1">
        <v>2013.0</v>
      </c>
      <c r="AO723" s="1" t="s">
        <v>305</v>
      </c>
    </row>
    <row r="724">
      <c r="A724" s="5">
        <v>1.0</v>
      </c>
      <c r="B724" s="1">
        <f t="shared" si="1"/>
        <v>724</v>
      </c>
      <c r="C724" s="1" t="s">
        <v>1848</v>
      </c>
      <c r="D724" s="1" t="s">
        <v>1848</v>
      </c>
      <c r="E724" s="1" t="s">
        <v>149</v>
      </c>
      <c r="G724" s="1">
        <v>2816300.0</v>
      </c>
      <c r="H724" s="2">
        <v>41869.0</v>
      </c>
      <c r="I724" s="1" t="s">
        <v>150</v>
      </c>
      <c r="K724" s="1" t="s">
        <v>150</v>
      </c>
      <c r="N724" s="1" t="s">
        <v>151</v>
      </c>
      <c r="O724" s="1">
        <v>6900.0</v>
      </c>
      <c r="P724" s="1" t="s">
        <v>151</v>
      </c>
      <c r="Q724" s="1" t="str">
        <f>IF(ISERROR(VLOOKUP(P724,'unique fed agency names'!A:C,3,FALSE)),P724,VLOOKUP(P724,'unique fed agency names'!A:C,3,FALSE))
</f>
        <v>U.S. Department of Transportation (DOT)</v>
      </c>
      <c r="R724" s="1">
        <v>1962224.0</v>
      </c>
      <c r="S724" s="1" t="s">
        <v>52</v>
      </c>
      <c r="T724" s="1" t="str">
        <f>IF(ISERROR(VLOOKUP(S724,'unique org names'!A:C,3,FALSE)),S724,VLOOKUP(S724,'unique org names'!A:C,3,FALSE))
</f>
        <v>WAYNE STATE UNIVERSITY</v>
      </c>
      <c r="U724" s="1" t="s">
        <v>1566</v>
      </c>
      <c r="V724" s="1" t="s">
        <v>53</v>
      </c>
      <c r="W724" s="1" t="s">
        <v>44</v>
      </c>
      <c r="X724" s="1" t="s">
        <v>45</v>
      </c>
      <c r="Y724" s="1">
        <v>4.82023692E8</v>
      </c>
      <c r="AA724" s="1" t="s">
        <v>46</v>
      </c>
      <c r="AB724" s="1" t="s">
        <v>45</v>
      </c>
      <c r="AC724" s="1">
        <v>4.82023692E8</v>
      </c>
      <c r="AD724" s="1">
        <v>1962224.0</v>
      </c>
      <c r="AE724" s="1" t="s">
        <v>52</v>
      </c>
      <c r="AF724" s="1">
        <v>100000.0</v>
      </c>
      <c r="AG724" s="2">
        <v>41869.0</v>
      </c>
      <c r="AH724" s="1">
        <v>6900.0</v>
      </c>
      <c r="AI724" s="1" t="s">
        <v>151</v>
      </c>
      <c r="AJ724" s="1" t="s">
        <v>1849</v>
      </c>
      <c r="AK724" s="1" t="s">
        <v>1850</v>
      </c>
      <c r="AL724" s="1">
        <v>8.0</v>
      </c>
      <c r="AM724" s="1">
        <v>2014.0</v>
      </c>
      <c r="AN724" s="1">
        <v>2014.0</v>
      </c>
      <c r="AO724" s="1" t="s">
        <v>157</v>
      </c>
    </row>
    <row r="725">
      <c r="A725" s="5">
        <v>1.0</v>
      </c>
      <c r="B725" s="1">
        <f t="shared" si="1"/>
        <v>725</v>
      </c>
      <c r="C725" s="1" t="s">
        <v>1851</v>
      </c>
      <c r="D725" s="1" t="s">
        <v>1851</v>
      </c>
      <c r="E725" s="1" t="s">
        <v>100</v>
      </c>
      <c r="G725" s="1">
        <v>7.3834688E7</v>
      </c>
      <c r="H725" s="2">
        <v>41275.0</v>
      </c>
      <c r="I725" s="1" t="s">
        <v>297</v>
      </c>
      <c r="K725" s="1" t="s">
        <v>297</v>
      </c>
      <c r="N725" s="1" t="s">
        <v>102</v>
      </c>
      <c r="O725" s="1">
        <v>8600.0</v>
      </c>
      <c r="P725" s="1" t="s">
        <v>102</v>
      </c>
      <c r="Q725" s="1" t="str">
        <f>IF(ISERROR(VLOOKUP(P725,'unique fed agency names'!A:C,3,FALSE)),P725,VLOOKUP(P725,'unique fed agency names'!A:C,3,FALSE))
</f>
        <v>U.S. Department of Housing and Urban Development (HUD)</v>
      </c>
      <c r="R725" s="1">
        <v>1.4193515E8</v>
      </c>
      <c r="S725" s="1" t="s">
        <v>877</v>
      </c>
      <c r="T725" s="1" t="str">
        <f>IF(ISERROR(VLOOKUP(S725,'unique org names'!A:C,3,FALSE)),S725,VLOOKUP(S725,'unique org names'!A:C,3,FALSE))
</f>
        <v>CENTRAL STATES SER, JOBS FOR PROGRESS, INC.</v>
      </c>
      <c r="V725" s="1" t="s">
        <v>878</v>
      </c>
      <c r="W725" s="1" t="s">
        <v>44</v>
      </c>
      <c r="X725" s="1" t="s">
        <v>45</v>
      </c>
      <c r="Y725" s="1">
        <v>4.82102038E8</v>
      </c>
      <c r="AA725" s="1" t="s">
        <v>879</v>
      </c>
      <c r="AB725" s="1" t="s">
        <v>880</v>
      </c>
      <c r="AC725" s="1">
        <v>6.06233738E8</v>
      </c>
      <c r="AF725" s="1">
        <v>36000.0</v>
      </c>
      <c r="AG725" s="2">
        <v>41275.0</v>
      </c>
      <c r="AH725" s="1">
        <v>8600.0</v>
      </c>
      <c r="AI725" s="1" t="s">
        <v>102</v>
      </c>
      <c r="AJ725" s="1">
        <v>27239.0</v>
      </c>
      <c r="AK725" s="1" t="s">
        <v>1852</v>
      </c>
      <c r="AL725" s="1">
        <v>9.0</v>
      </c>
      <c r="AM725" s="1">
        <v>2013.0</v>
      </c>
      <c r="AN725" s="1">
        <v>2013.0</v>
      </c>
      <c r="AO725" s="1" t="s">
        <v>305</v>
      </c>
    </row>
    <row r="726">
      <c r="A726" s="5">
        <v>1.0</v>
      </c>
      <c r="B726" s="1">
        <f t="shared" si="1"/>
        <v>726</v>
      </c>
      <c r="C726" s="1" t="s">
        <v>1851</v>
      </c>
      <c r="D726" s="1" t="s">
        <v>1851</v>
      </c>
      <c r="E726" s="1" t="s">
        <v>100</v>
      </c>
      <c r="G726" s="1">
        <v>7.3834688E7</v>
      </c>
      <c r="H726" s="2">
        <v>41275.0</v>
      </c>
      <c r="I726" s="1" t="s">
        <v>297</v>
      </c>
      <c r="K726" s="1" t="s">
        <v>297</v>
      </c>
      <c r="N726" s="1" t="s">
        <v>102</v>
      </c>
      <c r="O726" s="1">
        <v>8600.0</v>
      </c>
      <c r="P726" s="1" t="s">
        <v>102</v>
      </c>
      <c r="Q726" s="1" t="str">
        <f>IF(ISERROR(VLOOKUP(P726,'unique fed agency names'!A:C,3,FALSE)),P726,VLOOKUP(P726,'unique fed agency names'!A:C,3,FALSE))
</f>
        <v>U.S. Department of Housing and Urban Development (HUD)</v>
      </c>
      <c r="R726" s="1">
        <v>1.4193515E8</v>
      </c>
      <c r="S726" s="1" t="s">
        <v>877</v>
      </c>
      <c r="T726" s="1" t="str">
        <f>IF(ISERROR(VLOOKUP(S726,'unique org names'!A:C,3,FALSE)),S726,VLOOKUP(S726,'unique org names'!A:C,3,FALSE))
</f>
        <v>CENTRAL STATES SER, JOBS FOR PROGRESS, INC.</v>
      </c>
      <c r="V726" s="1" t="s">
        <v>878</v>
      </c>
      <c r="W726" s="1" t="s">
        <v>44</v>
      </c>
      <c r="X726" s="1" t="s">
        <v>45</v>
      </c>
      <c r="Y726" s="1">
        <v>4.82102038E8</v>
      </c>
      <c r="AA726" s="1" t="s">
        <v>879</v>
      </c>
      <c r="AB726" s="1" t="s">
        <v>880</v>
      </c>
      <c r="AC726" s="1">
        <v>6.06233738E8</v>
      </c>
      <c r="AF726" s="1">
        <v>55000.0</v>
      </c>
      <c r="AG726" s="2">
        <v>41275.0</v>
      </c>
      <c r="AH726" s="1">
        <v>8600.0</v>
      </c>
      <c r="AI726" s="1" t="s">
        <v>102</v>
      </c>
      <c r="AJ726" s="1">
        <v>27239.0</v>
      </c>
      <c r="AK726" s="1" t="s">
        <v>1852</v>
      </c>
      <c r="AL726" s="1">
        <v>9.0</v>
      </c>
      <c r="AM726" s="1">
        <v>2013.0</v>
      </c>
      <c r="AN726" s="1">
        <v>2013.0</v>
      </c>
      <c r="AO726" s="1" t="s">
        <v>305</v>
      </c>
    </row>
    <row r="727">
      <c r="A727" s="5">
        <v>1.0</v>
      </c>
      <c r="B727" s="1">
        <f t="shared" si="1"/>
        <v>727</v>
      </c>
      <c r="C727" s="1" t="s">
        <v>1853</v>
      </c>
      <c r="D727" s="1" t="s">
        <v>1853</v>
      </c>
      <c r="E727" s="1" t="s">
        <v>645</v>
      </c>
      <c r="G727" s="1">
        <v>5547372.0</v>
      </c>
      <c r="H727" s="2">
        <v>41844.0</v>
      </c>
      <c r="I727" s="1" t="s">
        <v>666</v>
      </c>
      <c r="K727" s="1" t="s">
        <v>666</v>
      </c>
      <c r="N727" s="1" t="s">
        <v>647</v>
      </c>
      <c r="O727" s="1">
        <v>1200.0</v>
      </c>
      <c r="P727" s="1" t="s">
        <v>647</v>
      </c>
      <c r="Q727" s="1" t="str">
        <f>IF(ISERROR(VLOOKUP(P727,'unique fed agency names'!A:C,3,FALSE)),P727,VLOOKUP(P727,'unique fed agency names'!A:C,3,FALSE))
</f>
        <v>U.S. Department of Agriculture (USDA)</v>
      </c>
      <c r="R727" s="1">
        <v>7.2761299E7</v>
      </c>
      <c r="S727" s="1" t="s">
        <v>667</v>
      </c>
      <c r="T727" s="1" t="str">
        <f>IF(ISERROR(VLOOKUP(S727,'unique org names'!A:C,3,FALSE)),S727,VLOOKUP(S727,'unique org names'!A:C,3,FALSE))
</f>
        <v>Focus: HOPE</v>
      </c>
      <c r="V727" s="1" t="s">
        <v>668</v>
      </c>
      <c r="W727" s="1" t="s">
        <v>44</v>
      </c>
      <c r="X727" s="1" t="s">
        <v>45</v>
      </c>
      <c r="Y727" s="1">
        <v>4.82382849E8</v>
      </c>
      <c r="AA727" s="1" t="s">
        <v>44</v>
      </c>
      <c r="AB727" s="1" t="s">
        <v>45</v>
      </c>
      <c r="AC727" s="1">
        <v>4.82382849E8</v>
      </c>
      <c r="AD727" s="1">
        <v>7.2761299E7</v>
      </c>
      <c r="AE727" s="1" t="s">
        <v>667</v>
      </c>
      <c r="AF727" s="1">
        <v>2148165.0</v>
      </c>
      <c r="AG727" s="2">
        <v>41844.0</v>
      </c>
      <c r="AH727" s="1">
        <v>1200.0</v>
      </c>
      <c r="AI727" s="1" t="s">
        <v>647</v>
      </c>
      <c r="AJ727" s="1" t="s">
        <v>1854</v>
      </c>
      <c r="AK727" s="1" t="s">
        <v>1780</v>
      </c>
      <c r="AL727" s="1">
        <v>7.0</v>
      </c>
      <c r="AM727" s="1">
        <v>2014.0</v>
      </c>
      <c r="AN727" s="1">
        <v>2014.0</v>
      </c>
      <c r="AO727" s="1" t="s">
        <v>671</v>
      </c>
    </row>
    <row r="728">
      <c r="A728" s="5">
        <v>1.0</v>
      </c>
      <c r="B728" s="1">
        <f t="shared" si="1"/>
        <v>728</v>
      </c>
      <c r="C728" s="1" t="s">
        <v>1853</v>
      </c>
      <c r="D728" s="1" t="s">
        <v>1853</v>
      </c>
      <c r="E728" s="1" t="s">
        <v>645</v>
      </c>
      <c r="G728" s="1">
        <v>5547372.0</v>
      </c>
      <c r="H728" s="2">
        <v>41844.0</v>
      </c>
      <c r="I728" s="1" t="s">
        <v>666</v>
      </c>
      <c r="K728" s="1" t="s">
        <v>666</v>
      </c>
      <c r="N728" s="1" t="s">
        <v>647</v>
      </c>
      <c r="O728" s="1">
        <v>1200.0</v>
      </c>
      <c r="P728" s="1" t="s">
        <v>647</v>
      </c>
      <c r="Q728" s="1" t="str">
        <f>IF(ISERROR(VLOOKUP(P728,'unique fed agency names'!A:C,3,FALSE)),P728,VLOOKUP(P728,'unique fed agency names'!A:C,3,FALSE))
</f>
        <v>U.S. Department of Agriculture (USDA)</v>
      </c>
      <c r="R728" s="1">
        <v>7.3134884E7</v>
      </c>
      <c r="S728" s="1" t="s">
        <v>1796</v>
      </c>
      <c r="T728" s="1" t="str">
        <f>IF(ISERROR(VLOOKUP(S728,'unique org names'!A:C,3,FALSE)),S728,VLOOKUP(S728,'unique org names'!A:C,3,FALSE))
</f>
        <v>Wayne County</v>
      </c>
      <c r="V728" s="1" t="s">
        <v>1855</v>
      </c>
      <c r="W728" s="1" t="s">
        <v>44</v>
      </c>
      <c r="X728" s="1" t="s">
        <v>45</v>
      </c>
      <c r="Y728" s="1">
        <v>48226.0</v>
      </c>
      <c r="AA728" s="1" t="s">
        <v>648</v>
      </c>
      <c r="AB728" s="1" t="s">
        <v>45</v>
      </c>
      <c r="AC728" s="1">
        <v>4.81865305E8</v>
      </c>
      <c r="AD728" s="1">
        <v>7.3134884E7</v>
      </c>
      <c r="AE728" s="1" t="s">
        <v>1796</v>
      </c>
      <c r="AF728" s="1">
        <v>145404.0</v>
      </c>
      <c r="AG728" s="2">
        <v>41844.0</v>
      </c>
      <c r="AH728" s="1">
        <v>1200.0</v>
      </c>
      <c r="AI728" s="1" t="s">
        <v>647</v>
      </c>
      <c r="AJ728" s="1" t="s">
        <v>1856</v>
      </c>
      <c r="AK728" s="1" t="s">
        <v>1780</v>
      </c>
      <c r="AL728" s="1">
        <v>7.0</v>
      </c>
      <c r="AM728" s="1">
        <v>2014.0</v>
      </c>
      <c r="AN728" s="1">
        <v>2014.0</v>
      </c>
      <c r="AO728" s="1" t="s">
        <v>671</v>
      </c>
    </row>
    <row r="729">
      <c r="A729" s="5">
        <v>1.0</v>
      </c>
      <c r="B729" s="1">
        <f t="shared" si="1"/>
        <v>729</v>
      </c>
      <c r="C729" s="1" t="s">
        <v>1857</v>
      </c>
      <c r="D729" s="1" t="s">
        <v>1857</v>
      </c>
      <c r="E729" s="1" t="s">
        <v>100</v>
      </c>
      <c r="G729" s="1">
        <v>470280.0</v>
      </c>
      <c r="H729" s="2">
        <v>41548.0</v>
      </c>
      <c r="I729" s="1" t="s">
        <v>1858</v>
      </c>
      <c r="K729" s="1" t="s">
        <v>1858</v>
      </c>
      <c r="N729" s="1" t="s">
        <v>102</v>
      </c>
      <c r="O729" s="1">
        <v>8600.0</v>
      </c>
      <c r="P729" s="1" t="s">
        <v>102</v>
      </c>
      <c r="Q729" s="1" t="str">
        <f>IF(ISERROR(VLOOKUP(P729,'unique fed agency names'!A:C,3,FALSE)),P729,VLOOKUP(P729,'unique fed agency names'!A:C,3,FALSE))
</f>
        <v>U.S. Department of Housing and Urban Development (HUD)</v>
      </c>
      <c r="R729" s="1">
        <v>1.31984697E8</v>
      </c>
      <c r="S729" s="1" t="s">
        <v>103</v>
      </c>
      <c r="T729" s="1" t="str">
        <f>IF(ISERROR(VLOOKUP(S729,'unique org names'!A:C,3,FALSE)),S729,VLOOKUP(S729,'unique org names'!A:C,3,FALSE))
</f>
        <v>SOUTHWEST HOUSING SOLUTIONS CORPORATION</v>
      </c>
      <c r="U729" s="1" t="s">
        <v>104</v>
      </c>
      <c r="V729" s="1" t="s">
        <v>105</v>
      </c>
      <c r="W729" s="1" t="s">
        <v>44</v>
      </c>
      <c r="X729" s="1" t="s">
        <v>45</v>
      </c>
      <c r="Y729" s="1">
        <v>4.82161435E8</v>
      </c>
      <c r="AA729" s="1" t="s">
        <v>46</v>
      </c>
      <c r="AB729" s="1" t="s">
        <v>45</v>
      </c>
      <c r="AC729" s="1">
        <v>4.82161435E8</v>
      </c>
      <c r="AD729" s="1">
        <v>7.6385699E7</v>
      </c>
      <c r="AE729" s="1" t="s">
        <v>106</v>
      </c>
      <c r="AF729" s="1">
        <v>117335.36</v>
      </c>
      <c r="AG729" s="2">
        <v>41548.0</v>
      </c>
      <c r="AH729" s="1">
        <v>8600.0</v>
      </c>
      <c r="AI729" s="1" t="s">
        <v>102</v>
      </c>
      <c r="AJ729" s="1">
        <v>2.0140937E7</v>
      </c>
      <c r="AK729" s="1" t="s">
        <v>1859</v>
      </c>
      <c r="AL729" s="1">
        <v>10.0</v>
      </c>
      <c r="AM729" s="1">
        <v>2011.0</v>
      </c>
      <c r="AN729" s="1">
        <v>2014.0</v>
      </c>
      <c r="AO729" s="1" t="s">
        <v>1860</v>
      </c>
    </row>
    <row r="730">
      <c r="A730" s="5">
        <v>1.0</v>
      </c>
      <c r="B730" s="1">
        <f t="shared" si="1"/>
        <v>730</v>
      </c>
      <c r="C730" s="1" t="s">
        <v>1857</v>
      </c>
      <c r="D730" s="1" t="s">
        <v>1857</v>
      </c>
      <c r="E730" s="1" t="s">
        <v>100</v>
      </c>
      <c r="G730" s="1">
        <v>470280.0</v>
      </c>
      <c r="H730" s="2">
        <v>41183.0</v>
      </c>
      <c r="I730" s="1" t="s">
        <v>1858</v>
      </c>
      <c r="K730" s="1" t="s">
        <v>1858</v>
      </c>
      <c r="N730" s="1" t="s">
        <v>102</v>
      </c>
      <c r="O730" s="1">
        <v>8600.0</v>
      </c>
      <c r="P730" s="1" t="s">
        <v>102</v>
      </c>
      <c r="Q730" s="1" t="str">
        <f>IF(ISERROR(VLOOKUP(P730,'unique fed agency names'!A:C,3,FALSE)),P730,VLOOKUP(P730,'unique fed agency names'!A:C,3,FALSE))
</f>
        <v>U.S. Department of Housing and Urban Development (HUD)</v>
      </c>
      <c r="R730" s="1">
        <v>1.31984697E8</v>
      </c>
      <c r="S730" s="1" t="s">
        <v>103</v>
      </c>
      <c r="T730" s="1" t="str">
        <f>IF(ISERROR(VLOOKUP(S730,'unique org names'!A:C,3,FALSE)),S730,VLOOKUP(S730,'unique org names'!A:C,3,FALSE))
</f>
        <v>SOUTHWEST HOUSING SOLUTIONS CORPORATION</v>
      </c>
      <c r="U730" s="1" t="s">
        <v>104</v>
      </c>
      <c r="V730" s="1" t="s">
        <v>105</v>
      </c>
      <c r="W730" s="1" t="s">
        <v>44</v>
      </c>
      <c r="X730" s="1" t="s">
        <v>45</v>
      </c>
      <c r="Y730" s="1">
        <v>4.82161435E8</v>
      </c>
      <c r="AA730" s="1" t="s">
        <v>46</v>
      </c>
      <c r="AB730" s="1" t="s">
        <v>45</v>
      </c>
      <c r="AC730" s="1">
        <v>4.82161435E8</v>
      </c>
      <c r="AD730" s="1">
        <v>7.6385699E7</v>
      </c>
      <c r="AE730" s="1" t="s">
        <v>106</v>
      </c>
      <c r="AF730" s="1">
        <v>352944.64</v>
      </c>
      <c r="AG730" s="2">
        <v>41183.0</v>
      </c>
      <c r="AH730" s="1">
        <v>8600.0</v>
      </c>
      <c r="AI730" s="1" t="s">
        <v>102</v>
      </c>
      <c r="AJ730" s="1">
        <v>2.0130874E7</v>
      </c>
      <c r="AK730" s="1" t="s">
        <v>1859</v>
      </c>
      <c r="AL730" s="1">
        <v>10.0</v>
      </c>
      <c r="AM730" s="1">
        <v>2011.0</v>
      </c>
      <c r="AN730" s="1">
        <v>2013.0</v>
      </c>
      <c r="AO730" s="1" t="s">
        <v>1860</v>
      </c>
    </row>
    <row r="731">
      <c r="A731" s="5">
        <v>1.0</v>
      </c>
      <c r="B731" s="1">
        <f t="shared" si="1"/>
        <v>731</v>
      </c>
      <c r="C731" s="1" t="s">
        <v>992</v>
      </c>
      <c r="D731" s="1" t="s">
        <v>992</v>
      </c>
      <c r="E731" s="1" t="s">
        <v>159</v>
      </c>
      <c r="G731" s="1">
        <v>3.7269576E7</v>
      </c>
      <c r="H731" s="2">
        <v>41528.0</v>
      </c>
      <c r="I731" s="1" t="s">
        <v>993</v>
      </c>
      <c r="K731" s="1" t="s">
        <v>993</v>
      </c>
      <c r="N731" s="1" t="s">
        <v>40</v>
      </c>
      <c r="O731" s="1">
        <v>7500.0</v>
      </c>
      <c r="P731" s="1" t="s">
        <v>40</v>
      </c>
      <c r="Q731" s="1" t="str">
        <f>IF(ISERROR(VLOOKUP(P731,'unique fed agency names'!A:C,3,FALSE)),P731,VLOOKUP(P731,'unique fed agency names'!A:C,3,FALSE))
</f>
        <v>U.S. Department of Health and Human Services (DHHS)</v>
      </c>
      <c r="R731" s="1">
        <v>2.1761763E7</v>
      </c>
      <c r="S731" s="1" t="s">
        <v>1046</v>
      </c>
      <c r="T731" s="1" t="str">
        <f>IF(ISERROR(VLOOKUP(S731,'unique org names'!A:C,3,FALSE)),S731,VLOOKUP(S731,'unique org names'!A:C,3,FALSE))
</f>
        <v>ADULT PSYCHIATRIC CLINIC</v>
      </c>
      <c r="U731" s="1" t="s">
        <v>1047</v>
      </c>
      <c r="V731" s="1" t="s">
        <v>1048</v>
      </c>
      <c r="W731" s="1" t="s">
        <v>44</v>
      </c>
      <c r="X731" s="1" t="s">
        <v>45</v>
      </c>
      <c r="Y731" s="1">
        <v>4.82121112E8</v>
      </c>
      <c r="AA731" s="1" t="s">
        <v>46</v>
      </c>
      <c r="AB731" s="1" t="s">
        <v>45</v>
      </c>
      <c r="AC731" s="1">
        <v>4.82121112E8</v>
      </c>
      <c r="AF731" s="1">
        <v>34303.0</v>
      </c>
      <c r="AG731" s="2">
        <v>41528.0</v>
      </c>
      <c r="AH731" s="1">
        <v>7500.0</v>
      </c>
      <c r="AI731" s="1" t="s">
        <v>40</v>
      </c>
      <c r="AJ731" s="1">
        <v>3.8171546E8</v>
      </c>
      <c r="AK731" s="1" t="s">
        <v>1049</v>
      </c>
      <c r="AL731" s="1">
        <v>3.0</v>
      </c>
      <c r="AM731" s="1">
        <v>2014.0</v>
      </c>
      <c r="AN731" s="1">
        <v>2013.0</v>
      </c>
      <c r="AO731" s="1" t="s">
        <v>997</v>
      </c>
    </row>
    <row r="732">
      <c r="A732" s="5">
        <v>1.0</v>
      </c>
      <c r="B732" s="1">
        <f t="shared" si="1"/>
        <v>732</v>
      </c>
      <c r="C732" s="1" t="s">
        <v>992</v>
      </c>
      <c r="D732" s="1" t="s">
        <v>992</v>
      </c>
      <c r="E732" s="1" t="s">
        <v>159</v>
      </c>
      <c r="G732" s="1">
        <v>3.7269576E7</v>
      </c>
      <c r="H732" s="2">
        <v>41558.0</v>
      </c>
      <c r="I732" s="1" t="s">
        <v>993</v>
      </c>
      <c r="K732" s="1" t="s">
        <v>993</v>
      </c>
      <c r="N732" s="1" t="s">
        <v>40</v>
      </c>
      <c r="O732" s="1">
        <v>7500.0</v>
      </c>
      <c r="P732" s="1" t="s">
        <v>40</v>
      </c>
      <c r="Q732" s="1" t="str">
        <f>IF(ISERROR(VLOOKUP(P732,'unique fed agency names'!A:C,3,FALSE)),P732,VLOOKUP(P732,'unique fed agency names'!A:C,3,FALSE))
</f>
        <v>U.S. Department of Health and Human Services (DHHS)</v>
      </c>
      <c r="R732" s="1">
        <v>1.97862014E8</v>
      </c>
      <c r="S732" s="1" t="s">
        <v>1056</v>
      </c>
      <c r="T732" s="1" t="str">
        <f>IF(ISERROR(VLOOKUP(S732,'unique org names'!A:C,3,FALSE)),S732,VLOOKUP(S732,'unique org names'!A:C,3,FALSE))
</f>
        <v>WAYNE COUNTY NEIGHBORHOOD LEGAL SERVICES</v>
      </c>
      <c r="U732" s="1" t="s">
        <v>1057</v>
      </c>
      <c r="V732" s="1" t="s">
        <v>1058</v>
      </c>
      <c r="W732" s="1" t="s">
        <v>44</v>
      </c>
      <c r="X732" s="1" t="s">
        <v>45</v>
      </c>
      <c r="Y732" s="1">
        <v>4.82023165E8</v>
      </c>
      <c r="AA732" s="1" t="s">
        <v>46</v>
      </c>
      <c r="AB732" s="1" t="s">
        <v>45</v>
      </c>
      <c r="AC732" s="1">
        <v>4.82023165E8</v>
      </c>
      <c r="AD732" s="1">
        <v>1.97862014E8</v>
      </c>
      <c r="AE732" s="1" t="s">
        <v>1056</v>
      </c>
      <c r="AF732" s="1">
        <v>46594.0</v>
      </c>
      <c r="AG732" s="2">
        <v>41558.0</v>
      </c>
      <c r="AH732" s="1">
        <v>7500.0</v>
      </c>
      <c r="AI732" s="1" t="s">
        <v>40</v>
      </c>
      <c r="AJ732" s="1">
        <v>1.97862014E8</v>
      </c>
      <c r="AK732" s="1" t="s">
        <v>1059</v>
      </c>
      <c r="AL732" s="1">
        <v>3.0</v>
      </c>
      <c r="AM732" s="1">
        <v>2014.0</v>
      </c>
      <c r="AN732" s="1">
        <v>2014.0</v>
      </c>
      <c r="AO732" s="1" t="s">
        <v>997</v>
      </c>
    </row>
    <row r="733">
      <c r="A733" s="5">
        <v>1.0</v>
      </c>
      <c r="B733" s="1">
        <f t="shared" si="1"/>
        <v>733</v>
      </c>
      <c r="C733" s="1" t="s">
        <v>992</v>
      </c>
      <c r="D733" s="1" t="s">
        <v>992</v>
      </c>
      <c r="E733" s="1" t="s">
        <v>159</v>
      </c>
      <c r="G733" s="1">
        <v>3.7269576E7</v>
      </c>
      <c r="H733" s="2">
        <v>41614.0</v>
      </c>
      <c r="I733" s="1" t="s">
        <v>993</v>
      </c>
      <c r="K733" s="1" t="s">
        <v>993</v>
      </c>
      <c r="N733" s="1" t="s">
        <v>40</v>
      </c>
      <c r="O733" s="1">
        <v>7500.0</v>
      </c>
      <c r="P733" s="1" t="s">
        <v>40</v>
      </c>
      <c r="Q733" s="1" t="str">
        <f>IF(ISERROR(VLOOKUP(P733,'unique fed agency names'!A:C,3,FALSE)),P733,VLOOKUP(P733,'unique fed agency names'!A:C,3,FALSE))
</f>
        <v>U.S. Department of Health and Human Services (DHHS)</v>
      </c>
      <c r="R733" s="1">
        <v>9.29292464E8</v>
      </c>
      <c r="S733" s="1" t="s">
        <v>1043</v>
      </c>
      <c r="T733" s="1" t="str">
        <f>IF(ISERROR(VLOOKUP(S733,'unique org names'!A:C,3,FALSE)),S733,VLOOKUP(S733,'unique org names'!A:C,3,FALSE))
</f>
        <v>HEALTH EMERGENCY LIFELINE PROGRAM</v>
      </c>
      <c r="V733" s="1" t="s">
        <v>1044</v>
      </c>
      <c r="W733" s="1" t="s">
        <v>44</v>
      </c>
      <c r="X733" s="1" t="s">
        <v>45</v>
      </c>
      <c r="Y733" s="1">
        <v>4.82161921E8</v>
      </c>
      <c r="AA733" s="1" t="s">
        <v>46</v>
      </c>
      <c r="AB733" s="1" t="s">
        <v>45</v>
      </c>
      <c r="AC733" s="1">
        <v>4.82161921E8</v>
      </c>
      <c r="AF733" s="1">
        <v>1158567.0</v>
      </c>
      <c r="AG733" s="2">
        <v>41614.0</v>
      </c>
      <c r="AH733" s="1">
        <v>7500.0</v>
      </c>
      <c r="AI733" s="1" t="s">
        <v>40</v>
      </c>
      <c r="AJ733" s="1">
        <v>3.827119621E9</v>
      </c>
      <c r="AK733" s="1" t="s">
        <v>1045</v>
      </c>
      <c r="AL733" s="1">
        <v>3.0</v>
      </c>
      <c r="AM733" s="1">
        <v>2014.0</v>
      </c>
      <c r="AN733" s="1">
        <v>2014.0</v>
      </c>
      <c r="AO733" s="1" t="s">
        <v>997</v>
      </c>
    </row>
    <row r="734">
      <c r="A734" s="5">
        <v>1.0</v>
      </c>
      <c r="B734" s="1">
        <f t="shared" si="1"/>
        <v>734</v>
      </c>
      <c r="C734" s="1" t="s">
        <v>992</v>
      </c>
      <c r="D734" s="1" t="s">
        <v>992</v>
      </c>
      <c r="E734" s="1" t="s">
        <v>159</v>
      </c>
      <c r="G734" s="1">
        <v>3.7269576E7</v>
      </c>
      <c r="H734" s="2">
        <v>41613.0</v>
      </c>
      <c r="I734" s="1" t="s">
        <v>993</v>
      </c>
      <c r="K734" s="1" t="s">
        <v>993</v>
      </c>
      <c r="N734" s="1" t="s">
        <v>40</v>
      </c>
      <c r="O734" s="1">
        <v>7500.0</v>
      </c>
      <c r="P734" s="1" t="s">
        <v>40</v>
      </c>
      <c r="Q734" s="1" t="str">
        <f>IF(ISERROR(VLOOKUP(P734,'unique fed agency names'!A:C,3,FALSE)),P734,VLOOKUP(P734,'unique fed agency names'!A:C,3,FALSE))
</f>
        <v>U.S. Department of Health and Human Services (DHHS)</v>
      </c>
      <c r="R734" s="1">
        <v>1.98999146E8</v>
      </c>
      <c r="S734" s="1" t="s">
        <v>999</v>
      </c>
      <c r="T734" s="1" t="str">
        <f>IF(ISERROR(VLOOKUP(S734,'unique org names'!A:C,3,FALSE)),S734,VLOOKUP(S734,'unique org names'!A:C,3,FALSE))
</f>
        <v>COMMUNITY HEALTH AWARENESS GROUP</v>
      </c>
      <c r="V734" s="1" t="s">
        <v>1000</v>
      </c>
      <c r="W734" s="1" t="s">
        <v>44</v>
      </c>
      <c r="X734" s="1" t="s">
        <v>45</v>
      </c>
      <c r="Y734" s="1">
        <v>4.82263007E8</v>
      </c>
      <c r="AA734" s="1" t="s">
        <v>46</v>
      </c>
      <c r="AB734" s="1" t="s">
        <v>45</v>
      </c>
      <c r="AC734" s="1">
        <v>4.82263007E8</v>
      </c>
      <c r="AF734" s="1">
        <v>700865.0</v>
      </c>
      <c r="AG734" s="2">
        <v>41613.0</v>
      </c>
      <c r="AH734" s="1">
        <v>7500.0</v>
      </c>
      <c r="AI734" s="1" t="s">
        <v>40</v>
      </c>
      <c r="AJ734" s="1">
        <v>3.82704374E8</v>
      </c>
      <c r="AK734" s="1" t="s">
        <v>1001</v>
      </c>
      <c r="AL734" s="1">
        <v>3.0</v>
      </c>
      <c r="AM734" s="1">
        <v>2014.0</v>
      </c>
      <c r="AN734" s="1">
        <v>2014.0</v>
      </c>
      <c r="AO734" s="1" t="s">
        <v>997</v>
      </c>
    </row>
    <row r="735">
      <c r="A735" s="5">
        <v>1.0</v>
      </c>
      <c r="B735" s="1">
        <f t="shared" si="1"/>
        <v>735</v>
      </c>
      <c r="C735" s="1" t="s">
        <v>992</v>
      </c>
      <c r="D735" s="1" t="s">
        <v>992</v>
      </c>
      <c r="E735" s="1" t="s">
        <v>159</v>
      </c>
      <c r="G735" s="1">
        <v>3.7269576E7</v>
      </c>
      <c r="H735" s="2">
        <v>41628.0</v>
      </c>
      <c r="I735" s="1" t="s">
        <v>993</v>
      </c>
      <c r="K735" s="1" t="s">
        <v>993</v>
      </c>
      <c r="N735" s="1" t="s">
        <v>40</v>
      </c>
      <c r="O735" s="1">
        <v>7500.0</v>
      </c>
      <c r="P735" s="1" t="s">
        <v>40</v>
      </c>
      <c r="Q735" s="1" t="str">
        <f>IF(ISERROR(VLOOKUP(P735,'unique fed agency names'!A:C,3,FALSE)),P735,VLOOKUP(P735,'unique fed agency names'!A:C,3,FALSE))
</f>
        <v>U.S. Department of Health and Human Services (DHHS)</v>
      </c>
      <c r="R735" s="1">
        <v>1962224.0</v>
      </c>
      <c r="S735" s="1" t="s">
        <v>52</v>
      </c>
      <c r="T735" s="1" t="str">
        <f>IF(ISERROR(VLOOKUP(S735,'unique org names'!A:C,3,FALSE)),S735,VLOOKUP(S735,'unique org names'!A:C,3,FALSE))
</f>
        <v>WAYNE STATE UNIVERSITY</v>
      </c>
      <c r="V735" s="1" t="s">
        <v>53</v>
      </c>
      <c r="W735" s="1" t="s">
        <v>44</v>
      </c>
      <c r="X735" s="1" t="s">
        <v>45</v>
      </c>
      <c r="Y735" s="1">
        <v>4.82023692E8</v>
      </c>
      <c r="AA735" s="1" t="s">
        <v>46</v>
      </c>
      <c r="AB735" s="1" t="s">
        <v>45</v>
      </c>
      <c r="AC735" s="1">
        <v>4.8202405E8</v>
      </c>
      <c r="AD735" s="1">
        <v>1962224.0</v>
      </c>
      <c r="AE735" s="1" t="s">
        <v>52</v>
      </c>
      <c r="AF735" s="1">
        <v>819674.0</v>
      </c>
      <c r="AG735" s="2">
        <v>41628.0</v>
      </c>
      <c r="AH735" s="1">
        <v>7500.0</v>
      </c>
      <c r="AI735" s="1" t="s">
        <v>40</v>
      </c>
      <c r="AJ735" s="1" t="s">
        <v>1074</v>
      </c>
      <c r="AK735" s="1" t="s">
        <v>1075</v>
      </c>
      <c r="AL735" s="1">
        <v>3.0</v>
      </c>
      <c r="AM735" s="1">
        <v>2014.0</v>
      </c>
      <c r="AN735" s="1">
        <v>2014.0</v>
      </c>
      <c r="AO735" s="1" t="s">
        <v>997</v>
      </c>
    </row>
    <row r="736">
      <c r="A736" s="5">
        <v>1.0</v>
      </c>
      <c r="B736" s="1">
        <f t="shared" si="1"/>
        <v>736</v>
      </c>
      <c r="C736" s="1" t="s">
        <v>992</v>
      </c>
      <c r="D736" s="1" t="s">
        <v>992</v>
      </c>
      <c r="E736" s="1" t="s">
        <v>159</v>
      </c>
      <c r="G736" s="1">
        <v>3.7269576E7</v>
      </c>
      <c r="H736" s="2">
        <v>41628.0</v>
      </c>
      <c r="I736" s="1" t="s">
        <v>993</v>
      </c>
      <c r="K736" s="1" t="s">
        <v>993</v>
      </c>
      <c r="N736" s="1" t="s">
        <v>40</v>
      </c>
      <c r="O736" s="1">
        <v>7500.0</v>
      </c>
      <c r="P736" s="1" t="s">
        <v>40</v>
      </c>
      <c r="Q736" s="1" t="str">
        <f>IF(ISERROR(VLOOKUP(P736,'unique fed agency names'!A:C,3,FALSE)),P736,VLOOKUP(P736,'unique fed agency names'!A:C,3,FALSE))
</f>
        <v>U.S. Department of Health and Human Services (DHHS)</v>
      </c>
      <c r="R736" s="1">
        <v>8.48764171E8</v>
      </c>
      <c r="S736" s="1" t="s">
        <v>1050</v>
      </c>
      <c r="T736" s="1" t="str">
        <f>IF(ISERROR(VLOOKUP(S736,'unique org names'!A:C,3,FALSE)),S736,VLOOKUP(S736,'unique org names'!A:C,3,FALSE))
</f>
        <v>AIDS Partnership Michigan, Inc</v>
      </c>
      <c r="U736" s="1" t="s">
        <v>1051</v>
      </c>
      <c r="V736" s="1" t="s">
        <v>1052</v>
      </c>
      <c r="W736" s="1" t="s">
        <v>44</v>
      </c>
      <c r="X736" s="1" t="s">
        <v>45</v>
      </c>
      <c r="Y736" s="1">
        <v>4.820741E8</v>
      </c>
      <c r="AA736" s="1" t="s">
        <v>46</v>
      </c>
      <c r="AB736" s="1" t="s">
        <v>45</v>
      </c>
      <c r="AC736" s="1">
        <v>4.820741E8</v>
      </c>
      <c r="AF736" s="1">
        <v>859083.0</v>
      </c>
      <c r="AG736" s="2">
        <v>41628.0</v>
      </c>
      <c r="AH736" s="1">
        <v>7500.0</v>
      </c>
      <c r="AI736" s="1" t="s">
        <v>40</v>
      </c>
      <c r="AJ736" s="1">
        <v>3.82464851E8</v>
      </c>
      <c r="AK736" s="1" t="s">
        <v>1053</v>
      </c>
      <c r="AL736" s="1">
        <v>3.0</v>
      </c>
      <c r="AM736" s="1">
        <v>2014.0</v>
      </c>
      <c r="AN736" s="1">
        <v>2014.0</v>
      </c>
      <c r="AO736" s="1" t="s">
        <v>997</v>
      </c>
    </row>
    <row r="737">
      <c r="A737" s="5">
        <v>1.0</v>
      </c>
      <c r="B737" s="1">
        <f t="shared" si="1"/>
        <v>737</v>
      </c>
      <c r="C737" s="1" t="s">
        <v>992</v>
      </c>
      <c r="D737" s="1" t="s">
        <v>992</v>
      </c>
      <c r="E737" s="1" t="s">
        <v>159</v>
      </c>
      <c r="G737" s="1">
        <v>3.7269576E7</v>
      </c>
      <c r="H737" s="2">
        <v>41558.0</v>
      </c>
      <c r="I737" s="1" t="s">
        <v>993</v>
      </c>
      <c r="K737" s="1" t="s">
        <v>993</v>
      </c>
      <c r="N737" s="1" t="s">
        <v>40</v>
      </c>
      <c r="O737" s="1">
        <v>7500.0</v>
      </c>
      <c r="P737" s="1" t="s">
        <v>40</v>
      </c>
      <c r="Q737" s="1" t="str">
        <f>IF(ISERROR(VLOOKUP(P737,'unique fed agency names'!A:C,3,FALSE)),P737,VLOOKUP(P737,'unique fed agency names'!A:C,3,FALSE))
</f>
        <v>U.S. Department of Health and Human Services (DHHS)</v>
      </c>
      <c r="R737" s="1">
        <v>7.90642933E8</v>
      </c>
      <c r="S737" s="1" t="s">
        <v>1861</v>
      </c>
      <c r="T737" s="1" t="str">
        <f>IF(ISERROR(VLOOKUP(S737,'unique org names'!A:C,3,FALSE)),S737,VLOOKUP(S737,'unique org names'!A:C,3,FALSE))
</f>
        <v>UNIVERSITY PHYSICIAN GROUP</v>
      </c>
      <c r="U737" s="1" t="s">
        <v>1862</v>
      </c>
      <c r="V737" s="1" t="s">
        <v>1863</v>
      </c>
      <c r="W737" s="1" t="s">
        <v>44</v>
      </c>
      <c r="X737" s="1" t="s">
        <v>45</v>
      </c>
      <c r="Y737" s="1">
        <v>4.82011908E8</v>
      </c>
      <c r="AA737" s="1" t="s">
        <v>46</v>
      </c>
      <c r="AB737" s="1" t="s">
        <v>45</v>
      </c>
      <c r="AC737" s="1">
        <v>4.82012167E8</v>
      </c>
      <c r="AD737" s="1">
        <v>7.90642933E8</v>
      </c>
      <c r="AE737" s="1" t="s">
        <v>1861</v>
      </c>
      <c r="AF737" s="1">
        <v>59743.0</v>
      </c>
      <c r="AG737" s="2">
        <v>41558.0</v>
      </c>
      <c r="AH737" s="1">
        <v>7500.0</v>
      </c>
      <c r="AI737" s="1" t="s">
        <v>40</v>
      </c>
      <c r="AJ737" s="1">
        <v>3.834744766E9</v>
      </c>
      <c r="AK737" s="1" t="s">
        <v>1864</v>
      </c>
      <c r="AL737" s="1">
        <v>3.0</v>
      </c>
      <c r="AM737" s="1">
        <v>2014.0</v>
      </c>
      <c r="AN737" s="1">
        <v>2014.0</v>
      </c>
      <c r="AO737" s="1" t="s">
        <v>997</v>
      </c>
    </row>
    <row r="738">
      <c r="A738" s="5">
        <v>1.0</v>
      </c>
      <c r="B738" s="1">
        <f t="shared" si="1"/>
        <v>738</v>
      </c>
      <c r="C738" s="1" t="s">
        <v>992</v>
      </c>
      <c r="D738" s="1" t="s">
        <v>992</v>
      </c>
      <c r="E738" s="1" t="s">
        <v>159</v>
      </c>
      <c r="G738" s="1">
        <v>3.7269576E7</v>
      </c>
      <c r="H738" s="2">
        <v>41705.0</v>
      </c>
      <c r="I738" s="1" t="s">
        <v>993</v>
      </c>
      <c r="K738" s="1" t="s">
        <v>993</v>
      </c>
      <c r="N738" s="1" t="s">
        <v>40</v>
      </c>
      <c r="O738" s="1">
        <v>7500.0</v>
      </c>
      <c r="P738" s="1" t="s">
        <v>40</v>
      </c>
      <c r="Q738" s="1" t="str">
        <f>IF(ISERROR(VLOOKUP(P738,'unique fed agency names'!A:C,3,FALSE)),P738,VLOOKUP(P738,'unique fed agency names'!A:C,3,FALSE))
</f>
        <v>U.S. Department of Health and Human Services (DHHS)</v>
      </c>
      <c r="R738" s="1">
        <v>7.3134603E7</v>
      </c>
      <c r="S738" s="1" t="s">
        <v>41</v>
      </c>
      <c r="T738" s="1" t="str">
        <f>IF(ISERROR(VLOOKUP(S738,'unique org names'!A:C,3,FALSE)),S738,VLOOKUP(S738,'unique org names'!A:C,3,FALSE))
</f>
        <v>Henry Ford Health System</v>
      </c>
      <c r="U738" s="1" t="s">
        <v>252</v>
      </c>
      <c r="V738" s="1" t="s">
        <v>253</v>
      </c>
      <c r="W738" s="1" t="s">
        <v>44</v>
      </c>
      <c r="X738" s="1" t="s">
        <v>45</v>
      </c>
      <c r="Y738" s="1">
        <v>4.8202345E8</v>
      </c>
      <c r="AA738" s="1" t="s">
        <v>46</v>
      </c>
      <c r="AB738" s="1" t="s">
        <v>45</v>
      </c>
      <c r="AC738" s="1">
        <v>4.82022689E8</v>
      </c>
      <c r="AD738" s="1">
        <v>7.3134603E7</v>
      </c>
      <c r="AE738" s="1" t="s">
        <v>41</v>
      </c>
      <c r="AF738" s="1">
        <v>744625.0</v>
      </c>
      <c r="AG738" s="2">
        <v>41705.0</v>
      </c>
      <c r="AH738" s="1">
        <v>7500.0</v>
      </c>
      <c r="AI738" s="1" t="s">
        <v>40</v>
      </c>
      <c r="AJ738" s="1">
        <v>3.8135702E8</v>
      </c>
      <c r="AK738" s="1" t="s">
        <v>1061</v>
      </c>
      <c r="AL738" s="1">
        <v>3.0</v>
      </c>
      <c r="AM738" s="1">
        <v>2014.0</v>
      </c>
      <c r="AN738" s="1">
        <v>2014.0</v>
      </c>
      <c r="AO738" s="1" t="s">
        <v>997</v>
      </c>
    </row>
    <row r="739">
      <c r="A739" s="5">
        <v>1.0</v>
      </c>
      <c r="B739" s="1">
        <f t="shared" si="1"/>
        <v>739</v>
      </c>
      <c r="C739" s="1" t="s">
        <v>992</v>
      </c>
      <c r="D739" s="1" t="s">
        <v>992</v>
      </c>
      <c r="E739" s="1" t="s">
        <v>159</v>
      </c>
      <c r="G739" s="1">
        <v>3.7269576E7</v>
      </c>
      <c r="H739" s="2">
        <v>41515.0</v>
      </c>
      <c r="I739" s="1" t="s">
        <v>993</v>
      </c>
      <c r="K739" s="1" t="s">
        <v>993</v>
      </c>
      <c r="N739" s="1" t="s">
        <v>40</v>
      </c>
      <c r="O739" s="1">
        <v>7500.0</v>
      </c>
      <c r="P739" s="1" t="s">
        <v>40</v>
      </c>
      <c r="Q739" s="1" t="str">
        <f>IF(ISERROR(VLOOKUP(P739,'unique fed agency names'!A:C,3,FALSE)),P739,VLOOKUP(P739,'unique fed agency names'!A:C,3,FALSE))
</f>
        <v>U.S. Department of Health and Human Services (DHHS)</v>
      </c>
      <c r="R739" s="1">
        <v>5.4696057E7</v>
      </c>
      <c r="S739" s="1" t="s">
        <v>1865</v>
      </c>
      <c r="T739" s="1" t="str">
        <f>IF(ISERROR(VLOOKUP(S739,'unique org names'!A:C,3,FALSE)),S739,VLOOKUP(S739,'unique org names'!A:C,3,FALSE))
</f>
        <v>MICHIGAN COMPREHENSIVE SERVICE NETWORK</v>
      </c>
      <c r="U739" s="1" t="s">
        <v>1866</v>
      </c>
      <c r="V739" s="1" t="s">
        <v>1867</v>
      </c>
      <c r="W739" s="1" t="s">
        <v>44</v>
      </c>
      <c r="X739" s="1" t="s">
        <v>45</v>
      </c>
      <c r="Y739" s="1">
        <v>4.82352424E8</v>
      </c>
      <c r="AA739" s="1" t="s">
        <v>46</v>
      </c>
      <c r="AB739" s="1" t="s">
        <v>45</v>
      </c>
      <c r="AC739" s="1">
        <v>4.82012194E8</v>
      </c>
      <c r="AF739" s="1">
        <v>40000.0</v>
      </c>
      <c r="AG739" s="2">
        <v>41515.0</v>
      </c>
      <c r="AH739" s="1">
        <v>7500.0</v>
      </c>
      <c r="AI739" s="1" t="s">
        <v>40</v>
      </c>
      <c r="AJ739" s="1">
        <v>2.0876418E7</v>
      </c>
      <c r="AK739" s="1" t="s">
        <v>1868</v>
      </c>
      <c r="AL739" s="1">
        <v>3.0</v>
      </c>
      <c r="AM739" s="1">
        <v>2014.0</v>
      </c>
      <c r="AN739" s="1">
        <v>2013.0</v>
      </c>
      <c r="AO739" s="1" t="s">
        <v>997</v>
      </c>
    </row>
    <row r="740">
      <c r="A740" s="5">
        <v>1.0</v>
      </c>
      <c r="B740" s="1">
        <f t="shared" si="1"/>
        <v>740</v>
      </c>
      <c r="C740" s="1" t="s">
        <v>992</v>
      </c>
      <c r="D740" s="1" t="s">
        <v>992</v>
      </c>
      <c r="E740" s="1" t="s">
        <v>159</v>
      </c>
      <c r="G740" s="1">
        <v>3.7269576E7</v>
      </c>
      <c r="H740" s="2">
        <v>41695.0</v>
      </c>
      <c r="I740" s="1" t="s">
        <v>993</v>
      </c>
      <c r="K740" s="1" t="s">
        <v>993</v>
      </c>
      <c r="N740" s="1" t="s">
        <v>40</v>
      </c>
      <c r="O740" s="1">
        <v>7500.0</v>
      </c>
      <c r="P740" s="1" t="s">
        <v>40</v>
      </c>
      <c r="Q740" s="1" t="str">
        <f>IF(ISERROR(VLOOKUP(P740,'unique fed agency names'!A:C,3,FALSE)),P740,VLOOKUP(P740,'unique fed agency names'!A:C,3,FALSE))
</f>
        <v>U.S. Department of Health and Human Services (DHHS)</v>
      </c>
      <c r="R740" s="1">
        <v>1.41947783E8</v>
      </c>
      <c r="S740" s="1" t="s">
        <v>144</v>
      </c>
      <c r="T740" s="1" t="str">
        <f>IF(ISERROR(VLOOKUP(S740,'unique org names'!A:C,3,FALSE)),S740,VLOOKUP(S740,'unique org names'!A:C,3,FALSE))
</f>
        <v>St John Community Health Investment Corporation</v>
      </c>
      <c r="V740" s="1" t="s">
        <v>145</v>
      </c>
      <c r="W740" s="1" t="s">
        <v>44</v>
      </c>
      <c r="X740" s="1" t="s">
        <v>45</v>
      </c>
      <c r="Y740" s="1">
        <v>4.82362148E8</v>
      </c>
      <c r="AA740" s="1" t="s">
        <v>46</v>
      </c>
      <c r="AB740" s="1" t="s">
        <v>45</v>
      </c>
      <c r="AC740" s="1">
        <v>4.82021732E8</v>
      </c>
      <c r="AF740" s="1">
        <v>528361.0</v>
      </c>
      <c r="AG740" s="2">
        <v>41695.0</v>
      </c>
      <c r="AH740" s="1">
        <v>7500.0</v>
      </c>
      <c r="AI740" s="1" t="s">
        <v>40</v>
      </c>
      <c r="AJ740" s="1">
        <v>3.82262856E8</v>
      </c>
      <c r="AK740" s="1" t="s">
        <v>1054</v>
      </c>
      <c r="AL740" s="1">
        <v>3.0</v>
      </c>
      <c r="AM740" s="1">
        <v>2014.0</v>
      </c>
      <c r="AN740" s="1">
        <v>2014.0</v>
      </c>
      <c r="AO740" s="1" t="s">
        <v>997</v>
      </c>
    </row>
    <row r="741">
      <c r="A741" s="5">
        <v>1.0</v>
      </c>
      <c r="B741" s="1">
        <f t="shared" si="1"/>
        <v>741</v>
      </c>
      <c r="C741" s="1" t="s">
        <v>1325</v>
      </c>
      <c r="D741" s="1" t="s">
        <v>1325</v>
      </c>
      <c r="E741" s="1" t="s">
        <v>129</v>
      </c>
      <c r="G741" s="1">
        <v>3.93293408E8</v>
      </c>
      <c r="H741" s="2">
        <v>41548.0</v>
      </c>
      <c r="I741" s="1" t="s">
        <v>1326</v>
      </c>
      <c r="K741" s="1" t="s">
        <v>1326</v>
      </c>
      <c r="N741" s="1" t="s">
        <v>40</v>
      </c>
      <c r="O741" s="1">
        <v>7500.0</v>
      </c>
      <c r="P741" s="1" t="s">
        <v>40</v>
      </c>
      <c r="Q741" s="1" t="str">
        <f>IF(ISERROR(VLOOKUP(P741,'unique fed agency names'!A:C,3,FALSE)),P741,VLOOKUP(P741,'unique fed agency names'!A:C,3,FALSE))
</f>
        <v>U.S. Department of Health and Human Services (DHHS)</v>
      </c>
      <c r="R741" s="1">
        <v>6.9840817E7</v>
      </c>
      <c r="S741" s="1" t="s">
        <v>131</v>
      </c>
      <c r="T741" s="1" t="str">
        <f>IF(ISERROR(VLOOKUP(S741,'unique org names'!A:C,3,FALSE)),S741,VLOOKUP(S741,'unique org names'!A:C,3,FALSE))
</f>
        <v>LUTHERAN SOCIAL SERVICES OF MICHIGAN</v>
      </c>
      <c r="V741" s="1" t="s">
        <v>132</v>
      </c>
      <c r="W741" s="1" t="s">
        <v>44</v>
      </c>
      <c r="X741" s="1" t="s">
        <v>45</v>
      </c>
      <c r="Y741" s="1">
        <v>4.8214261E8</v>
      </c>
      <c r="AA741" s="1" t="s">
        <v>44</v>
      </c>
      <c r="AB741" s="1" t="s">
        <v>45</v>
      </c>
      <c r="AC741" s="1">
        <v>4.8214261E8</v>
      </c>
      <c r="AD741" s="1">
        <v>6.9840817E7</v>
      </c>
      <c r="AE741" s="1" t="s">
        <v>131</v>
      </c>
      <c r="AF741" s="1">
        <v>457342.0</v>
      </c>
      <c r="AG741" s="2">
        <v>41548.0</v>
      </c>
      <c r="AH741" s="1">
        <v>7500.0</v>
      </c>
      <c r="AI741" s="1" t="s">
        <v>40</v>
      </c>
      <c r="AJ741" s="1" t="s">
        <v>1328</v>
      </c>
      <c r="AK741" s="1" t="s">
        <v>1329</v>
      </c>
      <c r="AL741" s="1">
        <v>10.0</v>
      </c>
      <c r="AM741" s="1">
        <v>2013.0</v>
      </c>
      <c r="AN741" s="1">
        <v>2014.0</v>
      </c>
      <c r="AO741" s="1" t="s">
        <v>385</v>
      </c>
    </row>
    <row r="742">
      <c r="A742" s="5">
        <v>1.0</v>
      </c>
      <c r="B742" s="1">
        <f t="shared" si="1"/>
        <v>742</v>
      </c>
      <c r="C742" s="1" t="s">
        <v>1869</v>
      </c>
      <c r="D742" s="1" t="s">
        <v>1869</v>
      </c>
      <c r="E742" s="1" t="s">
        <v>129</v>
      </c>
      <c r="G742" s="1">
        <v>1.0713138E7</v>
      </c>
      <c r="H742" s="2">
        <v>41548.0</v>
      </c>
      <c r="I742" s="1" t="s">
        <v>1870</v>
      </c>
      <c r="K742" s="1" t="s">
        <v>1870</v>
      </c>
      <c r="N742" s="1" t="s">
        <v>40</v>
      </c>
      <c r="O742" s="1">
        <v>7500.0</v>
      </c>
      <c r="P742" s="1" t="s">
        <v>40</v>
      </c>
      <c r="Q742" s="1" t="str">
        <f>IF(ISERROR(VLOOKUP(P742,'unique fed agency names'!A:C,3,FALSE)),P742,VLOOKUP(P742,'unique fed agency names'!A:C,3,FALSE))
</f>
        <v>U.S. Department of Health and Human Services (DHHS)</v>
      </c>
      <c r="R742" s="1">
        <v>6.9840817E7</v>
      </c>
      <c r="S742" s="1" t="s">
        <v>131</v>
      </c>
      <c r="T742" s="1" t="str">
        <f>IF(ISERROR(VLOOKUP(S742,'unique org names'!A:C,3,FALSE)),S742,VLOOKUP(S742,'unique org names'!A:C,3,FALSE))
</f>
        <v>LUTHERAN SOCIAL SERVICES OF MICHIGAN</v>
      </c>
      <c r="V742" s="1" t="s">
        <v>132</v>
      </c>
      <c r="W742" s="1" t="s">
        <v>44</v>
      </c>
      <c r="X742" s="1" t="s">
        <v>45</v>
      </c>
      <c r="Y742" s="1">
        <v>4.8214261E8</v>
      </c>
      <c r="AA742" s="1" t="s">
        <v>44</v>
      </c>
      <c r="AB742" s="1" t="s">
        <v>45</v>
      </c>
      <c r="AC742" s="1">
        <v>4.8214261E8</v>
      </c>
      <c r="AD742" s="1">
        <v>6.9840817E7</v>
      </c>
      <c r="AE742" s="1" t="s">
        <v>131</v>
      </c>
      <c r="AF742" s="1">
        <v>100000.0</v>
      </c>
      <c r="AG742" s="2">
        <v>41548.0</v>
      </c>
      <c r="AH742" s="1">
        <v>7500.0</v>
      </c>
      <c r="AI742" s="1" t="s">
        <v>40</v>
      </c>
      <c r="AJ742" s="1" t="s">
        <v>1871</v>
      </c>
      <c r="AK742" s="1" t="s">
        <v>1872</v>
      </c>
      <c r="AL742" s="1">
        <v>10.0</v>
      </c>
      <c r="AM742" s="1">
        <v>2013.0</v>
      </c>
      <c r="AN742" s="1">
        <v>2014.0</v>
      </c>
      <c r="AO742" s="1" t="s">
        <v>1873</v>
      </c>
    </row>
    <row r="743">
      <c r="A743" s="5">
        <v>1.0</v>
      </c>
      <c r="B743" s="1">
        <f t="shared" si="1"/>
        <v>743</v>
      </c>
      <c r="C743" s="1" t="s">
        <v>1325</v>
      </c>
      <c r="D743" s="1" t="s">
        <v>1325</v>
      </c>
      <c r="E743" s="1" t="s">
        <v>129</v>
      </c>
      <c r="G743" s="1">
        <v>3.93293408E8</v>
      </c>
      <c r="H743" s="2">
        <v>41548.0</v>
      </c>
      <c r="I743" s="1" t="s">
        <v>1326</v>
      </c>
      <c r="K743" s="1" t="s">
        <v>1326</v>
      </c>
      <c r="N743" s="1" t="s">
        <v>40</v>
      </c>
      <c r="O743" s="1">
        <v>7500.0</v>
      </c>
      <c r="P743" s="1" t="s">
        <v>40</v>
      </c>
      <c r="Q743" s="1" t="str">
        <f>IF(ISERROR(VLOOKUP(P743,'unique fed agency names'!A:C,3,FALSE)),P743,VLOOKUP(P743,'unique fed agency names'!A:C,3,FALSE))
</f>
        <v>U.S. Department of Health and Human Services (DHHS)</v>
      </c>
      <c r="R743" s="1">
        <v>1.95614664E8</v>
      </c>
      <c r="S743" s="1" t="s">
        <v>1333</v>
      </c>
      <c r="T743" s="1" t="str">
        <f>IF(ISERROR(VLOOKUP(S743,'unique org names'!A:C,3,FALSE)),S743,VLOOKUP(S743,'unique org names'!A:C,3,FALSE))
</f>
        <v>Black Family Development, Inc</v>
      </c>
      <c r="V743" s="1" t="s">
        <v>1334</v>
      </c>
      <c r="W743" s="1" t="s">
        <v>44</v>
      </c>
      <c r="X743" s="1" t="s">
        <v>45</v>
      </c>
      <c r="Y743" s="1">
        <v>4.82023133E8</v>
      </c>
      <c r="AA743" s="1" t="s">
        <v>44</v>
      </c>
      <c r="AB743" s="1" t="s">
        <v>45</v>
      </c>
      <c r="AC743" s="1">
        <v>4.82023133E8</v>
      </c>
      <c r="AD743" s="1">
        <v>1.95614664E8</v>
      </c>
      <c r="AE743" s="1" t="s">
        <v>1333</v>
      </c>
      <c r="AF743" s="1">
        <v>807364.0</v>
      </c>
      <c r="AG743" s="2">
        <v>41548.0</v>
      </c>
      <c r="AH743" s="1">
        <v>7500.0</v>
      </c>
      <c r="AI743" s="1" t="s">
        <v>40</v>
      </c>
      <c r="AJ743" s="1" t="s">
        <v>1335</v>
      </c>
      <c r="AK743" s="1" t="s">
        <v>1329</v>
      </c>
      <c r="AL743" s="1">
        <v>12.0</v>
      </c>
      <c r="AM743" s="1">
        <v>2013.0</v>
      </c>
      <c r="AN743" s="1">
        <v>2014.0</v>
      </c>
      <c r="AO743" s="1" t="s">
        <v>385</v>
      </c>
    </row>
    <row r="744">
      <c r="A744" s="5">
        <v>1.0</v>
      </c>
      <c r="B744" s="1">
        <f t="shared" si="1"/>
        <v>744</v>
      </c>
      <c r="C744" s="1" t="s">
        <v>1325</v>
      </c>
      <c r="D744" s="1" t="s">
        <v>1325</v>
      </c>
      <c r="E744" s="1" t="s">
        <v>129</v>
      </c>
      <c r="G744" s="1">
        <v>3.93293408E8</v>
      </c>
      <c r="H744" s="2">
        <v>41548.0</v>
      </c>
      <c r="I744" s="1" t="s">
        <v>1326</v>
      </c>
      <c r="K744" s="1" t="s">
        <v>1326</v>
      </c>
      <c r="N744" s="1" t="s">
        <v>40</v>
      </c>
      <c r="O744" s="1">
        <v>7500.0</v>
      </c>
      <c r="P744" s="1" t="s">
        <v>40</v>
      </c>
      <c r="Q744" s="1" t="str">
        <f>IF(ISERROR(VLOOKUP(P744,'unique fed agency names'!A:C,3,FALSE)),P744,VLOOKUP(P744,'unique fed agency names'!A:C,3,FALSE))
</f>
        <v>U.S. Department of Health and Human Services (DHHS)</v>
      </c>
      <c r="R744" s="1">
        <v>6.9840817E7</v>
      </c>
      <c r="S744" s="1" t="s">
        <v>131</v>
      </c>
      <c r="T744" s="1" t="str">
        <f>IF(ISERROR(VLOOKUP(S744,'unique org names'!A:C,3,FALSE)),S744,VLOOKUP(S744,'unique org names'!A:C,3,FALSE))
</f>
        <v>LUTHERAN SOCIAL SERVICES OF MICHIGAN</v>
      </c>
      <c r="V744" s="1" t="s">
        <v>132</v>
      </c>
      <c r="W744" s="1" t="s">
        <v>44</v>
      </c>
      <c r="X744" s="1" t="s">
        <v>45</v>
      </c>
      <c r="Y744" s="1">
        <v>4.8214261E8</v>
      </c>
      <c r="AA744" s="1" t="s">
        <v>46</v>
      </c>
      <c r="AB744" s="1" t="s">
        <v>45</v>
      </c>
      <c r="AC744" s="1">
        <v>4.8214261E8</v>
      </c>
      <c r="AD744" s="1">
        <v>6.9840817E7</v>
      </c>
      <c r="AE744" s="1" t="s">
        <v>131</v>
      </c>
      <c r="AF744" s="1">
        <v>456590.0</v>
      </c>
      <c r="AG744" s="2">
        <v>41548.0</v>
      </c>
      <c r="AH744" s="1">
        <v>7500.0</v>
      </c>
      <c r="AI744" s="1" t="s">
        <v>40</v>
      </c>
      <c r="AJ744" s="1" t="s">
        <v>1336</v>
      </c>
      <c r="AK744" s="1" t="s">
        <v>1329</v>
      </c>
      <c r="AL744" s="1">
        <v>12.0</v>
      </c>
      <c r="AM744" s="1">
        <v>2013.0</v>
      </c>
      <c r="AN744" s="1">
        <v>2014.0</v>
      </c>
      <c r="AO744" s="1" t="s">
        <v>385</v>
      </c>
    </row>
    <row r="745">
      <c r="A745" s="5">
        <v>1.0</v>
      </c>
      <c r="B745" s="1">
        <f t="shared" si="1"/>
        <v>745</v>
      </c>
      <c r="C745" s="1" t="s">
        <v>1325</v>
      </c>
      <c r="D745" s="1" t="s">
        <v>1325</v>
      </c>
      <c r="E745" s="1" t="s">
        <v>129</v>
      </c>
      <c r="G745" s="1">
        <v>3.93293408E8</v>
      </c>
      <c r="H745" s="2">
        <v>41548.0</v>
      </c>
      <c r="I745" s="1" t="s">
        <v>1326</v>
      </c>
      <c r="K745" s="1" t="s">
        <v>1326</v>
      </c>
      <c r="N745" s="1" t="s">
        <v>40</v>
      </c>
      <c r="O745" s="1">
        <v>7500.0</v>
      </c>
      <c r="P745" s="1" t="s">
        <v>40</v>
      </c>
      <c r="Q745" s="1" t="str">
        <f>IF(ISERROR(VLOOKUP(P745,'unique fed agency names'!A:C,3,FALSE)),P745,VLOOKUP(P745,'unique fed agency names'!A:C,3,FALSE))
</f>
        <v>U.S. Department of Health and Human Services (DHHS)</v>
      </c>
      <c r="R745" s="1">
        <v>7.8074923E8</v>
      </c>
      <c r="S745" s="1" t="s">
        <v>419</v>
      </c>
      <c r="T745" s="1" t="str">
        <f>IF(ISERROR(VLOOKUP(S745,'unique org names'!A:C,3,FALSE)),S745,VLOOKUP(S745,'unique org names'!A:C,3,FALSE))
</f>
        <v>ALTERNATIVES FOR GIRLS</v>
      </c>
      <c r="V745" s="1" t="s">
        <v>420</v>
      </c>
      <c r="W745" s="1" t="s">
        <v>44</v>
      </c>
      <c r="X745" s="1" t="s">
        <v>45</v>
      </c>
      <c r="Y745" s="1">
        <v>4.82082365E8</v>
      </c>
      <c r="AA745" s="1" t="s">
        <v>44</v>
      </c>
      <c r="AB745" s="1" t="s">
        <v>45</v>
      </c>
      <c r="AC745" s="1">
        <v>4.82082365E8</v>
      </c>
      <c r="AF745" s="1">
        <v>198499.1</v>
      </c>
      <c r="AG745" s="2">
        <v>41548.0</v>
      </c>
      <c r="AH745" s="1">
        <v>7500.0</v>
      </c>
      <c r="AI745" s="1" t="s">
        <v>40</v>
      </c>
      <c r="AJ745" s="1" t="s">
        <v>1327</v>
      </c>
      <c r="AK745" s="1" t="s">
        <v>1274</v>
      </c>
      <c r="AL745" s="1">
        <v>10.0</v>
      </c>
      <c r="AM745" s="1">
        <v>2013.0</v>
      </c>
      <c r="AN745" s="1">
        <v>2014.0</v>
      </c>
      <c r="AO745" s="1" t="s">
        <v>385</v>
      </c>
    </row>
    <row r="746">
      <c r="A746" s="5">
        <v>1.0</v>
      </c>
      <c r="B746" s="1">
        <f t="shared" si="1"/>
        <v>746</v>
      </c>
      <c r="C746" s="1" t="s">
        <v>1325</v>
      </c>
      <c r="D746" s="1" t="s">
        <v>1325</v>
      </c>
      <c r="E746" s="1" t="s">
        <v>129</v>
      </c>
      <c r="G746" s="1">
        <v>3.93293408E8</v>
      </c>
      <c r="H746" s="2">
        <v>41548.0</v>
      </c>
      <c r="I746" s="1" t="s">
        <v>1326</v>
      </c>
      <c r="K746" s="1" t="s">
        <v>1326</v>
      </c>
      <c r="N746" s="1" t="s">
        <v>40</v>
      </c>
      <c r="O746" s="1">
        <v>7500.0</v>
      </c>
      <c r="P746" s="1" t="s">
        <v>40</v>
      </c>
      <c r="Q746" s="1" t="str">
        <f>IF(ISERROR(VLOOKUP(P746,'unique fed agency names'!A:C,3,FALSE)),P746,VLOOKUP(P746,'unique fed agency names'!A:C,3,FALSE))
</f>
        <v>U.S. Department of Health and Human Services (DHHS)</v>
      </c>
      <c r="R746" s="1">
        <v>1.93540515E8</v>
      </c>
      <c r="S746" s="1" t="s">
        <v>1022</v>
      </c>
      <c r="T746" s="1" t="str">
        <f>IF(ISERROR(VLOOKUP(S746,'unique org names'!A:C,3,FALSE)),S746,VLOOKUP(S746,'unique org names'!A:C,3,FALSE))
</f>
        <v>Development Centers, Inc</v>
      </c>
      <c r="U746" s="1" t="s">
        <v>1330</v>
      </c>
      <c r="V746" s="1" t="s">
        <v>1023</v>
      </c>
      <c r="W746" s="1" t="s">
        <v>44</v>
      </c>
      <c r="X746" s="1" t="s">
        <v>45</v>
      </c>
      <c r="Y746" s="1">
        <v>4.82193653E8</v>
      </c>
      <c r="AA746" s="1" t="s">
        <v>44</v>
      </c>
      <c r="AB746" s="1" t="s">
        <v>45</v>
      </c>
      <c r="AC746" s="1">
        <v>4.82193165E8</v>
      </c>
      <c r="AD746" s="1">
        <v>1.93540515E8</v>
      </c>
      <c r="AE746" s="1" t="s">
        <v>1022</v>
      </c>
      <c r="AF746" s="1">
        <v>249761.0</v>
      </c>
      <c r="AG746" s="2">
        <v>41548.0</v>
      </c>
      <c r="AH746" s="1">
        <v>7500.0</v>
      </c>
      <c r="AI746" s="1" t="s">
        <v>40</v>
      </c>
      <c r="AJ746" s="1" t="s">
        <v>1331</v>
      </c>
      <c r="AK746" s="1" t="s">
        <v>1332</v>
      </c>
      <c r="AL746" s="1">
        <v>12.0</v>
      </c>
      <c r="AM746" s="1">
        <v>2013.0</v>
      </c>
      <c r="AN746" s="1">
        <v>2014.0</v>
      </c>
      <c r="AO746" s="1" t="s">
        <v>385</v>
      </c>
    </row>
    <row r="747">
      <c r="A747" s="5">
        <v>1.0</v>
      </c>
      <c r="B747" s="1">
        <f t="shared" si="1"/>
        <v>747</v>
      </c>
      <c r="C747" s="1" t="s">
        <v>1325</v>
      </c>
      <c r="D747" s="1" t="s">
        <v>1325</v>
      </c>
      <c r="E747" s="1" t="s">
        <v>129</v>
      </c>
      <c r="G747" s="1">
        <v>3.93293408E8</v>
      </c>
      <c r="H747" s="2">
        <v>41548.0</v>
      </c>
      <c r="I747" s="1" t="s">
        <v>1326</v>
      </c>
      <c r="K747" s="1" t="s">
        <v>1326</v>
      </c>
      <c r="N747" s="1" t="s">
        <v>40</v>
      </c>
      <c r="O747" s="1">
        <v>7500.0</v>
      </c>
      <c r="P747" s="1" t="s">
        <v>40</v>
      </c>
      <c r="Q747" s="1" t="str">
        <f>IF(ISERROR(VLOOKUP(P747,'unique fed agency names'!A:C,3,FALSE)),P747,VLOOKUP(P747,'unique fed agency names'!A:C,3,FALSE))
</f>
        <v>U.S. Department of Health and Human Services (DHHS)</v>
      </c>
      <c r="R747" s="1">
        <v>7.8074923E8</v>
      </c>
      <c r="S747" s="1" t="s">
        <v>419</v>
      </c>
      <c r="T747" s="1" t="str">
        <f>IF(ISERROR(VLOOKUP(S747,'unique org names'!A:C,3,FALSE)),S747,VLOOKUP(S747,'unique org names'!A:C,3,FALSE))
</f>
        <v>ALTERNATIVES FOR GIRLS</v>
      </c>
      <c r="V747" s="1" t="s">
        <v>420</v>
      </c>
      <c r="W747" s="1" t="s">
        <v>44</v>
      </c>
      <c r="X747" s="1" t="s">
        <v>45</v>
      </c>
      <c r="Y747" s="1">
        <v>4.82082365E8</v>
      </c>
      <c r="AA747" s="1" t="s">
        <v>44</v>
      </c>
      <c r="AB747" s="1" t="s">
        <v>45</v>
      </c>
      <c r="AC747" s="1">
        <v>4.82082365E8</v>
      </c>
      <c r="AF747" s="1">
        <v>198499.1</v>
      </c>
      <c r="AG747" s="2">
        <v>41548.0</v>
      </c>
      <c r="AH747" s="1">
        <v>7500.0</v>
      </c>
      <c r="AI747" s="1" t="s">
        <v>40</v>
      </c>
      <c r="AJ747" s="1" t="s">
        <v>1327</v>
      </c>
      <c r="AK747" s="1" t="s">
        <v>1274</v>
      </c>
      <c r="AL747" s="1">
        <v>12.0</v>
      </c>
      <c r="AM747" s="1">
        <v>2013.0</v>
      </c>
      <c r="AN747" s="1">
        <v>2014.0</v>
      </c>
      <c r="AO747" s="1" t="s">
        <v>385</v>
      </c>
    </row>
    <row r="748">
      <c r="A748" s="5">
        <v>1.0</v>
      </c>
      <c r="B748" s="1">
        <f t="shared" si="1"/>
        <v>748</v>
      </c>
      <c r="C748" s="1" t="s">
        <v>1325</v>
      </c>
      <c r="D748" s="1" t="s">
        <v>1325</v>
      </c>
      <c r="E748" s="1" t="s">
        <v>129</v>
      </c>
      <c r="G748" s="1">
        <v>3.93293408E8</v>
      </c>
      <c r="H748" s="2">
        <v>41548.0</v>
      </c>
      <c r="I748" s="1" t="s">
        <v>1326</v>
      </c>
      <c r="K748" s="1" t="s">
        <v>1326</v>
      </c>
      <c r="N748" s="1" t="s">
        <v>40</v>
      </c>
      <c r="O748" s="1">
        <v>7500.0</v>
      </c>
      <c r="P748" s="1" t="s">
        <v>40</v>
      </c>
      <c r="Q748" s="1" t="str">
        <f>IF(ISERROR(VLOOKUP(P748,'unique fed agency names'!A:C,3,FALSE)),P748,VLOOKUP(P748,'unique fed agency names'!A:C,3,FALSE))
</f>
        <v>U.S. Department of Health and Human Services (DHHS)</v>
      </c>
      <c r="R748" s="1">
        <v>1.21516199E8</v>
      </c>
      <c r="S748" s="1" t="s">
        <v>380</v>
      </c>
      <c r="T748" s="1" t="str">
        <f>IF(ISERROR(VLOOKUP(S748,'unique org names'!A:C,3,FALSE)),S748,VLOOKUP(S748,'unique org names'!A:C,3,FALSE))
</f>
        <v>YWCA of Metropolitan Detroit</v>
      </c>
      <c r="U748" s="1" t="s">
        <v>381</v>
      </c>
      <c r="V748" s="1" t="s">
        <v>382</v>
      </c>
      <c r="W748" s="1" t="s">
        <v>44</v>
      </c>
      <c r="X748" s="1" t="s">
        <v>45</v>
      </c>
      <c r="Y748" s="1">
        <v>4.82073156E8</v>
      </c>
      <c r="AA748" s="1" t="s">
        <v>44</v>
      </c>
      <c r="AB748" s="1" t="s">
        <v>45</v>
      </c>
      <c r="AC748" s="1">
        <v>4.82073127E8</v>
      </c>
      <c r="AD748" s="1">
        <v>1.21516199E8</v>
      </c>
      <c r="AE748" s="1" t="s">
        <v>380</v>
      </c>
      <c r="AF748" s="1">
        <v>233094.58</v>
      </c>
      <c r="AG748" s="2">
        <v>41548.0</v>
      </c>
      <c r="AH748" s="1">
        <v>7500.0</v>
      </c>
      <c r="AI748" s="1" t="s">
        <v>40</v>
      </c>
      <c r="AJ748" s="1" t="s">
        <v>1309</v>
      </c>
      <c r="AK748" s="1" t="s">
        <v>1310</v>
      </c>
      <c r="AL748" s="1">
        <v>10.0</v>
      </c>
      <c r="AM748" s="1">
        <v>2013.0</v>
      </c>
      <c r="AN748" s="1">
        <v>2014.0</v>
      </c>
      <c r="AO748" s="1" t="s">
        <v>385</v>
      </c>
    </row>
    <row r="749">
      <c r="A749" s="5">
        <v>1.0</v>
      </c>
      <c r="B749" s="1">
        <f t="shared" si="1"/>
        <v>749</v>
      </c>
      <c r="C749" s="1" t="s">
        <v>1325</v>
      </c>
      <c r="D749" s="1" t="s">
        <v>1325</v>
      </c>
      <c r="E749" s="1" t="s">
        <v>129</v>
      </c>
      <c r="G749" s="1">
        <v>3.93293408E8</v>
      </c>
      <c r="H749" s="2">
        <v>41548.0</v>
      </c>
      <c r="I749" s="1" t="s">
        <v>1326</v>
      </c>
      <c r="K749" s="1" t="s">
        <v>1326</v>
      </c>
      <c r="N749" s="1" t="s">
        <v>40</v>
      </c>
      <c r="O749" s="1">
        <v>7500.0</v>
      </c>
      <c r="P749" s="1" t="s">
        <v>40</v>
      </c>
      <c r="Q749" s="1" t="str">
        <f>IF(ISERROR(VLOOKUP(P749,'unique fed agency names'!A:C,3,FALSE)),P749,VLOOKUP(P749,'unique fed agency names'!A:C,3,FALSE))
</f>
        <v>U.S. Department of Health and Human Services (DHHS)</v>
      </c>
      <c r="R749" s="1">
        <v>6.9840817E7</v>
      </c>
      <c r="S749" s="1" t="s">
        <v>131</v>
      </c>
      <c r="T749" s="1" t="str">
        <f>IF(ISERROR(VLOOKUP(S749,'unique org names'!A:C,3,FALSE)),S749,VLOOKUP(S749,'unique org names'!A:C,3,FALSE))
</f>
        <v>LUTHERAN SOCIAL SERVICES OF MICHIGAN</v>
      </c>
      <c r="V749" s="1" t="s">
        <v>132</v>
      </c>
      <c r="W749" s="1" t="s">
        <v>44</v>
      </c>
      <c r="X749" s="1" t="s">
        <v>45</v>
      </c>
      <c r="Y749" s="1">
        <v>4.8214261E8</v>
      </c>
      <c r="AA749" s="1" t="s">
        <v>46</v>
      </c>
      <c r="AB749" s="1" t="s">
        <v>45</v>
      </c>
      <c r="AC749" s="1">
        <v>4.8214261E8</v>
      </c>
      <c r="AD749" s="1">
        <v>6.9840817E7</v>
      </c>
      <c r="AE749" s="1" t="s">
        <v>131</v>
      </c>
      <c r="AF749" s="1">
        <v>456590.0</v>
      </c>
      <c r="AG749" s="2">
        <v>41548.0</v>
      </c>
      <c r="AH749" s="1">
        <v>7500.0</v>
      </c>
      <c r="AI749" s="1" t="s">
        <v>40</v>
      </c>
      <c r="AJ749" s="1" t="s">
        <v>1336</v>
      </c>
      <c r="AK749" s="1" t="s">
        <v>1329</v>
      </c>
      <c r="AL749" s="1">
        <v>10.0</v>
      </c>
      <c r="AM749" s="1">
        <v>2013.0</v>
      </c>
      <c r="AN749" s="1">
        <v>2014.0</v>
      </c>
      <c r="AO749" s="1" t="s">
        <v>385</v>
      </c>
    </row>
    <row r="750">
      <c r="A750" s="5">
        <v>1.0</v>
      </c>
      <c r="B750" s="1">
        <f t="shared" si="1"/>
        <v>750</v>
      </c>
      <c r="C750" s="1" t="s">
        <v>1325</v>
      </c>
      <c r="D750" s="1" t="s">
        <v>1325</v>
      </c>
      <c r="E750" s="1" t="s">
        <v>129</v>
      </c>
      <c r="G750" s="1">
        <v>3.93293408E8</v>
      </c>
      <c r="H750" s="2">
        <v>41548.0</v>
      </c>
      <c r="I750" s="1" t="s">
        <v>1326</v>
      </c>
      <c r="K750" s="1" t="s">
        <v>1326</v>
      </c>
      <c r="N750" s="1" t="s">
        <v>40</v>
      </c>
      <c r="O750" s="1">
        <v>7500.0</v>
      </c>
      <c r="P750" s="1" t="s">
        <v>40</v>
      </c>
      <c r="Q750" s="1" t="str">
        <f>IF(ISERROR(VLOOKUP(P750,'unique fed agency names'!A:C,3,FALSE)),P750,VLOOKUP(P750,'unique fed agency names'!A:C,3,FALSE))
</f>
        <v>U.S. Department of Health and Human Services (DHHS)</v>
      </c>
      <c r="R750" s="1">
        <v>1.21516199E8</v>
      </c>
      <c r="S750" s="1" t="s">
        <v>380</v>
      </c>
      <c r="T750" s="1" t="str">
        <f>IF(ISERROR(VLOOKUP(S750,'unique org names'!A:C,3,FALSE)),S750,VLOOKUP(S750,'unique org names'!A:C,3,FALSE))
</f>
        <v>YWCA of Metropolitan Detroit</v>
      </c>
      <c r="U750" s="1" t="s">
        <v>381</v>
      </c>
      <c r="V750" s="1" t="s">
        <v>382</v>
      </c>
      <c r="W750" s="1" t="s">
        <v>44</v>
      </c>
      <c r="X750" s="1" t="s">
        <v>45</v>
      </c>
      <c r="Y750" s="1">
        <v>4.82073156E8</v>
      </c>
      <c r="AA750" s="1" t="s">
        <v>44</v>
      </c>
      <c r="AB750" s="1" t="s">
        <v>45</v>
      </c>
      <c r="AC750" s="1">
        <v>4.82073127E8</v>
      </c>
      <c r="AD750" s="1">
        <v>1.21516199E8</v>
      </c>
      <c r="AE750" s="1" t="s">
        <v>380</v>
      </c>
      <c r="AF750" s="1">
        <v>233094.58</v>
      </c>
      <c r="AG750" s="2">
        <v>41548.0</v>
      </c>
      <c r="AH750" s="1">
        <v>7500.0</v>
      </c>
      <c r="AI750" s="1" t="s">
        <v>40</v>
      </c>
      <c r="AJ750" s="1" t="s">
        <v>1309</v>
      </c>
      <c r="AK750" s="1" t="s">
        <v>1310</v>
      </c>
      <c r="AL750" s="1">
        <v>12.0</v>
      </c>
      <c r="AM750" s="1">
        <v>2013.0</v>
      </c>
      <c r="AN750" s="1">
        <v>2014.0</v>
      </c>
      <c r="AO750" s="1" t="s">
        <v>385</v>
      </c>
    </row>
    <row r="751">
      <c r="A751" s="5">
        <v>1.0</v>
      </c>
      <c r="B751" s="1">
        <f t="shared" si="1"/>
        <v>751</v>
      </c>
      <c r="C751" s="1" t="s">
        <v>1325</v>
      </c>
      <c r="D751" s="1" t="s">
        <v>1325</v>
      </c>
      <c r="E751" s="1" t="s">
        <v>129</v>
      </c>
      <c r="G751" s="1">
        <v>3.93293408E8</v>
      </c>
      <c r="H751" s="2">
        <v>41548.0</v>
      </c>
      <c r="I751" s="1" t="s">
        <v>1326</v>
      </c>
      <c r="K751" s="1" t="s">
        <v>1326</v>
      </c>
      <c r="N751" s="1" t="s">
        <v>40</v>
      </c>
      <c r="O751" s="1">
        <v>7500.0</v>
      </c>
      <c r="P751" s="1" t="s">
        <v>40</v>
      </c>
      <c r="Q751" s="1" t="str">
        <f>IF(ISERROR(VLOOKUP(P751,'unique fed agency names'!A:C,3,FALSE)),P751,VLOOKUP(P751,'unique fed agency names'!A:C,3,FALSE))
</f>
        <v>U.S. Department of Health and Human Services (DHHS)</v>
      </c>
      <c r="R751" s="1">
        <v>6.9840817E7</v>
      </c>
      <c r="S751" s="1" t="s">
        <v>131</v>
      </c>
      <c r="T751" s="1" t="str">
        <f>IF(ISERROR(VLOOKUP(S751,'unique org names'!A:C,3,FALSE)),S751,VLOOKUP(S751,'unique org names'!A:C,3,FALSE))
</f>
        <v>LUTHERAN SOCIAL SERVICES OF MICHIGAN</v>
      </c>
      <c r="V751" s="1" t="s">
        <v>132</v>
      </c>
      <c r="W751" s="1" t="s">
        <v>44</v>
      </c>
      <c r="X751" s="1" t="s">
        <v>45</v>
      </c>
      <c r="Y751" s="1">
        <v>4.8214261E8</v>
      </c>
      <c r="AA751" s="1" t="s">
        <v>44</v>
      </c>
      <c r="AB751" s="1" t="s">
        <v>45</v>
      </c>
      <c r="AC751" s="1">
        <v>4.8214261E8</v>
      </c>
      <c r="AD751" s="1">
        <v>6.9840817E7</v>
      </c>
      <c r="AE751" s="1" t="s">
        <v>131</v>
      </c>
      <c r="AF751" s="1">
        <v>457342.0</v>
      </c>
      <c r="AG751" s="2">
        <v>41548.0</v>
      </c>
      <c r="AH751" s="1">
        <v>7500.0</v>
      </c>
      <c r="AI751" s="1" t="s">
        <v>40</v>
      </c>
      <c r="AJ751" s="1" t="s">
        <v>1328</v>
      </c>
      <c r="AK751" s="1" t="s">
        <v>1329</v>
      </c>
      <c r="AL751" s="1">
        <v>12.0</v>
      </c>
      <c r="AM751" s="1">
        <v>2013.0</v>
      </c>
      <c r="AN751" s="1">
        <v>2014.0</v>
      </c>
      <c r="AO751" s="1" t="s">
        <v>385</v>
      </c>
    </row>
    <row r="752">
      <c r="A752" s="5">
        <v>1.0</v>
      </c>
      <c r="B752" s="1">
        <f t="shared" si="1"/>
        <v>752</v>
      </c>
      <c r="C752" s="1" t="s">
        <v>992</v>
      </c>
      <c r="D752" s="1" t="s">
        <v>992</v>
      </c>
      <c r="E752" s="1" t="s">
        <v>159</v>
      </c>
      <c r="G752" s="1">
        <v>3.7269576E7</v>
      </c>
      <c r="H752" s="2">
        <v>41680.0</v>
      </c>
      <c r="I752" s="1" t="s">
        <v>993</v>
      </c>
      <c r="K752" s="1" t="s">
        <v>993</v>
      </c>
      <c r="N752" s="1" t="s">
        <v>40</v>
      </c>
      <c r="O752" s="1">
        <v>7500.0</v>
      </c>
      <c r="P752" s="1" t="s">
        <v>40</v>
      </c>
      <c r="Q752" s="1" t="str">
        <f>IF(ISERROR(VLOOKUP(P752,'unique fed agency names'!A:C,3,FALSE)),P752,VLOOKUP(P752,'unique fed agency names'!A:C,3,FALSE))
</f>
        <v>U.S. Department of Health and Human Services (DHHS)</v>
      </c>
      <c r="R752" s="1">
        <v>2.0830303E7</v>
      </c>
      <c r="S752" s="1" t="s">
        <v>424</v>
      </c>
      <c r="T752" s="1" t="str">
        <f>IF(ISERROR(VLOOKUP(S752,'unique org names'!A:C,3,FALSE)),S752,VLOOKUP(S752,'unique org names'!A:C,3,FALSE))
</f>
        <v>MATRIX HUMAN SERVICES</v>
      </c>
      <c r="U752" s="1" t="s">
        <v>425</v>
      </c>
      <c r="V752" s="1" t="s">
        <v>426</v>
      </c>
      <c r="W752" s="1" t="s">
        <v>44</v>
      </c>
      <c r="X752" s="1" t="s">
        <v>45</v>
      </c>
      <c r="Y752" s="1">
        <v>4.82012002E8</v>
      </c>
      <c r="AA752" s="1" t="s">
        <v>46</v>
      </c>
      <c r="AB752" s="1" t="s">
        <v>45</v>
      </c>
      <c r="AC752" s="1">
        <v>4.82012002E8</v>
      </c>
      <c r="AD752" s="1">
        <v>2.0830303E7</v>
      </c>
      <c r="AE752" s="1" t="s">
        <v>424</v>
      </c>
      <c r="AF752" s="1">
        <v>1155846.0</v>
      </c>
      <c r="AG752" s="2">
        <v>41680.0</v>
      </c>
      <c r="AH752" s="1">
        <v>7500.0</v>
      </c>
      <c r="AI752" s="1" t="s">
        <v>40</v>
      </c>
      <c r="AJ752" s="1">
        <v>3.81358015E8</v>
      </c>
      <c r="AK752" s="1" t="s">
        <v>998</v>
      </c>
      <c r="AL752" s="1">
        <v>3.0</v>
      </c>
      <c r="AM752" s="1">
        <v>2014.0</v>
      </c>
      <c r="AN752" s="1">
        <v>2014.0</v>
      </c>
      <c r="AO752" s="1" t="s">
        <v>997</v>
      </c>
    </row>
    <row r="753">
      <c r="A753" s="5">
        <v>1.0</v>
      </c>
      <c r="B753" s="1">
        <f t="shared" si="1"/>
        <v>753</v>
      </c>
      <c r="C753" s="1" t="s">
        <v>992</v>
      </c>
      <c r="D753" s="1" t="s">
        <v>992</v>
      </c>
      <c r="E753" s="1" t="s">
        <v>159</v>
      </c>
      <c r="G753" s="1">
        <v>3.7269576E7</v>
      </c>
      <c r="H753" s="2">
        <v>41528.0</v>
      </c>
      <c r="I753" s="1" t="s">
        <v>993</v>
      </c>
      <c r="K753" s="1" t="s">
        <v>993</v>
      </c>
      <c r="N753" s="1" t="s">
        <v>40</v>
      </c>
      <c r="O753" s="1">
        <v>7500.0</v>
      </c>
      <c r="P753" s="1" t="s">
        <v>40</v>
      </c>
      <c r="Q753" s="1" t="str">
        <f>IF(ISERROR(VLOOKUP(P753,'unique fed agency names'!A:C,3,FALSE)),P753,VLOOKUP(P753,'unique fed agency names'!A:C,3,FALSE))
</f>
        <v>U.S. Department of Health and Human Services (DHHS)</v>
      </c>
      <c r="R753" s="1">
        <v>1.42793053E8</v>
      </c>
      <c r="S753" s="1" t="s">
        <v>994</v>
      </c>
      <c r="T753" s="1" t="str">
        <f>IF(ISERROR(VLOOKUP(S753,'unique org names'!A:C,3,FALSE)),S753,VLOOKUP(S753,'unique org names'!A:C,3,FALSE))
</f>
        <v>CARE FIRST COMMUNITY HEALTH SERVICES</v>
      </c>
      <c r="V753" s="1" t="s">
        <v>995</v>
      </c>
      <c r="W753" s="1" t="s">
        <v>44</v>
      </c>
      <c r="X753" s="1" t="s">
        <v>45</v>
      </c>
      <c r="Y753" s="1">
        <v>4.82282721E8</v>
      </c>
      <c r="AA753" s="1" t="s">
        <v>46</v>
      </c>
      <c r="AB753" s="1" t="s">
        <v>45</v>
      </c>
      <c r="AC753" s="1">
        <v>4.82282721E8</v>
      </c>
      <c r="AF753" s="1">
        <v>51598.0</v>
      </c>
      <c r="AG753" s="2">
        <v>41528.0</v>
      </c>
      <c r="AH753" s="1">
        <v>7500.0</v>
      </c>
      <c r="AI753" s="1" t="s">
        <v>40</v>
      </c>
      <c r="AJ753" s="1">
        <v>2.0606865E7</v>
      </c>
      <c r="AK753" s="1" t="s">
        <v>996</v>
      </c>
      <c r="AL753" s="1">
        <v>3.0</v>
      </c>
      <c r="AM753" s="1">
        <v>2014.0</v>
      </c>
      <c r="AN753" s="1">
        <v>2013.0</v>
      </c>
      <c r="AO753" s="1" t="s">
        <v>997</v>
      </c>
    </row>
    <row r="754">
      <c r="A754" s="5">
        <v>1.0</v>
      </c>
      <c r="B754" s="1">
        <f t="shared" si="1"/>
        <v>754</v>
      </c>
      <c r="C754" s="1" t="s">
        <v>992</v>
      </c>
      <c r="D754" s="1" t="s">
        <v>992</v>
      </c>
      <c r="E754" s="1" t="s">
        <v>159</v>
      </c>
      <c r="G754" s="1">
        <v>3.7269576E7</v>
      </c>
      <c r="H754" s="2">
        <v>41518.0</v>
      </c>
      <c r="I754" s="1" t="s">
        <v>993</v>
      </c>
      <c r="K754" s="1" t="s">
        <v>993</v>
      </c>
      <c r="N754" s="1" t="s">
        <v>40</v>
      </c>
      <c r="O754" s="1">
        <v>7500.0</v>
      </c>
      <c r="P754" s="1" t="s">
        <v>40</v>
      </c>
      <c r="Q754" s="1" t="str">
        <f>IF(ISERROR(VLOOKUP(P754,'unique fed agency names'!A:C,3,FALSE)),P754,VLOOKUP(P754,'unique fed agency names'!A:C,3,FALSE))
</f>
        <v>U.S. Department of Health and Human Services (DHHS)</v>
      </c>
      <c r="R754" s="1">
        <v>3.8775243E7</v>
      </c>
      <c r="S754" s="1" t="s">
        <v>209</v>
      </c>
      <c r="T754" s="1" t="str">
        <f>IF(ISERROR(VLOOKUP(S754,'unique org names'!A:C,3,FALSE)),S754,VLOOKUP(S754,'unique org names'!A:C,3,FALSE))
</f>
        <v>SOUTHEASTERN MICHIGAN HEALTH ASSOCIATION</v>
      </c>
      <c r="U754" s="1" t="s">
        <v>210</v>
      </c>
      <c r="V754" s="1" t="s">
        <v>211</v>
      </c>
      <c r="W754" s="1" t="s">
        <v>44</v>
      </c>
      <c r="X754" s="1" t="s">
        <v>45</v>
      </c>
      <c r="Y754" s="1">
        <v>4.82023068E8</v>
      </c>
      <c r="AA754" s="1" t="s">
        <v>46</v>
      </c>
      <c r="AB754" s="1" t="s">
        <v>45</v>
      </c>
      <c r="AC754" s="1">
        <v>4.82023449E8</v>
      </c>
      <c r="AD754" s="1">
        <v>3.8775243E7</v>
      </c>
      <c r="AE754" s="1" t="s">
        <v>209</v>
      </c>
      <c r="AF754" s="1">
        <v>1273271.0</v>
      </c>
      <c r="AG754" s="2">
        <v>41518.0</v>
      </c>
      <c r="AH754" s="1">
        <v>7500.0</v>
      </c>
      <c r="AI754" s="1" t="s">
        <v>40</v>
      </c>
      <c r="AJ754" s="1">
        <v>1120190.0</v>
      </c>
      <c r="AK754" s="1" t="s">
        <v>1062</v>
      </c>
      <c r="AL754" s="1">
        <v>3.0</v>
      </c>
      <c r="AM754" s="1">
        <v>2014.0</v>
      </c>
      <c r="AN754" s="1">
        <v>2013.0</v>
      </c>
      <c r="AO754" s="1" t="s">
        <v>997</v>
      </c>
    </row>
    <row r="755">
      <c r="A755" s="5">
        <v>1.0</v>
      </c>
      <c r="B755" s="1">
        <f t="shared" si="1"/>
        <v>755</v>
      </c>
      <c r="C755" s="1" t="s">
        <v>1325</v>
      </c>
      <c r="D755" s="1" t="s">
        <v>1325</v>
      </c>
      <c r="E755" s="1" t="s">
        <v>129</v>
      </c>
      <c r="G755" s="1">
        <v>3.93293408E8</v>
      </c>
      <c r="H755" s="2">
        <v>41548.0</v>
      </c>
      <c r="I755" s="1" t="s">
        <v>1326</v>
      </c>
      <c r="K755" s="1" t="s">
        <v>1326</v>
      </c>
      <c r="N755" s="1" t="s">
        <v>40</v>
      </c>
      <c r="O755" s="1">
        <v>7500.0</v>
      </c>
      <c r="P755" s="1" t="s">
        <v>40</v>
      </c>
      <c r="Q755" s="1" t="str">
        <f>IF(ISERROR(VLOOKUP(P755,'unique fed agency names'!A:C,3,FALSE)),P755,VLOOKUP(P755,'unique fed agency names'!A:C,3,FALSE))
</f>
        <v>U.S. Department of Health and Human Services (DHHS)</v>
      </c>
      <c r="R755" s="1">
        <v>2.0830303E7</v>
      </c>
      <c r="S755" s="1" t="s">
        <v>424</v>
      </c>
      <c r="T755" s="1" t="str">
        <f>IF(ISERROR(VLOOKUP(S755,'unique org names'!A:C,3,FALSE)),S755,VLOOKUP(S755,'unique org names'!A:C,3,FALSE))
</f>
        <v>MATRIX HUMAN SERVICES</v>
      </c>
      <c r="U755" s="1" t="s">
        <v>425</v>
      </c>
      <c r="V755" s="1" t="s">
        <v>426</v>
      </c>
      <c r="W755" s="1" t="s">
        <v>44</v>
      </c>
      <c r="X755" s="1" t="s">
        <v>45</v>
      </c>
      <c r="Y755" s="1">
        <v>4.82012002E8</v>
      </c>
      <c r="AA755" s="1" t="s">
        <v>44</v>
      </c>
      <c r="AB755" s="1" t="s">
        <v>45</v>
      </c>
      <c r="AC755" s="1">
        <v>4.82012002E8</v>
      </c>
      <c r="AD755" s="1">
        <v>2.0830303E7</v>
      </c>
      <c r="AE755" s="1" t="s">
        <v>424</v>
      </c>
      <c r="AF755" s="1">
        <v>332938.25</v>
      </c>
      <c r="AG755" s="2">
        <v>41548.0</v>
      </c>
      <c r="AH755" s="1">
        <v>7500.0</v>
      </c>
      <c r="AI755" s="1" t="s">
        <v>40</v>
      </c>
      <c r="AJ755" s="1" t="s">
        <v>1273</v>
      </c>
      <c r="AK755" s="1" t="s">
        <v>1274</v>
      </c>
      <c r="AL755" s="1">
        <v>10.0</v>
      </c>
      <c r="AM755" s="1">
        <v>2013.0</v>
      </c>
      <c r="AN755" s="1">
        <v>2014.0</v>
      </c>
      <c r="AO755" s="1" t="s">
        <v>385</v>
      </c>
    </row>
    <row r="756">
      <c r="A756" s="5">
        <v>1.0</v>
      </c>
      <c r="B756" s="1">
        <f t="shared" si="1"/>
        <v>756</v>
      </c>
      <c r="C756" s="1" t="s">
        <v>1325</v>
      </c>
      <c r="D756" s="1" t="s">
        <v>1325</v>
      </c>
      <c r="E756" s="1" t="s">
        <v>129</v>
      </c>
      <c r="G756" s="1">
        <v>3.93293408E8</v>
      </c>
      <c r="H756" s="2">
        <v>41548.0</v>
      </c>
      <c r="I756" s="1" t="s">
        <v>1326</v>
      </c>
      <c r="K756" s="1" t="s">
        <v>1326</v>
      </c>
      <c r="N756" s="1" t="s">
        <v>40</v>
      </c>
      <c r="O756" s="1">
        <v>7500.0</v>
      </c>
      <c r="P756" s="1" t="s">
        <v>40</v>
      </c>
      <c r="Q756" s="1" t="str">
        <f>IF(ISERROR(VLOOKUP(P756,'unique fed agency names'!A:C,3,FALSE)),P756,VLOOKUP(P756,'unique fed agency names'!A:C,3,FALSE))
</f>
        <v>U.S. Department of Health and Human Services (DHHS)</v>
      </c>
      <c r="R756" s="1">
        <v>1.95614664E8</v>
      </c>
      <c r="S756" s="1" t="s">
        <v>1333</v>
      </c>
      <c r="T756" s="1" t="str">
        <f>IF(ISERROR(VLOOKUP(S756,'unique org names'!A:C,3,FALSE)),S756,VLOOKUP(S756,'unique org names'!A:C,3,FALSE))
</f>
        <v>Black Family Development, Inc</v>
      </c>
      <c r="V756" s="1" t="s">
        <v>1334</v>
      </c>
      <c r="W756" s="1" t="s">
        <v>44</v>
      </c>
      <c r="X756" s="1" t="s">
        <v>45</v>
      </c>
      <c r="Y756" s="1">
        <v>4.82023133E8</v>
      </c>
      <c r="AA756" s="1" t="s">
        <v>44</v>
      </c>
      <c r="AB756" s="1" t="s">
        <v>45</v>
      </c>
      <c r="AC756" s="1">
        <v>4.82023133E8</v>
      </c>
      <c r="AD756" s="1">
        <v>1.95614664E8</v>
      </c>
      <c r="AE756" s="1" t="s">
        <v>1333</v>
      </c>
      <c r="AF756" s="1">
        <v>807364.0</v>
      </c>
      <c r="AG756" s="2">
        <v>41548.0</v>
      </c>
      <c r="AH756" s="1">
        <v>7500.0</v>
      </c>
      <c r="AI756" s="1" t="s">
        <v>40</v>
      </c>
      <c r="AJ756" s="1" t="s">
        <v>1335</v>
      </c>
      <c r="AK756" s="1" t="s">
        <v>1329</v>
      </c>
      <c r="AL756" s="1">
        <v>10.0</v>
      </c>
      <c r="AM756" s="1">
        <v>2013.0</v>
      </c>
      <c r="AN756" s="1">
        <v>2014.0</v>
      </c>
      <c r="AO756" s="1" t="s">
        <v>385</v>
      </c>
    </row>
    <row r="757">
      <c r="A757" s="5">
        <v>1.0</v>
      </c>
      <c r="B757" s="1">
        <f t="shared" si="1"/>
        <v>757</v>
      </c>
      <c r="C757" s="1" t="s">
        <v>1325</v>
      </c>
      <c r="D757" s="1" t="s">
        <v>1325</v>
      </c>
      <c r="E757" s="1" t="s">
        <v>129</v>
      </c>
      <c r="G757" s="1">
        <v>3.93293408E8</v>
      </c>
      <c r="H757" s="2">
        <v>41548.0</v>
      </c>
      <c r="I757" s="1" t="s">
        <v>1326</v>
      </c>
      <c r="K757" s="1" t="s">
        <v>1326</v>
      </c>
      <c r="N757" s="1" t="s">
        <v>40</v>
      </c>
      <c r="O757" s="1">
        <v>7500.0</v>
      </c>
      <c r="P757" s="1" t="s">
        <v>40</v>
      </c>
      <c r="Q757" s="1" t="str">
        <f>IF(ISERROR(VLOOKUP(P757,'unique fed agency names'!A:C,3,FALSE)),P757,VLOOKUP(P757,'unique fed agency names'!A:C,3,FALSE))
</f>
        <v>U.S. Department of Health and Human Services (DHHS)</v>
      </c>
      <c r="R757" s="1">
        <v>1.93540515E8</v>
      </c>
      <c r="S757" s="1" t="s">
        <v>1022</v>
      </c>
      <c r="T757" s="1" t="str">
        <f>IF(ISERROR(VLOOKUP(S757,'unique org names'!A:C,3,FALSE)),S757,VLOOKUP(S757,'unique org names'!A:C,3,FALSE))
</f>
        <v>Development Centers, Inc</v>
      </c>
      <c r="U757" s="1" t="s">
        <v>1330</v>
      </c>
      <c r="V757" s="1" t="s">
        <v>1023</v>
      </c>
      <c r="W757" s="1" t="s">
        <v>44</v>
      </c>
      <c r="X757" s="1" t="s">
        <v>45</v>
      </c>
      <c r="Y757" s="1">
        <v>4.82193653E8</v>
      </c>
      <c r="AA757" s="1" t="s">
        <v>44</v>
      </c>
      <c r="AB757" s="1" t="s">
        <v>45</v>
      </c>
      <c r="AC757" s="1">
        <v>4.82193165E8</v>
      </c>
      <c r="AD757" s="1">
        <v>1.93540515E8</v>
      </c>
      <c r="AE757" s="1" t="s">
        <v>1022</v>
      </c>
      <c r="AF757" s="1">
        <v>249761.0</v>
      </c>
      <c r="AG757" s="2">
        <v>41548.0</v>
      </c>
      <c r="AH757" s="1">
        <v>7500.0</v>
      </c>
      <c r="AI757" s="1" t="s">
        <v>40</v>
      </c>
      <c r="AJ757" s="1" t="s">
        <v>1331</v>
      </c>
      <c r="AK757" s="1" t="s">
        <v>1332</v>
      </c>
      <c r="AL757" s="1">
        <v>10.0</v>
      </c>
      <c r="AM757" s="1">
        <v>2013.0</v>
      </c>
      <c r="AN757" s="1">
        <v>2014.0</v>
      </c>
      <c r="AO757" s="1" t="s">
        <v>385</v>
      </c>
    </row>
    <row r="758">
      <c r="A758" s="5">
        <v>1.0</v>
      </c>
      <c r="B758" s="1">
        <f t="shared" si="1"/>
        <v>758</v>
      </c>
      <c r="C758" s="1" t="s">
        <v>1869</v>
      </c>
      <c r="D758" s="1" t="s">
        <v>1869</v>
      </c>
      <c r="E758" s="1" t="s">
        <v>129</v>
      </c>
      <c r="G758" s="1">
        <v>1.0713138E7</v>
      </c>
      <c r="H758" s="2">
        <v>41548.0</v>
      </c>
      <c r="I758" s="1" t="s">
        <v>1870</v>
      </c>
      <c r="K758" s="1" t="s">
        <v>1870</v>
      </c>
      <c r="N758" s="1" t="s">
        <v>40</v>
      </c>
      <c r="O758" s="1">
        <v>7500.0</v>
      </c>
      <c r="P758" s="1" t="s">
        <v>40</v>
      </c>
      <c r="Q758" s="1" t="str">
        <f>IF(ISERROR(VLOOKUP(P758,'unique fed agency names'!A:C,3,FALSE)),P758,VLOOKUP(P758,'unique fed agency names'!A:C,3,FALSE))
</f>
        <v>U.S. Department of Health and Human Services (DHHS)</v>
      </c>
      <c r="R758" s="1">
        <v>6.9840817E7</v>
      </c>
      <c r="S758" s="1" t="s">
        <v>131</v>
      </c>
      <c r="T758" s="1" t="str">
        <f>IF(ISERROR(VLOOKUP(S758,'unique org names'!A:C,3,FALSE)),S758,VLOOKUP(S758,'unique org names'!A:C,3,FALSE))
</f>
        <v>LUTHERAN SOCIAL SERVICES OF MICHIGAN</v>
      </c>
      <c r="V758" s="1" t="s">
        <v>132</v>
      </c>
      <c r="W758" s="1" t="s">
        <v>44</v>
      </c>
      <c r="X758" s="1" t="s">
        <v>45</v>
      </c>
      <c r="Y758" s="1">
        <v>4.8214261E8</v>
      </c>
      <c r="AA758" s="1" t="s">
        <v>44</v>
      </c>
      <c r="AB758" s="1" t="s">
        <v>45</v>
      </c>
      <c r="AC758" s="1">
        <v>4.8214261E8</v>
      </c>
      <c r="AD758" s="1">
        <v>6.9840817E7</v>
      </c>
      <c r="AE758" s="1" t="s">
        <v>131</v>
      </c>
      <c r="AF758" s="1">
        <v>100000.0</v>
      </c>
      <c r="AG758" s="2">
        <v>41548.0</v>
      </c>
      <c r="AH758" s="1">
        <v>7500.0</v>
      </c>
      <c r="AI758" s="1" t="s">
        <v>40</v>
      </c>
      <c r="AJ758" s="1" t="s">
        <v>1871</v>
      </c>
      <c r="AK758" s="1" t="s">
        <v>1872</v>
      </c>
      <c r="AL758" s="1">
        <v>11.0</v>
      </c>
      <c r="AM758" s="1">
        <v>2013.0</v>
      </c>
      <c r="AN758" s="1">
        <v>2014.0</v>
      </c>
      <c r="AO758" s="1" t="s">
        <v>1873</v>
      </c>
    </row>
    <row r="759">
      <c r="A759" s="5">
        <v>1.0</v>
      </c>
      <c r="B759" s="1">
        <f t="shared" si="1"/>
        <v>759</v>
      </c>
      <c r="C759" s="1" t="s">
        <v>1325</v>
      </c>
      <c r="D759" s="1" t="s">
        <v>1325</v>
      </c>
      <c r="E759" s="1" t="s">
        <v>129</v>
      </c>
      <c r="G759" s="1">
        <v>3.93293408E8</v>
      </c>
      <c r="H759" s="2">
        <v>41548.0</v>
      </c>
      <c r="I759" s="1" t="s">
        <v>1326</v>
      </c>
      <c r="K759" s="1" t="s">
        <v>1326</v>
      </c>
      <c r="N759" s="1" t="s">
        <v>40</v>
      </c>
      <c r="O759" s="1">
        <v>7500.0</v>
      </c>
      <c r="P759" s="1" t="s">
        <v>40</v>
      </c>
      <c r="Q759" s="1" t="str">
        <f>IF(ISERROR(VLOOKUP(P759,'unique fed agency names'!A:C,3,FALSE)),P759,VLOOKUP(P759,'unique fed agency names'!A:C,3,FALSE))
</f>
        <v>U.S. Department of Health and Human Services (DHHS)</v>
      </c>
      <c r="R759" s="1">
        <v>2.0830303E7</v>
      </c>
      <c r="S759" s="1" t="s">
        <v>424</v>
      </c>
      <c r="T759" s="1" t="str">
        <f>IF(ISERROR(VLOOKUP(S759,'unique org names'!A:C,3,FALSE)),S759,VLOOKUP(S759,'unique org names'!A:C,3,FALSE))
</f>
        <v>MATRIX HUMAN SERVICES</v>
      </c>
      <c r="U759" s="1" t="s">
        <v>425</v>
      </c>
      <c r="V759" s="1" t="s">
        <v>426</v>
      </c>
      <c r="W759" s="1" t="s">
        <v>44</v>
      </c>
      <c r="X759" s="1" t="s">
        <v>45</v>
      </c>
      <c r="Y759" s="1">
        <v>4.82012002E8</v>
      </c>
      <c r="AA759" s="1" t="s">
        <v>44</v>
      </c>
      <c r="AB759" s="1" t="s">
        <v>45</v>
      </c>
      <c r="AC759" s="1">
        <v>4.82012002E8</v>
      </c>
      <c r="AD759" s="1">
        <v>2.0830303E7</v>
      </c>
      <c r="AE759" s="1" t="s">
        <v>424</v>
      </c>
      <c r="AF759" s="1">
        <v>332938.25</v>
      </c>
      <c r="AG759" s="2">
        <v>41548.0</v>
      </c>
      <c r="AH759" s="1">
        <v>7500.0</v>
      </c>
      <c r="AI759" s="1" t="s">
        <v>40</v>
      </c>
      <c r="AJ759" s="1" t="s">
        <v>1273</v>
      </c>
      <c r="AK759" s="1" t="s">
        <v>1274</v>
      </c>
      <c r="AL759" s="1">
        <v>12.0</v>
      </c>
      <c r="AM759" s="1">
        <v>2013.0</v>
      </c>
      <c r="AN759" s="1">
        <v>2014.0</v>
      </c>
      <c r="AO759" s="1" t="s">
        <v>385</v>
      </c>
    </row>
    <row r="760">
      <c r="A760" s="5">
        <v>1.0</v>
      </c>
      <c r="B760" s="1">
        <f t="shared" si="1"/>
        <v>760</v>
      </c>
      <c r="C760" s="1" t="s">
        <v>1874</v>
      </c>
      <c r="D760" s="1" t="s">
        <v>1874</v>
      </c>
      <c r="E760" s="1" t="s">
        <v>389</v>
      </c>
      <c r="G760" s="1">
        <v>2.0636E7</v>
      </c>
      <c r="H760" s="2">
        <v>41551.0</v>
      </c>
      <c r="I760" s="1" t="s">
        <v>1875</v>
      </c>
      <c r="K760" s="1" t="s">
        <v>1875</v>
      </c>
      <c r="N760" s="1" t="s">
        <v>391</v>
      </c>
      <c r="O760" s="1">
        <v>1600.0</v>
      </c>
      <c r="P760" s="1" t="s">
        <v>391</v>
      </c>
      <c r="Q760" s="1" t="str">
        <f>IF(ISERROR(VLOOKUP(P760,'unique fed agency names'!A:C,3,FALSE)),P760,VLOOKUP(P760,'unique fed agency names'!A:C,3,FALSE))
</f>
        <v>U.S. Department of Labor (DOL)</v>
      </c>
      <c r="R760" s="1">
        <v>9.68755756E8</v>
      </c>
      <c r="S760" s="1" t="s">
        <v>1806</v>
      </c>
      <c r="T760" s="1" t="str">
        <f>IF(ISERROR(VLOOKUP(S760,'unique org names'!A:C,3,FALSE)),S760,VLOOKUP(S760,'unique org names'!A:C,3,FALSE))
</f>
        <v>Detroit Employment Solutions Corporation</v>
      </c>
      <c r="V760" s="1" t="s">
        <v>1807</v>
      </c>
      <c r="W760" s="1" t="s">
        <v>44</v>
      </c>
      <c r="X760" s="1" t="s">
        <v>45</v>
      </c>
      <c r="Y760" s="1">
        <v>4.82262917E8</v>
      </c>
      <c r="AA760" s="1" t="s">
        <v>46</v>
      </c>
      <c r="AB760" s="1" t="s">
        <v>45</v>
      </c>
      <c r="AC760" s="1">
        <v>4.82022943E8</v>
      </c>
      <c r="AF760" s="1">
        <v>2471400.0</v>
      </c>
      <c r="AG760" s="2">
        <v>41551.0</v>
      </c>
      <c r="AH760" s="1">
        <v>1600.0</v>
      </c>
      <c r="AI760" s="1" t="s">
        <v>391</v>
      </c>
      <c r="AJ760" s="1" t="s">
        <v>1876</v>
      </c>
      <c r="AK760" s="1" t="s">
        <v>1877</v>
      </c>
      <c r="AL760" s="1">
        <v>12.0</v>
      </c>
      <c r="AM760" s="1">
        <v>2014.0</v>
      </c>
      <c r="AN760" s="1">
        <v>2014.0</v>
      </c>
      <c r="AO760" s="1" t="s">
        <v>1878</v>
      </c>
    </row>
    <row r="761">
      <c r="A761" s="5">
        <v>1.0</v>
      </c>
      <c r="B761" s="1">
        <f t="shared" si="1"/>
        <v>761</v>
      </c>
      <c r="C761" s="1" t="s">
        <v>1874</v>
      </c>
      <c r="D761" s="1" t="s">
        <v>1874</v>
      </c>
      <c r="E761" s="1" t="s">
        <v>389</v>
      </c>
      <c r="G761" s="1">
        <v>2.0636E7</v>
      </c>
      <c r="H761" s="2">
        <v>41855.0</v>
      </c>
      <c r="I761" s="1" t="s">
        <v>1875</v>
      </c>
      <c r="K761" s="1" t="s">
        <v>1875</v>
      </c>
      <c r="N761" s="1" t="s">
        <v>391</v>
      </c>
      <c r="O761" s="1">
        <v>1600.0</v>
      </c>
      <c r="P761" s="1" t="s">
        <v>391</v>
      </c>
      <c r="Q761" s="1" t="str">
        <f>IF(ISERROR(VLOOKUP(P761,'unique fed agency names'!A:C,3,FALSE)),P761,VLOOKUP(P761,'unique fed agency names'!A:C,3,FALSE))
</f>
        <v>U.S. Department of Labor (DOL)</v>
      </c>
      <c r="R761" s="1">
        <v>9.68755756E8</v>
      </c>
      <c r="S761" s="1" t="s">
        <v>1806</v>
      </c>
      <c r="T761" s="1" t="str">
        <f>IF(ISERROR(VLOOKUP(S761,'unique org names'!A:C,3,FALSE)),S761,VLOOKUP(S761,'unique org names'!A:C,3,FALSE))
</f>
        <v>Detroit Employment Solutions Corporation</v>
      </c>
      <c r="V761" s="1" t="s">
        <v>1807</v>
      </c>
      <c r="W761" s="1" t="s">
        <v>44</v>
      </c>
      <c r="X761" s="1" t="s">
        <v>45</v>
      </c>
      <c r="Y761" s="1">
        <v>4.82262917E8</v>
      </c>
      <c r="AA761" s="1" t="s">
        <v>46</v>
      </c>
      <c r="AB761" s="1" t="s">
        <v>45</v>
      </c>
      <c r="AC761" s="1">
        <v>4.82022943E8</v>
      </c>
      <c r="AF761" s="1">
        <v>1443000.0</v>
      </c>
      <c r="AG761" s="2">
        <v>41855.0</v>
      </c>
      <c r="AH761" s="1">
        <v>1600.0</v>
      </c>
      <c r="AI761" s="1" t="s">
        <v>391</v>
      </c>
      <c r="AJ761" s="1" t="s">
        <v>1879</v>
      </c>
      <c r="AK761" s="1" t="s">
        <v>1880</v>
      </c>
      <c r="AL761" s="1">
        <v>12.0</v>
      </c>
      <c r="AM761" s="1">
        <v>2014.0</v>
      </c>
      <c r="AN761" s="1">
        <v>2014.0</v>
      </c>
      <c r="AO761" s="1" t="s">
        <v>1878</v>
      </c>
    </row>
    <row r="762">
      <c r="A762" s="5">
        <v>1.0</v>
      </c>
      <c r="B762" s="1">
        <f t="shared" si="1"/>
        <v>762</v>
      </c>
      <c r="C762" s="1" t="s">
        <v>1874</v>
      </c>
      <c r="D762" s="1" t="s">
        <v>1874</v>
      </c>
      <c r="E762" s="1" t="s">
        <v>389</v>
      </c>
      <c r="G762" s="1">
        <v>2.0636E7</v>
      </c>
      <c r="H762" s="2">
        <v>41556.0</v>
      </c>
      <c r="I762" s="1" t="s">
        <v>1875</v>
      </c>
      <c r="K762" s="1" t="s">
        <v>1875</v>
      </c>
      <c r="N762" s="1" t="s">
        <v>391</v>
      </c>
      <c r="O762" s="1">
        <v>1600.0</v>
      </c>
      <c r="P762" s="1" t="s">
        <v>391</v>
      </c>
      <c r="Q762" s="1" t="str">
        <f>IF(ISERROR(VLOOKUP(P762,'unique fed agency names'!A:C,3,FALSE)),P762,VLOOKUP(P762,'unique fed agency names'!A:C,3,FALSE))
</f>
        <v>U.S. Department of Labor (DOL)</v>
      </c>
      <c r="R762" s="1">
        <v>9.68755756E8</v>
      </c>
      <c r="S762" s="1" t="s">
        <v>1806</v>
      </c>
      <c r="T762" s="1" t="str">
        <f>IF(ISERROR(VLOOKUP(S762,'unique org names'!A:C,3,FALSE)),S762,VLOOKUP(S762,'unique org names'!A:C,3,FALSE))
</f>
        <v>Detroit Employment Solutions Corporation</v>
      </c>
      <c r="V762" s="1" t="s">
        <v>1807</v>
      </c>
      <c r="W762" s="1" t="s">
        <v>44</v>
      </c>
      <c r="X762" s="1" t="s">
        <v>45</v>
      </c>
      <c r="Y762" s="1">
        <v>4.82262917E8</v>
      </c>
      <c r="AA762" s="1" t="s">
        <v>46</v>
      </c>
      <c r="AB762" s="1" t="s">
        <v>45</v>
      </c>
      <c r="AC762" s="1">
        <v>4.82022943E8</v>
      </c>
      <c r="AF762" s="1">
        <v>2028600.0</v>
      </c>
      <c r="AG762" s="2">
        <v>41556.0</v>
      </c>
      <c r="AH762" s="1">
        <v>1600.0</v>
      </c>
      <c r="AI762" s="1" t="s">
        <v>391</v>
      </c>
      <c r="AJ762" s="1" t="s">
        <v>1881</v>
      </c>
      <c r="AK762" s="1" t="s">
        <v>1882</v>
      </c>
      <c r="AL762" s="1">
        <v>12.0</v>
      </c>
      <c r="AM762" s="1">
        <v>2014.0</v>
      </c>
      <c r="AN762" s="1">
        <v>2014.0</v>
      </c>
      <c r="AO762" s="1" t="s">
        <v>1878</v>
      </c>
    </row>
    <row r="763">
      <c r="A763" s="5">
        <v>1.0</v>
      </c>
      <c r="B763" s="1">
        <f t="shared" si="1"/>
        <v>763</v>
      </c>
      <c r="C763" s="1" t="s">
        <v>1874</v>
      </c>
      <c r="D763" s="1" t="s">
        <v>1874</v>
      </c>
      <c r="E763" s="1" t="s">
        <v>389</v>
      </c>
      <c r="G763" s="1">
        <v>2.0636E7</v>
      </c>
      <c r="H763" s="2">
        <v>41800.0</v>
      </c>
      <c r="I763" s="1" t="s">
        <v>1875</v>
      </c>
      <c r="K763" s="1" t="s">
        <v>1875</v>
      </c>
      <c r="N763" s="1" t="s">
        <v>391</v>
      </c>
      <c r="O763" s="1">
        <v>1600.0</v>
      </c>
      <c r="P763" s="1" t="s">
        <v>391</v>
      </c>
      <c r="Q763" s="1" t="str">
        <f>IF(ISERROR(VLOOKUP(P763,'unique fed agency names'!A:C,3,FALSE)),P763,VLOOKUP(P763,'unique fed agency names'!A:C,3,FALSE))
</f>
        <v>U.S. Department of Labor (DOL)</v>
      </c>
      <c r="R763" s="1">
        <v>9.68755756E8</v>
      </c>
      <c r="S763" s="1" t="s">
        <v>1806</v>
      </c>
      <c r="T763" s="1" t="str">
        <f>IF(ISERROR(VLOOKUP(S763,'unique org names'!A:C,3,FALSE)),S763,VLOOKUP(S763,'unique org names'!A:C,3,FALSE))
</f>
        <v>Detroit Employment Solutions Corporation</v>
      </c>
      <c r="V763" s="1" t="s">
        <v>1807</v>
      </c>
      <c r="W763" s="1" t="s">
        <v>44</v>
      </c>
      <c r="X763" s="1" t="s">
        <v>45</v>
      </c>
      <c r="Y763" s="1">
        <v>4.82262917E8</v>
      </c>
      <c r="AA763" s="1" t="s">
        <v>46</v>
      </c>
      <c r="AB763" s="1" t="s">
        <v>45</v>
      </c>
      <c r="AC763" s="1">
        <v>4.82022943E8</v>
      </c>
      <c r="AF763" s="1">
        <v>584000.0</v>
      </c>
      <c r="AG763" s="2">
        <v>41800.0</v>
      </c>
      <c r="AH763" s="1">
        <v>1600.0</v>
      </c>
      <c r="AI763" s="1" t="s">
        <v>391</v>
      </c>
      <c r="AJ763" s="1" t="s">
        <v>1883</v>
      </c>
      <c r="AK763" s="1" t="s">
        <v>1884</v>
      </c>
      <c r="AL763" s="1">
        <v>12.0</v>
      </c>
      <c r="AM763" s="1">
        <v>2014.0</v>
      </c>
      <c r="AN763" s="1">
        <v>2014.0</v>
      </c>
      <c r="AO763" s="1" t="s">
        <v>1878</v>
      </c>
    </row>
    <row r="764">
      <c r="A764" s="5">
        <v>1.0</v>
      </c>
      <c r="B764" s="1">
        <f t="shared" si="1"/>
        <v>764</v>
      </c>
      <c r="C764" s="1" t="s">
        <v>1739</v>
      </c>
      <c r="D764" s="1" t="s">
        <v>1739</v>
      </c>
      <c r="E764" s="1" t="s">
        <v>1740</v>
      </c>
      <c r="G764" s="1">
        <v>50000.0</v>
      </c>
      <c r="H764" s="2">
        <v>41957.0</v>
      </c>
      <c r="I764" s="1" t="s">
        <v>1741</v>
      </c>
      <c r="K764" s="1" t="s">
        <v>1741</v>
      </c>
      <c r="N764" s="1" t="s">
        <v>1305</v>
      </c>
      <c r="O764" s="1">
        <v>1300.0</v>
      </c>
      <c r="P764" s="1" t="s">
        <v>1305</v>
      </c>
      <c r="Q764" s="1" t="str">
        <f>IF(ISERROR(VLOOKUP(P764,'unique fed agency names'!A:C,3,FALSE)),P764,VLOOKUP(P764,'unique fed agency names'!A:C,3,FALSE))
</f>
        <v>U.S. Department of Commerce (DOC)</v>
      </c>
      <c r="R764" s="1">
        <v>1962224.0</v>
      </c>
      <c r="S764" s="1" t="s">
        <v>52</v>
      </c>
      <c r="T764" s="1" t="str">
        <f>IF(ISERROR(VLOOKUP(S764,'unique org names'!A:C,3,FALSE)),S764,VLOOKUP(S764,'unique org names'!A:C,3,FALSE))
</f>
        <v>WAYNE STATE UNIVERSITY</v>
      </c>
      <c r="V764" s="1" t="s">
        <v>1885</v>
      </c>
      <c r="W764" s="1" t="s">
        <v>44</v>
      </c>
      <c r="X764" s="1" t="s">
        <v>45</v>
      </c>
      <c r="Y764" s="1">
        <v>4.82021347E8</v>
      </c>
      <c r="AA764" s="1" t="s">
        <v>46</v>
      </c>
      <c r="AB764" s="1" t="s">
        <v>45</v>
      </c>
      <c r="AC764" s="1">
        <v>4.8202405E8</v>
      </c>
      <c r="AD764" s="1">
        <v>1962224.0</v>
      </c>
      <c r="AE764" s="1" t="s">
        <v>52</v>
      </c>
      <c r="AF764" s="1">
        <v>25000.0</v>
      </c>
      <c r="AG764" s="2">
        <v>41957.0</v>
      </c>
      <c r="AH764" s="1">
        <v>1300.0</v>
      </c>
      <c r="AI764" s="1" t="s">
        <v>1305</v>
      </c>
      <c r="AJ764" s="1" t="s">
        <v>1742</v>
      </c>
      <c r="AK764" s="1" t="s">
        <v>1743</v>
      </c>
      <c r="AL764" s="1">
        <v>12.0</v>
      </c>
      <c r="AM764" s="1">
        <v>2014.0</v>
      </c>
      <c r="AN764" s="1">
        <v>2015.0</v>
      </c>
      <c r="AO764" s="1" t="s">
        <v>1744</v>
      </c>
    </row>
    <row r="765">
      <c r="A765" s="5">
        <v>1.0</v>
      </c>
      <c r="B765" s="1">
        <f t="shared" si="1"/>
        <v>765</v>
      </c>
      <c r="C765" s="1" t="s">
        <v>1886</v>
      </c>
      <c r="D765" s="1" t="s">
        <v>1886</v>
      </c>
      <c r="E765" s="1" t="s">
        <v>194</v>
      </c>
      <c r="G765" s="1">
        <v>3.7258736E7</v>
      </c>
      <c r="H765" s="2">
        <v>41872.0</v>
      </c>
      <c r="I765" s="1" t="s">
        <v>1380</v>
      </c>
      <c r="K765" s="1" t="s">
        <v>1380</v>
      </c>
      <c r="N765" s="1" t="s">
        <v>194</v>
      </c>
      <c r="O765" s="1">
        <v>9100.0</v>
      </c>
      <c r="P765" s="1" t="s">
        <v>194</v>
      </c>
      <c r="Q765" s="1" t="str">
        <f>IF(ISERROR(VLOOKUP(P765,'unique fed agency names'!A:C,3,FALSE)),P765,VLOOKUP(P765,'unique fed agency names'!A:C,3,FALSE))
</f>
        <v>U.S. Department of Education (ED)</v>
      </c>
      <c r="R765" s="1">
        <v>1962224.0</v>
      </c>
      <c r="S765" s="1" t="s">
        <v>52</v>
      </c>
      <c r="T765" s="1" t="str">
        <f>IF(ISERROR(VLOOKUP(S765,'unique org names'!A:C,3,FALSE)),S765,VLOOKUP(S765,'unique org names'!A:C,3,FALSE))
</f>
        <v>WAYNE STATE UNIVERSITY</v>
      </c>
      <c r="V765" s="1" t="s">
        <v>1885</v>
      </c>
      <c r="W765" s="1" t="s">
        <v>44</v>
      </c>
      <c r="X765" s="1" t="s">
        <v>45</v>
      </c>
      <c r="Y765" s="1">
        <v>4.82021347E8</v>
      </c>
      <c r="AA765" s="1" t="s">
        <v>44</v>
      </c>
      <c r="AB765" s="1" t="s">
        <v>45</v>
      </c>
      <c r="AC765" s="1">
        <v>4.82023424E8</v>
      </c>
      <c r="AD765" s="1">
        <v>1962224.0</v>
      </c>
      <c r="AE765" s="1" t="s">
        <v>52</v>
      </c>
      <c r="AF765" s="1">
        <v>25000.0</v>
      </c>
      <c r="AG765" s="2">
        <v>41872.0</v>
      </c>
      <c r="AH765" s="1">
        <v>9100.0</v>
      </c>
      <c r="AI765" s="1" t="s">
        <v>194</v>
      </c>
      <c r="AJ765" s="1" t="s">
        <v>1887</v>
      </c>
      <c r="AK765" s="1" t="s">
        <v>1382</v>
      </c>
      <c r="AL765" s="1">
        <v>12.0</v>
      </c>
      <c r="AM765" s="1">
        <v>2014.0</v>
      </c>
      <c r="AN765" s="1">
        <v>2014.0</v>
      </c>
      <c r="AO765" s="1" t="s">
        <v>1383</v>
      </c>
    </row>
    <row r="766">
      <c r="A766" s="5">
        <v>1.0</v>
      </c>
      <c r="B766" s="1">
        <f t="shared" si="1"/>
        <v>766</v>
      </c>
      <c r="C766" s="1" t="s">
        <v>1886</v>
      </c>
      <c r="D766" s="1" t="s">
        <v>1886</v>
      </c>
      <c r="E766" s="1" t="s">
        <v>194</v>
      </c>
      <c r="G766" s="1">
        <v>3.7258736E7</v>
      </c>
      <c r="H766" s="2">
        <v>41829.0</v>
      </c>
      <c r="I766" s="1" t="s">
        <v>1380</v>
      </c>
      <c r="K766" s="1" t="s">
        <v>1380</v>
      </c>
      <c r="N766" s="1" t="s">
        <v>194</v>
      </c>
      <c r="O766" s="1">
        <v>9100.0</v>
      </c>
      <c r="P766" s="1" t="s">
        <v>194</v>
      </c>
      <c r="Q766" s="1" t="str">
        <f>IF(ISERROR(VLOOKUP(P766,'unique fed agency names'!A:C,3,FALSE)),P766,VLOOKUP(P766,'unique fed agency names'!A:C,3,FALSE))
</f>
        <v>U.S. Department of Education (ED)</v>
      </c>
      <c r="R766" s="1">
        <v>7.6340843E7</v>
      </c>
      <c r="S766" s="1" t="s">
        <v>461</v>
      </c>
      <c r="T766" s="1" t="str">
        <f>IF(ISERROR(VLOOKUP(S766,'unique org names'!A:C,3,FALSE)),S766,VLOOKUP(S766,'unique org names'!A:C,3,FALSE))
</f>
        <v>BOARD OF EDUCATION OF THE CITY OF DETROIT</v>
      </c>
      <c r="V766" s="1" t="s">
        <v>1599</v>
      </c>
      <c r="W766" s="1" t="s">
        <v>44</v>
      </c>
      <c r="X766" s="1" t="s">
        <v>45</v>
      </c>
      <c r="Y766" s="1">
        <v>4.8202301E8</v>
      </c>
      <c r="AA766" s="1" t="s">
        <v>44</v>
      </c>
      <c r="AB766" s="1" t="s">
        <v>45</v>
      </c>
      <c r="AC766" s="1">
        <v>4.82023096E8</v>
      </c>
      <c r="AD766" s="1">
        <v>7.6340843E7</v>
      </c>
      <c r="AE766" s="1" t="s">
        <v>461</v>
      </c>
      <c r="AF766" s="1">
        <v>3000819.0</v>
      </c>
      <c r="AG766" s="2">
        <v>41829.0</v>
      </c>
      <c r="AH766" s="1">
        <v>9100.0</v>
      </c>
      <c r="AI766" s="1" t="s">
        <v>194</v>
      </c>
      <c r="AJ766" s="1" t="s">
        <v>1888</v>
      </c>
      <c r="AK766" s="1" t="s">
        <v>1382</v>
      </c>
      <c r="AL766" s="1">
        <v>12.0</v>
      </c>
      <c r="AM766" s="1">
        <v>2014.0</v>
      </c>
      <c r="AN766" s="1">
        <v>2014.0</v>
      </c>
      <c r="AO766" s="1" t="s">
        <v>1383</v>
      </c>
    </row>
    <row r="767">
      <c r="A767" s="5">
        <v>1.0</v>
      </c>
      <c r="B767" s="1">
        <f t="shared" si="1"/>
        <v>767</v>
      </c>
      <c r="C767" s="1" t="s">
        <v>1481</v>
      </c>
      <c r="D767" s="1" t="s">
        <v>1481</v>
      </c>
      <c r="E767" s="1" t="s">
        <v>1482</v>
      </c>
      <c r="G767" s="1">
        <v>522792.0</v>
      </c>
      <c r="H767" s="2">
        <v>41955.0</v>
      </c>
      <c r="I767" s="1" t="s">
        <v>1483</v>
      </c>
      <c r="K767" s="1" t="s">
        <v>1483</v>
      </c>
      <c r="N767" s="1" t="s">
        <v>431</v>
      </c>
      <c r="O767" s="1">
        <v>9700.0</v>
      </c>
      <c r="P767" s="1" t="s">
        <v>431</v>
      </c>
      <c r="Q767" s="1" t="str">
        <f>IF(ISERROR(VLOOKUP(P767,'unique fed agency names'!A:C,3,FALSE)),P767,VLOOKUP(P767,'unique fed agency names'!A:C,3,FALSE))
</f>
        <v>U.S. Department of Defense (DOD)</v>
      </c>
      <c r="R767" s="1">
        <v>7.4217316E7</v>
      </c>
      <c r="S767" s="1" t="s">
        <v>1484</v>
      </c>
      <c r="T767" s="1" t="str">
        <f>IF(ISERROR(VLOOKUP(S767,'unique org names'!A:C,3,FALSE)),S767,VLOOKUP(S767,'unique org names'!A:C,3,FALSE))
</f>
        <v>VHS REHABILITATION INSTITUTE OF MICHIGAN, INC</v>
      </c>
      <c r="V767" s="1" t="s">
        <v>1485</v>
      </c>
      <c r="W767" s="1" t="s">
        <v>44</v>
      </c>
      <c r="X767" s="1" t="s">
        <v>45</v>
      </c>
      <c r="Y767" s="1">
        <v>4.82012417E8</v>
      </c>
      <c r="AA767" s="1" t="s">
        <v>46</v>
      </c>
      <c r="AB767" s="1" t="s">
        <v>45</v>
      </c>
      <c r="AC767" s="1">
        <v>4.82012417E8</v>
      </c>
      <c r="AD767" s="1">
        <v>5.3866661E7</v>
      </c>
      <c r="AF767" s="1">
        <v>47927.0</v>
      </c>
      <c r="AG767" s="2">
        <v>41955.0</v>
      </c>
      <c r="AH767" s="1">
        <v>9700.0</v>
      </c>
      <c r="AI767" s="1" t="s">
        <v>431</v>
      </c>
      <c r="AJ767" s="1">
        <v>3.002641509E9</v>
      </c>
      <c r="AK767" s="1" t="s">
        <v>1889</v>
      </c>
      <c r="AL767" s="1">
        <v>11.0</v>
      </c>
      <c r="AM767" s="1">
        <v>2014.0</v>
      </c>
      <c r="AN767" s="1">
        <v>2015.0</v>
      </c>
      <c r="AO767" s="1" t="s">
        <v>435</v>
      </c>
    </row>
    <row r="768">
      <c r="A768" s="5">
        <v>1.0</v>
      </c>
      <c r="B768" s="1">
        <f t="shared" si="1"/>
        <v>768</v>
      </c>
      <c r="C768" s="1" t="s">
        <v>1890</v>
      </c>
      <c r="D768" s="1" t="s">
        <v>1890</v>
      </c>
      <c r="E768" s="1" t="s">
        <v>38</v>
      </c>
      <c r="G768" s="1">
        <v>2357551.0</v>
      </c>
      <c r="H768" s="2">
        <v>41964.0</v>
      </c>
      <c r="I768" s="1" t="s">
        <v>1891</v>
      </c>
      <c r="K768" s="1" t="s">
        <v>1891</v>
      </c>
      <c r="N768" s="1" t="s">
        <v>40</v>
      </c>
      <c r="O768" s="1">
        <v>7500.0</v>
      </c>
      <c r="P768" s="1" t="s">
        <v>40</v>
      </c>
      <c r="Q768" s="1" t="str">
        <f>IF(ISERROR(VLOOKUP(P768,'unique fed agency names'!A:C,3,FALSE)),P768,VLOOKUP(P768,'unique fed agency names'!A:C,3,FALSE))
</f>
        <v>U.S. Department of Health and Human Services (DHHS)</v>
      </c>
      <c r="R768" s="1">
        <v>7.3134603E7</v>
      </c>
      <c r="S768" s="1" t="s">
        <v>41</v>
      </c>
      <c r="T768" s="1" t="str">
        <f>IF(ISERROR(VLOOKUP(S768,'unique org names'!A:C,3,FALSE)),S768,VLOOKUP(S768,'unique org names'!A:C,3,FALSE))
</f>
        <v>Henry Ford Health System</v>
      </c>
      <c r="U768" s="1" t="s">
        <v>252</v>
      </c>
      <c r="V768" s="1" t="s">
        <v>253</v>
      </c>
      <c r="W768" s="1" t="s">
        <v>44</v>
      </c>
      <c r="X768" s="1" t="s">
        <v>45</v>
      </c>
      <c r="Y768" s="1">
        <v>4.8202345E8</v>
      </c>
      <c r="AA768" s="1" t="s">
        <v>46</v>
      </c>
      <c r="AB768" s="1" t="s">
        <v>45</v>
      </c>
      <c r="AC768" s="1">
        <v>4.8202345E8</v>
      </c>
      <c r="AD768" s="1">
        <v>7.3134603E7</v>
      </c>
      <c r="AE768" s="1" t="s">
        <v>41</v>
      </c>
      <c r="AF768" s="1">
        <v>15205.0</v>
      </c>
      <c r="AG768" s="2">
        <v>41964.0</v>
      </c>
      <c r="AH768" s="1">
        <v>7500.0</v>
      </c>
      <c r="AI768" s="1" t="s">
        <v>40</v>
      </c>
      <c r="AJ768" s="1" t="s">
        <v>1892</v>
      </c>
      <c r="AK768" s="1" t="s">
        <v>1893</v>
      </c>
      <c r="AL768" s="1">
        <v>12.0</v>
      </c>
      <c r="AM768" s="1">
        <v>2014.0</v>
      </c>
      <c r="AN768" s="1">
        <v>2015.0</v>
      </c>
      <c r="AO768" s="1" t="s">
        <v>1813</v>
      </c>
    </row>
    <row r="769">
      <c r="A769" s="5">
        <v>1.0</v>
      </c>
      <c r="B769" s="1">
        <f t="shared" si="1"/>
        <v>769</v>
      </c>
      <c r="C769" s="1" t="s">
        <v>1894</v>
      </c>
      <c r="D769" s="1" t="s">
        <v>1894</v>
      </c>
      <c r="E769" s="1" t="s">
        <v>645</v>
      </c>
      <c r="G769" s="1">
        <v>902980.0</v>
      </c>
      <c r="H769" s="2">
        <v>41942.0</v>
      </c>
      <c r="I769" s="1" t="s">
        <v>646</v>
      </c>
      <c r="K769" s="1" t="s">
        <v>646</v>
      </c>
      <c r="N769" s="1" t="s">
        <v>647</v>
      </c>
      <c r="O769" s="1">
        <v>1200.0</v>
      </c>
      <c r="P769" s="1" t="s">
        <v>647</v>
      </c>
      <c r="Q769" s="1" t="str">
        <f>IF(ISERROR(VLOOKUP(P769,'unique fed agency names'!A:C,3,FALSE)),P769,VLOOKUP(P769,'unique fed agency names'!A:C,3,FALSE))
</f>
        <v>U.S. Department of Agriculture (USDA)</v>
      </c>
      <c r="R769" s="1">
        <v>7.3134884E7</v>
      </c>
      <c r="S769" s="1" t="s">
        <v>1796</v>
      </c>
      <c r="T769" s="1" t="str">
        <f>IF(ISERROR(VLOOKUP(S769,'unique org names'!A:C,3,FALSE)),S769,VLOOKUP(S769,'unique org names'!A:C,3,FALSE))
</f>
        <v>Wayne County</v>
      </c>
      <c r="V769" s="1" t="s">
        <v>1855</v>
      </c>
      <c r="W769" s="1" t="s">
        <v>44</v>
      </c>
      <c r="X769" s="1" t="s">
        <v>45</v>
      </c>
      <c r="Y769" s="1">
        <v>48226.0</v>
      </c>
      <c r="AA769" s="1" t="s">
        <v>648</v>
      </c>
      <c r="AB769" s="1" t="s">
        <v>45</v>
      </c>
      <c r="AC769" s="1">
        <v>4.81865305E8</v>
      </c>
      <c r="AD769" s="1">
        <v>7.3134884E7</v>
      </c>
      <c r="AE769" s="1" t="s">
        <v>1796</v>
      </c>
      <c r="AF769" s="1">
        <v>70282.0</v>
      </c>
      <c r="AG769" s="2">
        <v>41942.0</v>
      </c>
      <c r="AH769" s="1">
        <v>1200.0</v>
      </c>
      <c r="AI769" s="1" t="s">
        <v>647</v>
      </c>
      <c r="AJ769" s="1" t="s">
        <v>1895</v>
      </c>
      <c r="AK769" s="1" t="s">
        <v>712</v>
      </c>
      <c r="AL769" s="1">
        <v>12.0</v>
      </c>
      <c r="AM769" s="1">
        <v>2014.0</v>
      </c>
      <c r="AN769" s="1">
        <v>2015.0</v>
      </c>
      <c r="AO769" s="1" t="s">
        <v>651</v>
      </c>
    </row>
    <row r="770">
      <c r="A770" s="5">
        <v>1.0</v>
      </c>
      <c r="B770" s="1">
        <f t="shared" si="1"/>
        <v>770</v>
      </c>
      <c r="C770" s="1" t="s">
        <v>1896</v>
      </c>
      <c r="D770" s="1" t="s">
        <v>1896</v>
      </c>
      <c r="E770" s="1" t="s">
        <v>194</v>
      </c>
      <c r="G770" s="1">
        <v>4388433.0</v>
      </c>
      <c r="H770" s="2">
        <v>41708.0</v>
      </c>
      <c r="I770" s="1" t="s">
        <v>1897</v>
      </c>
      <c r="K770" s="1" t="s">
        <v>1897</v>
      </c>
      <c r="N770" s="1" t="s">
        <v>194</v>
      </c>
      <c r="O770" s="1">
        <v>9100.0</v>
      </c>
      <c r="P770" s="1" t="s">
        <v>194</v>
      </c>
      <c r="Q770" s="1" t="str">
        <f>IF(ISERROR(VLOOKUP(P770,'unique fed agency names'!A:C,3,FALSE)),P770,VLOOKUP(P770,'unique fed agency names'!A:C,3,FALSE))
</f>
        <v>U.S. Department of Education (ED)</v>
      </c>
      <c r="R770" s="1">
        <v>1962224.0</v>
      </c>
      <c r="S770" s="1" t="s">
        <v>52</v>
      </c>
      <c r="T770" s="1" t="str">
        <f>IF(ISERROR(VLOOKUP(S770,'unique org names'!A:C,3,FALSE)),S770,VLOOKUP(S770,'unique org names'!A:C,3,FALSE))
</f>
        <v>WAYNE STATE UNIVERSITY</v>
      </c>
      <c r="V770" s="1" t="s">
        <v>1885</v>
      </c>
      <c r="W770" s="1" t="s">
        <v>44</v>
      </c>
      <c r="X770" s="1" t="s">
        <v>45</v>
      </c>
      <c r="Y770" s="1">
        <v>4.82021347E8</v>
      </c>
      <c r="AA770" s="1" t="s">
        <v>44</v>
      </c>
      <c r="AB770" s="1" t="s">
        <v>45</v>
      </c>
      <c r="AC770" s="1">
        <v>4.82023424E8</v>
      </c>
      <c r="AD770" s="1">
        <v>1962224.0</v>
      </c>
      <c r="AE770" s="1" t="s">
        <v>52</v>
      </c>
      <c r="AF770" s="1">
        <v>221776.0</v>
      </c>
      <c r="AG770" s="2">
        <v>41708.0</v>
      </c>
      <c r="AH770" s="1">
        <v>9100.0</v>
      </c>
      <c r="AI770" s="1" t="s">
        <v>194</v>
      </c>
      <c r="AJ770" s="1" t="s">
        <v>1898</v>
      </c>
      <c r="AK770" s="1" t="s">
        <v>1899</v>
      </c>
      <c r="AL770" s="1">
        <v>12.0</v>
      </c>
      <c r="AM770" s="1">
        <v>2014.0</v>
      </c>
      <c r="AN770" s="1">
        <v>2014.0</v>
      </c>
      <c r="AO770" s="1" t="s">
        <v>1900</v>
      </c>
    </row>
    <row r="771">
      <c r="A771" s="5">
        <v>1.0</v>
      </c>
      <c r="B771" s="1">
        <f t="shared" si="1"/>
        <v>771</v>
      </c>
      <c r="C771" s="1" t="s">
        <v>1886</v>
      </c>
      <c r="D771" s="1" t="s">
        <v>1886</v>
      </c>
      <c r="E771" s="1" t="s">
        <v>194</v>
      </c>
      <c r="G771" s="1">
        <v>3.7258736E7</v>
      </c>
      <c r="H771" s="2">
        <v>41897.0</v>
      </c>
      <c r="I771" s="1" t="s">
        <v>1380</v>
      </c>
      <c r="K771" s="1" t="s">
        <v>1380</v>
      </c>
      <c r="N771" s="1" t="s">
        <v>194</v>
      </c>
      <c r="O771" s="1">
        <v>9100.0</v>
      </c>
      <c r="P771" s="1" t="s">
        <v>194</v>
      </c>
      <c r="Q771" s="1" t="str">
        <f>IF(ISERROR(VLOOKUP(P771,'unique fed agency names'!A:C,3,FALSE)),P771,VLOOKUP(P771,'unique fed agency names'!A:C,3,FALSE))
</f>
        <v>U.S. Department of Education (ED)</v>
      </c>
      <c r="R771" s="1">
        <v>7.6386556E7</v>
      </c>
      <c r="S771" s="1" t="s">
        <v>1242</v>
      </c>
      <c r="T771" s="1" t="str">
        <f>IF(ISERROR(VLOOKUP(S771,'unique org names'!A:C,3,FALSE)),S771,VLOOKUP(S771,'unique org names'!A:C,3,FALSE))
</f>
        <v>WAYNE COUNTY COMMUNITY COLLEGE DISTRICT</v>
      </c>
      <c r="V771" s="1" t="s">
        <v>1243</v>
      </c>
      <c r="W771" s="1" t="s">
        <v>44</v>
      </c>
      <c r="X771" s="1" t="s">
        <v>45</v>
      </c>
      <c r="Y771" s="1">
        <v>4.8226301E8</v>
      </c>
      <c r="AA771" s="1" t="s">
        <v>44</v>
      </c>
      <c r="AB771" s="1" t="s">
        <v>45</v>
      </c>
      <c r="AC771" s="1">
        <v>4.8226301E8</v>
      </c>
      <c r="AD771" s="1">
        <v>7.6386556E7</v>
      </c>
      <c r="AE771" s="1" t="s">
        <v>1242</v>
      </c>
      <c r="AF771" s="1">
        <v>1036513.0</v>
      </c>
      <c r="AG771" s="2">
        <v>41897.0</v>
      </c>
      <c r="AH771" s="1">
        <v>9100.0</v>
      </c>
      <c r="AI771" s="1" t="s">
        <v>194</v>
      </c>
      <c r="AJ771" s="1" t="s">
        <v>1901</v>
      </c>
      <c r="AK771" s="1" t="s">
        <v>1382</v>
      </c>
      <c r="AL771" s="1">
        <v>12.0</v>
      </c>
      <c r="AM771" s="1">
        <v>2014.0</v>
      </c>
      <c r="AN771" s="1">
        <v>2014.0</v>
      </c>
      <c r="AO771" s="1" t="s">
        <v>1383</v>
      </c>
    </row>
    <row r="772">
      <c r="A772" s="5">
        <v>1.0</v>
      </c>
      <c r="B772" s="1">
        <f t="shared" si="1"/>
        <v>772</v>
      </c>
      <c r="C772" s="1" t="s">
        <v>1902</v>
      </c>
      <c r="D772" s="1" t="s">
        <v>1902</v>
      </c>
      <c r="E772" s="1" t="s">
        <v>194</v>
      </c>
      <c r="G772" s="1">
        <v>2399719.0</v>
      </c>
      <c r="H772" s="2">
        <v>41929.0</v>
      </c>
      <c r="I772" s="1" t="s">
        <v>274</v>
      </c>
      <c r="K772" s="1" t="s">
        <v>274</v>
      </c>
      <c r="N772" s="1" t="s">
        <v>194</v>
      </c>
      <c r="O772" s="1">
        <v>9100.0</v>
      </c>
      <c r="P772" s="1" t="s">
        <v>194</v>
      </c>
      <c r="Q772" s="1" t="str">
        <f>IF(ISERROR(VLOOKUP(P772,'unique fed agency names'!A:C,3,FALSE)),P772,VLOOKUP(P772,'unique fed agency names'!A:C,3,FALSE))
</f>
        <v>U.S. Department of Education (ED)</v>
      </c>
      <c r="R772" s="1">
        <v>1962224.0</v>
      </c>
      <c r="S772" s="1" t="s">
        <v>52</v>
      </c>
      <c r="T772" s="1" t="str">
        <f>IF(ISERROR(VLOOKUP(S772,'unique org names'!A:C,3,FALSE)),S772,VLOOKUP(S772,'unique org names'!A:C,3,FALSE))
</f>
        <v>WAYNE STATE UNIVERSITY</v>
      </c>
      <c r="V772" s="1" t="s">
        <v>1885</v>
      </c>
      <c r="W772" s="1" t="s">
        <v>44</v>
      </c>
      <c r="X772" s="1" t="s">
        <v>45</v>
      </c>
      <c r="Y772" s="1">
        <v>4.82021347E8</v>
      </c>
      <c r="AA772" s="1" t="s">
        <v>44</v>
      </c>
      <c r="AB772" s="1" t="s">
        <v>45</v>
      </c>
      <c r="AC772" s="1">
        <v>4.82023424E8</v>
      </c>
      <c r="AD772" s="1">
        <v>1962224.0</v>
      </c>
      <c r="AE772" s="1" t="s">
        <v>52</v>
      </c>
      <c r="AF772" s="1">
        <v>281707.0</v>
      </c>
      <c r="AG772" s="2">
        <v>41929.0</v>
      </c>
      <c r="AH772" s="1">
        <v>9100.0</v>
      </c>
      <c r="AI772" s="1" t="s">
        <v>194</v>
      </c>
      <c r="AJ772" s="1" t="s">
        <v>1903</v>
      </c>
      <c r="AK772" s="1" t="s">
        <v>276</v>
      </c>
      <c r="AL772" s="1">
        <v>12.0</v>
      </c>
      <c r="AM772" s="1">
        <v>2014.0</v>
      </c>
      <c r="AN772" s="1">
        <v>2015.0</v>
      </c>
      <c r="AO772" s="1" t="s">
        <v>277</v>
      </c>
    </row>
    <row r="773">
      <c r="A773" s="5">
        <v>1.0</v>
      </c>
      <c r="B773" s="1">
        <f t="shared" si="1"/>
        <v>773</v>
      </c>
      <c r="C773" s="1" t="s">
        <v>1904</v>
      </c>
      <c r="D773" s="1" t="s">
        <v>1904</v>
      </c>
      <c r="E773" s="1" t="s">
        <v>194</v>
      </c>
      <c r="G773" s="1">
        <v>1.1368562E7</v>
      </c>
      <c r="H773" s="2">
        <v>41547.0</v>
      </c>
      <c r="I773" s="1" t="s">
        <v>1905</v>
      </c>
      <c r="K773" s="1" t="s">
        <v>1905</v>
      </c>
      <c r="N773" s="1" t="s">
        <v>194</v>
      </c>
      <c r="O773" s="1">
        <v>9100.0</v>
      </c>
      <c r="P773" s="1" t="s">
        <v>194</v>
      </c>
      <c r="Q773" s="1" t="str">
        <f>IF(ISERROR(VLOOKUP(P773,'unique fed agency names'!A:C,3,FALSE)),P773,VLOOKUP(P773,'unique fed agency names'!A:C,3,FALSE))
</f>
        <v>U.S. Department of Education (ED)</v>
      </c>
      <c r="R773" s="1">
        <v>1962224.0</v>
      </c>
      <c r="S773" s="1" t="s">
        <v>52</v>
      </c>
      <c r="T773" s="1" t="str">
        <f>IF(ISERROR(VLOOKUP(S773,'unique org names'!A:C,3,FALSE)),S773,VLOOKUP(S773,'unique org names'!A:C,3,FALSE))
</f>
        <v>WAYNE STATE UNIVERSITY</v>
      </c>
      <c r="U773" s="1" t="s">
        <v>1566</v>
      </c>
      <c r="V773" s="1" t="s">
        <v>53</v>
      </c>
      <c r="W773" s="1" t="s">
        <v>44</v>
      </c>
      <c r="X773" s="1" t="s">
        <v>45</v>
      </c>
      <c r="Y773" s="1">
        <v>4.82023692E8</v>
      </c>
      <c r="AA773" s="1" t="s">
        <v>44</v>
      </c>
      <c r="AB773" s="1" t="s">
        <v>45</v>
      </c>
      <c r="AC773" s="1">
        <v>4.82023424E8</v>
      </c>
      <c r="AD773" s="1">
        <v>1962224.0</v>
      </c>
      <c r="AE773" s="1" t="s">
        <v>52</v>
      </c>
      <c r="AF773" s="1">
        <v>307331.0</v>
      </c>
      <c r="AG773" s="2">
        <v>41547.0</v>
      </c>
      <c r="AH773" s="1">
        <v>9100.0</v>
      </c>
      <c r="AI773" s="1" t="s">
        <v>194</v>
      </c>
      <c r="AJ773" s="1" t="s">
        <v>1906</v>
      </c>
      <c r="AK773" s="1" t="s">
        <v>1907</v>
      </c>
      <c r="AL773" s="1">
        <v>12.0</v>
      </c>
      <c r="AM773" s="1">
        <v>2014.0</v>
      </c>
      <c r="AN773" s="1">
        <v>2013.0</v>
      </c>
      <c r="AO773" s="1" t="s">
        <v>1908</v>
      </c>
    </row>
    <row r="774">
      <c r="A774" s="5">
        <v>1.0</v>
      </c>
      <c r="B774" s="1">
        <f t="shared" si="1"/>
        <v>774</v>
      </c>
      <c r="C774" s="1" t="s">
        <v>1909</v>
      </c>
      <c r="D774" s="1" t="s">
        <v>1909</v>
      </c>
      <c r="E774" s="1" t="s">
        <v>38</v>
      </c>
      <c r="G774" s="1">
        <v>615470.0</v>
      </c>
      <c r="H774" s="2">
        <v>41960.0</v>
      </c>
      <c r="I774" s="1" t="s">
        <v>1910</v>
      </c>
      <c r="K774" s="1" t="s">
        <v>1910</v>
      </c>
      <c r="N774" s="1" t="s">
        <v>40</v>
      </c>
      <c r="O774" s="1">
        <v>7500.0</v>
      </c>
      <c r="P774" s="1" t="s">
        <v>40</v>
      </c>
      <c r="Q774" s="1" t="str">
        <f>IF(ISERROR(VLOOKUP(P774,'unique fed agency names'!A:C,3,FALSE)),P774,VLOOKUP(P774,'unique fed agency names'!A:C,3,FALSE))
</f>
        <v>U.S. Department of Health and Human Services (DHHS)</v>
      </c>
      <c r="R774" s="1">
        <v>1962224.0</v>
      </c>
      <c r="S774" s="1" t="s">
        <v>52</v>
      </c>
      <c r="T774" s="1" t="str">
        <f>IF(ISERROR(VLOOKUP(S774,'unique org names'!A:C,3,FALSE)),S774,VLOOKUP(S774,'unique org names'!A:C,3,FALSE))
</f>
        <v>WAYNE STATE UNIVERSITY</v>
      </c>
      <c r="V774" s="1" t="s">
        <v>1885</v>
      </c>
      <c r="W774" s="1" t="s">
        <v>44</v>
      </c>
      <c r="X774" s="1" t="s">
        <v>45</v>
      </c>
      <c r="Y774" s="1">
        <v>4.82021347E8</v>
      </c>
      <c r="AA774" s="1" t="s">
        <v>46</v>
      </c>
      <c r="AB774" s="1" t="s">
        <v>45</v>
      </c>
      <c r="AC774" s="1">
        <v>4.82021347E8</v>
      </c>
      <c r="AD774" s="1">
        <v>1962224.0</v>
      </c>
      <c r="AE774" s="1" t="s">
        <v>52</v>
      </c>
      <c r="AF774" s="1">
        <v>186335.0</v>
      </c>
      <c r="AG774" s="2">
        <v>41960.0</v>
      </c>
      <c r="AH774" s="1">
        <v>7500.0</v>
      </c>
      <c r="AI774" s="1" t="s">
        <v>40</v>
      </c>
      <c r="AJ774" s="1" t="s">
        <v>1911</v>
      </c>
      <c r="AK774" s="1" t="s">
        <v>1912</v>
      </c>
      <c r="AL774" s="1">
        <v>11.0</v>
      </c>
      <c r="AM774" s="1">
        <v>2014.0</v>
      </c>
      <c r="AN774" s="1">
        <v>2015.0</v>
      </c>
      <c r="AO774" s="1" t="s">
        <v>415</v>
      </c>
    </row>
    <row r="775">
      <c r="A775" s="5">
        <v>1.0</v>
      </c>
      <c r="B775" s="1">
        <f t="shared" si="1"/>
        <v>775</v>
      </c>
      <c r="C775" s="1" t="s">
        <v>1853</v>
      </c>
      <c r="D775" s="1" t="s">
        <v>1853</v>
      </c>
      <c r="E775" s="1" t="s">
        <v>645</v>
      </c>
      <c r="G775" s="1">
        <v>5547372.0</v>
      </c>
      <c r="H775" s="2">
        <v>41844.0</v>
      </c>
      <c r="I775" s="1" t="s">
        <v>666</v>
      </c>
      <c r="K775" s="1" t="s">
        <v>666</v>
      </c>
      <c r="N775" s="1" t="s">
        <v>647</v>
      </c>
      <c r="O775" s="1">
        <v>1200.0</v>
      </c>
      <c r="P775" s="1" t="s">
        <v>647</v>
      </c>
      <c r="Q775" s="1" t="str">
        <f>IF(ISERROR(VLOOKUP(P775,'unique fed agency names'!A:C,3,FALSE)),P775,VLOOKUP(P775,'unique fed agency names'!A:C,3,FALSE))
</f>
        <v>U.S. Department of Agriculture (USDA)</v>
      </c>
      <c r="R775" s="1">
        <v>7.3134884E7</v>
      </c>
      <c r="S775" s="1" t="s">
        <v>1796</v>
      </c>
      <c r="T775" s="1" t="str">
        <f>IF(ISERROR(VLOOKUP(S775,'unique org names'!A:C,3,FALSE)),S775,VLOOKUP(S775,'unique org names'!A:C,3,FALSE))
</f>
        <v>Wayne County</v>
      </c>
      <c r="V775" s="1" t="s">
        <v>1855</v>
      </c>
      <c r="W775" s="1" t="s">
        <v>44</v>
      </c>
      <c r="X775" s="1" t="s">
        <v>45</v>
      </c>
      <c r="Y775" s="1">
        <v>48226.0</v>
      </c>
      <c r="AA775" s="1" t="s">
        <v>648</v>
      </c>
      <c r="AB775" s="1" t="s">
        <v>45</v>
      </c>
      <c r="AC775" s="1">
        <v>4.81865305E8</v>
      </c>
      <c r="AD775" s="1">
        <v>7.3134884E7</v>
      </c>
      <c r="AE775" s="1" t="s">
        <v>1796</v>
      </c>
      <c r="AF775" s="1">
        <v>145404.0</v>
      </c>
      <c r="AG775" s="2">
        <v>41844.0</v>
      </c>
      <c r="AH775" s="1">
        <v>1200.0</v>
      </c>
      <c r="AI775" s="1" t="s">
        <v>647</v>
      </c>
      <c r="AJ775" s="1" t="s">
        <v>1856</v>
      </c>
      <c r="AK775" s="1" t="s">
        <v>1780</v>
      </c>
      <c r="AL775" s="1">
        <v>12.0</v>
      </c>
      <c r="AM775" s="1">
        <v>2014.0</v>
      </c>
      <c r="AN775" s="1">
        <v>2014.0</v>
      </c>
      <c r="AO775" s="1" t="s">
        <v>671</v>
      </c>
    </row>
    <row r="776">
      <c r="A776" s="5">
        <v>1.0</v>
      </c>
      <c r="B776" s="1">
        <f t="shared" si="1"/>
        <v>776</v>
      </c>
      <c r="C776" s="1" t="s">
        <v>1853</v>
      </c>
      <c r="D776" s="1" t="s">
        <v>1853</v>
      </c>
      <c r="E776" s="1" t="s">
        <v>645</v>
      </c>
      <c r="G776" s="1">
        <v>5547372.0</v>
      </c>
      <c r="H776" s="2">
        <v>41949.0</v>
      </c>
      <c r="I776" s="1" t="s">
        <v>666</v>
      </c>
      <c r="K776" s="1" t="s">
        <v>666</v>
      </c>
      <c r="N776" s="1" t="s">
        <v>647</v>
      </c>
      <c r="O776" s="1">
        <v>1200.0</v>
      </c>
      <c r="P776" s="1" t="s">
        <v>647</v>
      </c>
      <c r="Q776" s="1" t="str">
        <f>IF(ISERROR(VLOOKUP(P776,'unique fed agency names'!A:C,3,FALSE)),P776,VLOOKUP(P776,'unique fed agency names'!A:C,3,FALSE))
</f>
        <v>U.S. Department of Agriculture (USDA)</v>
      </c>
      <c r="R776" s="1">
        <v>7.2761299E7</v>
      </c>
      <c r="S776" s="1" t="s">
        <v>667</v>
      </c>
      <c r="T776" s="1" t="str">
        <f>IF(ISERROR(VLOOKUP(S776,'unique org names'!A:C,3,FALSE)),S776,VLOOKUP(S776,'unique org names'!A:C,3,FALSE))
</f>
        <v>Focus: HOPE</v>
      </c>
      <c r="V776" s="1" t="s">
        <v>668</v>
      </c>
      <c r="W776" s="1" t="s">
        <v>44</v>
      </c>
      <c r="X776" s="1" t="s">
        <v>45</v>
      </c>
      <c r="Y776" s="1">
        <v>4.82382849E8</v>
      </c>
      <c r="AA776" s="1" t="s">
        <v>44</v>
      </c>
      <c r="AB776" s="1" t="s">
        <v>45</v>
      </c>
      <c r="AC776" s="1">
        <v>4.82382849E8</v>
      </c>
      <c r="AD776" s="1">
        <v>7.2761299E7</v>
      </c>
      <c r="AE776" s="1" t="s">
        <v>667</v>
      </c>
      <c r="AF776" s="1">
        <v>2963783.0</v>
      </c>
      <c r="AG776" s="2">
        <v>41949.0</v>
      </c>
      <c r="AH776" s="1">
        <v>1200.0</v>
      </c>
      <c r="AI776" s="1" t="s">
        <v>647</v>
      </c>
      <c r="AJ776" s="1" t="s">
        <v>1854</v>
      </c>
      <c r="AK776" s="1" t="s">
        <v>1780</v>
      </c>
      <c r="AL776" s="1">
        <v>12.0</v>
      </c>
      <c r="AM776" s="1">
        <v>2014.0</v>
      </c>
      <c r="AN776" s="1">
        <v>2015.0</v>
      </c>
      <c r="AO776" s="1" t="s">
        <v>671</v>
      </c>
    </row>
    <row r="777">
      <c r="A777" s="5">
        <v>1.0</v>
      </c>
      <c r="B777" s="1">
        <f t="shared" si="1"/>
        <v>777</v>
      </c>
      <c r="C777" s="1" t="s">
        <v>1913</v>
      </c>
      <c r="D777" s="1" t="s">
        <v>1913</v>
      </c>
      <c r="E777" s="1" t="s">
        <v>645</v>
      </c>
      <c r="G777" s="1">
        <v>1.4642656E8</v>
      </c>
      <c r="H777" s="2">
        <v>41963.0</v>
      </c>
      <c r="I777" s="1" t="s">
        <v>710</v>
      </c>
      <c r="K777" s="1" t="s">
        <v>710</v>
      </c>
      <c r="N777" s="1" t="s">
        <v>647</v>
      </c>
      <c r="O777" s="1">
        <v>1200.0</v>
      </c>
      <c r="P777" s="1" t="s">
        <v>647</v>
      </c>
      <c r="Q777" s="1" t="str">
        <f>IF(ISERROR(VLOOKUP(P777,'unique fed agency names'!A:C,3,FALSE)),P777,VLOOKUP(P777,'unique fed agency names'!A:C,3,FALSE))
</f>
        <v>U.S. Department of Agriculture (USDA)</v>
      </c>
      <c r="R777" s="1">
        <v>2.0830303E7</v>
      </c>
      <c r="S777" s="1" t="s">
        <v>424</v>
      </c>
      <c r="T777" s="1" t="str">
        <f>IF(ISERROR(VLOOKUP(S777,'unique org names'!A:C,3,FALSE)),S777,VLOOKUP(S777,'unique org names'!A:C,3,FALSE))
</f>
        <v>MATRIX HUMAN SERVICES</v>
      </c>
      <c r="U777" s="1" t="s">
        <v>425</v>
      </c>
      <c r="V777" s="1" t="s">
        <v>426</v>
      </c>
      <c r="W777" s="1" t="s">
        <v>44</v>
      </c>
      <c r="X777" s="1" t="s">
        <v>45</v>
      </c>
      <c r="Y777" s="1">
        <v>4.82012002E8</v>
      </c>
      <c r="AA777" s="1" t="s">
        <v>44</v>
      </c>
      <c r="AB777" s="1" t="s">
        <v>45</v>
      </c>
      <c r="AC777" s="1">
        <v>4.82012002E8</v>
      </c>
      <c r="AD777" s="1">
        <v>2.0830303E7</v>
      </c>
      <c r="AE777" s="1" t="s">
        <v>424</v>
      </c>
      <c r="AF777" s="1">
        <v>34248.06</v>
      </c>
      <c r="AG777" s="2">
        <v>41963.0</v>
      </c>
      <c r="AH777" s="1">
        <v>1200.0</v>
      </c>
      <c r="AI777" s="1" t="s">
        <v>647</v>
      </c>
      <c r="AJ777" s="1" t="s">
        <v>1914</v>
      </c>
      <c r="AK777" s="1" t="s">
        <v>712</v>
      </c>
      <c r="AL777" s="1">
        <v>12.0</v>
      </c>
      <c r="AM777" s="1">
        <v>2014.0</v>
      </c>
      <c r="AN777" s="1">
        <v>2015.0</v>
      </c>
      <c r="AO777" s="1" t="s">
        <v>713</v>
      </c>
    </row>
    <row r="778">
      <c r="A778" s="5">
        <v>1.0</v>
      </c>
      <c r="B778" s="1">
        <f t="shared" si="1"/>
        <v>778</v>
      </c>
      <c r="C778" s="1" t="s">
        <v>1915</v>
      </c>
      <c r="D778" s="1" t="s">
        <v>1915</v>
      </c>
      <c r="E778" s="1">
        <v>7545.0</v>
      </c>
      <c r="G778" s="1">
        <v>1356943.0</v>
      </c>
      <c r="H778" s="2">
        <v>41913.0</v>
      </c>
      <c r="I778" s="1" t="s">
        <v>1916</v>
      </c>
      <c r="K778" s="1" t="s">
        <v>1916</v>
      </c>
      <c r="N778" s="1" t="s">
        <v>40</v>
      </c>
      <c r="O778" s="1">
        <v>7500.0</v>
      </c>
      <c r="P778" s="1" t="s">
        <v>40</v>
      </c>
      <c r="Q778" s="1" t="str">
        <f>IF(ISERROR(VLOOKUP(P778,'unique fed agency names'!A:C,3,FALSE)),P778,VLOOKUP(P778,'unique fed agency names'!A:C,3,FALSE))
</f>
        <v>U.S. Department of Health and Human Services (DHHS)</v>
      </c>
      <c r="R778" s="1">
        <v>4.6842605E7</v>
      </c>
      <c r="S778" s="1" t="s">
        <v>165</v>
      </c>
      <c r="T778" s="1" t="str">
        <f>IF(ISERROR(VLOOKUP(S778,'unique org names'!A:C,3,FALSE)),S778,VLOOKUP(S778,'unique org names'!A:C,3,FALSE))
</f>
        <v>DETROIT AREA AGENCY ON AGING</v>
      </c>
      <c r="U778" s="1" t="s">
        <v>166</v>
      </c>
      <c r="V778" s="1" t="s">
        <v>167</v>
      </c>
      <c r="W778" s="1" t="s">
        <v>44</v>
      </c>
      <c r="X778" s="1" t="s">
        <v>45</v>
      </c>
      <c r="Y778" s="1">
        <v>4.82074544E8</v>
      </c>
      <c r="AA778" s="1" t="s">
        <v>46</v>
      </c>
      <c r="AB778" s="1" t="s">
        <v>45</v>
      </c>
      <c r="AC778" s="1">
        <v>4.82074544E8</v>
      </c>
      <c r="AF778" s="1">
        <v>186352.54</v>
      </c>
      <c r="AG778" s="2">
        <v>41913.0</v>
      </c>
      <c r="AH778" s="1">
        <v>7500.0</v>
      </c>
      <c r="AI778" s="1" t="s">
        <v>40</v>
      </c>
      <c r="AJ778" s="1">
        <v>2.0152003E7</v>
      </c>
      <c r="AK778" s="1" t="s">
        <v>392</v>
      </c>
      <c r="AL778" s="1">
        <v>10.0</v>
      </c>
      <c r="AM778" s="1">
        <v>2014.0</v>
      </c>
      <c r="AN778" s="1">
        <v>2015.0</v>
      </c>
      <c r="AO778" s="1" t="s">
        <v>1109</v>
      </c>
    </row>
    <row r="779">
      <c r="A779" s="5">
        <v>1.0</v>
      </c>
      <c r="B779" s="1">
        <f t="shared" si="1"/>
        <v>779</v>
      </c>
      <c r="C779" s="1" t="s">
        <v>1917</v>
      </c>
      <c r="D779" s="1" t="s">
        <v>1917</v>
      </c>
      <c r="E779" s="1">
        <v>7545.0</v>
      </c>
      <c r="G779" s="1">
        <v>2187613.0</v>
      </c>
      <c r="H779" s="2">
        <v>41913.0</v>
      </c>
      <c r="I779" s="1" t="s">
        <v>1918</v>
      </c>
      <c r="K779" s="1" t="s">
        <v>1918</v>
      </c>
      <c r="N779" s="1" t="s">
        <v>40</v>
      </c>
      <c r="O779" s="1">
        <v>7500.0</v>
      </c>
      <c r="P779" s="1" t="s">
        <v>40</v>
      </c>
      <c r="Q779" s="1" t="str">
        <f>IF(ISERROR(VLOOKUP(P779,'unique fed agency names'!A:C,3,FALSE)),P779,VLOOKUP(P779,'unique fed agency names'!A:C,3,FALSE))
</f>
        <v>U.S. Department of Health and Human Services (DHHS)</v>
      </c>
      <c r="R779" s="1">
        <v>4.6842605E7</v>
      </c>
      <c r="S779" s="1" t="s">
        <v>165</v>
      </c>
      <c r="T779" s="1" t="str">
        <f>IF(ISERROR(VLOOKUP(S779,'unique org names'!A:C,3,FALSE)),S779,VLOOKUP(S779,'unique org names'!A:C,3,FALSE))
</f>
        <v>DETROIT AREA AGENCY ON AGING</v>
      </c>
      <c r="U779" s="1" t="s">
        <v>166</v>
      </c>
      <c r="V779" s="1" t="s">
        <v>167</v>
      </c>
      <c r="W779" s="1" t="s">
        <v>44</v>
      </c>
      <c r="X779" s="1" t="s">
        <v>45</v>
      </c>
      <c r="Y779" s="1">
        <v>4.82074544E8</v>
      </c>
      <c r="AA779" s="1" t="s">
        <v>46</v>
      </c>
      <c r="AB779" s="1" t="s">
        <v>45</v>
      </c>
      <c r="AC779" s="1">
        <v>4.82074544E8</v>
      </c>
      <c r="AF779" s="1">
        <v>262220.18</v>
      </c>
      <c r="AG779" s="2">
        <v>41913.0</v>
      </c>
      <c r="AH779" s="1">
        <v>7500.0</v>
      </c>
      <c r="AI779" s="1" t="s">
        <v>40</v>
      </c>
      <c r="AJ779" s="1">
        <v>2.0152003E7</v>
      </c>
      <c r="AK779" s="1" t="s">
        <v>392</v>
      </c>
      <c r="AL779" s="1">
        <v>10.0</v>
      </c>
      <c r="AM779" s="1">
        <v>2014.0</v>
      </c>
      <c r="AN779" s="1">
        <v>2015.0</v>
      </c>
      <c r="AO779" s="1" t="s">
        <v>1919</v>
      </c>
    </row>
    <row r="780">
      <c r="A780" s="5">
        <v>1.0</v>
      </c>
      <c r="B780" s="1">
        <f t="shared" si="1"/>
        <v>780</v>
      </c>
      <c r="C780" s="1" t="s">
        <v>1920</v>
      </c>
      <c r="D780" s="1" t="s">
        <v>1920</v>
      </c>
      <c r="E780" s="1">
        <v>7545.0</v>
      </c>
      <c r="G780" s="1">
        <v>99610.0</v>
      </c>
      <c r="H780" s="2">
        <v>41913.0</v>
      </c>
      <c r="I780" s="1" t="s">
        <v>1921</v>
      </c>
      <c r="K780" s="1" t="s">
        <v>1921</v>
      </c>
      <c r="N780" s="1" t="s">
        <v>40</v>
      </c>
      <c r="O780" s="1">
        <v>7500.0</v>
      </c>
      <c r="P780" s="1" t="s">
        <v>40</v>
      </c>
      <c r="Q780" s="1" t="str">
        <f>IF(ISERROR(VLOOKUP(P780,'unique fed agency names'!A:C,3,FALSE)),P780,VLOOKUP(P780,'unique fed agency names'!A:C,3,FALSE))
</f>
        <v>U.S. Department of Health and Human Services (DHHS)</v>
      </c>
      <c r="R780" s="1">
        <v>4.6842605E7</v>
      </c>
      <c r="S780" s="1" t="s">
        <v>165</v>
      </c>
      <c r="T780" s="1" t="str">
        <f>IF(ISERROR(VLOOKUP(S780,'unique org names'!A:C,3,FALSE)),S780,VLOOKUP(S780,'unique org names'!A:C,3,FALSE))
</f>
        <v>DETROIT AREA AGENCY ON AGING</v>
      </c>
      <c r="U780" s="1" t="s">
        <v>166</v>
      </c>
      <c r="V780" s="1" t="s">
        <v>167</v>
      </c>
      <c r="W780" s="1" t="s">
        <v>44</v>
      </c>
      <c r="X780" s="1" t="s">
        <v>45</v>
      </c>
      <c r="Y780" s="1">
        <v>4.82074544E8</v>
      </c>
      <c r="AA780" s="1" t="s">
        <v>46</v>
      </c>
      <c r="AB780" s="1" t="s">
        <v>45</v>
      </c>
      <c r="AC780" s="1">
        <v>4.82074544E8</v>
      </c>
      <c r="AF780" s="1">
        <v>9840.8</v>
      </c>
      <c r="AG780" s="2">
        <v>41913.0</v>
      </c>
      <c r="AH780" s="1">
        <v>7500.0</v>
      </c>
      <c r="AI780" s="1" t="s">
        <v>40</v>
      </c>
      <c r="AJ780" s="1">
        <v>2.0152003E7</v>
      </c>
      <c r="AK780" s="1" t="s">
        <v>392</v>
      </c>
      <c r="AL780" s="1">
        <v>10.0</v>
      </c>
      <c r="AM780" s="1">
        <v>2014.0</v>
      </c>
      <c r="AN780" s="1">
        <v>2015.0</v>
      </c>
      <c r="AO780" s="1" t="s">
        <v>1139</v>
      </c>
    </row>
    <row r="781">
      <c r="A781" s="5">
        <v>1.0</v>
      </c>
      <c r="B781" s="1">
        <f t="shared" si="1"/>
        <v>781</v>
      </c>
      <c r="C781" s="1" t="s">
        <v>1922</v>
      </c>
      <c r="D781" s="1" t="s">
        <v>1922</v>
      </c>
      <c r="E781" s="1" t="s">
        <v>38</v>
      </c>
      <c r="G781" s="1">
        <v>1.3829118E7</v>
      </c>
      <c r="H781" s="2">
        <v>41963.0</v>
      </c>
      <c r="I781" s="1" t="s">
        <v>1923</v>
      </c>
      <c r="K781" s="1" t="s">
        <v>1923</v>
      </c>
      <c r="N781" s="1" t="s">
        <v>40</v>
      </c>
      <c r="O781" s="1">
        <v>7500.0</v>
      </c>
      <c r="P781" s="1" t="s">
        <v>40</v>
      </c>
      <c r="Q781" s="1" t="str">
        <f>IF(ISERROR(VLOOKUP(P781,'unique fed agency names'!A:C,3,FALSE)),P781,VLOOKUP(P781,'unique fed agency names'!A:C,3,FALSE))
</f>
        <v>U.S. Department of Health and Human Services (DHHS)</v>
      </c>
      <c r="R781" s="1">
        <v>1962224.0</v>
      </c>
      <c r="S781" s="1" t="s">
        <v>52</v>
      </c>
      <c r="T781" s="1" t="str">
        <f>IF(ISERROR(VLOOKUP(S781,'unique org names'!A:C,3,FALSE)),S781,VLOOKUP(S781,'unique org names'!A:C,3,FALSE))
</f>
        <v>WAYNE STATE UNIVERSITY</v>
      </c>
      <c r="V781" s="1" t="s">
        <v>1885</v>
      </c>
      <c r="W781" s="1" t="s">
        <v>44</v>
      </c>
      <c r="X781" s="1" t="s">
        <v>45</v>
      </c>
      <c r="Y781" s="1">
        <v>4.82021347E8</v>
      </c>
      <c r="AA781" s="1" t="s">
        <v>46</v>
      </c>
      <c r="AB781" s="1" t="s">
        <v>45</v>
      </c>
      <c r="AC781" s="1">
        <v>4.82012013E8</v>
      </c>
      <c r="AD781" s="1">
        <v>1962224.0</v>
      </c>
      <c r="AE781" s="1" t="s">
        <v>52</v>
      </c>
      <c r="AF781" s="1">
        <v>45600.0</v>
      </c>
      <c r="AG781" s="2">
        <v>41963.0</v>
      </c>
      <c r="AH781" s="1">
        <v>7500.0</v>
      </c>
      <c r="AI781" s="1" t="s">
        <v>40</v>
      </c>
      <c r="AJ781" s="1" t="s">
        <v>1924</v>
      </c>
      <c r="AK781" s="1" t="s">
        <v>1925</v>
      </c>
      <c r="AL781" s="1">
        <v>12.0</v>
      </c>
      <c r="AM781" s="1">
        <v>2014.0</v>
      </c>
      <c r="AN781" s="1">
        <v>2015.0</v>
      </c>
      <c r="AO781" s="1" t="s">
        <v>973</v>
      </c>
    </row>
    <row r="782">
      <c r="A782" s="5">
        <v>1.0</v>
      </c>
      <c r="B782" s="1">
        <f t="shared" si="1"/>
        <v>782</v>
      </c>
      <c r="C782" s="1" t="s">
        <v>1926</v>
      </c>
      <c r="D782" s="1" t="s">
        <v>1926</v>
      </c>
      <c r="E782" s="1" t="s">
        <v>38</v>
      </c>
      <c r="G782" s="1">
        <v>1420000.0</v>
      </c>
      <c r="H782" s="2">
        <v>41948.0</v>
      </c>
      <c r="I782" s="1" t="s">
        <v>1927</v>
      </c>
      <c r="K782" s="1" t="s">
        <v>1927</v>
      </c>
      <c r="N782" s="1" t="s">
        <v>40</v>
      </c>
      <c r="O782" s="1">
        <v>7500.0</v>
      </c>
      <c r="P782" s="1" t="s">
        <v>40</v>
      </c>
      <c r="Q782" s="1" t="str">
        <f>IF(ISERROR(VLOOKUP(P782,'unique fed agency names'!A:C,3,FALSE)),P782,VLOOKUP(P782,'unique fed agency names'!A:C,3,FALSE))
</f>
        <v>U.S. Department of Health and Human Services (DHHS)</v>
      </c>
      <c r="R782" s="1">
        <v>1962224.0</v>
      </c>
      <c r="S782" s="1" t="s">
        <v>52</v>
      </c>
      <c r="T782" s="1" t="str">
        <f>IF(ISERROR(VLOOKUP(S782,'unique org names'!A:C,3,FALSE)),S782,VLOOKUP(S782,'unique org names'!A:C,3,FALSE))
</f>
        <v>WAYNE STATE UNIVERSITY</v>
      </c>
      <c r="V782" s="1" t="s">
        <v>1885</v>
      </c>
      <c r="W782" s="1" t="s">
        <v>44</v>
      </c>
      <c r="X782" s="1" t="s">
        <v>45</v>
      </c>
      <c r="Y782" s="1">
        <v>4.82021347E8</v>
      </c>
      <c r="AA782" s="1" t="s">
        <v>46</v>
      </c>
      <c r="AB782" s="1" t="s">
        <v>45</v>
      </c>
      <c r="AC782" s="1">
        <v>4.82012013E8</v>
      </c>
      <c r="AD782" s="1">
        <v>1962224.0</v>
      </c>
      <c r="AE782" s="1" t="s">
        <v>52</v>
      </c>
      <c r="AF782" s="1">
        <v>82208.0</v>
      </c>
      <c r="AG782" s="2">
        <v>41948.0</v>
      </c>
      <c r="AH782" s="1">
        <v>7500.0</v>
      </c>
      <c r="AI782" s="1" t="s">
        <v>40</v>
      </c>
      <c r="AJ782" s="1" t="s">
        <v>1928</v>
      </c>
      <c r="AK782" s="1" t="s">
        <v>1929</v>
      </c>
      <c r="AL782" s="1">
        <v>12.0</v>
      </c>
      <c r="AM782" s="1">
        <v>2014.0</v>
      </c>
      <c r="AN782" s="1">
        <v>2015.0</v>
      </c>
      <c r="AO782" s="1" t="s">
        <v>973</v>
      </c>
    </row>
    <row r="783">
      <c r="A783" s="5">
        <v>1.0</v>
      </c>
      <c r="B783" s="1">
        <f t="shared" si="1"/>
        <v>783</v>
      </c>
      <c r="C783" s="1" t="s">
        <v>1930</v>
      </c>
      <c r="D783" s="1" t="s">
        <v>1930</v>
      </c>
      <c r="E783" s="1">
        <v>7545.0</v>
      </c>
      <c r="G783" s="1">
        <v>31675.0</v>
      </c>
      <c r="H783" s="2">
        <v>41913.0</v>
      </c>
      <c r="I783" s="1" t="s">
        <v>1931</v>
      </c>
      <c r="K783" s="1" t="s">
        <v>1931</v>
      </c>
      <c r="N783" s="1" t="s">
        <v>40</v>
      </c>
      <c r="O783" s="1">
        <v>7500.0</v>
      </c>
      <c r="P783" s="1" t="s">
        <v>40</v>
      </c>
      <c r="Q783" s="1" t="str">
        <f>IF(ISERROR(VLOOKUP(P783,'unique fed agency names'!A:C,3,FALSE)),P783,VLOOKUP(P783,'unique fed agency names'!A:C,3,FALSE))
</f>
        <v>U.S. Department of Health and Human Services (DHHS)</v>
      </c>
      <c r="R783" s="1">
        <v>4.6842605E7</v>
      </c>
      <c r="S783" s="1" t="s">
        <v>165</v>
      </c>
      <c r="T783" s="1" t="str">
        <f>IF(ISERROR(VLOOKUP(S783,'unique org names'!A:C,3,FALSE)),S783,VLOOKUP(S783,'unique org names'!A:C,3,FALSE))
</f>
        <v>DETROIT AREA AGENCY ON AGING</v>
      </c>
      <c r="U783" s="1" t="s">
        <v>166</v>
      </c>
      <c r="V783" s="1" t="s">
        <v>167</v>
      </c>
      <c r="W783" s="1" t="s">
        <v>44</v>
      </c>
      <c r="X783" s="1" t="s">
        <v>45</v>
      </c>
      <c r="Y783" s="1">
        <v>4.82074544E8</v>
      </c>
      <c r="AA783" s="1" t="s">
        <v>46</v>
      </c>
      <c r="AB783" s="1" t="s">
        <v>45</v>
      </c>
      <c r="AC783" s="1">
        <v>4.82074544E8</v>
      </c>
      <c r="AF783" s="1">
        <v>3477.53</v>
      </c>
      <c r="AG783" s="2">
        <v>41913.0</v>
      </c>
      <c r="AH783" s="1">
        <v>7500.0</v>
      </c>
      <c r="AI783" s="1" t="s">
        <v>40</v>
      </c>
      <c r="AJ783" s="1">
        <v>2.0152003E7</v>
      </c>
      <c r="AK783" s="1" t="s">
        <v>392</v>
      </c>
      <c r="AL783" s="1">
        <v>10.0</v>
      </c>
      <c r="AM783" s="1">
        <v>2014.0</v>
      </c>
      <c r="AN783" s="1">
        <v>2015.0</v>
      </c>
      <c r="AO783" s="1" t="s">
        <v>1932</v>
      </c>
    </row>
    <row r="784">
      <c r="A784" s="5">
        <v>1.0</v>
      </c>
      <c r="B784" s="1">
        <f t="shared" si="1"/>
        <v>784</v>
      </c>
      <c r="C784" s="1" t="s">
        <v>1933</v>
      </c>
      <c r="D784" s="1" t="s">
        <v>1933</v>
      </c>
      <c r="E784" s="1" t="s">
        <v>100</v>
      </c>
      <c r="G784" s="1">
        <v>2297904.0</v>
      </c>
      <c r="H784" s="2">
        <v>41548.0</v>
      </c>
      <c r="I784" s="1" t="s">
        <v>1858</v>
      </c>
      <c r="K784" s="1" t="s">
        <v>1858</v>
      </c>
      <c r="N784" s="1" t="s">
        <v>102</v>
      </c>
      <c r="O784" s="1">
        <v>8600.0</v>
      </c>
      <c r="P784" s="1" t="s">
        <v>102</v>
      </c>
      <c r="Q784" s="1" t="str">
        <f>IF(ISERROR(VLOOKUP(P784,'unique fed agency names'!A:C,3,FALSE)),P784,VLOOKUP(P784,'unique fed agency names'!A:C,3,FALSE))
</f>
        <v>U.S. Department of Housing and Urban Development (HUD)</v>
      </c>
      <c r="R784" s="1">
        <v>1.93540515E8</v>
      </c>
      <c r="S784" s="1" t="s">
        <v>1022</v>
      </c>
      <c r="T784" s="1" t="str">
        <f>IF(ISERROR(VLOOKUP(S784,'unique org names'!A:C,3,FALSE)),S784,VLOOKUP(S784,'unique org names'!A:C,3,FALSE))
</f>
        <v>Development Centers, Inc</v>
      </c>
      <c r="U784" s="1" t="s">
        <v>1330</v>
      </c>
      <c r="V784" s="1" t="s">
        <v>1023</v>
      </c>
      <c r="W784" s="1" t="s">
        <v>44</v>
      </c>
      <c r="X784" s="1" t="s">
        <v>45</v>
      </c>
      <c r="Y784" s="1">
        <v>4.82193653E8</v>
      </c>
      <c r="AA784" s="1" t="s">
        <v>46</v>
      </c>
      <c r="AB784" s="1" t="s">
        <v>45</v>
      </c>
      <c r="AC784" s="1">
        <v>4.82193165E8</v>
      </c>
      <c r="AD784" s="1">
        <v>1.93540515E8</v>
      </c>
      <c r="AE784" s="1" t="s">
        <v>1022</v>
      </c>
      <c r="AF784" s="1">
        <v>119460.94</v>
      </c>
      <c r="AG784" s="2">
        <v>41548.0</v>
      </c>
      <c r="AH784" s="1">
        <v>8600.0</v>
      </c>
      <c r="AI784" s="1" t="s">
        <v>102</v>
      </c>
      <c r="AJ784" s="1">
        <v>2.0140896E7</v>
      </c>
      <c r="AK784" s="1" t="s">
        <v>978</v>
      </c>
      <c r="AL784" s="1">
        <v>10.0</v>
      </c>
      <c r="AM784" s="1">
        <v>2012.0</v>
      </c>
      <c r="AN784" s="1">
        <v>2014.0</v>
      </c>
      <c r="AO784" s="1" t="s">
        <v>1860</v>
      </c>
    </row>
    <row r="785">
      <c r="A785" s="5">
        <v>1.0</v>
      </c>
      <c r="B785" s="1">
        <f t="shared" si="1"/>
        <v>785</v>
      </c>
      <c r="C785" s="1" t="s">
        <v>1933</v>
      </c>
      <c r="D785" s="1" t="s">
        <v>1933</v>
      </c>
      <c r="E785" s="1" t="s">
        <v>100</v>
      </c>
      <c r="G785" s="1">
        <v>2297904.0</v>
      </c>
      <c r="H785" s="2">
        <v>41183.0</v>
      </c>
      <c r="I785" s="1" t="s">
        <v>1858</v>
      </c>
      <c r="K785" s="1" t="s">
        <v>1858</v>
      </c>
      <c r="N785" s="1" t="s">
        <v>102</v>
      </c>
      <c r="O785" s="1">
        <v>8600.0</v>
      </c>
      <c r="P785" s="1" t="s">
        <v>102</v>
      </c>
      <c r="Q785" s="1" t="str">
        <f>IF(ISERROR(VLOOKUP(P785,'unique fed agency names'!A:C,3,FALSE)),P785,VLOOKUP(P785,'unique fed agency names'!A:C,3,FALSE))
</f>
        <v>U.S. Department of Housing and Urban Development (HUD)</v>
      </c>
      <c r="R785" s="1">
        <v>7.6385699E7</v>
      </c>
      <c r="S785" s="1" t="s">
        <v>106</v>
      </c>
      <c r="T785" s="1" t="str">
        <f>IF(ISERROR(VLOOKUP(S785,'unique org names'!A:C,3,FALSE)),S785,VLOOKUP(S785,'unique org names'!A:C,3,FALSE))
</f>
        <v>Southwest Counseling Solutions, Inc</v>
      </c>
      <c r="U785" s="1" t="s">
        <v>1005</v>
      </c>
      <c r="V785" s="1" t="s">
        <v>1006</v>
      </c>
      <c r="W785" s="1" t="s">
        <v>44</v>
      </c>
      <c r="X785" s="1" t="s">
        <v>45</v>
      </c>
      <c r="Y785" s="1">
        <v>4.82092022E8</v>
      </c>
      <c r="AA785" s="1" t="s">
        <v>46</v>
      </c>
      <c r="AB785" s="1" t="s">
        <v>45</v>
      </c>
      <c r="AC785" s="1">
        <v>4.82092022E8</v>
      </c>
      <c r="AD785" s="1">
        <v>7.6385699E7</v>
      </c>
      <c r="AE785" s="1" t="s">
        <v>106</v>
      </c>
      <c r="AF785" s="1">
        <v>200907.72</v>
      </c>
      <c r="AG785" s="2">
        <v>41183.0</v>
      </c>
      <c r="AH785" s="1">
        <v>8600.0</v>
      </c>
      <c r="AI785" s="1" t="s">
        <v>102</v>
      </c>
      <c r="AJ785" s="1">
        <v>2.0130878E7</v>
      </c>
      <c r="AK785" s="1" t="s">
        <v>978</v>
      </c>
      <c r="AL785" s="1">
        <v>10.0</v>
      </c>
      <c r="AM785" s="1">
        <v>2012.0</v>
      </c>
      <c r="AN785" s="1">
        <v>2013.0</v>
      </c>
      <c r="AO785" s="1" t="s">
        <v>1860</v>
      </c>
    </row>
    <row r="786">
      <c r="A786" s="5">
        <v>1.0</v>
      </c>
      <c r="B786" s="1">
        <f t="shared" si="1"/>
        <v>786</v>
      </c>
      <c r="C786" s="1" t="s">
        <v>1933</v>
      </c>
      <c r="D786" s="1" t="s">
        <v>1933</v>
      </c>
      <c r="E786" s="1" t="s">
        <v>100</v>
      </c>
      <c r="G786" s="1">
        <v>2297904.0</v>
      </c>
      <c r="H786" s="2">
        <v>41183.0</v>
      </c>
      <c r="I786" s="1" t="s">
        <v>1858</v>
      </c>
      <c r="K786" s="1" t="s">
        <v>1858</v>
      </c>
      <c r="N786" s="1" t="s">
        <v>102</v>
      </c>
      <c r="O786" s="1">
        <v>8600.0</v>
      </c>
      <c r="P786" s="1" t="s">
        <v>102</v>
      </c>
      <c r="Q786" s="1" t="str">
        <f>IF(ISERROR(VLOOKUP(P786,'unique fed agency names'!A:C,3,FALSE)),P786,VLOOKUP(P786,'unique fed agency names'!A:C,3,FALSE))
</f>
        <v>U.S. Department of Housing and Urban Development (HUD)</v>
      </c>
      <c r="R786" s="1">
        <v>1.4556403E8</v>
      </c>
      <c r="S786" s="1" t="s">
        <v>976</v>
      </c>
      <c r="T786" s="1" t="str">
        <f>IF(ISERROR(VLOOKUP(S786,'unique org names'!A:C,3,FALSE)),S786,VLOOKUP(S786,'unique org names'!A:C,3,FALSE))
</f>
        <v>Detroit-East Community Mental Health</v>
      </c>
      <c r="V786" s="1" t="s">
        <v>977</v>
      </c>
      <c r="W786" s="1" t="s">
        <v>44</v>
      </c>
      <c r="X786" s="1" t="s">
        <v>45</v>
      </c>
      <c r="Y786" s="1">
        <v>4.82133418E8</v>
      </c>
      <c r="AA786" s="1" t="s">
        <v>46</v>
      </c>
      <c r="AB786" s="1" t="s">
        <v>45</v>
      </c>
      <c r="AC786" s="1">
        <v>4.82133418E8</v>
      </c>
      <c r="AF786" s="1">
        <v>127719.52</v>
      </c>
      <c r="AG786" s="2">
        <v>41183.0</v>
      </c>
      <c r="AH786" s="1">
        <v>8600.0</v>
      </c>
      <c r="AI786" s="1" t="s">
        <v>102</v>
      </c>
      <c r="AJ786" s="1">
        <v>2.0130879E7</v>
      </c>
      <c r="AK786" s="1" t="s">
        <v>978</v>
      </c>
      <c r="AL786" s="1">
        <v>10.0</v>
      </c>
      <c r="AM786" s="1">
        <v>2012.0</v>
      </c>
      <c r="AN786" s="1">
        <v>2013.0</v>
      </c>
      <c r="AO786" s="1" t="s">
        <v>1860</v>
      </c>
    </row>
    <row r="787">
      <c r="A787" s="5">
        <v>1.0</v>
      </c>
      <c r="B787" s="1">
        <f t="shared" si="1"/>
        <v>787</v>
      </c>
      <c r="C787" s="1" t="s">
        <v>1933</v>
      </c>
      <c r="D787" s="1" t="s">
        <v>1933</v>
      </c>
      <c r="E787" s="1" t="s">
        <v>100</v>
      </c>
      <c r="G787" s="1">
        <v>2297904.0</v>
      </c>
      <c r="H787" s="2">
        <v>41548.0</v>
      </c>
      <c r="I787" s="1" t="s">
        <v>1858</v>
      </c>
      <c r="K787" s="1" t="s">
        <v>1858</v>
      </c>
      <c r="N787" s="1" t="s">
        <v>102</v>
      </c>
      <c r="O787" s="1">
        <v>8600.0</v>
      </c>
      <c r="P787" s="1" t="s">
        <v>102</v>
      </c>
      <c r="Q787" s="1" t="str">
        <f>IF(ISERROR(VLOOKUP(P787,'unique fed agency names'!A:C,3,FALSE)),P787,VLOOKUP(P787,'unique fed agency names'!A:C,3,FALSE))
</f>
        <v>U.S. Department of Housing and Urban Development (HUD)</v>
      </c>
      <c r="R787" s="1">
        <v>1.4556403E8</v>
      </c>
      <c r="S787" s="1" t="s">
        <v>976</v>
      </c>
      <c r="T787" s="1" t="str">
        <f>IF(ISERROR(VLOOKUP(S787,'unique org names'!A:C,3,FALSE)),S787,VLOOKUP(S787,'unique org names'!A:C,3,FALSE))
</f>
        <v>Detroit-East Community Mental Health</v>
      </c>
      <c r="V787" s="1" t="s">
        <v>977</v>
      </c>
      <c r="W787" s="1" t="s">
        <v>44</v>
      </c>
      <c r="X787" s="1" t="s">
        <v>45</v>
      </c>
      <c r="Y787" s="1">
        <v>4.82133418E8</v>
      </c>
      <c r="AA787" s="1" t="s">
        <v>46</v>
      </c>
      <c r="AB787" s="1" t="s">
        <v>45</v>
      </c>
      <c r="AC787" s="1">
        <v>4.82133418E8</v>
      </c>
      <c r="AF787" s="1">
        <v>151981.62</v>
      </c>
      <c r="AG787" s="2">
        <v>41548.0</v>
      </c>
      <c r="AH787" s="1">
        <v>8600.0</v>
      </c>
      <c r="AI787" s="1" t="s">
        <v>102</v>
      </c>
      <c r="AJ787" s="1">
        <v>2.0140895E7</v>
      </c>
      <c r="AK787" s="1" t="s">
        <v>978</v>
      </c>
      <c r="AL787" s="1">
        <v>10.0</v>
      </c>
      <c r="AM787" s="1">
        <v>2012.0</v>
      </c>
      <c r="AN787" s="1">
        <v>2014.0</v>
      </c>
      <c r="AO787" s="1" t="s">
        <v>1860</v>
      </c>
    </row>
    <row r="788">
      <c r="A788" s="5">
        <v>1.0</v>
      </c>
      <c r="B788" s="1">
        <f t="shared" si="1"/>
        <v>788</v>
      </c>
      <c r="C788" s="1" t="s">
        <v>1933</v>
      </c>
      <c r="D788" s="1" t="s">
        <v>1933</v>
      </c>
      <c r="E788" s="1" t="s">
        <v>100</v>
      </c>
      <c r="G788" s="1">
        <v>2297904.0</v>
      </c>
      <c r="H788" s="2">
        <v>41183.0</v>
      </c>
      <c r="I788" s="1" t="s">
        <v>1858</v>
      </c>
      <c r="K788" s="1" t="s">
        <v>1858</v>
      </c>
      <c r="N788" s="1" t="s">
        <v>102</v>
      </c>
      <c r="O788" s="1">
        <v>8600.0</v>
      </c>
      <c r="P788" s="1" t="s">
        <v>102</v>
      </c>
      <c r="Q788" s="1" t="str">
        <f>IF(ISERROR(VLOOKUP(P788,'unique fed agency names'!A:C,3,FALSE)),P788,VLOOKUP(P788,'unique fed agency names'!A:C,3,FALSE))
</f>
        <v>U.S. Department of Housing and Urban Development (HUD)</v>
      </c>
      <c r="R788" s="1">
        <v>4.3419399E7</v>
      </c>
      <c r="S788" s="1" t="s">
        <v>979</v>
      </c>
      <c r="T788" s="1" t="str">
        <f>IF(ISERROR(VLOOKUP(S788,'unique org names'!A:C,3,FALSE)),S788,VLOOKUP(S788,'unique org names'!A:C,3,FALSE))
</f>
        <v>NEIGHBORHOOD SERVICE ORGANIZATION</v>
      </c>
      <c r="V788" s="1" t="s">
        <v>1934</v>
      </c>
      <c r="W788" s="1" t="s">
        <v>44</v>
      </c>
      <c r="X788" s="1" t="s">
        <v>45</v>
      </c>
      <c r="Y788" s="1">
        <v>4.82384019E8</v>
      </c>
      <c r="AA788" s="1" t="s">
        <v>46</v>
      </c>
      <c r="AB788" s="1" t="s">
        <v>45</v>
      </c>
      <c r="AC788" s="1">
        <v>4.82384019E8</v>
      </c>
      <c r="AD788" s="1">
        <v>4.3419399E7</v>
      </c>
      <c r="AE788" s="1" t="s">
        <v>979</v>
      </c>
      <c r="AF788" s="1">
        <v>117075.89</v>
      </c>
      <c r="AG788" s="2">
        <v>41183.0</v>
      </c>
      <c r="AH788" s="1">
        <v>8600.0</v>
      </c>
      <c r="AI788" s="1" t="s">
        <v>102</v>
      </c>
      <c r="AJ788" s="1">
        <v>2.0130123E7</v>
      </c>
      <c r="AK788" s="1" t="s">
        <v>978</v>
      </c>
      <c r="AL788" s="1">
        <v>10.0</v>
      </c>
      <c r="AM788" s="1">
        <v>2012.0</v>
      </c>
      <c r="AN788" s="1">
        <v>2013.0</v>
      </c>
      <c r="AO788" s="1" t="s">
        <v>1860</v>
      </c>
    </row>
    <row r="789">
      <c r="A789" s="5">
        <v>1.0</v>
      </c>
      <c r="B789" s="1">
        <f t="shared" si="1"/>
        <v>789</v>
      </c>
      <c r="C789" s="1" t="s">
        <v>1933</v>
      </c>
      <c r="D789" s="1" t="s">
        <v>1933</v>
      </c>
      <c r="E789" s="1" t="s">
        <v>100</v>
      </c>
      <c r="G789" s="1">
        <v>2297904.0</v>
      </c>
      <c r="H789" s="2">
        <v>41183.0</v>
      </c>
      <c r="I789" s="1" t="s">
        <v>1858</v>
      </c>
      <c r="K789" s="1" t="s">
        <v>1858</v>
      </c>
      <c r="N789" s="1" t="s">
        <v>102</v>
      </c>
      <c r="O789" s="1">
        <v>8600.0</v>
      </c>
      <c r="P789" s="1" t="s">
        <v>102</v>
      </c>
      <c r="Q789" s="1" t="str">
        <f>IF(ISERROR(VLOOKUP(P789,'unique fed agency names'!A:C,3,FALSE)),P789,VLOOKUP(P789,'unique fed agency names'!A:C,3,FALSE))
</f>
        <v>U.S. Department of Housing and Urban Development (HUD)</v>
      </c>
      <c r="R789" s="1">
        <v>1.93540515E8</v>
      </c>
      <c r="S789" s="1" t="s">
        <v>1022</v>
      </c>
      <c r="T789" s="1" t="str">
        <f>IF(ISERROR(VLOOKUP(S789,'unique org names'!A:C,3,FALSE)),S789,VLOOKUP(S789,'unique org names'!A:C,3,FALSE))
</f>
        <v>Development Centers, Inc</v>
      </c>
      <c r="U789" s="1" t="s">
        <v>1330</v>
      </c>
      <c r="V789" s="1" t="s">
        <v>1023</v>
      </c>
      <c r="W789" s="1" t="s">
        <v>44</v>
      </c>
      <c r="X789" s="1" t="s">
        <v>45</v>
      </c>
      <c r="Y789" s="1">
        <v>4.82193653E8</v>
      </c>
      <c r="AA789" s="1" t="s">
        <v>46</v>
      </c>
      <c r="AB789" s="1" t="s">
        <v>45</v>
      </c>
      <c r="AC789" s="1">
        <v>4.82193165E8</v>
      </c>
      <c r="AD789" s="1">
        <v>1.93540515E8</v>
      </c>
      <c r="AE789" s="1" t="s">
        <v>1022</v>
      </c>
      <c r="AF789" s="1">
        <v>118136.94</v>
      </c>
      <c r="AG789" s="2">
        <v>41183.0</v>
      </c>
      <c r="AH789" s="1">
        <v>8600.0</v>
      </c>
      <c r="AI789" s="1" t="s">
        <v>102</v>
      </c>
      <c r="AJ789" s="1">
        <v>2.0130881E7</v>
      </c>
      <c r="AK789" s="1" t="s">
        <v>978</v>
      </c>
      <c r="AL789" s="1">
        <v>10.0</v>
      </c>
      <c r="AM789" s="1">
        <v>2012.0</v>
      </c>
      <c r="AN789" s="1">
        <v>2013.0</v>
      </c>
      <c r="AO789" s="1" t="s">
        <v>1860</v>
      </c>
    </row>
    <row r="790">
      <c r="A790" s="5">
        <v>1.0</v>
      </c>
      <c r="B790" s="1">
        <f t="shared" si="1"/>
        <v>790</v>
      </c>
      <c r="C790" s="1" t="s">
        <v>1933</v>
      </c>
      <c r="D790" s="1" t="s">
        <v>1933</v>
      </c>
      <c r="E790" s="1" t="s">
        <v>100</v>
      </c>
      <c r="G790" s="1">
        <v>2297904.0</v>
      </c>
      <c r="H790" s="2">
        <v>41548.0</v>
      </c>
      <c r="I790" s="1" t="s">
        <v>1858</v>
      </c>
      <c r="K790" s="1" t="s">
        <v>1858</v>
      </c>
      <c r="N790" s="1" t="s">
        <v>102</v>
      </c>
      <c r="O790" s="1">
        <v>8600.0</v>
      </c>
      <c r="P790" s="1" t="s">
        <v>102</v>
      </c>
      <c r="Q790" s="1" t="str">
        <f>IF(ISERROR(VLOOKUP(P790,'unique fed agency names'!A:C,3,FALSE)),P790,VLOOKUP(P790,'unique fed agency names'!A:C,3,FALSE))
</f>
        <v>U.S. Department of Housing and Urban Development (HUD)</v>
      </c>
      <c r="R790" s="1">
        <v>7.6385699E7</v>
      </c>
      <c r="S790" s="1" t="s">
        <v>106</v>
      </c>
      <c r="T790" s="1" t="str">
        <f>IF(ISERROR(VLOOKUP(S790,'unique org names'!A:C,3,FALSE)),S790,VLOOKUP(S790,'unique org names'!A:C,3,FALSE))
</f>
        <v>Southwest Counseling Solutions, Inc</v>
      </c>
      <c r="U790" s="1" t="s">
        <v>1005</v>
      </c>
      <c r="V790" s="1" t="s">
        <v>1006</v>
      </c>
      <c r="W790" s="1" t="s">
        <v>44</v>
      </c>
      <c r="X790" s="1" t="s">
        <v>45</v>
      </c>
      <c r="Y790" s="1">
        <v>4.82092022E8</v>
      </c>
      <c r="AA790" s="1" t="s">
        <v>46</v>
      </c>
      <c r="AB790" s="1" t="s">
        <v>45</v>
      </c>
      <c r="AC790" s="1">
        <v>4.82092022E8</v>
      </c>
      <c r="AD790" s="1">
        <v>7.6385699E7</v>
      </c>
      <c r="AE790" s="1" t="s">
        <v>106</v>
      </c>
      <c r="AF790" s="1">
        <v>291903.52</v>
      </c>
      <c r="AG790" s="2">
        <v>41548.0</v>
      </c>
      <c r="AH790" s="1">
        <v>8600.0</v>
      </c>
      <c r="AI790" s="1" t="s">
        <v>102</v>
      </c>
      <c r="AJ790" s="1">
        <v>2.0140935E7</v>
      </c>
      <c r="AK790" s="1" t="s">
        <v>978</v>
      </c>
      <c r="AL790" s="1">
        <v>10.0</v>
      </c>
      <c r="AM790" s="1">
        <v>2012.0</v>
      </c>
      <c r="AN790" s="1">
        <v>2014.0</v>
      </c>
      <c r="AO790" s="1" t="s">
        <v>1860</v>
      </c>
    </row>
    <row r="791">
      <c r="A791" s="5">
        <v>1.0</v>
      </c>
      <c r="B791" s="1">
        <f t="shared" si="1"/>
        <v>791</v>
      </c>
      <c r="C791" s="1" t="s">
        <v>1935</v>
      </c>
      <c r="D791" s="1" t="s">
        <v>1935</v>
      </c>
      <c r="E791" s="1">
        <v>7545.0</v>
      </c>
      <c r="G791" s="1">
        <v>1.1417298E7</v>
      </c>
      <c r="H791" s="2">
        <v>41548.0</v>
      </c>
      <c r="I791" s="1" t="s">
        <v>1936</v>
      </c>
      <c r="K791" s="1" t="s">
        <v>1936</v>
      </c>
      <c r="N791" s="1" t="s">
        <v>40</v>
      </c>
      <c r="O791" s="1">
        <v>7500.0</v>
      </c>
      <c r="P791" s="1" t="s">
        <v>40</v>
      </c>
      <c r="Q791" s="1" t="str">
        <f>IF(ISERROR(VLOOKUP(P791,'unique fed agency names'!A:C,3,FALSE)),P791,VLOOKUP(P791,'unique fed agency names'!A:C,3,FALSE))
</f>
        <v>U.S. Department of Health and Human Services (DHHS)</v>
      </c>
      <c r="R791" s="1">
        <v>4.6842605E7</v>
      </c>
      <c r="S791" s="1" t="s">
        <v>165</v>
      </c>
      <c r="T791" s="1" t="str">
        <f>IF(ISERROR(VLOOKUP(S791,'unique org names'!A:C,3,FALSE)),S791,VLOOKUP(S791,'unique org names'!A:C,3,FALSE))
</f>
        <v>DETROIT AREA AGENCY ON AGING</v>
      </c>
      <c r="U791" s="1" t="s">
        <v>166</v>
      </c>
      <c r="V791" s="1" t="s">
        <v>167</v>
      </c>
      <c r="W791" s="1" t="s">
        <v>44</v>
      </c>
      <c r="X791" s="1" t="s">
        <v>45</v>
      </c>
      <c r="Y791" s="1">
        <v>4.82074544E8</v>
      </c>
      <c r="AA791" s="1" t="s">
        <v>46</v>
      </c>
      <c r="AB791" s="1" t="s">
        <v>45</v>
      </c>
      <c r="AC791" s="1">
        <v>4.82074544E8</v>
      </c>
      <c r="AF791" s="1">
        <v>169679.0</v>
      </c>
      <c r="AG791" s="2">
        <v>41548.0</v>
      </c>
      <c r="AH791" s="1">
        <v>7500.0</v>
      </c>
      <c r="AI791" s="1" t="s">
        <v>40</v>
      </c>
      <c r="AJ791" s="1">
        <v>2.0141854E7</v>
      </c>
      <c r="AK791" s="1" t="s">
        <v>392</v>
      </c>
      <c r="AL791" s="1">
        <v>10.0</v>
      </c>
      <c r="AM791" s="1">
        <v>2013.0</v>
      </c>
      <c r="AN791" s="1">
        <v>2014.0</v>
      </c>
      <c r="AO791" s="1" t="s">
        <v>1919</v>
      </c>
    </row>
    <row r="792">
      <c r="A792" s="5">
        <v>1.0</v>
      </c>
      <c r="B792" s="1">
        <f t="shared" si="1"/>
        <v>792</v>
      </c>
      <c r="C792" s="1" t="s">
        <v>1937</v>
      </c>
      <c r="D792" s="1" t="s">
        <v>1937</v>
      </c>
      <c r="E792" s="1" t="s">
        <v>389</v>
      </c>
      <c r="G792" s="1">
        <v>2832086.0</v>
      </c>
      <c r="H792" s="2">
        <v>41183.0</v>
      </c>
      <c r="I792" s="1" t="s">
        <v>390</v>
      </c>
      <c r="K792" s="1" t="s">
        <v>390</v>
      </c>
      <c r="N792" s="1" t="s">
        <v>391</v>
      </c>
      <c r="O792" s="1">
        <v>1600.0</v>
      </c>
      <c r="P792" s="1" t="s">
        <v>391</v>
      </c>
      <c r="Q792" s="1" t="str">
        <f>IF(ISERROR(VLOOKUP(P792,'unique fed agency names'!A:C,3,FALSE)),P792,VLOOKUP(P792,'unique fed agency names'!A:C,3,FALSE))
</f>
        <v>U.S. Department of Labor (DOL)</v>
      </c>
      <c r="R792" s="1">
        <v>4.6842605E7</v>
      </c>
      <c r="S792" s="1" t="s">
        <v>165</v>
      </c>
      <c r="T792" s="1" t="str">
        <f>IF(ISERROR(VLOOKUP(S792,'unique org names'!A:C,3,FALSE)),S792,VLOOKUP(S792,'unique org names'!A:C,3,FALSE))
</f>
        <v>DETROIT AREA AGENCY ON AGING</v>
      </c>
      <c r="U792" s="1" t="s">
        <v>166</v>
      </c>
      <c r="V792" s="1" t="s">
        <v>167</v>
      </c>
      <c r="W792" s="1" t="s">
        <v>44</v>
      </c>
      <c r="X792" s="1" t="s">
        <v>45</v>
      </c>
      <c r="Y792" s="1">
        <v>4.82074544E8</v>
      </c>
      <c r="AA792" s="1" t="s">
        <v>46</v>
      </c>
      <c r="AB792" s="1" t="s">
        <v>45</v>
      </c>
      <c r="AC792" s="1">
        <v>4.82074544E8</v>
      </c>
      <c r="AF792" s="1">
        <v>186264.0</v>
      </c>
      <c r="AG792" s="2">
        <v>41183.0</v>
      </c>
      <c r="AH792" s="1">
        <v>1600.0</v>
      </c>
      <c r="AI792" s="1" t="s">
        <v>391</v>
      </c>
      <c r="AJ792" s="1">
        <v>2.0131585E7</v>
      </c>
      <c r="AK792" s="1" t="s">
        <v>390</v>
      </c>
      <c r="AL792" s="1">
        <v>10.0</v>
      </c>
      <c r="AM792" s="1">
        <v>2013.0</v>
      </c>
      <c r="AN792" s="1">
        <v>2013.0</v>
      </c>
      <c r="AO792" s="1" t="s">
        <v>393</v>
      </c>
    </row>
    <row r="793">
      <c r="A793" s="5">
        <v>1.0</v>
      </c>
      <c r="B793" s="1">
        <f t="shared" si="1"/>
        <v>793</v>
      </c>
      <c r="C793" s="1" t="s">
        <v>1938</v>
      </c>
      <c r="D793" s="1" t="s">
        <v>1938</v>
      </c>
      <c r="E793" s="1">
        <v>7545.0</v>
      </c>
      <c r="G793" s="1">
        <v>160862.0</v>
      </c>
      <c r="H793" s="2">
        <v>41548.0</v>
      </c>
      <c r="I793" s="1" t="s">
        <v>1939</v>
      </c>
      <c r="K793" s="1" t="s">
        <v>1939</v>
      </c>
      <c r="N793" s="1" t="s">
        <v>40</v>
      </c>
      <c r="O793" s="1">
        <v>7500.0</v>
      </c>
      <c r="P793" s="1" t="s">
        <v>40</v>
      </c>
      <c r="Q793" s="1" t="str">
        <f>IF(ISERROR(VLOOKUP(P793,'unique fed agency names'!A:C,3,FALSE)),P793,VLOOKUP(P793,'unique fed agency names'!A:C,3,FALSE))
</f>
        <v>U.S. Department of Health and Human Services (DHHS)</v>
      </c>
      <c r="R793" s="1">
        <v>4.6842605E7</v>
      </c>
      <c r="S793" s="1" t="s">
        <v>165</v>
      </c>
      <c r="T793" s="1" t="str">
        <f>IF(ISERROR(VLOOKUP(S793,'unique org names'!A:C,3,FALSE)),S793,VLOOKUP(S793,'unique org names'!A:C,3,FALSE))
</f>
        <v>DETROIT AREA AGENCY ON AGING</v>
      </c>
      <c r="U793" s="1" t="s">
        <v>166</v>
      </c>
      <c r="V793" s="1" t="s">
        <v>167</v>
      </c>
      <c r="W793" s="1" t="s">
        <v>44</v>
      </c>
      <c r="X793" s="1" t="s">
        <v>45</v>
      </c>
      <c r="Y793" s="1">
        <v>4.82074544E8</v>
      </c>
      <c r="AA793" s="1" t="s">
        <v>46</v>
      </c>
      <c r="AB793" s="1" t="s">
        <v>45</v>
      </c>
      <c r="AC793" s="1">
        <v>4.82074544E8</v>
      </c>
      <c r="AF793" s="1">
        <v>17710.0</v>
      </c>
      <c r="AG793" s="2">
        <v>41548.0</v>
      </c>
      <c r="AH793" s="1">
        <v>7500.0</v>
      </c>
      <c r="AI793" s="1" t="s">
        <v>40</v>
      </c>
      <c r="AJ793" s="1">
        <v>2.0141854E7</v>
      </c>
      <c r="AK793" s="1" t="s">
        <v>392</v>
      </c>
      <c r="AL793" s="1">
        <v>10.0</v>
      </c>
      <c r="AM793" s="1">
        <v>2013.0</v>
      </c>
      <c r="AN793" s="1">
        <v>2014.0</v>
      </c>
      <c r="AO793" s="1" t="s">
        <v>1932</v>
      </c>
    </row>
    <row r="794">
      <c r="A794" s="5">
        <v>1.0</v>
      </c>
      <c r="B794" s="1">
        <f t="shared" si="1"/>
        <v>794</v>
      </c>
      <c r="C794" s="1" t="s">
        <v>1940</v>
      </c>
      <c r="D794" s="1" t="s">
        <v>1940</v>
      </c>
      <c r="E794" s="1">
        <v>7545.0</v>
      </c>
      <c r="G794" s="1">
        <v>127890.0</v>
      </c>
      <c r="H794" s="2">
        <v>41913.0</v>
      </c>
      <c r="I794" s="1" t="s">
        <v>1941</v>
      </c>
      <c r="K794" s="1" t="s">
        <v>1941</v>
      </c>
      <c r="N794" s="1" t="s">
        <v>40</v>
      </c>
      <c r="O794" s="1">
        <v>7500.0</v>
      </c>
      <c r="P794" s="1" t="s">
        <v>40</v>
      </c>
      <c r="Q794" s="1" t="str">
        <f>IF(ISERROR(VLOOKUP(P794,'unique fed agency names'!A:C,3,FALSE)),P794,VLOOKUP(P794,'unique fed agency names'!A:C,3,FALSE))
</f>
        <v>U.S. Department of Health and Human Services (DHHS)</v>
      </c>
      <c r="R794" s="1">
        <v>4.6842605E7</v>
      </c>
      <c r="S794" s="1" t="s">
        <v>165</v>
      </c>
      <c r="T794" s="1" t="str">
        <f>IF(ISERROR(VLOOKUP(S794,'unique org names'!A:C,3,FALSE)),S794,VLOOKUP(S794,'unique org names'!A:C,3,FALSE))
</f>
        <v>DETROIT AREA AGENCY ON AGING</v>
      </c>
      <c r="U794" s="1" t="s">
        <v>166</v>
      </c>
      <c r="V794" s="1" t="s">
        <v>167</v>
      </c>
      <c r="W794" s="1" t="s">
        <v>44</v>
      </c>
      <c r="X794" s="1" t="s">
        <v>45</v>
      </c>
      <c r="Y794" s="1">
        <v>4.82074544E8</v>
      </c>
      <c r="AA794" s="1" t="s">
        <v>46</v>
      </c>
      <c r="AB794" s="1" t="s">
        <v>45</v>
      </c>
      <c r="AC794" s="1">
        <v>4.82074544E8</v>
      </c>
      <c r="AF794" s="1">
        <v>13656.09</v>
      </c>
      <c r="AG794" s="2">
        <v>41913.0</v>
      </c>
      <c r="AH794" s="1">
        <v>7500.0</v>
      </c>
      <c r="AI794" s="1" t="s">
        <v>40</v>
      </c>
      <c r="AJ794" s="1">
        <v>2.0152003E7</v>
      </c>
      <c r="AK794" s="1" t="s">
        <v>392</v>
      </c>
      <c r="AL794" s="1">
        <v>10.0</v>
      </c>
      <c r="AM794" s="1">
        <v>2014.0</v>
      </c>
      <c r="AN794" s="1">
        <v>2015.0</v>
      </c>
      <c r="AO794" s="1" t="s">
        <v>1942</v>
      </c>
    </row>
    <row r="795">
      <c r="A795" s="5">
        <v>1.0</v>
      </c>
      <c r="B795" s="1">
        <f t="shared" si="1"/>
        <v>795</v>
      </c>
      <c r="C795" s="1" t="s">
        <v>1943</v>
      </c>
      <c r="D795" s="1" t="s">
        <v>1943</v>
      </c>
      <c r="E795" s="1" t="s">
        <v>85</v>
      </c>
      <c r="G795" s="1">
        <v>1.3010049E7</v>
      </c>
      <c r="H795" s="2">
        <v>41548.0</v>
      </c>
      <c r="I795" s="1" t="s">
        <v>1097</v>
      </c>
      <c r="K795" s="1" t="s">
        <v>1097</v>
      </c>
      <c r="N795" s="1" t="s">
        <v>40</v>
      </c>
      <c r="O795" s="1">
        <v>7500.0</v>
      </c>
      <c r="P795" s="1" t="s">
        <v>40</v>
      </c>
      <c r="Q795" s="1" t="str">
        <f>IF(ISERROR(VLOOKUP(P795,'unique fed agency names'!A:C,3,FALSE)),P795,VLOOKUP(P795,'unique fed agency names'!A:C,3,FALSE))
</f>
        <v>U.S. Department of Health and Human Services (DHHS)</v>
      </c>
      <c r="R795" s="1">
        <v>7.914812E7</v>
      </c>
      <c r="S795" s="1" t="s">
        <v>1944</v>
      </c>
      <c r="T795" s="1" t="str">
        <f>IF(ISERROR(VLOOKUP(S795,'unique org names'!A:C,3,FALSE)),S795,VLOOKUP(S795,'unique org names'!A:C,3,FALSE))
</f>
        <v>DETROIT WAYNE MENTAL HEALTH AUTHORITY</v>
      </c>
      <c r="V795" s="1" t="s">
        <v>1945</v>
      </c>
      <c r="W795" s="1" t="s">
        <v>44</v>
      </c>
      <c r="X795" s="1" t="s">
        <v>45</v>
      </c>
      <c r="Y795" s="1">
        <v>4.820125E8</v>
      </c>
      <c r="AA795" s="1" t="s">
        <v>46</v>
      </c>
      <c r="AB795" s="1" t="s">
        <v>45</v>
      </c>
      <c r="AC795" s="1">
        <v>4.820125E8</v>
      </c>
      <c r="AF795" s="1">
        <v>3494080.0</v>
      </c>
      <c r="AG795" s="2">
        <v>41548.0</v>
      </c>
      <c r="AH795" s="1">
        <v>7500.0</v>
      </c>
      <c r="AI795" s="1" t="s">
        <v>40</v>
      </c>
      <c r="AJ795" s="1">
        <v>2.0141971E7</v>
      </c>
      <c r="AK795" s="1" t="s">
        <v>1098</v>
      </c>
      <c r="AL795" s="1">
        <v>10.0</v>
      </c>
      <c r="AM795" s="1">
        <v>2011.0</v>
      </c>
      <c r="AN795" s="1">
        <v>2014.0</v>
      </c>
      <c r="AO795" s="1" t="s">
        <v>1099</v>
      </c>
    </row>
    <row r="796">
      <c r="A796" s="5">
        <v>1.0</v>
      </c>
      <c r="B796" s="1">
        <f t="shared" si="1"/>
        <v>796</v>
      </c>
      <c r="C796" s="1" t="s">
        <v>1943</v>
      </c>
      <c r="D796" s="1" t="s">
        <v>1943</v>
      </c>
      <c r="E796" s="1" t="s">
        <v>85</v>
      </c>
      <c r="G796" s="1">
        <v>1.3010049E7</v>
      </c>
      <c r="H796" s="2">
        <v>41183.0</v>
      </c>
      <c r="I796" s="1" t="s">
        <v>1097</v>
      </c>
      <c r="K796" s="1" t="s">
        <v>1097</v>
      </c>
      <c r="N796" s="1" t="s">
        <v>40</v>
      </c>
      <c r="O796" s="1">
        <v>7500.0</v>
      </c>
      <c r="P796" s="1" t="s">
        <v>40</v>
      </c>
      <c r="Q796" s="1" t="str">
        <f>IF(ISERROR(VLOOKUP(P796,'unique fed agency names'!A:C,3,FALSE)),P796,VLOOKUP(P796,'unique fed agency names'!A:C,3,FALSE))
</f>
        <v>U.S. Department of Health and Human Services (DHHS)</v>
      </c>
      <c r="R796" s="1">
        <v>3.8775243E7</v>
      </c>
      <c r="S796" s="1" t="s">
        <v>209</v>
      </c>
      <c r="T796" s="1" t="str">
        <f>IF(ISERROR(VLOOKUP(S796,'unique org names'!A:C,3,FALSE)),S796,VLOOKUP(S796,'unique org names'!A:C,3,FALSE))
</f>
        <v>SOUTHEASTERN MICHIGAN HEALTH ASSOCIATION</v>
      </c>
      <c r="U796" s="1" t="s">
        <v>210</v>
      </c>
      <c r="V796" s="1" t="s">
        <v>211</v>
      </c>
      <c r="W796" s="1" t="s">
        <v>44</v>
      </c>
      <c r="X796" s="1" t="s">
        <v>45</v>
      </c>
      <c r="Y796" s="1">
        <v>4.82023068E8</v>
      </c>
      <c r="AA796" s="1" t="s">
        <v>46</v>
      </c>
      <c r="AB796" s="1" t="s">
        <v>45</v>
      </c>
      <c r="AC796" s="1">
        <v>4.82023068E8</v>
      </c>
      <c r="AD796" s="1">
        <v>3.8775243E7</v>
      </c>
      <c r="AE796" s="1" t="s">
        <v>209</v>
      </c>
      <c r="AF796" s="1">
        <v>44186.47</v>
      </c>
      <c r="AG796" s="2">
        <v>41183.0</v>
      </c>
      <c r="AH796" s="1">
        <v>7500.0</v>
      </c>
      <c r="AI796" s="1" t="s">
        <v>40</v>
      </c>
      <c r="AJ796" s="1">
        <v>2.0131082E7</v>
      </c>
      <c r="AK796" s="1" t="s">
        <v>1098</v>
      </c>
      <c r="AL796" s="1">
        <v>10.0</v>
      </c>
      <c r="AM796" s="1">
        <v>2011.0</v>
      </c>
      <c r="AN796" s="1">
        <v>2013.0</v>
      </c>
      <c r="AO796" s="1" t="s">
        <v>1099</v>
      </c>
    </row>
    <row r="797">
      <c r="A797" s="5">
        <v>1.0</v>
      </c>
      <c r="B797" s="1">
        <f t="shared" si="1"/>
        <v>797</v>
      </c>
      <c r="C797" s="1" t="s">
        <v>1946</v>
      </c>
      <c r="D797" s="1" t="s">
        <v>1946</v>
      </c>
      <c r="E797" s="1" t="s">
        <v>100</v>
      </c>
      <c r="G797" s="1">
        <v>1.4212536E7</v>
      </c>
      <c r="H797" s="2">
        <v>41934.0</v>
      </c>
      <c r="I797" s="1" t="s">
        <v>122</v>
      </c>
      <c r="K797" s="1" t="s">
        <v>122</v>
      </c>
      <c r="N797" s="1" t="s">
        <v>102</v>
      </c>
      <c r="O797" s="1">
        <v>8600.0</v>
      </c>
      <c r="P797" s="1" t="s">
        <v>102</v>
      </c>
      <c r="Q797" s="1" t="str">
        <f>IF(ISERROR(VLOOKUP(P797,'unique fed agency names'!A:C,3,FALSE)),P797,VLOOKUP(P797,'unique fed agency names'!A:C,3,FALSE))
</f>
        <v>U.S. Department of Housing and Urban Development (HUD)</v>
      </c>
      <c r="R797" s="1">
        <v>9.65680176E8</v>
      </c>
      <c r="S797" s="1" t="s">
        <v>353</v>
      </c>
      <c r="T797" s="1" t="str">
        <f>IF(ISERROR(VLOOKUP(S797,'unique org names'!A:C,3,FALSE)),S797,VLOOKUP(S797,'unique org names'!A:C,3,FALSE))
</f>
        <v>Urban Neighborhood Initiatives, Inc</v>
      </c>
      <c r="U797" s="1" t="s">
        <v>354</v>
      </c>
      <c r="V797" s="1" t="s">
        <v>355</v>
      </c>
      <c r="W797" s="1" t="s">
        <v>44</v>
      </c>
      <c r="X797" s="1" t="s">
        <v>45</v>
      </c>
      <c r="Y797" s="1">
        <v>4.8209344E8</v>
      </c>
      <c r="AA797" s="1" t="s">
        <v>46</v>
      </c>
      <c r="AB797" s="1" t="s">
        <v>45</v>
      </c>
      <c r="AC797" s="1">
        <v>4.82091859E8</v>
      </c>
      <c r="AF797" s="1">
        <v>88000.0</v>
      </c>
      <c r="AG797" s="2">
        <v>41934.0</v>
      </c>
      <c r="AH797" s="1">
        <v>8600.0</v>
      </c>
      <c r="AI797" s="1" t="s">
        <v>102</v>
      </c>
      <c r="AJ797" s="1" t="s">
        <v>1947</v>
      </c>
      <c r="AK797" s="1" t="s">
        <v>1948</v>
      </c>
      <c r="AL797" s="1">
        <v>10.0</v>
      </c>
      <c r="AM797" s="1">
        <v>2014.0</v>
      </c>
      <c r="AN797" s="1">
        <v>2015.0</v>
      </c>
      <c r="AO797" s="1" t="s">
        <v>127</v>
      </c>
    </row>
    <row r="798">
      <c r="A798" s="5">
        <v>1.0</v>
      </c>
      <c r="B798" s="1">
        <f t="shared" si="1"/>
        <v>798</v>
      </c>
      <c r="C798" s="1" t="s">
        <v>1949</v>
      </c>
      <c r="D798" s="1" t="s">
        <v>1949</v>
      </c>
      <c r="E798" s="1" t="s">
        <v>194</v>
      </c>
      <c r="G798" s="1">
        <v>3.78525088E8</v>
      </c>
      <c r="H798" s="2">
        <v>41618.0</v>
      </c>
      <c r="I798" s="1" t="s">
        <v>1950</v>
      </c>
      <c r="K798" s="1" t="s">
        <v>1950</v>
      </c>
      <c r="N798" s="1" t="s">
        <v>194</v>
      </c>
      <c r="O798" s="1">
        <v>9100.0</v>
      </c>
      <c r="P798" s="1" t="s">
        <v>194</v>
      </c>
      <c r="Q798" s="1" t="str">
        <f>IF(ISERROR(VLOOKUP(P798,'unique fed agency names'!A:C,3,FALSE)),P798,VLOOKUP(P798,'unique fed agency names'!A:C,3,FALSE))
</f>
        <v>U.S. Department of Education (ED)</v>
      </c>
      <c r="R798" s="1">
        <v>7.8346351E7</v>
      </c>
      <c r="S798" s="1" t="s">
        <v>615</v>
      </c>
      <c r="T798" s="1" t="str">
        <f>IF(ISERROR(VLOOKUP(S798,'unique org names'!A:C,3,FALSE)),S798,VLOOKUP(S798,'unique org names'!A:C,3,FALSE))
</f>
        <v>Education Achievement Authority</v>
      </c>
      <c r="V798" s="1" t="s">
        <v>1708</v>
      </c>
      <c r="W798" s="1" t="s">
        <v>44</v>
      </c>
      <c r="X798" s="1" t="s">
        <v>45</v>
      </c>
      <c r="Y798" s="1">
        <v>4.82074457E8</v>
      </c>
      <c r="AA798" s="1" t="s">
        <v>46</v>
      </c>
      <c r="AB798" s="1" t="s">
        <v>45</v>
      </c>
      <c r="AC798" s="1">
        <v>4.82023037E8</v>
      </c>
      <c r="AF798" s="1">
        <v>50000.0</v>
      </c>
      <c r="AG798" s="2">
        <v>41618.0</v>
      </c>
      <c r="AH798" s="1">
        <v>9100.0</v>
      </c>
      <c r="AI798" s="1" t="s">
        <v>194</v>
      </c>
      <c r="AJ798" s="1" t="s">
        <v>1951</v>
      </c>
      <c r="AK798" s="1" t="s">
        <v>1952</v>
      </c>
      <c r="AL798" s="1">
        <v>11.0</v>
      </c>
      <c r="AM798" s="1">
        <v>2014.0</v>
      </c>
      <c r="AN798" s="1">
        <v>2014.0</v>
      </c>
      <c r="AO798" s="1" t="s">
        <v>1953</v>
      </c>
    </row>
    <row r="799">
      <c r="A799" s="5">
        <v>1.0</v>
      </c>
      <c r="B799" s="1">
        <f t="shared" si="1"/>
        <v>799</v>
      </c>
      <c r="C799" s="1" t="s">
        <v>1276</v>
      </c>
      <c r="D799" s="1" t="s">
        <v>1276</v>
      </c>
      <c r="E799" s="1" t="s">
        <v>63</v>
      </c>
      <c r="G799" s="1">
        <v>4799999.0</v>
      </c>
      <c r="H799" s="2">
        <v>41915.0</v>
      </c>
      <c r="I799" s="1" t="s">
        <v>1954</v>
      </c>
      <c r="K799" s="1" t="s">
        <v>1954</v>
      </c>
      <c r="N799" s="1" t="s">
        <v>40</v>
      </c>
      <c r="O799" s="1">
        <v>7500.0</v>
      </c>
      <c r="P799" s="1" t="s">
        <v>40</v>
      </c>
      <c r="Q799" s="1" t="str">
        <f>IF(ISERROR(VLOOKUP(P799,'unique fed agency names'!A:C,3,FALSE)),P799,VLOOKUP(P799,'unique fed agency names'!A:C,3,FALSE))
</f>
        <v>U.S. Department of Health and Human Services (DHHS)</v>
      </c>
      <c r="R799" s="1">
        <v>7.3134603E7</v>
      </c>
      <c r="S799" s="1" t="s">
        <v>41</v>
      </c>
      <c r="T799" s="1" t="str">
        <f>IF(ISERROR(VLOOKUP(S799,'unique org names'!A:C,3,FALSE)),S799,VLOOKUP(S799,'unique org names'!A:C,3,FALSE))
</f>
        <v>Henry Ford Health System</v>
      </c>
      <c r="U799" s="1" t="s">
        <v>252</v>
      </c>
      <c r="V799" s="1" t="s">
        <v>253</v>
      </c>
      <c r="W799" s="1" t="s">
        <v>44</v>
      </c>
      <c r="X799" s="1" t="s">
        <v>45</v>
      </c>
      <c r="Y799" s="1">
        <v>4.8202345E8</v>
      </c>
      <c r="AA799" s="1" t="s">
        <v>46</v>
      </c>
      <c r="AB799" s="1" t="s">
        <v>45</v>
      </c>
      <c r="AC799" s="1">
        <v>4.8202345E8</v>
      </c>
      <c r="AD799" s="1">
        <v>7.3134603E7</v>
      </c>
      <c r="AE799" s="1" t="s">
        <v>41</v>
      </c>
      <c r="AF799" s="1">
        <v>198730.0</v>
      </c>
      <c r="AG799" s="2">
        <v>41915.0</v>
      </c>
      <c r="AH799" s="1">
        <v>7500.0</v>
      </c>
      <c r="AI799" s="1" t="s">
        <v>40</v>
      </c>
      <c r="AJ799" s="1">
        <v>3.002147799E9</v>
      </c>
      <c r="AK799" s="1" t="s">
        <v>1955</v>
      </c>
      <c r="AL799" s="1">
        <v>10.0</v>
      </c>
      <c r="AM799" s="1">
        <v>2014.0</v>
      </c>
      <c r="AN799" s="1">
        <v>2015.0</v>
      </c>
      <c r="AO799" s="1" t="s">
        <v>1279</v>
      </c>
    </row>
    <row r="800">
      <c r="A800" s="5">
        <v>1.0</v>
      </c>
      <c r="B800" s="1">
        <f t="shared" si="1"/>
        <v>800</v>
      </c>
      <c r="C800" s="1" t="s">
        <v>1956</v>
      </c>
      <c r="D800" s="1" t="s">
        <v>1956</v>
      </c>
      <c r="E800" s="1" t="s">
        <v>70</v>
      </c>
      <c r="G800" s="1">
        <v>346472.0</v>
      </c>
      <c r="H800" s="2">
        <v>41913.0</v>
      </c>
      <c r="I800" s="1" t="s">
        <v>1957</v>
      </c>
      <c r="K800" s="1" t="s">
        <v>1957</v>
      </c>
      <c r="N800" s="1" t="s">
        <v>72</v>
      </c>
      <c r="O800" s="1">
        <v>1500.0</v>
      </c>
      <c r="P800" s="1" t="s">
        <v>72</v>
      </c>
      <c r="Q800" s="1" t="str">
        <f>IF(ISERROR(VLOOKUP(P800,'unique fed agency names'!A:C,3,FALSE)),P800,VLOOKUP(P800,'unique fed agency names'!A:C,3,FALSE))
</f>
        <v>U.S. Department of Justice (DOJ)</v>
      </c>
      <c r="R800" s="1">
        <v>1.58142448E8</v>
      </c>
      <c r="S800" s="1" t="s">
        <v>1316</v>
      </c>
      <c r="T800" s="1" t="str">
        <f>IF(ISERROR(VLOOKUP(S800,'unique org names'!A:C,3,FALSE)),S800,VLOOKUP(S800,'unique org names'!A:C,3,FALSE))
</f>
        <v>Community Health and Social Services Center</v>
      </c>
      <c r="U800" s="1" t="s">
        <v>1317</v>
      </c>
      <c r="V800" s="1" t="s">
        <v>1318</v>
      </c>
      <c r="W800" s="1" t="s">
        <v>44</v>
      </c>
      <c r="X800" s="1" t="s">
        <v>45</v>
      </c>
      <c r="Y800" s="1">
        <v>4.82093154E8</v>
      </c>
      <c r="AA800" s="1" t="s">
        <v>44</v>
      </c>
      <c r="AB800" s="1" t="s">
        <v>45</v>
      </c>
      <c r="AC800" s="1">
        <v>4.82093154E8</v>
      </c>
      <c r="AD800" s="1">
        <v>1.58142448E8</v>
      </c>
      <c r="AE800" s="1" t="s">
        <v>1316</v>
      </c>
      <c r="AF800" s="1">
        <v>71374.0</v>
      </c>
      <c r="AG800" s="2">
        <v>41913.0</v>
      </c>
      <c r="AH800" s="1">
        <v>1500.0</v>
      </c>
      <c r="AI800" s="1" t="s">
        <v>72</v>
      </c>
      <c r="AJ800" s="1" t="s">
        <v>1958</v>
      </c>
      <c r="AK800" s="1" t="s">
        <v>1959</v>
      </c>
      <c r="AL800" s="1">
        <v>10.0</v>
      </c>
      <c r="AM800" s="1">
        <v>2014.0</v>
      </c>
      <c r="AN800" s="1">
        <v>2015.0</v>
      </c>
      <c r="AO800" s="1" t="s">
        <v>1501</v>
      </c>
    </row>
    <row r="801">
      <c r="A801" s="5">
        <v>1.0</v>
      </c>
      <c r="B801" s="1">
        <f t="shared" si="1"/>
        <v>801</v>
      </c>
      <c r="C801" s="1" t="s">
        <v>1960</v>
      </c>
      <c r="D801" s="1" t="s">
        <v>1960</v>
      </c>
      <c r="E801" s="1" t="s">
        <v>70</v>
      </c>
      <c r="G801" s="1">
        <v>458209.0</v>
      </c>
      <c r="H801" s="2">
        <v>41730.0</v>
      </c>
      <c r="I801" s="1" t="s">
        <v>404</v>
      </c>
      <c r="K801" s="1" t="s">
        <v>404</v>
      </c>
      <c r="N801" s="1" t="s">
        <v>72</v>
      </c>
      <c r="O801" s="1">
        <v>1500.0</v>
      </c>
      <c r="P801" s="1" t="s">
        <v>72</v>
      </c>
      <c r="Q801" s="1" t="str">
        <f>IF(ISERROR(VLOOKUP(P801,'unique fed agency names'!A:C,3,FALSE)),P801,VLOOKUP(P801,'unique fed agency names'!A:C,3,FALSE))
</f>
        <v>U.S. Department of Justice (DOJ)</v>
      </c>
      <c r="R801" s="1">
        <v>6530661.0</v>
      </c>
      <c r="S801" s="1" t="s">
        <v>73</v>
      </c>
      <c r="T801" s="1" t="str">
        <f>IF(ISERROR(VLOOKUP(S801,'unique org names'!A:C,3,FALSE)),S801,VLOOKUP(S801,'unique org names'!A:C,3,FALSE))
</f>
        <v>City Of Detroit</v>
      </c>
      <c r="U801" s="1" t="s">
        <v>323</v>
      </c>
      <c r="V801" s="1" t="s">
        <v>1961</v>
      </c>
      <c r="W801" s="1" t="s">
        <v>44</v>
      </c>
      <c r="X801" s="1" t="s">
        <v>45</v>
      </c>
      <c r="Y801" s="1">
        <v>4.82263443E8</v>
      </c>
      <c r="AA801" s="1" t="s">
        <v>44</v>
      </c>
      <c r="AB801" s="1" t="s">
        <v>45</v>
      </c>
      <c r="AC801" s="1">
        <v>4.82263443E8</v>
      </c>
      <c r="AD801" s="1">
        <v>6530661.0</v>
      </c>
      <c r="AE801" s="1" t="s">
        <v>76</v>
      </c>
      <c r="AF801" s="1">
        <v>84194.0</v>
      </c>
      <c r="AG801" s="2">
        <v>41730.0</v>
      </c>
      <c r="AH801" s="1">
        <v>1500.0</v>
      </c>
      <c r="AI801" s="1" t="s">
        <v>72</v>
      </c>
      <c r="AJ801" s="1" t="s">
        <v>1962</v>
      </c>
      <c r="AK801" s="1" t="s">
        <v>1963</v>
      </c>
      <c r="AL801" s="1">
        <v>10.0</v>
      </c>
      <c r="AM801" s="1">
        <v>2014.0</v>
      </c>
      <c r="AN801" s="1">
        <v>2014.0</v>
      </c>
      <c r="AO801" s="1" t="s">
        <v>407</v>
      </c>
    </row>
    <row r="802">
      <c r="A802" s="5">
        <v>1.0</v>
      </c>
      <c r="B802" s="1">
        <f t="shared" si="1"/>
        <v>802</v>
      </c>
      <c r="C802" s="1" t="s">
        <v>1960</v>
      </c>
      <c r="D802" s="1" t="s">
        <v>1960</v>
      </c>
      <c r="E802" s="1" t="s">
        <v>70</v>
      </c>
      <c r="G802" s="1">
        <v>458209.0</v>
      </c>
      <c r="H802" s="2">
        <v>41730.0</v>
      </c>
      <c r="I802" s="1" t="s">
        <v>404</v>
      </c>
      <c r="K802" s="1" t="s">
        <v>404</v>
      </c>
      <c r="N802" s="1" t="s">
        <v>72</v>
      </c>
      <c r="O802" s="1">
        <v>1500.0</v>
      </c>
      <c r="P802" s="1" t="s">
        <v>72</v>
      </c>
      <c r="Q802" s="1" t="str">
        <f>IF(ISERROR(VLOOKUP(P802,'unique fed agency names'!A:C,3,FALSE)),P802,VLOOKUP(P802,'unique fed agency names'!A:C,3,FALSE))
</f>
        <v>U.S. Department of Justice (DOJ)</v>
      </c>
      <c r="R802" s="1">
        <v>7.3134884E7</v>
      </c>
      <c r="S802" s="1" t="s">
        <v>1796</v>
      </c>
      <c r="T802" s="1" t="str">
        <f>IF(ISERROR(VLOOKUP(S802,'unique org names'!A:C,3,FALSE)),S802,VLOOKUP(S802,'unique org names'!A:C,3,FALSE))
</f>
        <v>Wayne County</v>
      </c>
      <c r="V802" s="1" t="s">
        <v>1855</v>
      </c>
      <c r="W802" s="1" t="s">
        <v>44</v>
      </c>
      <c r="X802" s="1" t="s">
        <v>45</v>
      </c>
      <c r="Y802" s="1">
        <v>48226.0</v>
      </c>
      <c r="AA802" s="1" t="s">
        <v>44</v>
      </c>
      <c r="AB802" s="1" t="s">
        <v>45</v>
      </c>
      <c r="AC802" s="1">
        <v>4.82263443E8</v>
      </c>
      <c r="AD802" s="1">
        <v>7.3134884E7</v>
      </c>
      <c r="AE802" s="1" t="s">
        <v>1796</v>
      </c>
      <c r="AF802" s="1">
        <v>84833.0</v>
      </c>
      <c r="AG802" s="2">
        <v>41730.0</v>
      </c>
      <c r="AH802" s="1">
        <v>1500.0</v>
      </c>
      <c r="AI802" s="1" t="s">
        <v>72</v>
      </c>
      <c r="AJ802" s="1" t="s">
        <v>1964</v>
      </c>
      <c r="AK802" s="1" t="s">
        <v>1963</v>
      </c>
      <c r="AL802" s="1">
        <v>10.0</v>
      </c>
      <c r="AM802" s="1">
        <v>2014.0</v>
      </c>
      <c r="AN802" s="1">
        <v>2014.0</v>
      </c>
      <c r="AO802" s="1" t="s">
        <v>407</v>
      </c>
    </row>
    <row r="803">
      <c r="A803" s="5">
        <v>1.0</v>
      </c>
      <c r="B803" s="1">
        <f t="shared" si="1"/>
        <v>803</v>
      </c>
      <c r="C803" s="1" t="s">
        <v>1965</v>
      </c>
      <c r="D803" s="1" t="s">
        <v>1965</v>
      </c>
      <c r="E803" s="1" t="s">
        <v>70</v>
      </c>
      <c r="G803" s="1">
        <v>1500000.0</v>
      </c>
      <c r="H803" s="2">
        <v>41653.0</v>
      </c>
      <c r="I803" s="1" t="s">
        <v>1966</v>
      </c>
      <c r="K803" s="1" t="s">
        <v>1966</v>
      </c>
      <c r="N803" s="1" t="s">
        <v>72</v>
      </c>
      <c r="O803" s="1">
        <v>1500.0</v>
      </c>
      <c r="P803" s="1" t="s">
        <v>72</v>
      </c>
      <c r="Q803" s="1" t="str">
        <f>IF(ISERROR(VLOOKUP(P803,'unique fed agency names'!A:C,3,FALSE)),P803,VLOOKUP(P803,'unique fed agency names'!A:C,3,FALSE))
</f>
        <v>U.S. Department of Justice (DOJ)</v>
      </c>
      <c r="R803" s="1">
        <v>1.26779763E8</v>
      </c>
      <c r="S803" s="1" t="s">
        <v>1967</v>
      </c>
      <c r="T803" s="1" t="str">
        <f>IF(ISERROR(VLOOKUP(S803,'unique org names'!A:C,3,FALSE)),S803,VLOOKUP(S803,'unique org names'!A:C,3,FALSE))
</f>
        <v>City Connect Detroit</v>
      </c>
      <c r="V803" s="1" t="s">
        <v>1968</v>
      </c>
      <c r="W803" s="1" t="s">
        <v>44</v>
      </c>
      <c r="X803" s="1" t="s">
        <v>45</v>
      </c>
      <c r="Y803" s="1">
        <v>4.8226135E8</v>
      </c>
      <c r="AA803" s="1" t="s">
        <v>46</v>
      </c>
      <c r="AB803" s="1" t="s">
        <v>45</v>
      </c>
      <c r="AC803" s="1">
        <v>48226.0</v>
      </c>
      <c r="AF803" s="1">
        <v>365385.0</v>
      </c>
      <c r="AG803" s="2">
        <v>41653.0</v>
      </c>
      <c r="AH803" s="1">
        <v>1500.0</v>
      </c>
      <c r="AI803" s="1" t="s">
        <v>72</v>
      </c>
      <c r="AJ803" s="1" t="s">
        <v>1969</v>
      </c>
      <c r="AK803" s="1" t="s">
        <v>1970</v>
      </c>
      <c r="AL803" s="1">
        <v>12.0</v>
      </c>
      <c r="AM803" s="1">
        <v>2014.0</v>
      </c>
      <c r="AN803" s="1">
        <v>2014.0</v>
      </c>
      <c r="AO803" s="1" t="s">
        <v>1971</v>
      </c>
    </row>
    <row r="804">
      <c r="A804" s="5">
        <v>1.0</v>
      </c>
      <c r="B804" s="1">
        <f t="shared" si="1"/>
        <v>804</v>
      </c>
      <c r="C804" s="1" t="s">
        <v>1972</v>
      </c>
      <c r="D804" s="1" t="s">
        <v>1972</v>
      </c>
      <c r="E804" s="1" t="s">
        <v>70</v>
      </c>
      <c r="G804" s="1">
        <v>49998.0</v>
      </c>
      <c r="H804" s="2">
        <v>41548.0</v>
      </c>
      <c r="I804" s="1" t="s">
        <v>1973</v>
      </c>
      <c r="K804" s="1" t="s">
        <v>1973</v>
      </c>
      <c r="N804" s="1" t="s">
        <v>72</v>
      </c>
      <c r="O804" s="1">
        <v>1500.0</v>
      </c>
      <c r="P804" s="1" t="s">
        <v>72</v>
      </c>
      <c r="Q804" s="1" t="str">
        <f>IF(ISERROR(VLOOKUP(P804,'unique fed agency names'!A:C,3,FALSE)),P804,VLOOKUP(P804,'unique fed agency names'!A:C,3,FALSE))
</f>
        <v>U.S. Department of Justice (DOJ)</v>
      </c>
      <c r="R804" s="1">
        <v>1962224.0</v>
      </c>
      <c r="S804" s="1" t="s">
        <v>52</v>
      </c>
      <c r="T804" s="1" t="str">
        <f>IF(ISERROR(VLOOKUP(S804,'unique org names'!A:C,3,FALSE)),S804,VLOOKUP(S804,'unique org names'!A:C,3,FALSE))
</f>
        <v>WAYNE STATE UNIVERSITY</v>
      </c>
      <c r="V804" s="1" t="s">
        <v>1885</v>
      </c>
      <c r="W804" s="1" t="s">
        <v>44</v>
      </c>
      <c r="X804" s="1" t="s">
        <v>45</v>
      </c>
      <c r="Y804" s="1">
        <v>4.82021347E8</v>
      </c>
      <c r="AA804" s="1" t="s">
        <v>46</v>
      </c>
      <c r="AB804" s="1" t="s">
        <v>45</v>
      </c>
      <c r="AC804" s="1">
        <v>48202.0</v>
      </c>
      <c r="AD804" s="1">
        <v>1962224.0</v>
      </c>
      <c r="AE804" s="1" t="s">
        <v>52</v>
      </c>
      <c r="AF804" s="1">
        <v>24967.0</v>
      </c>
      <c r="AG804" s="2">
        <v>41548.0</v>
      </c>
      <c r="AH804" s="1">
        <v>1500.0</v>
      </c>
      <c r="AI804" s="1" t="s">
        <v>72</v>
      </c>
      <c r="AJ804" s="1" t="s">
        <v>1974</v>
      </c>
      <c r="AK804" s="1" t="s">
        <v>1975</v>
      </c>
      <c r="AL804" s="1">
        <v>12.0</v>
      </c>
      <c r="AM804" s="1">
        <v>2014.0</v>
      </c>
      <c r="AN804" s="1">
        <v>2014.0</v>
      </c>
      <c r="AO804" s="1" t="s">
        <v>1976</v>
      </c>
    </row>
    <row r="805">
      <c r="A805" s="5">
        <v>1.0</v>
      </c>
      <c r="B805" s="1">
        <f t="shared" si="1"/>
        <v>805</v>
      </c>
      <c r="C805" s="1" t="s">
        <v>1965</v>
      </c>
      <c r="D805" s="1" t="s">
        <v>1965</v>
      </c>
      <c r="E805" s="1" t="s">
        <v>70</v>
      </c>
      <c r="G805" s="1">
        <v>1500000.0</v>
      </c>
      <c r="H805" s="2">
        <v>41438.0</v>
      </c>
      <c r="I805" s="1" t="s">
        <v>1966</v>
      </c>
      <c r="K805" s="1" t="s">
        <v>1966</v>
      </c>
      <c r="N805" s="1" t="s">
        <v>72</v>
      </c>
      <c r="O805" s="1">
        <v>1500.0</v>
      </c>
      <c r="P805" s="1" t="s">
        <v>72</v>
      </c>
      <c r="Q805" s="1" t="str">
        <f>IF(ISERROR(VLOOKUP(P805,'unique fed agency names'!A:C,3,FALSE)),P805,VLOOKUP(P805,'unique fed agency names'!A:C,3,FALSE))
</f>
        <v>U.S. Department of Justice (DOJ)</v>
      </c>
      <c r="R805" s="1">
        <v>7.6349331E7</v>
      </c>
      <c r="S805" s="1" t="s">
        <v>1977</v>
      </c>
      <c r="T805" s="1" t="str">
        <f>IF(ISERROR(VLOOKUP(S805,'unique org names'!A:C,3,FALSE)),S805,VLOOKUP(S805,'unique org names'!A:C,3,FALSE))
</f>
        <v>Children's Aid Society of Southeastern Michigan</v>
      </c>
      <c r="V805" s="1" t="s">
        <v>1978</v>
      </c>
      <c r="W805" s="1" t="s">
        <v>44</v>
      </c>
      <c r="X805" s="1" t="s">
        <v>45</v>
      </c>
      <c r="Y805" s="1">
        <v>4.82023157E8</v>
      </c>
      <c r="AA805" s="1" t="s">
        <v>46</v>
      </c>
      <c r="AB805" s="1" t="s">
        <v>45</v>
      </c>
      <c r="AC805" s="1">
        <v>48202.0</v>
      </c>
      <c r="AD805" s="1">
        <v>7.6349331E7</v>
      </c>
      <c r="AE805" s="1" t="s">
        <v>1977</v>
      </c>
      <c r="AF805" s="1">
        <v>600000.0</v>
      </c>
      <c r="AG805" s="2">
        <v>41438.0</v>
      </c>
      <c r="AH805" s="1">
        <v>1500.0</v>
      </c>
      <c r="AI805" s="1" t="s">
        <v>72</v>
      </c>
      <c r="AJ805" s="1" t="s">
        <v>1979</v>
      </c>
      <c r="AK805" s="1" t="s">
        <v>1980</v>
      </c>
      <c r="AL805" s="1">
        <v>12.0</v>
      </c>
      <c r="AM805" s="1">
        <v>2014.0</v>
      </c>
      <c r="AN805" s="1">
        <v>2013.0</v>
      </c>
      <c r="AO805" s="1" t="s">
        <v>1971</v>
      </c>
    </row>
    <row r="806">
      <c r="A806" s="5">
        <v>1.0</v>
      </c>
      <c r="B806" s="1">
        <f t="shared" si="1"/>
        <v>806</v>
      </c>
      <c r="C806" s="1" t="s">
        <v>1981</v>
      </c>
      <c r="D806" s="1" t="s">
        <v>1981</v>
      </c>
      <c r="E806" s="1" t="s">
        <v>63</v>
      </c>
      <c r="G806" s="1">
        <v>899959.0</v>
      </c>
      <c r="H806" s="2">
        <v>41183.0</v>
      </c>
      <c r="I806" s="1" t="s">
        <v>1982</v>
      </c>
      <c r="K806" s="1" t="s">
        <v>1982</v>
      </c>
      <c r="N806" s="1" t="s">
        <v>40</v>
      </c>
      <c r="O806" s="1">
        <v>7500.0</v>
      </c>
      <c r="P806" s="1" t="s">
        <v>40</v>
      </c>
      <c r="Q806" s="1" t="str">
        <f>IF(ISERROR(VLOOKUP(P806,'unique fed agency names'!A:C,3,FALSE)),P806,VLOOKUP(P806,'unique fed agency names'!A:C,3,FALSE))
</f>
        <v>U.S. Department of Health and Human Services (DHHS)</v>
      </c>
      <c r="R806" s="1">
        <v>3.8775243E7</v>
      </c>
      <c r="S806" s="1" t="s">
        <v>209</v>
      </c>
      <c r="T806" s="1" t="str">
        <f>IF(ISERROR(VLOOKUP(S806,'unique org names'!A:C,3,FALSE)),S806,VLOOKUP(S806,'unique org names'!A:C,3,FALSE))
</f>
        <v>SOUTHEASTERN MICHIGAN HEALTH ASSOCIATION</v>
      </c>
      <c r="U806" s="1" t="s">
        <v>210</v>
      </c>
      <c r="V806" s="1" t="s">
        <v>211</v>
      </c>
      <c r="W806" s="1" t="s">
        <v>44</v>
      </c>
      <c r="X806" s="1" t="s">
        <v>45</v>
      </c>
      <c r="Y806" s="1">
        <v>4.82023068E8</v>
      </c>
      <c r="AA806" s="1" t="s">
        <v>46</v>
      </c>
      <c r="AB806" s="1" t="s">
        <v>45</v>
      </c>
      <c r="AC806" s="1">
        <v>4.82013096E8</v>
      </c>
      <c r="AD806" s="1">
        <v>3.8775243E7</v>
      </c>
      <c r="AE806" s="1" t="s">
        <v>209</v>
      </c>
      <c r="AF806" s="1">
        <v>0.0</v>
      </c>
      <c r="AG806" s="2">
        <v>41183.0</v>
      </c>
      <c r="AH806" s="1">
        <v>7500.0</v>
      </c>
      <c r="AI806" s="1" t="s">
        <v>40</v>
      </c>
      <c r="AJ806" s="1">
        <v>2.0131248E7</v>
      </c>
      <c r="AK806" s="1" t="s">
        <v>1983</v>
      </c>
      <c r="AL806" s="1">
        <v>10.0</v>
      </c>
      <c r="AM806" s="1">
        <v>2011.0</v>
      </c>
      <c r="AN806" s="1">
        <v>2013.0</v>
      </c>
      <c r="AO806" s="1" t="s">
        <v>342</v>
      </c>
    </row>
    <row r="807">
      <c r="A807" s="5">
        <v>1.0</v>
      </c>
      <c r="B807" s="1">
        <f t="shared" si="1"/>
        <v>807</v>
      </c>
      <c r="C807" s="1">
        <v>0.0</v>
      </c>
      <c r="D807" s="1">
        <v>0.0</v>
      </c>
      <c r="E807" s="1" t="s">
        <v>1825</v>
      </c>
      <c r="G807" s="1">
        <v>1205590.0</v>
      </c>
      <c r="H807" s="2">
        <v>41479.0</v>
      </c>
      <c r="I807" s="1" t="s">
        <v>1984</v>
      </c>
      <c r="K807" s="1" t="s">
        <v>1984</v>
      </c>
      <c r="N807" s="1" t="s">
        <v>1825</v>
      </c>
      <c r="O807" s="1">
        <v>6800.0</v>
      </c>
      <c r="P807" s="1" t="s">
        <v>1825</v>
      </c>
      <c r="Q807" s="1" t="str">
        <f>IF(ISERROR(VLOOKUP(P807,'unique fed agency names'!A:C,3,FALSE)),P807,VLOOKUP(P807,'unique fed agency names'!A:C,3,FALSE))
</f>
        <v>U.S. Environmental Protection Agency (EPA)</v>
      </c>
      <c r="R807" s="1">
        <v>1.35963838E8</v>
      </c>
      <c r="S807" s="1" t="s">
        <v>1985</v>
      </c>
      <c r="T807" s="1" t="str">
        <f>IF(ISERROR(VLOOKUP(S807,'unique org names'!A:C,3,FALSE)),S807,VLOOKUP(S807,'unique org names'!A:C,3,FALSE))
</f>
        <v>NextEnergy</v>
      </c>
      <c r="V807" s="1" t="s">
        <v>1986</v>
      </c>
      <c r="W807" s="1" t="s">
        <v>44</v>
      </c>
      <c r="X807" s="1" t="s">
        <v>45</v>
      </c>
      <c r="Y807" s="1">
        <v>4.82023419E8</v>
      </c>
      <c r="AA807" s="1" t="s">
        <v>46</v>
      </c>
      <c r="AB807" s="1" t="s">
        <v>45</v>
      </c>
      <c r="AC807" s="1">
        <v>4.82023419E8</v>
      </c>
      <c r="AF807" s="1">
        <v>37335.0</v>
      </c>
      <c r="AG807" s="2">
        <v>41479.0</v>
      </c>
      <c r="AH807" s="1">
        <v>6800.0</v>
      </c>
      <c r="AI807" s="1" t="s">
        <v>1825</v>
      </c>
      <c r="AJ807" s="1">
        <v>3.0</v>
      </c>
      <c r="AK807" s="1" t="s">
        <v>1987</v>
      </c>
      <c r="AL807" s="1">
        <v>4.0</v>
      </c>
      <c r="AM807" s="1">
        <v>2014.0</v>
      </c>
      <c r="AN807" s="1">
        <v>2013.0</v>
      </c>
      <c r="AO807" s="1" t="s">
        <v>1988</v>
      </c>
    </row>
    <row r="808">
      <c r="A808" s="5">
        <v>1.0</v>
      </c>
      <c r="B808" s="1">
        <f t="shared" si="1"/>
        <v>808</v>
      </c>
      <c r="C808" s="1" t="s">
        <v>1989</v>
      </c>
      <c r="D808" s="1" t="s">
        <v>1989</v>
      </c>
      <c r="E808" s="1" t="s">
        <v>38</v>
      </c>
      <c r="G808" s="1">
        <v>1.114693E7</v>
      </c>
      <c r="H808" s="2">
        <v>41715.0</v>
      </c>
      <c r="I808" s="1" t="s">
        <v>1990</v>
      </c>
      <c r="K808" s="1" t="s">
        <v>1990</v>
      </c>
      <c r="N808" s="1" t="s">
        <v>40</v>
      </c>
      <c r="O808" s="1">
        <v>7500.0</v>
      </c>
      <c r="P808" s="1" t="s">
        <v>40</v>
      </c>
      <c r="Q808" s="1" t="str">
        <f>IF(ISERROR(VLOOKUP(P808,'unique fed agency names'!A:C,3,FALSE)),P808,VLOOKUP(P808,'unique fed agency names'!A:C,3,FALSE))
</f>
        <v>U.S. Department of Health and Human Services (DHHS)</v>
      </c>
      <c r="R808" s="1">
        <v>8.09919418E8</v>
      </c>
      <c r="S808" s="1" t="s">
        <v>52</v>
      </c>
      <c r="T808" s="1" t="str">
        <f>IF(ISERROR(VLOOKUP(S808,'unique org names'!A:C,3,FALSE)),S808,VLOOKUP(S808,'unique org names'!A:C,3,FALSE))
</f>
        <v>WAYNE STATE UNIVERSITY</v>
      </c>
      <c r="U808" s="1" t="s">
        <v>1991</v>
      </c>
      <c r="V808" s="1" t="s">
        <v>1885</v>
      </c>
      <c r="W808" s="1" t="s">
        <v>44</v>
      </c>
      <c r="X808" s="1" t="s">
        <v>45</v>
      </c>
      <c r="Y808" s="1">
        <v>4.82011347E8</v>
      </c>
      <c r="AA808" s="1" t="s">
        <v>46</v>
      </c>
      <c r="AB808" s="1" t="s">
        <v>45</v>
      </c>
      <c r="AC808" s="1">
        <v>4.82011347E8</v>
      </c>
      <c r="AD808" s="1">
        <v>1962224.0</v>
      </c>
      <c r="AE808" s="1" t="s">
        <v>52</v>
      </c>
      <c r="AF808" s="1">
        <v>33003.0</v>
      </c>
      <c r="AG808" s="2">
        <v>41715.0</v>
      </c>
      <c r="AH808" s="1">
        <v>7500.0</v>
      </c>
      <c r="AI808" s="1" t="s">
        <v>40</v>
      </c>
      <c r="AJ808" s="1">
        <v>2408022.0</v>
      </c>
      <c r="AK808" s="1" t="s">
        <v>1992</v>
      </c>
      <c r="AL808" s="1">
        <v>10.0</v>
      </c>
      <c r="AM808" s="1">
        <v>2014.0</v>
      </c>
      <c r="AN808" s="1">
        <v>2014.0</v>
      </c>
      <c r="AO808" s="1" t="s">
        <v>1749</v>
      </c>
    </row>
    <row r="809">
      <c r="A809" s="5">
        <v>1.0</v>
      </c>
      <c r="B809" s="1">
        <f t="shared" si="1"/>
        <v>809</v>
      </c>
      <c r="C809" s="1" t="s">
        <v>1981</v>
      </c>
      <c r="D809" s="1" t="s">
        <v>1981</v>
      </c>
      <c r="E809" s="1" t="s">
        <v>63</v>
      </c>
      <c r="G809" s="1">
        <v>899959.0</v>
      </c>
      <c r="H809" s="2">
        <v>41548.0</v>
      </c>
      <c r="I809" s="1" t="s">
        <v>1982</v>
      </c>
      <c r="K809" s="1" t="s">
        <v>1982</v>
      </c>
      <c r="N809" s="1" t="s">
        <v>40</v>
      </c>
      <c r="O809" s="1">
        <v>7500.0</v>
      </c>
      <c r="P809" s="1" t="s">
        <v>40</v>
      </c>
      <c r="Q809" s="1" t="str">
        <f>IF(ISERROR(VLOOKUP(P809,'unique fed agency names'!A:C,3,FALSE)),P809,VLOOKUP(P809,'unique fed agency names'!A:C,3,FALSE))
</f>
        <v>U.S. Department of Health and Human Services (DHHS)</v>
      </c>
      <c r="R809" s="1">
        <v>1962224.0</v>
      </c>
      <c r="S809" s="1" t="s">
        <v>52</v>
      </c>
      <c r="T809" s="1" t="str">
        <f>IF(ISERROR(VLOOKUP(S809,'unique org names'!A:C,3,FALSE)),S809,VLOOKUP(S809,'unique org names'!A:C,3,FALSE))
</f>
        <v>WAYNE STATE UNIVERSITY</v>
      </c>
      <c r="U809" s="1" t="s">
        <v>1566</v>
      </c>
      <c r="V809" s="1" t="s">
        <v>1885</v>
      </c>
      <c r="W809" s="1" t="s">
        <v>44</v>
      </c>
      <c r="X809" s="1" t="s">
        <v>45</v>
      </c>
      <c r="Y809" s="1">
        <v>4.82021347E8</v>
      </c>
      <c r="AA809" s="1" t="s">
        <v>46</v>
      </c>
      <c r="AB809" s="1" t="s">
        <v>45</v>
      </c>
      <c r="AC809" s="1">
        <v>4.82024123E8</v>
      </c>
      <c r="AD809" s="1">
        <v>1962224.0</v>
      </c>
      <c r="AE809" s="1" t="s">
        <v>52</v>
      </c>
      <c r="AF809" s="1">
        <v>35432.0</v>
      </c>
      <c r="AG809" s="2">
        <v>41548.0</v>
      </c>
      <c r="AH809" s="1">
        <v>7500.0</v>
      </c>
      <c r="AI809" s="1" t="s">
        <v>40</v>
      </c>
      <c r="AJ809" s="1">
        <v>2.0142272E7</v>
      </c>
      <c r="AK809" s="1" t="s">
        <v>1983</v>
      </c>
      <c r="AL809" s="1">
        <v>10.0</v>
      </c>
      <c r="AM809" s="1">
        <v>2011.0</v>
      </c>
      <c r="AN809" s="1">
        <v>2014.0</v>
      </c>
      <c r="AO809" s="1" t="s">
        <v>342</v>
      </c>
    </row>
    <row r="810">
      <c r="A810" s="5">
        <v>1.0</v>
      </c>
      <c r="B810" s="1">
        <f t="shared" si="1"/>
        <v>810</v>
      </c>
      <c r="C810" s="1" t="s">
        <v>1981</v>
      </c>
      <c r="D810" s="1" t="s">
        <v>1981</v>
      </c>
      <c r="E810" s="1" t="s">
        <v>63</v>
      </c>
      <c r="G810" s="1">
        <v>899959.0</v>
      </c>
      <c r="H810" s="2">
        <v>41548.0</v>
      </c>
      <c r="I810" s="1" t="s">
        <v>1982</v>
      </c>
      <c r="K810" s="1" t="s">
        <v>1982</v>
      </c>
      <c r="N810" s="1" t="s">
        <v>40</v>
      </c>
      <c r="O810" s="1">
        <v>7500.0</v>
      </c>
      <c r="P810" s="1" t="s">
        <v>40</v>
      </c>
      <c r="Q810" s="1" t="str">
        <f>IF(ISERROR(VLOOKUP(P810,'unique fed agency names'!A:C,3,FALSE)),P810,VLOOKUP(P810,'unique fed agency names'!A:C,3,FALSE))
</f>
        <v>U.S. Department of Health and Human Services (DHHS)</v>
      </c>
      <c r="R810" s="1">
        <v>1.68159296E8</v>
      </c>
      <c r="S810" s="1" t="s">
        <v>1392</v>
      </c>
      <c r="T810" s="1" t="str">
        <f>IF(ISERROR(VLOOKUP(S810,'unique org names'!A:C,3,FALSE)),S810,VLOOKUP(S810,'unique org names'!A:C,3,FALSE))
</f>
        <v>BARBARA ANN KARMANOS CANCER INSTITUTE</v>
      </c>
      <c r="U810" s="1" t="s">
        <v>1993</v>
      </c>
      <c r="V810" s="1" t="s">
        <v>1994</v>
      </c>
      <c r="W810" s="1" t="s">
        <v>44</v>
      </c>
      <c r="X810" s="1" t="s">
        <v>45</v>
      </c>
      <c r="Y810" s="1">
        <v>4.82012013E8</v>
      </c>
      <c r="AA810" s="1" t="s">
        <v>46</v>
      </c>
      <c r="AB810" s="1" t="s">
        <v>45</v>
      </c>
      <c r="AC810" s="1">
        <v>4.82012013E8</v>
      </c>
      <c r="AD810" s="1">
        <v>6.8835099E7</v>
      </c>
      <c r="AE810" s="1" t="s">
        <v>1392</v>
      </c>
      <c r="AF810" s="1">
        <v>14500.0</v>
      </c>
      <c r="AG810" s="2">
        <v>41548.0</v>
      </c>
      <c r="AH810" s="1">
        <v>7500.0</v>
      </c>
      <c r="AI810" s="1" t="s">
        <v>40</v>
      </c>
      <c r="AJ810" s="1">
        <v>2.01416E7</v>
      </c>
      <c r="AK810" s="1" t="s">
        <v>1983</v>
      </c>
      <c r="AL810" s="1">
        <v>10.0</v>
      </c>
      <c r="AM810" s="1">
        <v>2011.0</v>
      </c>
      <c r="AN810" s="1">
        <v>2014.0</v>
      </c>
      <c r="AO810" s="1" t="s">
        <v>342</v>
      </c>
    </row>
    <row r="811">
      <c r="A811" s="5">
        <v>1.0</v>
      </c>
      <c r="B811" s="1">
        <f t="shared" si="1"/>
        <v>811</v>
      </c>
      <c r="C811" s="1" t="s">
        <v>1981</v>
      </c>
      <c r="D811" s="1" t="s">
        <v>1981</v>
      </c>
      <c r="E811" s="1" t="s">
        <v>63</v>
      </c>
      <c r="G811" s="1">
        <v>899959.0</v>
      </c>
      <c r="H811" s="2">
        <v>41548.0</v>
      </c>
      <c r="I811" s="1" t="s">
        <v>1982</v>
      </c>
      <c r="K811" s="1" t="s">
        <v>1982</v>
      </c>
      <c r="N811" s="1" t="s">
        <v>40</v>
      </c>
      <c r="O811" s="1">
        <v>7500.0</v>
      </c>
      <c r="P811" s="1" t="s">
        <v>40</v>
      </c>
      <c r="Q811" s="1" t="str">
        <f>IF(ISERROR(VLOOKUP(P811,'unique fed agency names'!A:C,3,FALSE)),P811,VLOOKUP(P811,'unique fed agency names'!A:C,3,FALSE))
</f>
        <v>U.S. Department of Health and Human Services (DHHS)</v>
      </c>
      <c r="R811" s="1">
        <v>3.8775243E7</v>
      </c>
      <c r="S811" s="1" t="s">
        <v>209</v>
      </c>
      <c r="T811" s="1" t="str">
        <f>IF(ISERROR(VLOOKUP(S811,'unique org names'!A:C,3,FALSE)),S811,VLOOKUP(S811,'unique org names'!A:C,3,FALSE))
</f>
        <v>SOUTHEASTERN MICHIGAN HEALTH ASSOCIATION</v>
      </c>
      <c r="U811" s="1" t="s">
        <v>210</v>
      </c>
      <c r="V811" s="1" t="s">
        <v>211</v>
      </c>
      <c r="W811" s="1" t="s">
        <v>44</v>
      </c>
      <c r="X811" s="1" t="s">
        <v>45</v>
      </c>
      <c r="Y811" s="1">
        <v>4.82023068E8</v>
      </c>
      <c r="AA811" s="1" t="s">
        <v>46</v>
      </c>
      <c r="AB811" s="1" t="s">
        <v>45</v>
      </c>
      <c r="AC811" s="1">
        <v>4.82013096E8</v>
      </c>
      <c r="AD811" s="1">
        <v>3.8775243E7</v>
      </c>
      <c r="AE811" s="1" t="s">
        <v>209</v>
      </c>
      <c r="AF811" s="1">
        <v>5807.14</v>
      </c>
      <c r="AG811" s="2">
        <v>41548.0</v>
      </c>
      <c r="AH811" s="1">
        <v>7500.0</v>
      </c>
      <c r="AI811" s="1" t="s">
        <v>40</v>
      </c>
      <c r="AJ811" s="1">
        <v>2.01407E7</v>
      </c>
      <c r="AK811" s="1" t="s">
        <v>1983</v>
      </c>
      <c r="AL811" s="1">
        <v>10.0</v>
      </c>
      <c r="AM811" s="1">
        <v>2011.0</v>
      </c>
      <c r="AN811" s="1">
        <v>2014.0</v>
      </c>
      <c r="AO811" s="1" t="s">
        <v>342</v>
      </c>
    </row>
    <row r="812">
      <c r="A812" s="5">
        <v>1.0</v>
      </c>
      <c r="B812" s="1">
        <f t="shared" si="1"/>
        <v>812</v>
      </c>
      <c r="C812" s="1" t="s">
        <v>1981</v>
      </c>
      <c r="D812" s="1" t="s">
        <v>1981</v>
      </c>
      <c r="E812" s="1" t="s">
        <v>63</v>
      </c>
      <c r="G812" s="1">
        <v>899959.0</v>
      </c>
      <c r="H812" s="2">
        <v>41183.0</v>
      </c>
      <c r="I812" s="1" t="s">
        <v>1982</v>
      </c>
      <c r="K812" s="1" t="s">
        <v>1982</v>
      </c>
      <c r="N812" s="1" t="s">
        <v>40</v>
      </c>
      <c r="O812" s="1">
        <v>7500.0</v>
      </c>
      <c r="P812" s="1" t="s">
        <v>40</v>
      </c>
      <c r="Q812" s="1" t="str">
        <f>IF(ISERROR(VLOOKUP(P812,'unique fed agency names'!A:C,3,FALSE)),P812,VLOOKUP(P812,'unique fed agency names'!A:C,3,FALSE))
</f>
        <v>U.S. Department of Health and Human Services (DHHS)</v>
      </c>
      <c r="R812" s="1">
        <v>7.3134603E7</v>
      </c>
      <c r="S812" s="1" t="s">
        <v>41</v>
      </c>
      <c r="T812" s="1" t="str">
        <f>IF(ISERROR(VLOOKUP(S812,'unique org names'!A:C,3,FALSE)),S812,VLOOKUP(S812,'unique org names'!A:C,3,FALSE))
</f>
        <v>Henry Ford Health System</v>
      </c>
      <c r="U812" s="1" t="s">
        <v>252</v>
      </c>
      <c r="V812" s="1" t="s">
        <v>253</v>
      </c>
      <c r="W812" s="1" t="s">
        <v>44</v>
      </c>
      <c r="X812" s="1" t="s">
        <v>45</v>
      </c>
      <c r="Y812" s="1">
        <v>4.8202345E8</v>
      </c>
      <c r="AA812" s="1" t="s">
        <v>46</v>
      </c>
      <c r="AB812" s="1" t="s">
        <v>45</v>
      </c>
      <c r="AC812" s="1">
        <v>4.8202345E8</v>
      </c>
      <c r="AD812" s="1">
        <v>7.3134603E7</v>
      </c>
      <c r="AE812" s="1" t="s">
        <v>41</v>
      </c>
      <c r="AF812" s="1">
        <v>9000.0</v>
      </c>
      <c r="AG812" s="2">
        <v>41183.0</v>
      </c>
      <c r="AH812" s="1">
        <v>7500.0</v>
      </c>
      <c r="AI812" s="1" t="s">
        <v>40</v>
      </c>
      <c r="AJ812" s="1">
        <v>2.0130116E7</v>
      </c>
      <c r="AK812" s="1" t="s">
        <v>1983</v>
      </c>
      <c r="AL812" s="1">
        <v>10.0</v>
      </c>
      <c r="AM812" s="1">
        <v>2011.0</v>
      </c>
      <c r="AN812" s="1">
        <v>2013.0</v>
      </c>
      <c r="AO812" s="1" t="s">
        <v>342</v>
      </c>
    </row>
    <row r="813">
      <c r="A813" s="5">
        <v>1.0</v>
      </c>
      <c r="B813" s="1">
        <f t="shared" si="1"/>
        <v>813</v>
      </c>
      <c r="C813" s="1" t="s">
        <v>1995</v>
      </c>
      <c r="D813" s="1" t="s">
        <v>1995</v>
      </c>
      <c r="E813" s="1" t="s">
        <v>129</v>
      </c>
      <c r="G813" s="1">
        <v>5.8505696E8</v>
      </c>
      <c r="H813" s="2">
        <v>41821.0</v>
      </c>
      <c r="I813" s="1" t="s">
        <v>1326</v>
      </c>
      <c r="K813" s="1" t="s">
        <v>1326</v>
      </c>
      <c r="N813" s="1" t="s">
        <v>40</v>
      </c>
      <c r="O813" s="1">
        <v>7500.0</v>
      </c>
      <c r="P813" s="1" t="s">
        <v>40</v>
      </c>
      <c r="Q813" s="1" t="str">
        <f>IF(ISERROR(VLOOKUP(P813,'unique fed agency names'!A:C,3,FALSE)),P813,VLOOKUP(P813,'unique fed agency names'!A:C,3,FALSE))
</f>
        <v>U.S. Department of Health and Human Services (DHHS)</v>
      </c>
      <c r="R813" s="1">
        <v>7.83491541E8</v>
      </c>
      <c r="S813" s="1" t="s">
        <v>1996</v>
      </c>
      <c r="T813" s="1" t="str">
        <f>IF(ISERROR(VLOOKUP(S813,'unique org names'!A:C,3,FALSE)),S813,VLOOKUP(S813,'unique org names'!A:C,3,FALSE))
</f>
        <v>Serco, Inc</v>
      </c>
      <c r="V813" s="1" t="s">
        <v>1997</v>
      </c>
      <c r="W813" s="1" t="s">
        <v>44</v>
      </c>
      <c r="X813" s="1" t="s">
        <v>45</v>
      </c>
      <c r="Y813" s="1">
        <v>4.82102038E8</v>
      </c>
      <c r="AA813" s="1" t="s">
        <v>879</v>
      </c>
      <c r="AB813" s="1" t="s">
        <v>880</v>
      </c>
      <c r="AC813" s="1">
        <v>6.06233738E8</v>
      </c>
      <c r="AD813" s="1">
        <v>1.8010168E8</v>
      </c>
      <c r="AF813" s="1">
        <v>283200.0</v>
      </c>
      <c r="AG813" s="2">
        <v>41821.0</v>
      </c>
      <c r="AH813" s="1">
        <v>7500.0</v>
      </c>
      <c r="AI813" s="1" t="s">
        <v>40</v>
      </c>
      <c r="AJ813" s="1" t="s">
        <v>1998</v>
      </c>
      <c r="AK813" s="1" t="s">
        <v>1999</v>
      </c>
      <c r="AL813" s="1">
        <v>7.0</v>
      </c>
      <c r="AM813" s="1">
        <v>2014.0</v>
      </c>
      <c r="AN813" s="1">
        <v>2014.0</v>
      </c>
      <c r="AO813" s="1" t="s">
        <v>385</v>
      </c>
    </row>
    <row r="814">
      <c r="A814" s="5">
        <v>1.0</v>
      </c>
      <c r="B814" s="1">
        <f t="shared" si="1"/>
        <v>814</v>
      </c>
      <c r="C814" s="1" t="s">
        <v>2000</v>
      </c>
      <c r="D814" s="1" t="s">
        <v>2000</v>
      </c>
      <c r="E814" s="1" t="s">
        <v>964</v>
      </c>
      <c r="G814" s="1">
        <v>299822.0</v>
      </c>
      <c r="H814" s="2">
        <v>41548.0</v>
      </c>
      <c r="I814" s="1" t="s">
        <v>2001</v>
      </c>
      <c r="K814" s="1" t="s">
        <v>2001</v>
      </c>
      <c r="N814" s="1" t="s">
        <v>40</v>
      </c>
      <c r="O814" s="1">
        <v>7500.0</v>
      </c>
      <c r="P814" s="1" t="s">
        <v>40</v>
      </c>
      <c r="Q814" s="1" t="str">
        <f>IF(ISERROR(VLOOKUP(P814,'unique fed agency names'!A:C,3,FALSE)),P814,VLOOKUP(P814,'unique fed agency names'!A:C,3,FALSE))
</f>
        <v>U.S. Department of Health and Human Services (DHHS)</v>
      </c>
      <c r="R814" s="1">
        <v>3.8775243E7</v>
      </c>
      <c r="S814" s="1" t="s">
        <v>209</v>
      </c>
      <c r="T814" s="1" t="str">
        <f>IF(ISERROR(VLOOKUP(S814,'unique org names'!A:C,3,FALSE)),S814,VLOOKUP(S814,'unique org names'!A:C,3,FALSE))
</f>
        <v>SOUTHEASTERN MICHIGAN HEALTH ASSOCIATION</v>
      </c>
      <c r="U814" s="1" t="s">
        <v>210</v>
      </c>
      <c r="V814" s="1" t="s">
        <v>211</v>
      </c>
      <c r="W814" s="1" t="s">
        <v>44</v>
      </c>
      <c r="X814" s="1" t="s">
        <v>45</v>
      </c>
      <c r="Y814" s="1">
        <v>4.82023068E8</v>
      </c>
      <c r="AA814" s="1" t="s">
        <v>46</v>
      </c>
      <c r="AB814" s="1" t="s">
        <v>45</v>
      </c>
      <c r="AC814" s="1">
        <v>4.82023068E8</v>
      </c>
      <c r="AD814" s="1">
        <v>3.8775243E7</v>
      </c>
      <c r="AE814" s="1" t="s">
        <v>209</v>
      </c>
      <c r="AF814" s="1">
        <v>2958.51</v>
      </c>
      <c r="AG814" s="2">
        <v>41548.0</v>
      </c>
      <c r="AH814" s="1">
        <v>7500.0</v>
      </c>
      <c r="AI814" s="1" t="s">
        <v>40</v>
      </c>
      <c r="AJ814" s="1">
        <v>2.0140707E7</v>
      </c>
      <c r="AK814" s="1" t="s">
        <v>2002</v>
      </c>
      <c r="AL814" s="1">
        <v>10.0</v>
      </c>
      <c r="AM814" s="1">
        <v>2013.0</v>
      </c>
      <c r="AN814" s="1">
        <v>2014.0</v>
      </c>
      <c r="AO814" s="1" t="s">
        <v>1439</v>
      </c>
    </row>
    <row r="815">
      <c r="A815" s="5">
        <v>1.0</v>
      </c>
      <c r="B815" s="1">
        <f t="shared" si="1"/>
        <v>815</v>
      </c>
      <c r="C815" s="1" t="s">
        <v>2003</v>
      </c>
      <c r="D815" s="1" t="s">
        <v>2003</v>
      </c>
      <c r="E815" s="1" t="s">
        <v>964</v>
      </c>
      <c r="G815" s="1">
        <v>3000000.0</v>
      </c>
      <c r="H815" s="2">
        <v>41548.0</v>
      </c>
      <c r="I815" s="1" t="s">
        <v>2004</v>
      </c>
      <c r="K815" s="1" t="s">
        <v>2004</v>
      </c>
      <c r="N815" s="1" t="s">
        <v>40</v>
      </c>
      <c r="O815" s="1">
        <v>7500.0</v>
      </c>
      <c r="P815" s="1" t="s">
        <v>40</v>
      </c>
      <c r="Q815" s="1" t="str">
        <f>IF(ISERROR(VLOOKUP(P815,'unique fed agency names'!A:C,3,FALSE)),P815,VLOOKUP(P815,'unique fed agency names'!A:C,3,FALSE))
</f>
        <v>U.S. Department of Health and Human Services (DHHS)</v>
      </c>
      <c r="R815" s="1">
        <v>8.01337445E8</v>
      </c>
      <c r="S815" s="1" t="s">
        <v>461</v>
      </c>
      <c r="T815" s="1" t="str">
        <f>IF(ISERROR(VLOOKUP(S815,'unique org names'!A:C,3,FALSE)),S815,VLOOKUP(S815,'unique org names'!A:C,3,FALSE))
</f>
        <v>BOARD OF EDUCATION OF THE CITY OF DETROIT</v>
      </c>
      <c r="U815" s="1" t="s">
        <v>2005</v>
      </c>
      <c r="V815" s="1" t="s">
        <v>2006</v>
      </c>
      <c r="W815" s="1" t="s">
        <v>44</v>
      </c>
      <c r="X815" s="1" t="s">
        <v>45</v>
      </c>
      <c r="Y815" s="1">
        <v>4.82082544E8</v>
      </c>
      <c r="AA815" s="1" t="s">
        <v>46</v>
      </c>
      <c r="AB815" s="1" t="s">
        <v>45</v>
      </c>
      <c r="AC815" s="1">
        <v>4.82082544E8</v>
      </c>
      <c r="AD815" s="1">
        <v>7.6340843E7</v>
      </c>
      <c r="AE815" s="1" t="s">
        <v>461</v>
      </c>
      <c r="AF815" s="1">
        <v>185000.0</v>
      </c>
      <c r="AG815" s="2">
        <v>41548.0</v>
      </c>
      <c r="AH815" s="1">
        <v>7500.0</v>
      </c>
      <c r="AI815" s="1" t="s">
        <v>40</v>
      </c>
      <c r="AJ815" s="1">
        <v>2.0142374E7</v>
      </c>
      <c r="AK815" s="1" t="s">
        <v>2007</v>
      </c>
      <c r="AL815" s="1">
        <v>10.0</v>
      </c>
      <c r="AM815" s="1">
        <v>2013.0</v>
      </c>
      <c r="AN815" s="1">
        <v>2014.0</v>
      </c>
      <c r="AO815" s="1" t="s">
        <v>2008</v>
      </c>
    </row>
    <row r="816">
      <c r="A816" s="5">
        <v>1.0</v>
      </c>
      <c r="B816" s="1">
        <f t="shared" si="1"/>
        <v>816</v>
      </c>
      <c r="C816" s="1" t="s">
        <v>1946</v>
      </c>
      <c r="D816" s="1" t="s">
        <v>1946</v>
      </c>
      <c r="E816" s="1" t="s">
        <v>100</v>
      </c>
      <c r="G816" s="1">
        <v>1.4212536E7</v>
      </c>
      <c r="H816" s="2">
        <v>41947.0</v>
      </c>
      <c r="I816" s="1" t="s">
        <v>122</v>
      </c>
      <c r="K816" s="1" t="s">
        <v>122</v>
      </c>
      <c r="N816" s="1" t="s">
        <v>102</v>
      </c>
      <c r="O816" s="1">
        <v>8600.0</v>
      </c>
      <c r="P816" s="1" t="s">
        <v>102</v>
      </c>
      <c r="Q816" s="1" t="str">
        <f>IF(ISERROR(VLOOKUP(P816,'unique fed agency names'!A:C,3,FALSE)),P816,VLOOKUP(P816,'unique fed agency names'!A:C,3,FALSE))
</f>
        <v>U.S. Department of Housing and Urban Development (HUD)</v>
      </c>
      <c r="R816" s="1">
        <v>9.64523815E8</v>
      </c>
      <c r="S816" s="1" t="s">
        <v>123</v>
      </c>
      <c r="T816" s="1" t="str">
        <f>IF(ISERROR(VLOOKUP(S816,'unique org names'!A:C,3,FALSE)),S816,VLOOKUP(S816,'unique org names'!A:C,3,FALSE))
</f>
        <v>GRANDMONT ROSEDALE DEVELOPMENT CORPORATION</v>
      </c>
      <c r="U816" s="1" t="s">
        <v>124</v>
      </c>
      <c r="V816" s="1" t="s">
        <v>125</v>
      </c>
      <c r="W816" s="1" t="s">
        <v>44</v>
      </c>
      <c r="X816" s="1" t="s">
        <v>45</v>
      </c>
      <c r="Y816" s="1">
        <v>4.82231227E8</v>
      </c>
      <c r="AA816" s="1" t="s">
        <v>1366</v>
      </c>
      <c r="AB816" s="1" t="s">
        <v>45</v>
      </c>
      <c r="AC816" s="1">
        <v>4.82231227E8</v>
      </c>
      <c r="AF816" s="1">
        <v>88000.0</v>
      </c>
      <c r="AG816" s="2">
        <v>41947.0</v>
      </c>
      <c r="AH816" s="1">
        <v>8600.0</v>
      </c>
      <c r="AI816" s="1" t="s">
        <v>102</v>
      </c>
      <c r="AJ816" s="1" t="s">
        <v>2009</v>
      </c>
      <c r="AK816" s="1" t="s">
        <v>2010</v>
      </c>
      <c r="AL816" s="1">
        <v>11.0</v>
      </c>
      <c r="AM816" s="1">
        <v>2014.0</v>
      </c>
      <c r="AN816" s="1">
        <v>2015.0</v>
      </c>
      <c r="AO816" s="1" t="s">
        <v>127</v>
      </c>
    </row>
    <row r="817">
      <c r="A817" s="5">
        <v>1.0</v>
      </c>
      <c r="B817" s="1">
        <f t="shared" si="1"/>
        <v>817</v>
      </c>
      <c r="C817" s="1" t="s">
        <v>2011</v>
      </c>
      <c r="D817" s="1" t="s">
        <v>2011</v>
      </c>
      <c r="E817" s="1" t="s">
        <v>159</v>
      </c>
      <c r="G817" s="1">
        <v>522539.0</v>
      </c>
      <c r="H817" s="2">
        <v>41183.0</v>
      </c>
      <c r="I817" s="1" t="s">
        <v>2012</v>
      </c>
      <c r="K817" s="1" t="s">
        <v>2012</v>
      </c>
      <c r="N817" s="1" t="s">
        <v>40</v>
      </c>
      <c r="O817" s="1">
        <v>7500.0</v>
      </c>
      <c r="P817" s="1" t="s">
        <v>40</v>
      </c>
      <c r="Q817" s="1" t="str">
        <f>IF(ISERROR(VLOOKUP(P817,'unique fed agency names'!A:C,3,FALSE)),P817,VLOOKUP(P817,'unique fed agency names'!A:C,3,FALSE))
</f>
        <v>U.S. Department of Health and Human Services (DHHS)</v>
      </c>
      <c r="R817" s="1">
        <v>3.8775243E7</v>
      </c>
      <c r="S817" s="1" t="s">
        <v>209</v>
      </c>
      <c r="T817" s="1" t="str">
        <f>IF(ISERROR(VLOOKUP(S817,'unique org names'!A:C,3,FALSE)),S817,VLOOKUP(S817,'unique org names'!A:C,3,FALSE))
</f>
        <v>SOUTHEASTERN MICHIGAN HEALTH ASSOCIATION</v>
      </c>
      <c r="U817" s="1" t="s">
        <v>210</v>
      </c>
      <c r="V817" s="1" t="s">
        <v>211</v>
      </c>
      <c r="W817" s="1" t="s">
        <v>44</v>
      </c>
      <c r="X817" s="1" t="s">
        <v>45</v>
      </c>
      <c r="Y817" s="1">
        <v>4.82023068E8</v>
      </c>
      <c r="AA817" s="1" t="s">
        <v>46</v>
      </c>
      <c r="AB817" s="1" t="s">
        <v>45</v>
      </c>
      <c r="AC817" s="1">
        <v>4.82023068E8</v>
      </c>
      <c r="AD817" s="1">
        <v>3.8775243E7</v>
      </c>
      <c r="AE817" s="1" t="s">
        <v>209</v>
      </c>
      <c r="AF817" s="1">
        <v>1800.0</v>
      </c>
      <c r="AG817" s="2">
        <v>41183.0</v>
      </c>
      <c r="AH817" s="1">
        <v>7500.0</v>
      </c>
      <c r="AI817" s="1" t="s">
        <v>40</v>
      </c>
      <c r="AJ817" s="1">
        <v>2.013109E7</v>
      </c>
      <c r="AK817" s="1" t="s">
        <v>2013</v>
      </c>
      <c r="AL817" s="1">
        <v>10.0</v>
      </c>
      <c r="AM817" s="1">
        <v>2011.0</v>
      </c>
      <c r="AN817" s="1">
        <v>2013.0</v>
      </c>
      <c r="AO817" s="1" t="s">
        <v>162</v>
      </c>
    </row>
    <row r="818">
      <c r="A818" s="5">
        <v>1.0</v>
      </c>
      <c r="B818" s="1">
        <f t="shared" si="1"/>
        <v>818</v>
      </c>
      <c r="C818" s="1" t="s">
        <v>2000</v>
      </c>
      <c r="D818" s="1" t="s">
        <v>2000</v>
      </c>
      <c r="E818" s="1" t="s">
        <v>964</v>
      </c>
      <c r="G818" s="1">
        <v>299822.0</v>
      </c>
      <c r="H818" s="2">
        <v>41913.0</v>
      </c>
      <c r="I818" s="1" t="s">
        <v>2001</v>
      </c>
      <c r="K818" s="1" t="s">
        <v>2001</v>
      </c>
      <c r="N818" s="1" t="s">
        <v>40</v>
      </c>
      <c r="O818" s="1">
        <v>7500.0</v>
      </c>
      <c r="P818" s="1" t="s">
        <v>40</v>
      </c>
      <c r="Q818" s="1" t="str">
        <f>IF(ISERROR(VLOOKUP(P818,'unique fed agency names'!A:C,3,FALSE)),P818,VLOOKUP(P818,'unique fed agency names'!A:C,3,FALSE))
</f>
        <v>U.S. Department of Health and Human Services (DHHS)</v>
      </c>
      <c r="R818" s="1">
        <v>1.41947783E8</v>
      </c>
      <c r="S818" s="1" t="s">
        <v>144</v>
      </c>
      <c r="T818" s="1" t="str">
        <f>IF(ISERROR(VLOOKUP(S818,'unique org names'!A:C,3,FALSE)),S818,VLOOKUP(S818,'unique org names'!A:C,3,FALSE))
</f>
        <v>St John Community Health Investment Corporation</v>
      </c>
      <c r="U818" s="1" t="s">
        <v>2014</v>
      </c>
      <c r="V818" s="1" t="s">
        <v>145</v>
      </c>
      <c r="W818" s="1" t="s">
        <v>44</v>
      </c>
      <c r="X818" s="1" t="s">
        <v>45</v>
      </c>
      <c r="Y818" s="1">
        <v>4.82362148E8</v>
      </c>
      <c r="AA818" s="1" t="s">
        <v>1454</v>
      </c>
      <c r="AB818" s="1" t="s">
        <v>45</v>
      </c>
      <c r="AC818" s="1">
        <v>4.80922468E8</v>
      </c>
      <c r="AD818" s="1">
        <v>2.0111969E7</v>
      </c>
      <c r="AE818" s="1" t="s">
        <v>2015</v>
      </c>
      <c r="AF818" s="1">
        <v>6875.0</v>
      </c>
      <c r="AG818" s="2">
        <v>41913.0</v>
      </c>
      <c r="AH818" s="1">
        <v>7500.0</v>
      </c>
      <c r="AI818" s="1" t="s">
        <v>40</v>
      </c>
      <c r="AJ818" s="1">
        <v>2.0150229E7</v>
      </c>
      <c r="AK818" s="1" t="s">
        <v>2002</v>
      </c>
      <c r="AL818" s="1">
        <v>10.0</v>
      </c>
      <c r="AM818" s="1">
        <v>2013.0</v>
      </c>
      <c r="AN818" s="1">
        <v>2015.0</v>
      </c>
      <c r="AO818" s="1" t="s">
        <v>1439</v>
      </c>
    </row>
    <row r="819">
      <c r="A819" s="5">
        <v>1.0</v>
      </c>
      <c r="B819" s="1">
        <f t="shared" si="1"/>
        <v>819</v>
      </c>
      <c r="C819" s="1" t="s">
        <v>2000</v>
      </c>
      <c r="D819" s="1" t="s">
        <v>2000</v>
      </c>
      <c r="E819" s="1" t="s">
        <v>964</v>
      </c>
      <c r="G819" s="1">
        <v>299822.0</v>
      </c>
      <c r="H819" s="2">
        <v>41548.0</v>
      </c>
      <c r="I819" s="1" t="s">
        <v>2001</v>
      </c>
      <c r="K819" s="1" t="s">
        <v>2001</v>
      </c>
      <c r="N819" s="1" t="s">
        <v>40</v>
      </c>
      <c r="O819" s="1">
        <v>7500.0</v>
      </c>
      <c r="P819" s="1" t="s">
        <v>40</v>
      </c>
      <c r="Q819" s="1" t="str">
        <f>IF(ISERROR(VLOOKUP(P819,'unique fed agency names'!A:C,3,FALSE)),P819,VLOOKUP(P819,'unique fed agency names'!A:C,3,FALSE))
</f>
        <v>U.S. Department of Health and Human Services (DHHS)</v>
      </c>
      <c r="R819" s="1">
        <v>3.8775243E7</v>
      </c>
      <c r="S819" s="1" t="s">
        <v>209</v>
      </c>
      <c r="T819" s="1" t="str">
        <f>IF(ISERROR(VLOOKUP(S819,'unique org names'!A:C,3,FALSE)),S819,VLOOKUP(S819,'unique org names'!A:C,3,FALSE))
</f>
        <v>SOUTHEASTERN MICHIGAN HEALTH ASSOCIATION</v>
      </c>
      <c r="U819" s="1" t="s">
        <v>210</v>
      </c>
      <c r="V819" s="1" t="s">
        <v>211</v>
      </c>
      <c r="W819" s="1" t="s">
        <v>44</v>
      </c>
      <c r="X819" s="1" t="s">
        <v>45</v>
      </c>
      <c r="Y819" s="1">
        <v>4.82023068E8</v>
      </c>
      <c r="AA819" s="1" t="s">
        <v>46</v>
      </c>
      <c r="AB819" s="1" t="s">
        <v>45</v>
      </c>
      <c r="AC819" s="1">
        <v>4.82023068E8</v>
      </c>
      <c r="AD819" s="1">
        <v>3.8775243E7</v>
      </c>
      <c r="AE819" s="1" t="s">
        <v>209</v>
      </c>
      <c r="AF819" s="1">
        <v>106224.49</v>
      </c>
      <c r="AG819" s="2">
        <v>41548.0</v>
      </c>
      <c r="AH819" s="1">
        <v>7500.0</v>
      </c>
      <c r="AI819" s="1" t="s">
        <v>40</v>
      </c>
      <c r="AJ819" s="1">
        <v>2.0140707E7</v>
      </c>
      <c r="AK819" s="1" t="s">
        <v>2002</v>
      </c>
      <c r="AL819" s="1">
        <v>10.0</v>
      </c>
      <c r="AM819" s="1">
        <v>2013.0</v>
      </c>
      <c r="AN819" s="1">
        <v>2014.0</v>
      </c>
      <c r="AO819" s="1" t="s">
        <v>1439</v>
      </c>
    </row>
    <row r="820">
      <c r="A820" s="5">
        <v>1.0</v>
      </c>
      <c r="B820" s="1">
        <f t="shared" si="1"/>
        <v>820</v>
      </c>
      <c r="C820" s="1" t="s">
        <v>2016</v>
      </c>
      <c r="D820" s="1" t="s">
        <v>2016</v>
      </c>
      <c r="E820" s="1" t="s">
        <v>159</v>
      </c>
      <c r="G820" s="1">
        <v>1375382.0</v>
      </c>
      <c r="H820" s="2">
        <v>41913.0</v>
      </c>
      <c r="I820" s="1" t="s">
        <v>2017</v>
      </c>
      <c r="K820" s="1" t="s">
        <v>2017</v>
      </c>
      <c r="N820" s="1" t="s">
        <v>40</v>
      </c>
      <c r="O820" s="1">
        <v>7500.0</v>
      </c>
      <c r="P820" s="1" t="s">
        <v>40</v>
      </c>
      <c r="Q820" s="1" t="str">
        <f>IF(ISERROR(VLOOKUP(P820,'unique fed agency names'!A:C,3,FALSE)),P820,VLOOKUP(P820,'unique fed agency names'!A:C,3,FALSE))
</f>
        <v>U.S. Department of Health and Human Services (DHHS)</v>
      </c>
      <c r="R820" s="1">
        <v>6.0932517E7</v>
      </c>
      <c r="S820" s="1" t="s">
        <v>2018</v>
      </c>
      <c r="T820" s="1" t="str">
        <f>IF(ISERROR(VLOOKUP(S820,'unique org names'!A:C,3,FALSE)),S820,VLOOKUP(S820,'unique org names'!A:C,3,FALSE))
</f>
        <v>Wayne Children's Healthcare Access Program</v>
      </c>
      <c r="V820" s="1" t="s">
        <v>2019</v>
      </c>
      <c r="W820" s="1" t="s">
        <v>44</v>
      </c>
      <c r="X820" s="1" t="s">
        <v>45</v>
      </c>
      <c r="Y820" s="1">
        <v>4.82352708E8</v>
      </c>
      <c r="AA820" s="1" t="s">
        <v>46</v>
      </c>
      <c r="AB820" s="1" t="s">
        <v>45</v>
      </c>
      <c r="AC820" s="1">
        <v>4.82352708E8</v>
      </c>
      <c r="AF820" s="1">
        <v>12500.0</v>
      </c>
      <c r="AG820" s="2">
        <v>41913.0</v>
      </c>
      <c r="AH820" s="1">
        <v>7500.0</v>
      </c>
      <c r="AI820" s="1" t="s">
        <v>40</v>
      </c>
      <c r="AJ820" s="1">
        <v>2.0150157E7</v>
      </c>
      <c r="AK820" s="1" t="s">
        <v>2020</v>
      </c>
      <c r="AL820" s="1">
        <v>10.0</v>
      </c>
      <c r="AM820" s="1">
        <v>2011.0</v>
      </c>
      <c r="AN820" s="1">
        <v>2015.0</v>
      </c>
      <c r="AO820" s="1" t="s">
        <v>2021</v>
      </c>
    </row>
    <row r="821">
      <c r="A821" s="5">
        <v>1.0</v>
      </c>
      <c r="B821" s="1">
        <f t="shared" si="1"/>
        <v>821</v>
      </c>
      <c r="C821" s="1" t="s">
        <v>2000</v>
      </c>
      <c r="D821" s="1" t="s">
        <v>2000</v>
      </c>
      <c r="E821" s="1" t="s">
        <v>964</v>
      </c>
      <c r="G821" s="1">
        <v>299822.0</v>
      </c>
      <c r="H821" s="2">
        <v>41579.0</v>
      </c>
      <c r="I821" s="1" t="s">
        <v>2001</v>
      </c>
      <c r="K821" s="1" t="s">
        <v>2001</v>
      </c>
      <c r="N821" s="1" t="s">
        <v>40</v>
      </c>
      <c r="O821" s="1">
        <v>7500.0</v>
      </c>
      <c r="P821" s="1" t="s">
        <v>40</v>
      </c>
      <c r="Q821" s="1" t="str">
        <f>IF(ISERROR(VLOOKUP(P821,'unique fed agency names'!A:C,3,FALSE)),P821,VLOOKUP(P821,'unique fed agency names'!A:C,3,FALSE))
</f>
        <v>U.S. Department of Health and Human Services (DHHS)</v>
      </c>
      <c r="R821" s="1">
        <v>1.41947783E8</v>
      </c>
      <c r="S821" s="1" t="s">
        <v>144</v>
      </c>
      <c r="T821" s="1" t="str">
        <f>IF(ISERROR(VLOOKUP(S821,'unique org names'!A:C,3,FALSE)),S821,VLOOKUP(S821,'unique org names'!A:C,3,FALSE))
</f>
        <v>St John Community Health Investment Corporation</v>
      </c>
      <c r="U821" s="1" t="s">
        <v>210</v>
      </c>
      <c r="V821" s="1" t="s">
        <v>145</v>
      </c>
      <c r="W821" s="1" t="s">
        <v>44</v>
      </c>
      <c r="X821" s="1" t="s">
        <v>45</v>
      </c>
      <c r="Y821" s="1">
        <v>4.82362148E8</v>
      </c>
      <c r="AA821" s="1" t="s">
        <v>1454</v>
      </c>
      <c r="AB821" s="1" t="s">
        <v>45</v>
      </c>
      <c r="AC821" s="1">
        <v>4.80922468E8</v>
      </c>
      <c r="AD821" s="1">
        <v>3.8775243E7</v>
      </c>
      <c r="AE821" s="1" t="s">
        <v>209</v>
      </c>
      <c r="AF821" s="1">
        <v>6875.0</v>
      </c>
      <c r="AG821" s="2">
        <v>41579.0</v>
      </c>
      <c r="AH821" s="1">
        <v>7500.0</v>
      </c>
      <c r="AI821" s="1" t="s">
        <v>40</v>
      </c>
      <c r="AJ821" s="1">
        <v>2.0140231E7</v>
      </c>
      <c r="AK821" s="1" t="s">
        <v>2002</v>
      </c>
      <c r="AL821" s="1">
        <v>10.0</v>
      </c>
      <c r="AM821" s="1">
        <v>2013.0</v>
      </c>
      <c r="AN821" s="1">
        <v>2014.0</v>
      </c>
      <c r="AO821" s="1" t="s">
        <v>1439</v>
      </c>
    </row>
    <row r="822">
      <c r="A822" s="5">
        <v>1.0</v>
      </c>
      <c r="B822" s="1">
        <f t="shared" si="1"/>
        <v>822</v>
      </c>
      <c r="C822" s="1" t="s">
        <v>2000</v>
      </c>
      <c r="D822" s="1" t="s">
        <v>2000</v>
      </c>
      <c r="E822" s="1" t="s">
        <v>964</v>
      </c>
      <c r="G822" s="1">
        <v>299822.0</v>
      </c>
      <c r="H822" s="2">
        <v>41183.0</v>
      </c>
      <c r="I822" s="1" t="s">
        <v>2001</v>
      </c>
      <c r="K822" s="1" t="s">
        <v>2001</v>
      </c>
      <c r="N822" s="1" t="s">
        <v>40</v>
      </c>
      <c r="O822" s="1">
        <v>7500.0</v>
      </c>
      <c r="P822" s="1" t="s">
        <v>40</v>
      </c>
      <c r="Q822" s="1" t="str">
        <f>IF(ISERROR(VLOOKUP(P822,'unique fed agency names'!A:C,3,FALSE)),P822,VLOOKUP(P822,'unique fed agency names'!A:C,3,FALSE))
</f>
        <v>U.S. Department of Health and Human Services (DHHS)</v>
      </c>
      <c r="R822" s="1">
        <v>3.8775243E7</v>
      </c>
      <c r="S822" s="1" t="s">
        <v>209</v>
      </c>
      <c r="T822" s="1" t="str">
        <f>IF(ISERROR(VLOOKUP(S822,'unique org names'!A:C,3,FALSE)),S822,VLOOKUP(S822,'unique org names'!A:C,3,FALSE))
</f>
        <v>SOUTHEASTERN MICHIGAN HEALTH ASSOCIATION</v>
      </c>
      <c r="U822" s="1" t="s">
        <v>210</v>
      </c>
      <c r="V822" s="1" t="s">
        <v>211</v>
      </c>
      <c r="W822" s="1" t="s">
        <v>44</v>
      </c>
      <c r="X822" s="1" t="s">
        <v>45</v>
      </c>
      <c r="Y822" s="1">
        <v>4.82023068E8</v>
      </c>
      <c r="AA822" s="1" t="s">
        <v>46</v>
      </c>
      <c r="AB822" s="1" t="s">
        <v>45</v>
      </c>
      <c r="AC822" s="1">
        <v>4.82023068E8</v>
      </c>
      <c r="AD822" s="1">
        <v>3.8775243E7</v>
      </c>
      <c r="AE822" s="1" t="s">
        <v>209</v>
      </c>
      <c r="AF822" s="1">
        <v>3440.0</v>
      </c>
      <c r="AG822" s="2">
        <v>41183.0</v>
      </c>
      <c r="AH822" s="1">
        <v>7500.0</v>
      </c>
      <c r="AI822" s="1" t="s">
        <v>40</v>
      </c>
      <c r="AJ822" s="1">
        <v>2.0131223E7</v>
      </c>
      <c r="AK822" s="1" t="s">
        <v>2002</v>
      </c>
      <c r="AL822" s="1">
        <v>10.0</v>
      </c>
      <c r="AM822" s="1">
        <v>2013.0</v>
      </c>
      <c r="AN822" s="1">
        <v>2013.0</v>
      </c>
      <c r="AO822" s="1" t="s">
        <v>1439</v>
      </c>
    </row>
    <row r="823">
      <c r="A823" s="5">
        <v>1.0</v>
      </c>
      <c r="B823" s="1">
        <f t="shared" si="1"/>
        <v>823</v>
      </c>
      <c r="C823" s="1" t="s">
        <v>1933</v>
      </c>
      <c r="D823" s="1" t="s">
        <v>1933</v>
      </c>
      <c r="E823" s="1" t="s">
        <v>100</v>
      </c>
      <c r="G823" s="1">
        <v>2297904.0</v>
      </c>
      <c r="H823" s="2">
        <v>41548.0</v>
      </c>
      <c r="I823" s="1" t="s">
        <v>1858</v>
      </c>
      <c r="K823" s="1" t="s">
        <v>1858</v>
      </c>
      <c r="N823" s="1" t="s">
        <v>102</v>
      </c>
      <c r="O823" s="1">
        <v>8600.0</v>
      </c>
      <c r="P823" s="1" t="s">
        <v>102</v>
      </c>
      <c r="Q823" s="1" t="str">
        <f>IF(ISERROR(VLOOKUP(P823,'unique fed agency names'!A:C,3,FALSE)),P823,VLOOKUP(P823,'unique fed agency names'!A:C,3,FALSE))
</f>
        <v>U.S. Department of Housing and Urban Development (HUD)</v>
      </c>
      <c r="R823" s="1">
        <v>1.61078902E8</v>
      </c>
      <c r="S823" s="1" t="s">
        <v>1010</v>
      </c>
      <c r="T823" s="1" t="str">
        <f>IF(ISERROR(VLOOKUP(S823,'unique org names'!A:C,3,FALSE)),S823,VLOOKUP(S823,'unique org names'!A:C,3,FALSE))
</f>
        <v>COALITION ON TEMPORARY SHELTER</v>
      </c>
      <c r="U823" s="1" t="s">
        <v>1011</v>
      </c>
      <c r="V823" s="1" t="s">
        <v>1012</v>
      </c>
      <c r="W823" s="1" t="s">
        <v>44</v>
      </c>
      <c r="X823" s="1" t="s">
        <v>45</v>
      </c>
      <c r="Y823" s="1">
        <v>4.82012722E8</v>
      </c>
      <c r="AA823" s="1" t="s">
        <v>46</v>
      </c>
      <c r="AB823" s="1" t="s">
        <v>45</v>
      </c>
      <c r="AC823" s="1">
        <v>4.82012722E8</v>
      </c>
      <c r="AD823" s="1">
        <v>1.61078902E8</v>
      </c>
      <c r="AE823" s="1" t="s">
        <v>1010</v>
      </c>
      <c r="AF823" s="1">
        <v>359938.19</v>
      </c>
      <c r="AG823" s="2">
        <v>41548.0</v>
      </c>
      <c r="AH823" s="1">
        <v>8600.0</v>
      </c>
      <c r="AI823" s="1" t="s">
        <v>102</v>
      </c>
      <c r="AJ823" s="1">
        <v>2.0140892E7</v>
      </c>
      <c r="AK823" s="1" t="s">
        <v>978</v>
      </c>
      <c r="AL823" s="1">
        <v>10.0</v>
      </c>
      <c r="AM823" s="1">
        <v>2012.0</v>
      </c>
      <c r="AN823" s="1">
        <v>2014.0</v>
      </c>
      <c r="AO823" s="1" t="s">
        <v>1860</v>
      </c>
    </row>
    <row r="824">
      <c r="A824" s="5">
        <v>1.0</v>
      </c>
      <c r="B824" s="1">
        <f t="shared" si="1"/>
        <v>824</v>
      </c>
      <c r="C824" s="1" t="s">
        <v>1933</v>
      </c>
      <c r="D824" s="1" t="s">
        <v>1933</v>
      </c>
      <c r="E824" s="1" t="s">
        <v>100</v>
      </c>
      <c r="G824" s="1">
        <v>2297904.0</v>
      </c>
      <c r="H824" s="2">
        <v>41183.0</v>
      </c>
      <c r="I824" s="1" t="s">
        <v>1858</v>
      </c>
      <c r="K824" s="1" t="s">
        <v>1858</v>
      </c>
      <c r="N824" s="1" t="s">
        <v>102</v>
      </c>
      <c r="O824" s="1">
        <v>8600.0</v>
      </c>
      <c r="P824" s="1" t="s">
        <v>102</v>
      </c>
      <c r="Q824" s="1" t="str">
        <f>IF(ISERROR(VLOOKUP(P824,'unique fed agency names'!A:C,3,FALSE)),P824,VLOOKUP(P824,'unique fed agency names'!A:C,3,FALSE))
</f>
        <v>U.S. Department of Housing and Urban Development (HUD)</v>
      </c>
      <c r="R824" s="1">
        <v>6.07778081E8</v>
      </c>
      <c r="S824" s="1" t="s">
        <v>1002</v>
      </c>
      <c r="T824" s="1" t="str">
        <f>IF(ISERROR(VLOOKUP(S824,'unique org names'!A:C,3,FALSE)),S824,VLOOKUP(S824,'unique org names'!A:C,3,FALSE))
</f>
        <v>TRAVELERS AID SOCIETY OF METROPOLITAN DETROIT</v>
      </c>
      <c r="U824" s="1" t="s">
        <v>1003</v>
      </c>
      <c r="V824" s="1" t="s">
        <v>1004</v>
      </c>
      <c r="W824" s="1" t="s">
        <v>44</v>
      </c>
      <c r="X824" s="1" t="s">
        <v>45</v>
      </c>
      <c r="Y824" s="1">
        <v>4.82261986E8</v>
      </c>
      <c r="AA824" s="1" t="s">
        <v>46</v>
      </c>
      <c r="AB824" s="1" t="s">
        <v>45</v>
      </c>
      <c r="AC824" s="1">
        <v>4.8226288E8</v>
      </c>
      <c r="AD824" s="1">
        <v>6.07778081E8</v>
      </c>
      <c r="AE824" s="1" t="s">
        <v>1002</v>
      </c>
      <c r="AF824" s="1">
        <v>126939.0</v>
      </c>
      <c r="AG824" s="2">
        <v>41183.0</v>
      </c>
      <c r="AH824" s="1">
        <v>8600.0</v>
      </c>
      <c r="AI824" s="1" t="s">
        <v>102</v>
      </c>
      <c r="AJ824" s="1">
        <v>2.0130877E7</v>
      </c>
      <c r="AK824" s="1" t="s">
        <v>978</v>
      </c>
      <c r="AL824" s="1">
        <v>10.0</v>
      </c>
      <c r="AM824" s="1">
        <v>2012.0</v>
      </c>
      <c r="AN824" s="1">
        <v>2013.0</v>
      </c>
      <c r="AO824" s="1" t="s">
        <v>1860</v>
      </c>
    </row>
    <row r="825">
      <c r="A825" s="5">
        <v>1.0</v>
      </c>
      <c r="B825" s="1">
        <f t="shared" si="1"/>
        <v>825</v>
      </c>
      <c r="C825" s="1" t="s">
        <v>1935</v>
      </c>
      <c r="D825" s="1" t="s">
        <v>1935</v>
      </c>
      <c r="E825" s="1">
        <v>7545.0</v>
      </c>
      <c r="G825" s="1">
        <v>1.1417298E7</v>
      </c>
      <c r="H825" s="2">
        <v>41913.0</v>
      </c>
      <c r="I825" s="1" t="s">
        <v>1936</v>
      </c>
      <c r="K825" s="1" t="s">
        <v>1936</v>
      </c>
      <c r="N825" s="1" t="s">
        <v>40</v>
      </c>
      <c r="O825" s="1">
        <v>7500.0</v>
      </c>
      <c r="P825" s="1" t="s">
        <v>40</v>
      </c>
      <c r="Q825" s="1" t="str">
        <f>IF(ISERROR(VLOOKUP(P825,'unique fed agency names'!A:C,3,FALSE)),P825,VLOOKUP(P825,'unique fed agency names'!A:C,3,FALSE))
</f>
        <v>U.S. Department of Health and Human Services (DHHS)</v>
      </c>
      <c r="R825" s="1">
        <v>4.6842605E7</v>
      </c>
      <c r="S825" s="1" t="s">
        <v>165</v>
      </c>
      <c r="T825" s="1" t="str">
        <f>IF(ISERROR(VLOOKUP(S825,'unique org names'!A:C,3,FALSE)),S825,VLOOKUP(S825,'unique org names'!A:C,3,FALSE))
</f>
        <v>DETROIT AREA AGENCY ON AGING</v>
      </c>
      <c r="U825" s="1" t="s">
        <v>166</v>
      </c>
      <c r="V825" s="1" t="s">
        <v>167</v>
      </c>
      <c r="W825" s="1" t="s">
        <v>44</v>
      </c>
      <c r="X825" s="1" t="s">
        <v>45</v>
      </c>
      <c r="Y825" s="1">
        <v>4.82074544E8</v>
      </c>
      <c r="AA825" s="1" t="s">
        <v>46</v>
      </c>
      <c r="AB825" s="1" t="s">
        <v>45</v>
      </c>
      <c r="AC825" s="1">
        <v>4.82074544E8</v>
      </c>
      <c r="AF825" s="1">
        <v>1038596.0</v>
      </c>
      <c r="AG825" s="2">
        <v>41913.0</v>
      </c>
      <c r="AH825" s="1">
        <v>7500.0</v>
      </c>
      <c r="AI825" s="1" t="s">
        <v>40</v>
      </c>
      <c r="AJ825" s="1">
        <v>2.0141854E7</v>
      </c>
      <c r="AK825" s="1" t="s">
        <v>392</v>
      </c>
      <c r="AL825" s="1">
        <v>10.0</v>
      </c>
      <c r="AM825" s="1">
        <v>2013.0</v>
      </c>
      <c r="AN825" s="1">
        <v>2015.0</v>
      </c>
      <c r="AO825" s="1" t="s">
        <v>1919</v>
      </c>
    </row>
    <row r="826">
      <c r="A826" s="5">
        <v>1.0</v>
      </c>
      <c r="B826" s="1">
        <f t="shared" si="1"/>
        <v>826</v>
      </c>
      <c r="C826" s="1" t="s">
        <v>2022</v>
      </c>
      <c r="D826" s="1" t="s">
        <v>2022</v>
      </c>
      <c r="E826" s="1" t="s">
        <v>100</v>
      </c>
      <c r="G826" s="1">
        <v>336484.0</v>
      </c>
      <c r="H826" s="2">
        <v>41456.0</v>
      </c>
      <c r="I826" s="1" t="s">
        <v>1433</v>
      </c>
      <c r="K826" s="1" t="s">
        <v>1433</v>
      </c>
      <c r="N826" s="1" t="s">
        <v>102</v>
      </c>
      <c r="O826" s="1">
        <v>8600.0</v>
      </c>
      <c r="P826" s="1" t="s">
        <v>102</v>
      </c>
      <c r="Q826" s="1" t="str">
        <f>IF(ISERROR(VLOOKUP(P826,'unique fed agency names'!A:C,3,FALSE)),P826,VLOOKUP(P826,'unique fed agency names'!A:C,3,FALSE))
</f>
        <v>U.S. Department of Housing and Urban Development (HUD)</v>
      </c>
      <c r="R826" s="1">
        <v>6.9840817E7</v>
      </c>
      <c r="S826" s="1" t="s">
        <v>131</v>
      </c>
      <c r="T826" s="1" t="str">
        <f>IF(ISERROR(VLOOKUP(S826,'unique org names'!A:C,3,FALSE)),S826,VLOOKUP(S826,'unique org names'!A:C,3,FALSE))
</f>
        <v>LUTHERAN SOCIAL SERVICES OF MICHIGAN</v>
      </c>
      <c r="V826" s="1" t="s">
        <v>132</v>
      </c>
      <c r="W826" s="1" t="s">
        <v>44</v>
      </c>
      <c r="X826" s="1" t="s">
        <v>45</v>
      </c>
      <c r="Y826" s="1">
        <v>4.8214261E8</v>
      </c>
      <c r="AA826" s="1" t="s">
        <v>46</v>
      </c>
      <c r="AB826" s="1" t="s">
        <v>45</v>
      </c>
      <c r="AC826" s="1">
        <v>4.8214261E8</v>
      </c>
      <c r="AD826" s="1">
        <v>6.9840817E7</v>
      </c>
      <c r="AE826" s="1" t="s">
        <v>131</v>
      </c>
      <c r="AF826" s="1">
        <v>377445.32</v>
      </c>
      <c r="AG826" s="2">
        <v>41456.0</v>
      </c>
      <c r="AH826" s="1">
        <v>8600.0</v>
      </c>
      <c r="AI826" s="1" t="s">
        <v>102</v>
      </c>
      <c r="AJ826" s="1" t="s">
        <v>2023</v>
      </c>
      <c r="AK826" s="1" t="s">
        <v>2024</v>
      </c>
      <c r="AL826" s="1">
        <v>12.0</v>
      </c>
      <c r="AM826" s="1">
        <v>2014.0</v>
      </c>
      <c r="AN826" s="1">
        <v>2013.0</v>
      </c>
      <c r="AO826" s="1" t="s">
        <v>367</v>
      </c>
    </row>
    <row r="827">
      <c r="A827" s="5">
        <v>1.0</v>
      </c>
      <c r="B827" s="1">
        <f t="shared" si="1"/>
        <v>827</v>
      </c>
      <c r="C827" s="1" t="s">
        <v>2025</v>
      </c>
      <c r="D827" s="1" t="s">
        <v>2025</v>
      </c>
      <c r="E827" s="1" t="s">
        <v>100</v>
      </c>
      <c r="G827" s="1">
        <v>2266533.0</v>
      </c>
      <c r="H827" s="2">
        <v>41456.0</v>
      </c>
      <c r="I827" s="1" t="s">
        <v>332</v>
      </c>
      <c r="K827" s="1" t="s">
        <v>332</v>
      </c>
      <c r="N827" s="1" t="s">
        <v>102</v>
      </c>
      <c r="O827" s="1">
        <v>8600.0</v>
      </c>
      <c r="P827" s="1" t="s">
        <v>102</v>
      </c>
      <c r="Q827" s="1" t="str">
        <f>IF(ISERROR(VLOOKUP(P827,'unique fed agency names'!A:C,3,FALSE)),P827,VLOOKUP(P827,'unique fed agency names'!A:C,3,FALSE))
</f>
        <v>U.S. Department of Housing and Urban Development (HUD)</v>
      </c>
      <c r="R827" s="1">
        <v>8.29947949E8</v>
      </c>
      <c r="S827" s="1" t="s">
        <v>2026</v>
      </c>
      <c r="T827" s="1" t="str">
        <f>IF(ISERROR(VLOOKUP(S827,'unique org names'!A:C,3,FALSE)),S827,VLOOKUP(S827,'unique org names'!A:C,3,FALSE))
</f>
        <v>National Faith Homebuyers</v>
      </c>
      <c r="V827" s="1" t="s">
        <v>2027</v>
      </c>
      <c r="W827" s="1" t="s">
        <v>44</v>
      </c>
      <c r="X827" s="1" t="s">
        <v>45</v>
      </c>
      <c r="Y827" s="1">
        <v>4.82263119E8</v>
      </c>
      <c r="AA827" s="1" t="s">
        <v>46</v>
      </c>
      <c r="AB827" s="1" t="s">
        <v>45</v>
      </c>
      <c r="AC827" s="1">
        <v>4.82263119E8</v>
      </c>
      <c r="AF827" s="1">
        <v>250000.0</v>
      </c>
      <c r="AG827" s="2">
        <v>41456.0</v>
      </c>
      <c r="AH827" s="1">
        <v>8600.0</v>
      </c>
      <c r="AI827" s="1" t="s">
        <v>102</v>
      </c>
      <c r="AJ827" s="1" t="s">
        <v>2025</v>
      </c>
      <c r="AK827" s="1" t="s">
        <v>2028</v>
      </c>
      <c r="AL827" s="1">
        <v>12.0</v>
      </c>
      <c r="AM827" s="1">
        <v>2014.0</v>
      </c>
      <c r="AN827" s="1">
        <v>2013.0</v>
      </c>
      <c r="AO827" s="1" t="s">
        <v>334</v>
      </c>
    </row>
    <row r="828">
      <c r="A828" s="5">
        <v>1.0</v>
      </c>
      <c r="B828" s="1">
        <f t="shared" si="1"/>
        <v>828</v>
      </c>
      <c r="C828" s="1" t="s">
        <v>1933</v>
      </c>
      <c r="D828" s="1" t="s">
        <v>1933</v>
      </c>
      <c r="E828" s="1" t="s">
        <v>100</v>
      </c>
      <c r="G828" s="1">
        <v>2297904.0</v>
      </c>
      <c r="H828" s="2">
        <v>41548.0</v>
      </c>
      <c r="I828" s="1" t="s">
        <v>1858</v>
      </c>
      <c r="K828" s="1" t="s">
        <v>1858</v>
      </c>
      <c r="N828" s="1" t="s">
        <v>102</v>
      </c>
      <c r="O828" s="1">
        <v>8600.0</v>
      </c>
      <c r="P828" s="1" t="s">
        <v>102</v>
      </c>
      <c r="Q828" s="1" t="str">
        <f>IF(ISERROR(VLOOKUP(P828,'unique fed agency names'!A:C,3,FALSE)),P828,VLOOKUP(P828,'unique fed agency names'!A:C,3,FALSE))
</f>
        <v>U.S. Department of Housing and Urban Development (HUD)</v>
      </c>
      <c r="R828" s="1">
        <v>4.3419399E7</v>
      </c>
      <c r="S828" s="1" t="s">
        <v>979</v>
      </c>
      <c r="T828" s="1" t="str">
        <f>IF(ISERROR(VLOOKUP(S828,'unique org names'!A:C,3,FALSE)),S828,VLOOKUP(S828,'unique org names'!A:C,3,FALSE))
</f>
        <v>NEIGHBORHOOD SERVICE ORGANIZATION</v>
      </c>
      <c r="V828" s="1" t="s">
        <v>1934</v>
      </c>
      <c r="W828" s="1" t="s">
        <v>44</v>
      </c>
      <c r="X828" s="1" t="s">
        <v>45</v>
      </c>
      <c r="Y828" s="1">
        <v>4.82384019E8</v>
      </c>
      <c r="AA828" s="1" t="s">
        <v>46</v>
      </c>
      <c r="AB828" s="1" t="s">
        <v>45</v>
      </c>
      <c r="AC828" s="1">
        <v>4.82384019E8</v>
      </c>
      <c r="AD828" s="1">
        <v>4.3419399E7</v>
      </c>
      <c r="AE828" s="1" t="s">
        <v>979</v>
      </c>
      <c r="AF828" s="1">
        <v>100492.57</v>
      </c>
      <c r="AG828" s="2">
        <v>41548.0</v>
      </c>
      <c r="AH828" s="1">
        <v>8600.0</v>
      </c>
      <c r="AI828" s="1" t="s">
        <v>102</v>
      </c>
      <c r="AJ828" s="1">
        <v>2.0141498E7</v>
      </c>
      <c r="AK828" s="1" t="s">
        <v>978</v>
      </c>
      <c r="AL828" s="1">
        <v>10.0</v>
      </c>
      <c r="AM828" s="1">
        <v>2012.0</v>
      </c>
      <c r="AN828" s="1">
        <v>2014.0</v>
      </c>
      <c r="AO828" s="1" t="s">
        <v>1860</v>
      </c>
    </row>
    <row r="829">
      <c r="A829" s="5">
        <v>1.0</v>
      </c>
      <c r="B829" s="1">
        <f t="shared" si="1"/>
        <v>829</v>
      </c>
      <c r="C829" s="1" t="s">
        <v>1933</v>
      </c>
      <c r="D829" s="1" t="s">
        <v>1933</v>
      </c>
      <c r="E829" s="1" t="s">
        <v>100</v>
      </c>
      <c r="G829" s="1">
        <v>2297904.0</v>
      </c>
      <c r="H829" s="2">
        <v>41548.0</v>
      </c>
      <c r="I829" s="1" t="s">
        <v>1858</v>
      </c>
      <c r="K829" s="1" t="s">
        <v>1858</v>
      </c>
      <c r="N829" s="1" t="s">
        <v>102</v>
      </c>
      <c r="O829" s="1">
        <v>8600.0</v>
      </c>
      <c r="P829" s="1" t="s">
        <v>102</v>
      </c>
      <c r="Q829" s="1" t="str">
        <f>IF(ISERROR(VLOOKUP(P829,'unique fed agency names'!A:C,3,FALSE)),P829,VLOOKUP(P829,'unique fed agency names'!A:C,3,FALSE))
</f>
        <v>U.S. Department of Housing and Urban Development (HUD)</v>
      </c>
      <c r="R829" s="1">
        <v>6.07778081E8</v>
      </c>
      <c r="S829" s="1" t="s">
        <v>1002</v>
      </c>
      <c r="T829" s="1" t="str">
        <f>IF(ISERROR(VLOOKUP(S829,'unique org names'!A:C,3,FALSE)),S829,VLOOKUP(S829,'unique org names'!A:C,3,FALSE))
</f>
        <v>TRAVELERS AID SOCIETY OF METROPOLITAN DETROIT</v>
      </c>
      <c r="U829" s="1" t="s">
        <v>1003</v>
      </c>
      <c r="V829" s="1" t="s">
        <v>1004</v>
      </c>
      <c r="W829" s="1" t="s">
        <v>44</v>
      </c>
      <c r="X829" s="1" t="s">
        <v>45</v>
      </c>
      <c r="Y829" s="1">
        <v>4.82261986E8</v>
      </c>
      <c r="AA829" s="1" t="s">
        <v>46</v>
      </c>
      <c r="AB829" s="1" t="s">
        <v>45</v>
      </c>
      <c r="AC829" s="1">
        <v>4.8226288E8</v>
      </c>
      <c r="AD829" s="1">
        <v>6.07778081E8</v>
      </c>
      <c r="AE829" s="1" t="s">
        <v>1002</v>
      </c>
      <c r="AF829" s="1">
        <v>151931.08</v>
      </c>
      <c r="AG829" s="2">
        <v>41548.0</v>
      </c>
      <c r="AH829" s="1">
        <v>8600.0</v>
      </c>
      <c r="AI829" s="1" t="s">
        <v>102</v>
      </c>
      <c r="AJ829" s="1">
        <v>2.0140941E7</v>
      </c>
      <c r="AK829" s="1" t="s">
        <v>978</v>
      </c>
      <c r="AL829" s="1">
        <v>10.0</v>
      </c>
      <c r="AM829" s="1">
        <v>2012.0</v>
      </c>
      <c r="AN829" s="1">
        <v>2014.0</v>
      </c>
      <c r="AO829" s="1" t="s">
        <v>1860</v>
      </c>
    </row>
    <row r="830">
      <c r="A830" s="5">
        <v>1.0</v>
      </c>
      <c r="B830" s="1">
        <f t="shared" si="1"/>
        <v>830</v>
      </c>
      <c r="C830" s="1" t="s">
        <v>1933</v>
      </c>
      <c r="D830" s="1" t="s">
        <v>1933</v>
      </c>
      <c r="E830" s="1" t="s">
        <v>100</v>
      </c>
      <c r="G830" s="1">
        <v>2297904.0</v>
      </c>
      <c r="H830" s="2">
        <v>41183.0</v>
      </c>
      <c r="I830" s="1" t="s">
        <v>1858</v>
      </c>
      <c r="K830" s="1" t="s">
        <v>1858</v>
      </c>
      <c r="N830" s="1" t="s">
        <v>102</v>
      </c>
      <c r="O830" s="1">
        <v>8600.0</v>
      </c>
      <c r="P830" s="1" t="s">
        <v>102</v>
      </c>
      <c r="Q830" s="1" t="str">
        <f>IF(ISERROR(VLOOKUP(P830,'unique fed agency names'!A:C,3,FALSE)),P830,VLOOKUP(P830,'unique fed agency names'!A:C,3,FALSE))
</f>
        <v>U.S. Department of Housing and Urban Development (HUD)</v>
      </c>
      <c r="R830" s="1">
        <v>1.61078902E8</v>
      </c>
      <c r="S830" s="1" t="s">
        <v>1010</v>
      </c>
      <c r="T830" s="1" t="str">
        <f>IF(ISERROR(VLOOKUP(S830,'unique org names'!A:C,3,FALSE)),S830,VLOOKUP(S830,'unique org names'!A:C,3,FALSE))
</f>
        <v>COALITION ON TEMPORARY SHELTER</v>
      </c>
      <c r="U830" s="1" t="s">
        <v>1011</v>
      </c>
      <c r="V830" s="1" t="s">
        <v>1012</v>
      </c>
      <c r="W830" s="1" t="s">
        <v>44</v>
      </c>
      <c r="X830" s="1" t="s">
        <v>45</v>
      </c>
      <c r="Y830" s="1">
        <v>4.82012722E8</v>
      </c>
      <c r="AA830" s="1" t="s">
        <v>46</v>
      </c>
      <c r="AB830" s="1" t="s">
        <v>45</v>
      </c>
      <c r="AC830" s="1">
        <v>4.82012722E8</v>
      </c>
      <c r="AD830" s="1">
        <v>1.61078902E8</v>
      </c>
      <c r="AE830" s="1" t="s">
        <v>1010</v>
      </c>
      <c r="AF830" s="1">
        <v>317565.54</v>
      </c>
      <c r="AG830" s="2">
        <v>41183.0</v>
      </c>
      <c r="AH830" s="1">
        <v>8600.0</v>
      </c>
      <c r="AI830" s="1" t="s">
        <v>102</v>
      </c>
      <c r="AJ830" s="1">
        <v>2.0130882E7</v>
      </c>
      <c r="AK830" s="1" t="s">
        <v>978</v>
      </c>
      <c r="AL830" s="1">
        <v>10.0</v>
      </c>
      <c r="AM830" s="1">
        <v>2012.0</v>
      </c>
      <c r="AN830" s="1">
        <v>2013.0</v>
      </c>
      <c r="AO830" s="1" t="s">
        <v>1860</v>
      </c>
    </row>
    <row r="831">
      <c r="A831" s="5">
        <v>1.0</v>
      </c>
      <c r="B831" s="1">
        <f t="shared" si="1"/>
        <v>831</v>
      </c>
      <c r="C831" s="1" t="s">
        <v>2029</v>
      </c>
      <c r="D831" s="1" t="s">
        <v>2029</v>
      </c>
      <c r="E831" s="1" t="s">
        <v>389</v>
      </c>
      <c r="G831" s="1">
        <v>2881903.0</v>
      </c>
      <c r="H831" s="2">
        <v>41913.0</v>
      </c>
      <c r="I831" s="1" t="s">
        <v>390</v>
      </c>
      <c r="K831" s="1" t="s">
        <v>390</v>
      </c>
      <c r="N831" s="1" t="s">
        <v>391</v>
      </c>
      <c r="O831" s="1">
        <v>1600.0</v>
      </c>
      <c r="P831" s="1" t="s">
        <v>391</v>
      </c>
      <c r="Q831" s="1" t="str">
        <f>IF(ISERROR(VLOOKUP(P831,'unique fed agency names'!A:C,3,FALSE)),P831,VLOOKUP(P831,'unique fed agency names'!A:C,3,FALSE))
</f>
        <v>U.S. Department of Labor (DOL)</v>
      </c>
      <c r="R831" s="1">
        <v>4.6842605E7</v>
      </c>
      <c r="S831" s="1" t="s">
        <v>165</v>
      </c>
      <c r="T831" s="1" t="str">
        <f>IF(ISERROR(VLOOKUP(S831,'unique org names'!A:C,3,FALSE)),S831,VLOOKUP(S831,'unique org names'!A:C,3,FALSE))
</f>
        <v>DETROIT AREA AGENCY ON AGING</v>
      </c>
      <c r="U831" s="1" t="s">
        <v>166</v>
      </c>
      <c r="V831" s="1" t="s">
        <v>167</v>
      </c>
      <c r="W831" s="1" t="s">
        <v>44</v>
      </c>
      <c r="X831" s="1" t="s">
        <v>45</v>
      </c>
      <c r="Y831" s="1">
        <v>4.82074544E8</v>
      </c>
      <c r="AA831" s="1" t="s">
        <v>46</v>
      </c>
      <c r="AB831" s="1" t="s">
        <v>45</v>
      </c>
      <c r="AC831" s="1">
        <v>4.82074544E8</v>
      </c>
      <c r="AF831" s="1">
        <v>314607.3</v>
      </c>
      <c r="AG831" s="2">
        <v>41913.0</v>
      </c>
      <c r="AH831" s="1">
        <v>1600.0</v>
      </c>
      <c r="AI831" s="1" t="s">
        <v>391</v>
      </c>
      <c r="AJ831" s="1">
        <v>2.0152003E7</v>
      </c>
      <c r="AK831" s="1" t="s">
        <v>390</v>
      </c>
      <c r="AL831" s="1">
        <v>10.0</v>
      </c>
      <c r="AM831" s="1">
        <v>2013.0</v>
      </c>
      <c r="AN831" s="1">
        <v>2015.0</v>
      </c>
      <c r="AO831" s="1" t="s">
        <v>393</v>
      </c>
    </row>
    <row r="832">
      <c r="A832" s="5">
        <v>1.0</v>
      </c>
      <c r="B832" s="1">
        <f t="shared" si="1"/>
        <v>832</v>
      </c>
      <c r="C832" s="1" t="s">
        <v>1937</v>
      </c>
      <c r="D832" s="1" t="s">
        <v>1937</v>
      </c>
      <c r="E832" s="1" t="s">
        <v>389</v>
      </c>
      <c r="G832" s="1">
        <v>2832086.0</v>
      </c>
      <c r="H832" s="2">
        <v>41548.0</v>
      </c>
      <c r="I832" s="1" t="s">
        <v>390</v>
      </c>
      <c r="K832" s="1" t="s">
        <v>390</v>
      </c>
      <c r="N832" s="1" t="s">
        <v>391</v>
      </c>
      <c r="O832" s="1">
        <v>1600.0</v>
      </c>
      <c r="P832" s="1" t="s">
        <v>391</v>
      </c>
      <c r="Q832" s="1" t="str">
        <f>IF(ISERROR(VLOOKUP(P832,'unique fed agency names'!A:C,3,FALSE)),P832,VLOOKUP(P832,'unique fed agency names'!A:C,3,FALSE))
</f>
        <v>U.S. Department of Labor (DOL)</v>
      </c>
      <c r="R832" s="1">
        <v>4.6842605E7</v>
      </c>
      <c r="S832" s="1" t="s">
        <v>165</v>
      </c>
      <c r="T832" s="1" t="str">
        <f>IF(ISERROR(VLOOKUP(S832,'unique org names'!A:C,3,FALSE)),S832,VLOOKUP(S832,'unique org names'!A:C,3,FALSE))
</f>
        <v>DETROIT AREA AGENCY ON AGING</v>
      </c>
      <c r="U832" s="1" t="s">
        <v>166</v>
      </c>
      <c r="V832" s="1" t="s">
        <v>167</v>
      </c>
      <c r="W832" s="1" t="s">
        <v>44</v>
      </c>
      <c r="X832" s="1" t="s">
        <v>45</v>
      </c>
      <c r="Y832" s="1">
        <v>4.82074544E8</v>
      </c>
      <c r="AA832" s="1" t="s">
        <v>46</v>
      </c>
      <c r="AB832" s="1" t="s">
        <v>45</v>
      </c>
      <c r="AC832" s="1">
        <v>4.82074544E8</v>
      </c>
      <c r="AF832" s="1">
        <v>188635.0</v>
      </c>
      <c r="AG832" s="2">
        <v>41548.0</v>
      </c>
      <c r="AH832" s="1">
        <v>1600.0</v>
      </c>
      <c r="AI832" s="1" t="s">
        <v>391</v>
      </c>
      <c r="AJ832" s="1">
        <v>2.0141854E7</v>
      </c>
      <c r="AK832" s="1" t="s">
        <v>390</v>
      </c>
      <c r="AL832" s="1">
        <v>10.0</v>
      </c>
      <c r="AM832" s="1">
        <v>2013.0</v>
      </c>
      <c r="AN832" s="1">
        <v>2014.0</v>
      </c>
      <c r="AO832" s="1" t="s">
        <v>393</v>
      </c>
    </row>
    <row r="833">
      <c r="A833" s="5">
        <v>1.0</v>
      </c>
      <c r="B833" s="1">
        <f t="shared" si="1"/>
        <v>833</v>
      </c>
      <c r="C833" s="1" t="s">
        <v>2030</v>
      </c>
      <c r="D833" s="1" t="s">
        <v>2030</v>
      </c>
      <c r="E833" s="1" t="s">
        <v>70</v>
      </c>
      <c r="G833" s="1">
        <v>295220.0</v>
      </c>
      <c r="H833" s="2">
        <v>41709.0</v>
      </c>
      <c r="I833" s="1" t="s">
        <v>2031</v>
      </c>
      <c r="K833" s="1" t="s">
        <v>2031</v>
      </c>
      <c r="N833" s="1" t="s">
        <v>72</v>
      </c>
      <c r="O833" s="1">
        <v>1500.0</v>
      </c>
      <c r="P833" s="1" t="s">
        <v>72</v>
      </c>
      <c r="Q833" s="1" t="str">
        <f>IF(ISERROR(VLOOKUP(P833,'unique fed agency names'!A:C,3,FALSE)),P833,VLOOKUP(P833,'unique fed agency names'!A:C,3,FALSE))
</f>
        <v>U.S. Department of Justice (DOJ)</v>
      </c>
      <c r="R833" s="1">
        <v>1.26779763E8</v>
      </c>
      <c r="S833" s="1" t="s">
        <v>1967</v>
      </c>
      <c r="T833" s="1" t="str">
        <f>IF(ISERROR(VLOOKUP(S833,'unique org names'!A:C,3,FALSE)),S833,VLOOKUP(S833,'unique org names'!A:C,3,FALSE))
</f>
        <v>City Connect Detroit</v>
      </c>
      <c r="V833" s="1" t="s">
        <v>1968</v>
      </c>
      <c r="W833" s="1" t="s">
        <v>44</v>
      </c>
      <c r="X833" s="1" t="s">
        <v>45</v>
      </c>
      <c r="Y833" s="1">
        <v>4.8226135E8</v>
      </c>
      <c r="AA833" s="1" t="s">
        <v>46</v>
      </c>
      <c r="AB833" s="1" t="s">
        <v>45</v>
      </c>
      <c r="AC833" s="1">
        <v>48226.0</v>
      </c>
      <c r="AF833" s="1">
        <v>286755.0</v>
      </c>
      <c r="AG833" s="2">
        <v>41709.0</v>
      </c>
      <c r="AH833" s="1">
        <v>1500.0</v>
      </c>
      <c r="AI833" s="1" t="s">
        <v>72</v>
      </c>
      <c r="AJ833" s="1" t="s">
        <v>2032</v>
      </c>
      <c r="AK833" s="1" t="s">
        <v>2033</v>
      </c>
      <c r="AL833" s="1">
        <v>12.0</v>
      </c>
      <c r="AM833" s="1">
        <v>2014.0</v>
      </c>
      <c r="AN833" s="1">
        <v>2014.0</v>
      </c>
      <c r="AO833" s="1" t="s">
        <v>2034</v>
      </c>
    </row>
    <row r="834">
      <c r="A834" s="5">
        <v>1.0</v>
      </c>
      <c r="B834" s="1">
        <f t="shared" si="1"/>
        <v>834</v>
      </c>
      <c r="C834" s="1" t="s">
        <v>2025</v>
      </c>
      <c r="D834" s="1" t="s">
        <v>2025</v>
      </c>
      <c r="E834" s="1" t="s">
        <v>100</v>
      </c>
      <c r="G834" s="1">
        <v>2266533.0</v>
      </c>
      <c r="H834" s="2">
        <v>41456.0</v>
      </c>
      <c r="I834" s="1" t="s">
        <v>332</v>
      </c>
      <c r="K834" s="1" t="s">
        <v>332</v>
      </c>
      <c r="N834" s="1" t="s">
        <v>102</v>
      </c>
      <c r="O834" s="1">
        <v>8600.0</v>
      </c>
      <c r="P834" s="1" t="s">
        <v>102</v>
      </c>
      <c r="Q834" s="1" t="str">
        <f>IF(ISERROR(VLOOKUP(P834,'unique fed agency names'!A:C,3,FALSE)),P834,VLOOKUP(P834,'unique fed agency names'!A:C,3,FALSE))
</f>
        <v>U.S. Department of Housing and Urban Development (HUD)</v>
      </c>
      <c r="R834" s="1">
        <v>6.03181835E8</v>
      </c>
      <c r="S834" s="1" t="s">
        <v>2035</v>
      </c>
      <c r="T834" s="1" t="str">
        <f>IF(ISERROR(VLOOKUP(S834,'unique org names'!A:C,3,FALSE)),S834,VLOOKUP(S834,'unique org names'!A:C,3,FALSE))
</f>
        <v>Habitat for Humanity Metro Detroit</v>
      </c>
      <c r="V834" s="1" t="s">
        <v>2036</v>
      </c>
      <c r="W834" s="1" t="s">
        <v>44</v>
      </c>
      <c r="X834" s="1" t="s">
        <v>45</v>
      </c>
      <c r="Y834" s="1">
        <v>4.82054059E8</v>
      </c>
      <c r="AA834" s="1" t="s">
        <v>607</v>
      </c>
      <c r="AB834" s="1" t="s">
        <v>45</v>
      </c>
      <c r="AC834" s="1">
        <v>4.82054059E8</v>
      </c>
      <c r="AF834" s="1">
        <v>1062500.0</v>
      </c>
      <c r="AG834" s="2">
        <v>41456.0</v>
      </c>
      <c r="AH834" s="1">
        <v>8600.0</v>
      </c>
      <c r="AI834" s="1" t="s">
        <v>102</v>
      </c>
      <c r="AJ834" s="1" t="s">
        <v>2025</v>
      </c>
      <c r="AK834" s="1" t="s">
        <v>2028</v>
      </c>
      <c r="AL834" s="1">
        <v>12.0</v>
      </c>
      <c r="AM834" s="1">
        <v>2014.0</v>
      </c>
      <c r="AN834" s="1">
        <v>2013.0</v>
      </c>
      <c r="AO834" s="1" t="s">
        <v>334</v>
      </c>
    </row>
    <row r="835">
      <c r="A835" s="5">
        <v>1.0</v>
      </c>
      <c r="B835" s="1">
        <f t="shared" si="1"/>
        <v>835</v>
      </c>
      <c r="C835" s="1" t="s">
        <v>2037</v>
      </c>
      <c r="D835" s="1" t="s">
        <v>2037</v>
      </c>
      <c r="E835" s="1">
        <v>7545.0</v>
      </c>
      <c r="G835" s="1">
        <v>651289.0</v>
      </c>
      <c r="H835" s="2">
        <v>41548.0</v>
      </c>
      <c r="I835" s="1" t="s">
        <v>2038</v>
      </c>
      <c r="K835" s="1" t="s">
        <v>2038</v>
      </c>
      <c r="N835" s="1" t="s">
        <v>40</v>
      </c>
      <c r="O835" s="1">
        <v>7500.0</v>
      </c>
      <c r="P835" s="1" t="s">
        <v>40</v>
      </c>
      <c r="Q835" s="1" t="str">
        <f>IF(ISERROR(VLOOKUP(P835,'unique fed agency names'!A:C,3,FALSE)),P835,VLOOKUP(P835,'unique fed agency names'!A:C,3,FALSE))
</f>
        <v>U.S. Department of Health and Human Services (DHHS)</v>
      </c>
      <c r="R835" s="1">
        <v>4.6842605E7</v>
      </c>
      <c r="S835" s="1" t="s">
        <v>165</v>
      </c>
      <c r="T835" s="1" t="str">
        <f>IF(ISERROR(VLOOKUP(S835,'unique org names'!A:C,3,FALSE)),S835,VLOOKUP(S835,'unique org names'!A:C,3,FALSE))
</f>
        <v>DETROIT AREA AGENCY ON AGING</v>
      </c>
      <c r="U835" s="1" t="s">
        <v>166</v>
      </c>
      <c r="V835" s="1" t="s">
        <v>167</v>
      </c>
      <c r="W835" s="1" t="s">
        <v>44</v>
      </c>
      <c r="X835" s="1" t="s">
        <v>45</v>
      </c>
      <c r="Y835" s="1">
        <v>4.82074544E8</v>
      </c>
      <c r="AA835" s="1" t="s">
        <v>46</v>
      </c>
      <c r="AB835" s="1" t="s">
        <v>45</v>
      </c>
      <c r="AC835" s="1">
        <v>4.82074544E8</v>
      </c>
      <c r="AF835" s="1">
        <v>71702.0</v>
      </c>
      <c r="AG835" s="2">
        <v>41548.0</v>
      </c>
      <c r="AH835" s="1">
        <v>7500.0</v>
      </c>
      <c r="AI835" s="1" t="s">
        <v>40</v>
      </c>
      <c r="AJ835" s="1">
        <v>2.0141854E7</v>
      </c>
      <c r="AK835" s="1" t="s">
        <v>392</v>
      </c>
      <c r="AL835" s="1">
        <v>10.0</v>
      </c>
      <c r="AM835" s="1">
        <v>2013.0</v>
      </c>
      <c r="AN835" s="1">
        <v>2014.0</v>
      </c>
      <c r="AO835" s="1" t="s">
        <v>1942</v>
      </c>
    </row>
    <row r="836">
      <c r="A836" s="5">
        <v>1.0</v>
      </c>
      <c r="B836" s="1">
        <f t="shared" si="1"/>
        <v>836</v>
      </c>
      <c r="C836" s="1" t="s">
        <v>2039</v>
      </c>
      <c r="D836" s="1" t="s">
        <v>2039</v>
      </c>
      <c r="E836" s="1">
        <v>7545.0</v>
      </c>
      <c r="G836" s="1">
        <v>7434636.0</v>
      </c>
      <c r="H836" s="2">
        <v>41548.0</v>
      </c>
      <c r="I836" s="1" t="s">
        <v>2040</v>
      </c>
      <c r="K836" s="1" t="s">
        <v>2040</v>
      </c>
      <c r="N836" s="1" t="s">
        <v>40</v>
      </c>
      <c r="O836" s="1">
        <v>7500.0</v>
      </c>
      <c r="P836" s="1" t="s">
        <v>40</v>
      </c>
      <c r="Q836" s="1" t="str">
        <f>IF(ISERROR(VLOOKUP(P836,'unique fed agency names'!A:C,3,FALSE)),P836,VLOOKUP(P836,'unique fed agency names'!A:C,3,FALSE))
</f>
        <v>U.S. Department of Health and Human Services (DHHS)</v>
      </c>
      <c r="R836" s="1">
        <v>4.6842605E7</v>
      </c>
      <c r="S836" s="1" t="s">
        <v>165</v>
      </c>
      <c r="T836" s="1" t="str">
        <f>IF(ISERROR(VLOOKUP(S836,'unique org names'!A:C,3,FALSE)),S836,VLOOKUP(S836,'unique org names'!A:C,3,FALSE))
</f>
        <v>DETROIT AREA AGENCY ON AGING</v>
      </c>
      <c r="U836" s="1" t="s">
        <v>166</v>
      </c>
      <c r="V836" s="1" t="s">
        <v>167</v>
      </c>
      <c r="W836" s="1" t="s">
        <v>44</v>
      </c>
      <c r="X836" s="1" t="s">
        <v>45</v>
      </c>
      <c r="Y836" s="1">
        <v>4.82074544E8</v>
      </c>
      <c r="AA836" s="1" t="s">
        <v>46</v>
      </c>
      <c r="AB836" s="1" t="s">
        <v>45</v>
      </c>
      <c r="AC836" s="1">
        <v>4.82074544E8</v>
      </c>
      <c r="AF836" s="1">
        <v>621536.0</v>
      </c>
      <c r="AG836" s="2">
        <v>41548.0</v>
      </c>
      <c r="AH836" s="1">
        <v>7500.0</v>
      </c>
      <c r="AI836" s="1" t="s">
        <v>40</v>
      </c>
      <c r="AJ836" s="1">
        <v>2.0141854E7</v>
      </c>
      <c r="AK836" s="1" t="s">
        <v>392</v>
      </c>
      <c r="AL836" s="1">
        <v>10.0</v>
      </c>
      <c r="AM836" s="1">
        <v>2013.0</v>
      </c>
      <c r="AN836" s="1">
        <v>2014.0</v>
      </c>
      <c r="AO836" s="1" t="s">
        <v>1106</v>
      </c>
    </row>
    <row r="837">
      <c r="A837" s="5">
        <v>1.0</v>
      </c>
      <c r="B837" s="1">
        <f t="shared" si="1"/>
        <v>837</v>
      </c>
      <c r="C837" s="1" t="s">
        <v>2041</v>
      </c>
      <c r="D837" s="1" t="s">
        <v>2041</v>
      </c>
      <c r="E837" s="1">
        <v>7545.0</v>
      </c>
      <c r="G837" s="1">
        <v>8966056.0</v>
      </c>
      <c r="H837" s="2">
        <v>41548.0</v>
      </c>
      <c r="I837" s="1" t="s">
        <v>2042</v>
      </c>
      <c r="K837" s="1" t="s">
        <v>2042</v>
      </c>
      <c r="N837" s="1" t="s">
        <v>40</v>
      </c>
      <c r="O837" s="1">
        <v>7500.0</v>
      </c>
      <c r="P837" s="1" t="s">
        <v>40</v>
      </c>
      <c r="Q837" s="1" t="str">
        <f>IF(ISERROR(VLOOKUP(P837,'unique fed agency names'!A:C,3,FALSE)),P837,VLOOKUP(P837,'unique fed agency names'!A:C,3,FALSE))
</f>
        <v>U.S. Department of Health and Human Services (DHHS)</v>
      </c>
      <c r="R837" s="1">
        <v>4.6842605E7</v>
      </c>
      <c r="S837" s="1" t="s">
        <v>165</v>
      </c>
      <c r="T837" s="1" t="str">
        <f>IF(ISERROR(VLOOKUP(S837,'unique org names'!A:C,3,FALSE)),S837,VLOOKUP(S837,'unique org names'!A:C,3,FALSE))
</f>
        <v>DETROIT AREA AGENCY ON AGING</v>
      </c>
      <c r="U837" s="1" t="s">
        <v>166</v>
      </c>
      <c r="V837" s="1" t="s">
        <v>167</v>
      </c>
      <c r="W837" s="1" t="s">
        <v>44</v>
      </c>
      <c r="X837" s="1" t="s">
        <v>45</v>
      </c>
      <c r="Y837" s="1">
        <v>4.82074544E8</v>
      </c>
      <c r="AA837" s="1" t="s">
        <v>46</v>
      </c>
      <c r="AB837" s="1" t="s">
        <v>45</v>
      </c>
      <c r="AC837" s="1">
        <v>4.82074544E8</v>
      </c>
      <c r="AF837" s="1">
        <v>574536.0</v>
      </c>
      <c r="AG837" s="2">
        <v>41548.0</v>
      </c>
      <c r="AH837" s="1">
        <v>7500.0</v>
      </c>
      <c r="AI837" s="1" t="s">
        <v>40</v>
      </c>
      <c r="AJ837" s="1">
        <v>2.0141854E7</v>
      </c>
      <c r="AK837" s="1" t="s">
        <v>392</v>
      </c>
      <c r="AL837" s="1">
        <v>10.0</v>
      </c>
      <c r="AM837" s="1">
        <v>2013.0</v>
      </c>
      <c r="AN837" s="1">
        <v>2014.0</v>
      </c>
      <c r="AO837" s="1" t="s">
        <v>1109</v>
      </c>
    </row>
    <row r="838">
      <c r="A838" s="5">
        <v>1.0</v>
      </c>
      <c r="B838" s="1">
        <f t="shared" si="1"/>
        <v>838</v>
      </c>
      <c r="C838" s="1" t="s">
        <v>2043</v>
      </c>
      <c r="D838" s="1" t="s">
        <v>2043</v>
      </c>
      <c r="E838" s="1">
        <v>7545.0</v>
      </c>
      <c r="G838" s="1">
        <v>1.1299164E7</v>
      </c>
      <c r="H838" s="2">
        <v>41548.0</v>
      </c>
      <c r="I838" s="1" t="s">
        <v>2044</v>
      </c>
      <c r="K838" s="1" t="s">
        <v>2044</v>
      </c>
      <c r="N838" s="1" t="s">
        <v>40</v>
      </c>
      <c r="O838" s="1">
        <v>7500.0</v>
      </c>
      <c r="P838" s="1" t="s">
        <v>40</v>
      </c>
      <c r="Q838" s="1" t="str">
        <f>IF(ISERROR(VLOOKUP(P838,'unique fed agency names'!A:C,3,FALSE)),P838,VLOOKUP(P838,'unique fed agency names'!A:C,3,FALSE))
</f>
        <v>U.S. Department of Health and Human Services (DHHS)</v>
      </c>
      <c r="R838" s="1">
        <v>4.6842605E7</v>
      </c>
      <c r="S838" s="1" t="s">
        <v>165</v>
      </c>
      <c r="T838" s="1" t="str">
        <f>IF(ISERROR(VLOOKUP(S838,'unique org names'!A:C,3,FALSE)),S838,VLOOKUP(S838,'unique org names'!A:C,3,FALSE))
</f>
        <v>DETROIT AREA AGENCY ON AGING</v>
      </c>
      <c r="U838" s="1" t="s">
        <v>166</v>
      </c>
      <c r="V838" s="1" t="s">
        <v>167</v>
      </c>
      <c r="W838" s="1" t="s">
        <v>44</v>
      </c>
      <c r="X838" s="1" t="s">
        <v>45</v>
      </c>
      <c r="Y838" s="1">
        <v>4.82074544E8</v>
      </c>
      <c r="AA838" s="1" t="s">
        <v>46</v>
      </c>
      <c r="AB838" s="1" t="s">
        <v>45</v>
      </c>
      <c r="AC838" s="1">
        <v>4.82074544E8</v>
      </c>
      <c r="AF838" s="1">
        <v>1360834.0</v>
      </c>
      <c r="AG838" s="2">
        <v>41548.0</v>
      </c>
      <c r="AH838" s="1">
        <v>7500.0</v>
      </c>
      <c r="AI838" s="1" t="s">
        <v>40</v>
      </c>
      <c r="AJ838" s="1">
        <v>2.0141854E7</v>
      </c>
      <c r="AK838" s="1" t="s">
        <v>392</v>
      </c>
      <c r="AL838" s="1">
        <v>10.0</v>
      </c>
      <c r="AM838" s="1">
        <v>2013.0</v>
      </c>
      <c r="AN838" s="1">
        <v>2014.0</v>
      </c>
      <c r="AO838" s="1" t="s">
        <v>1109</v>
      </c>
    </row>
    <row r="839">
      <c r="A839" s="5">
        <v>1.0</v>
      </c>
      <c r="B839" s="1">
        <f t="shared" si="1"/>
        <v>839</v>
      </c>
      <c r="C839" s="1" t="s">
        <v>2029</v>
      </c>
      <c r="D839" s="1" t="s">
        <v>2029</v>
      </c>
      <c r="E839" s="1" t="s">
        <v>389</v>
      </c>
      <c r="G839" s="1">
        <v>2881903.0</v>
      </c>
      <c r="H839" s="2">
        <v>41548.0</v>
      </c>
      <c r="I839" s="1" t="s">
        <v>390</v>
      </c>
      <c r="K839" s="1" t="s">
        <v>390</v>
      </c>
      <c r="N839" s="1" t="s">
        <v>391</v>
      </c>
      <c r="O839" s="1">
        <v>1600.0</v>
      </c>
      <c r="P839" s="1" t="s">
        <v>391</v>
      </c>
      <c r="Q839" s="1" t="str">
        <f>IF(ISERROR(VLOOKUP(P839,'unique fed agency names'!A:C,3,FALSE)),P839,VLOOKUP(P839,'unique fed agency names'!A:C,3,FALSE))
</f>
        <v>U.S. Department of Labor (DOL)</v>
      </c>
      <c r="R839" s="1">
        <v>4.6842605E7</v>
      </c>
      <c r="S839" s="1" t="s">
        <v>165</v>
      </c>
      <c r="T839" s="1" t="str">
        <f>IF(ISERROR(VLOOKUP(S839,'unique org names'!A:C,3,FALSE)),S839,VLOOKUP(S839,'unique org names'!A:C,3,FALSE))
</f>
        <v>DETROIT AREA AGENCY ON AGING</v>
      </c>
      <c r="U839" s="1" t="s">
        <v>166</v>
      </c>
      <c r="V839" s="1" t="s">
        <v>167</v>
      </c>
      <c r="W839" s="1" t="s">
        <v>44</v>
      </c>
      <c r="X839" s="1" t="s">
        <v>45</v>
      </c>
      <c r="Y839" s="1">
        <v>4.82074544E8</v>
      </c>
      <c r="AA839" s="1" t="s">
        <v>46</v>
      </c>
      <c r="AB839" s="1" t="s">
        <v>45</v>
      </c>
      <c r="AC839" s="1">
        <v>4.82074544E8</v>
      </c>
      <c r="AF839" s="1">
        <v>558792.0</v>
      </c>
      <c r="AG839" s="2">
        <v>41548.0</v>
      </c>
      <c r="AH839" s="1">
        <v>1600.0</v>
      </c>
      <c r="AI839" s="1" t="s">
        <v>391</v>
      </c>
      <c r="AJ839" s="1">
        <v>2.0141854E7</v>
      </c>
      <c r="AK839" s="1" t="s">
        <v>390</v>
      </c>
      <c r="AL839" s="1">
        <v>10.0</v>
      </c>
      <c r="AM839" s="1">
        <v>2013.0</v>
      </c>
      <c r="AN839" s="1">
        <v>2014.0</v>
      </c>
      <c r="AO839" s="1" t="s">
        <v>393</v>
      </c>
    </row>
    <row r="840">
      <c r="A840" s="5">
        <v>1.0</v>
      </c>
      <c r="B840" s="1">
        <f t="shared" si="1"/>
        <v>840</v>
      </c>
      <c r="C840" s="1" t="s">
        <v>2045</v>
      </c>
      <c r="D840" s="1" t="s">
        <v>2045</v>
      </c>
      <c r="E840" s="1">
        <v>7545.0</v>
      </c>
      <c r="G840" s="1">
        <v>835265.0</v>
      </c>
      <c r="H840" s="2">
        <v>41548.0</v>
      </c>
      <c r="I840" s="1" t="s">
        <v>2046</v>
      </c>
      <c r="K840" s="1" t="s">
        <v>2046</v>
      </c>
      <c r="N840" s="1" t="s">
        <v>40</v>
      </c>
      <c r="O840" s="1">
        <v>7500.0</v>
      </c>
      <c r="P840" s="1" t="s">
        <v>40</v>
      </c>
      <c r="Q840" s="1" t="str">
        <f>IF(ISERROR(VLOOKUP(P840,'unique fed agency names'!A:C,3,FALSE)),P840,VLOOKUP(P840,'unique fed agency names'!A:C,3,FALSE))
</f>
        <v>U.S. Department of Health and Human Services (DHHS)</v>
      </c>
      <c r="R840" s="1">
        <v>4.6842605E7</v>
      </c>
      <c r="S840" s="1" t="s">
        <v>165</v>
      </c>
      <c r="T840" s="1" t="str">
        <f>IF(ISERROR(VLOOKUP(S840,'unique org names'!A:C,3,FALSE)),S840,VLOOKUP(S840,'unique org names'!A:C,3,FALSE))
</f>
        <v>DETROIT AREA AGENCY ON AGING</v>
      </c>
      <c r="U840" s="1" t="s">
        <v>166</v>
      </c>
      <c r="V840" s="1" t="s">
        <v>167</v>
      </c>
      <c r="W840" s="1" t="s">
        <v>44</v>
      </c>
      <c r="X840" s="1" t="s">
        <v>45</v>
      </c>
      <c r="Y840" s="1">
        <v>4.82074544E8</v>
      </c>
      <c r="AA840" s="1" t="s">
        <v>46</v>
      </c>
      <c r="AB840" s="1" t="s">
        <v>45</v>
      </c>
      <c r="AC840" s="1">
        <v>4.82074544E8</v>
      </c>
      <c r="AF840" s="1">
        <v>26222.0</v>
      </c>
      <c r="AG840" s="2">
        <v>41548.0</v>
      </c>
      <c r="AH840" s="1">
        <v>7500.0</v>
      </c>
      <c r="AI840" s="1" t="s">
        <v>40</v>
      </c>
      <c r="AJ840" s="1">
        <v>2.0141854E7</v>
      </c>
      <c r="AK840" s="1" t="s">
        <v>2047</v>
      </c>
      <c r="AL840" s="1">
        <v>10.0</v>
      </c>
      <c r="AM840" s="1">
        <v>2011.0</v>
      </c>
      <c r="AN840" s="1">
        <v>2014.0</v>
      </c>
      <c r="AO840" s="1" t="s">
        <v>2048</v>
      </c>
    </row>
    <row r="841">
      <c r="A841" s="5">
        <v>1.0</v>
      </c>
      <c r="B841" s="1">
        <f t="shared" si="1"/>
        <v>841</v>
      </c>
      <c r="C841" s="1" t="s">
        <v>1981</v>
      </c>
      <c r="D841" s="1" t="s">
        <v>1981</v>
      </c>
      <c r="E841" s="1" t="s">
        <v>63</v>
      </c>
      <c r="G841" s="1">
        <v>899959.0</v>
      </c>
      <c r="H841" s="2">
        <v>41183.0</v>
      </c>
      <c r="I841" s="1" t="s">
        <v>1982</v>
      </c>
      <c r="K841" s="1" t="s">
        <v>1982</v>
      </c>
      <c r="N841" s="1" t="s">
        <v>40</v>
      </c>
      <c r="O841" s="1">
        <v>7500.0</v>
      </c>
      <c r="P841" s="1" t="s">
        <v>40</v>
      </c>
      <c r="Q841" s="1" t="str">
        <f>IF(ISERROR(VLOOKUP(P841,'unique fed agency names'!A:C,3,FALSE)),P841,VLOOKUP(P841,'unique fed agency names'!A:C,3,FALSE))
</f>
        <v>U.S. Department of Health and Human Services (DHHS)</v>
      </c>
      <c r="R841" s="1">
        <v>3.8775243E7</v>
      </c>
      <c r="S841" s="1" t="s">
        <v>209</v>
      </c>
      <c r="T841" s="1" t="str">
        <f>IF(ISERROR(VLOOKUP(S841,'unique org names'!A:C,3,FALSE)),S841,VLOOKUP(S841,'unique org names'!A:C,3,FALSE))
</f>
        <v>SOUTHEASTERN MICHIGAN HEALTH ASSOCIATION</v>
      </c>
      <c r="U841" s="1" t="s">
        <v>210</v>
      </c>
      <c r="V841" s="1" t="s">
        <v>211</v>
      </c>
      <c r="W841" s="1" t="s">
        <v>44</v>
      </c>
      <c r="X841" s="1" t="s">
        <v>45</v>
      </c>
      <c r="Y841" s="1">
        <v>4.82023068E8</v>
      </c>
      <c r="AA841" s="1" t="s">
        <v>46</v>
      </c>
      <c r="AB841" s="1" t="s">
        <v>45</v>
      </c>
      <c r="AC841" s="1">
        <v>4.82013096E8</v>
      </c>
      <c r="AD841" s="1">
        <v>3.8775243E7</v>
      </c>
      <c r="AE841" s="1" t="s">
        <v>209</v>
      </c>
      <c r="AF841" s="1">
        <v>121314.0</v>
      </c>
      <c r="AG841" s="2">
        <v>41183.0</v>
      </c>
      <c r="AH841" s="1">
        <v>7500.0</v>
      </c>
      <c r="AI841" s="1" t="s">
        <v>40</v>
      </c>
      <c r="AJ841" s="1">
        <v>2.0131077E7</v>
      </c>
      <c r="AK841" s="1" t="s">
        <v>1983</v>
      </c>
      <c r="AL841" s="1">
        <v>10.0</v>
      </c>
      <c r="AM841" s="1">
        <v>2011.0</v>
      </c>
      <c r="AN841" s="1">
        <v>2013.0</v>
      </c>
      <c r="AO841" s="1" t="s">
        <v>342</v>
      </c>
    </row>
    <row r="842">
      <c r="A842" s="5">
        <v>1.0</v>
      </c>
      <c r="B842" s="1">
        <f t="shared" si="1"/>
        <v>842</v>
      </c>
      <c r="C842" s="1" t="s">
        <v>1981</v>
      </c>
      <c r="D842" s="1" t="s">
        <v>1981</v>
      </c>
      <c r="E842" s="1" t="s">
        <v>63</v>
      </c>
      <c r="G842" s="1">
        <v>899959.0</v>
      </c>
      <c r="H842" s="2">
        <v>41548.0</v>
      </c>
      <c r="I842" s="1" t="s">
        <v>1982</v>
      </c>
      <c r="K842" s="1" t="s">
        <v>1982</v>
      </c>
      <c r="N842" s="1" t="s">
        <v>40</v>
      </c>
      <c r="O842" s="1">
        <v>7500.0</v>
      </c>
      <c r="P842" s="1" t="s">
        <v>40</v>
      </c>
      <c r="Q842" s="1" t="str">
        <f>IF(ISERROR(VLOOKUP(P842,'unique fed agency names'!A:C,3,FALSE)),P842,VLOOKUP(P842,'unique fed agency names'!A:C,3,FALSE))
</f>
        <v>U.S. Department of Health and Human Services (DHHS)</v>
      </c>
      <c r="R842" s="1">
        <v>7.3134603E7</v>
      </c>
      <c r="S842" s="1" t="s">
        <v>41</v>
      </c>
      <c r="T842" s="1" t="str">
        <f>IF(ISERROR(VLOOKUP(S842,'unique org names'!A:C,3,FALSE)),S842,VLOOKUP(S842,'unique org names'!A:C,3,FALSE))
</f>
        <v>Henry Ford Health System</v>
      </c>
      <c r="U842" s="1" t="s">
        <v>252</v>
      </c>
      <c r="V842" s="1" t="s">
        <v>253</v>
      </c>
      <c r="W842" s="1" t="s">
        <v>44</v>
      </c>
      <c r="X842" s="1" t="s">
        <v>45</v>
      </c>
      <c r="Y842" s="1">
        <v>4.8202345E8</v>
      </c>
      <c r="AA842" s="1" t="s">
        <v>46</v>
      </c>
      <c r="AB842" s="1" t="s">
        <v>45</v>
      </c>
      <c r="AC842" s="1">
        <v>4.8202345E8</v>
      </c>
      <c r="AD842" s="1">
        <v>7.3134603E7</v>
      </c>
      <c r="AE842" s="1" t="s">
        <v>41</v>
      </c>
      <c r="AF842" s="1">
        <v>4500.0</v>
      </c>
      <c r="AG842" s="2">
        <v>41548.0</v>
      </c>
      <c r="AH842" s="1">
        <v>7500.0</v>
      </c>
      <c r="AI842" s="1" t="s">
        <v>40</v>
      </c>
      <c r="AJ842" s="1">
        <v>2.0140042E7</v>
      </c>
      <c r="AK842" s="1" t="s">
        <v>1983</v>
      </c>
      <c r="AL842" s="1">
        <v>10.0</v>
      </c>
      <c r="AM842" s="1">
        <v>2011.0</v>
      </c>
      <c r="AN842" s="1">
        <v>2014.0</v>
      </c>
      <c r="AO842" s="1" t="s">
        <v>342</v>
      </c>
    </row>
    <row r="843">
      <c r="A843" s="5">
        <v>1.0</v>
      </c>
      <c r="B843" s="1">
        <f t="shared" si="1"/>
        <v>843</v>
      </c>
      <c r="C843" s="1" t="s">
        <v>1981</v>
      </c>
      <c r="D843" s="1" t="s">
        <v>1981</v>
      </c>
      <c r="E843" s="1" t="s">
        <v>63</v>
      </c>
      <c r="G843" s="1">
        <v>899959.0</v>
      </c>
      <c r="H843" s="2">
        <v>41183.0</v>
      </c>
      <c r="I843" s="1" t="s">
        <v>1982</v>
      </c>
      <c r="K843" s="1" t="s">
        <v>1982</v>
      </c>
      <c r="N843" s="1" t="s">
        <v>40</v>
      </c>
      <c r="O843" s="1">
        <v>7500.0</v>
      </c>
      <c r="P843" s="1" t="s">
        <v>40</v>
      </c>
      <c r="Q843" s="1" t="str">
        <f>IF(ISERROR(VLOOKUP(P843,'unique fed agency names'!A:C,3,FALSE)),P843,VLOOKUP(P843,'unique fed agency names'!A:C,3,FALSE))
</f>
        <v>U.S. Department of Health and Human Services (DHHS)</v>
      </c>
      <c r="R843" s="1">
        <v>3.8775243E7</v>
      </c>
      <c r="S843" s="1" t="s">
        <v>209</v>
      </c>
      <c r="T843" s="1" t="str">
        <f>IF(ISERROR(VLOOKUP(S843,'unique org names'!A:C,3,FALSE)),S843,VLOOKUP(S843,'unique org names'!A:C,3,FALSE))
</f>
        <v>SOUTHEASTERN MICHIGAN HEALTH ASSOCIATION</v>
      </c>
      <c r="U843" s="1" t="s">
        <v>210</v>
      </c>
      <c r="V843" s="1" t="s">
        <v>211</v>
      </c>
      <c r="W843" s="1" t="s">
        <v>44</v>
      </c>
      <c r="X843" s="1" t="s">
        <v>45</v>
      </c>
      <c r="Y843" s="1">
        <v>4.82023068E8</v>
      </c>
      <c r="AA843" s="1" t="s">
        <v>46</v>
      </c>
      <c r="AB843" s="1" t="s">
        <v>45</v>
      </c>
      <c r="AC843" s="1">
        <v>4.82013096E8</v>
      </c>
      <c r="AD843" s="1">
        <v>3.8775243E7</v>
      </c>
      <c r="AE843" s="1" t="s">
        <v>209</v>
      </c>
      <c r="AF843" s="1">
        <v>7736.0</v>
      </c>
      <c r="AG843" s="2">
        <v>41183.0</v>
      </c>
      <c r="AH843" s="1">
        <v>7500.0</v>
      </c>
      <c r="AI843" s="1" t="s">
        <v>40</v>
      </c>
      <c r="AJ843" s="1">
        <v>2.013109E7</v>
      </c>
      <c r="AK843" s="1" t="s">
        <v>1983</v>
      </c>
      <c r="AL843" s="1">
        <v>10.0</v>
      </c>
      <c r="AM843" s="1">
        <v>2011.0</v>
      </c>
      <c r="AN843" s="1">
        <v>2013.0</v>
      </c>
      <c r="AO843" s="1" t="s">
        <v>342</v>
      </c>
    </row>
    <row r="844">
      <c r="A844" s="5">
        <v>1.0</v>
      </c>
      <c r="B844" s="1">
        <f t="shared" si="1"/>
        <v>844</v>
      </c>
      <c r="C844" s="1" t="s">
        <v>1981</v>
      </c>
      <c r="D844" s="1" t="s">
        <v>1981</v>
      </c>
      <c r="E844" s="1" t="s">
        <v>63</v>
      </c>
      <c r="G844" s="1">
        <v>899959.0</v>
      </c>
      <c r="H844" s="2">
        <v>41183.0</v>
      </c>
      <c r="I844" s="1" t="s">
        <v>1982</v>
      </c>
      <c r="K844" s="1" t="s">
        <v>1982</v>
      </c>
      <c r="N844" s="1" t="s">
        <v>40</v>
      </c>
      <c r="O844" s="1">
        <v>7500.0</v>
      </c>
      <c r="P844" s="1" t="s">
        <v>40</v>
      </c>
      <c r="Q844" s="1" t="str">
        <f>IF(ISERROR(VLOOKUP(P844,'unique fed agency names'!A:C,3,FALSE)),P844,VLOOKUP(P844,'unique fed agency names'!A:C,3,FALSE))
</f>
        <v>U.S. Department of Health and Human Services (DHHS)</v>
      </c>
      <c r="R844" s="1">
        <v>1.68159296E8</v>
      </c>
      <c r="S844" s="1" t="s">
        <v>1392</v>
      </c>
      <c r="T844" s="1" t="str">
        <f>IF(ISERROR(VLOOKUP(S844,'unique org names'!A:C,3,FALSE)),S844,VLOOKUP(S844,'unique org names'!A:C,3,FALSE))
</f>
        <v>BARBARA ANN KARMANOS CANCER INSTITUTE</v>
      </c>
      <c r="U844" s="1" t="s">
        <v>1993</v>
      </c>
      <c r="V844" s="1" t="s">
        <v>1994</v>
      </c>
      <c r="W844" s="1" t="s">
        <v>44</v>
      </c>
      <c r="X844" s="1" t="s">
        <v>45</v>
      </c>
      <c r="Y844" s="1">
        <v>4.82012013E8</v>
      </c>
      <c r="AA844" s="1" t="s">
        <v>46</v>
      </c>
      <c r="AB844" s="1" t="s">
        <v>45</v>
      </c>
      <c r="AC844" s="1">
        <v>4.82012013E8</v>
      </c>
      <c r="AD844" s="1">
        <v>6.8835099E7</v>
      </c>
      <c r="AE844" s="1" t="s">
        <v>1392</v>
      </c>
      <c r="AF844" s="1">
        <v>9000.0</v>
      </c>
      <c r="AG844" s="2">
        <v>41183.0</v>
      </c>
      <c r="AH844" s="1">
        <v>7500.0</v>
      </c>
      <c r="AI844" s="1" t="s">
        <v>40</v>
      </c>
      <c r="AJ844" s="1">
        <v>2.013167E7</v>
      </c>
      <c r="AK844" s="1" t="s">
        <v>1983</v>
      </c>
      <c r="AL844" s="1">
        <v>10.0</v>
      </c>
      <c r="AM844" s="1">
        <v>2011.0</v>
      </c>
      <c r="AN844" s="1">
        <v>2013.0</v>
      </c>
      <c r="AO844" s="1" t="s">
        <v>342</v>
      </c>
    </row>
    <row r="845">
      <c r="A845" s="5">
        <v>1.0</v>
      </c>
      <c r="B845" s="1">
        <f t="shared" si="1"/>
        <v>845</v>
      </c>
      <c r="C845" s="1" t="s">
        <v>2049</v>
      </c>
      <c r="D845" s="1" t="s">
        <v>2049</v>
      </c>
      <c r="E845" s="1" t="s">
        <v>38</v>
      </c>
      <c r="G845" s="1">
        <v>562558.0</v>
      </c>
      <c r="H845" s="2">
        <v>41946.0</v>
      </c>
      <c r="I845" s="1" t="s">
        <v>2050</v>
      </c>
      <c r="K845" s="1" t="s">
        <v>2050</v>
      </c>
      <c r="N845" s="1" t="s">
        <v>40</v>
      </c>
      <c r="O845" s="1">
        <v>7500.0</v>
      </c>
      <c r="P845" s="1" t="s">
        <v>40</v>
      </c>
      <c r="Q845" s="1" t="str">
        <f>IF(ISERROR(VLOOKUP(P845,'unique fed agency names'!A:C,3,FALSE)),P845,VLOOKUP(P845,'unique fed agency names'!A:C,3,FALSE))
</f>
        <v>U.S. Department of Health and Human Services (DHHS)</v>
      </c>
      <c r="R845" s="1">
        <v>1962224.0</v>
      </c>
      <c r="S845" s="1" t="s">
        <v>52</v>
      </c>
      <c r="T845" s="1" t="str">
        <f>IF(ISERROR(VLOOKUP(S845,'unique org names'!A:C,3,FALSE)),S845,VLOOKUP(S845,'unique org names'!A:C,3,FALSE))
</f>
        <v>WAYNE STATE UNIVERSITY</v>
      </c>
      <c r="V845" s="1" t="s">
        <v>1885</v>
      </c>
      <c r="W845" s="1" t="s">
        <v>44</v>
      </c>
      <c r="X845" s="1" t="s">
        <v>45</v>
      </c>
      <c r="Y845" s="1">
        <v>4.82021347E8</v>
      </c>
      <c r="AA845" s="1" t="s">
        <v>46</v>
      </c>
      <c r="AB845" s="1" t="s">
        <v>45</v>
      </c>
      <c r="AC845" s="1">
        <v>4.8202405E8</v>
      </c>
      <c r="AD845" s="1">
        <v>1962224.0</v>
      </c>
      <c r="AE845" s="1" t="s">
        <v>52</v>
      </c>
      <c r="AF845" s="1">
        <v>152500.0</v>
      </c>
      <c r="AG845" s="2">
        <v>41946.0</v>
      </c>
      <c r="AH845" s="1">
        <v>7500.0</v>
      </c>
      <c r="AI845" s="1" t="s">
        <v>40</v>
      </c>
      <c r="AJ845" s="1" t="s">
        <v>2051</v>
      </c>
      <c r="AK845" s="1" t="s">
        <v>2052</v>
      </c>
      <c r="AL845" s="1">
        <v>12.0</v>
      </c>
      <c r="AM845" s="1">
        <v>2014.0</v>
      </c>
      <c r="AN845" s="1">
        <v>2015.0</v>
      </c>
      <c r="AO845" s="1" t="s">
        <v>2053</v>
      </c>
    </row>
    <row r="846">
      <c r="A846" s="5">
        <v>1.0</v>
      </c>
      <c r="B846" s="1">
        <f t="shared" si="1"/>
        <v>846</v>
      </c>
      <c r="C846" s="1" t="s">
        <v>2011</v>
      </c>
      <c r="D846" s="1" t="s">
        <v>2011</v>
      </c>
      <c r="E846" s="1" t="s">
        <v>159</v>
      </c>
      <c r="G846" s="1">
        <v>522539.0</v>
      </c>
      <c r="H846" s="2">
        <v>41548.0</v>
      </c>
      <c r="I846" s="1" t="s">
        <v>2012</v>
      </c>
      <c r="K846" s="1" t="s">
        <v>2012</v>
      </c>
      <c r="N846" s="1" t="s">
        <v>40</v>
      </c>
      <c r="O846" s="1">
        <v>7500.0</v>
      </c>
      <c r="P846" s="1" t="s">
        <v>40</v>
      </c>
      <c r="Q846" s="1" t="str">
        <f>IF(ISERROR(VLOOKUP(P846,'unique fed agency names'!A:C,3,FALSE)),P846,VLOOKUP(P846,'unique fed agency names'!A:C,3,FALSE))
</f>
        <v>U.S. Department of Health and Human Services (DHHS)</v>
      </c>
      <c r="R846" s="1">
        <v>3.8775243E7</v>
      </c>
      <c r="S846" s="1" t="s">
        <v>209</v>
      </c>
      <c r="T846" s="1" t="str">
        <f>IF(ISERROR(VLOOKUP(S846,'unique org names'!A:C,3,FALSE)),S846,VLOOKUP(S846,'unique org names'!A:C,3,FALSE))
</f>
        <v>SOUTHEASTERN MICHIGAN HEALTH ASSOCIATION</v>
      </c>
      <c r="U846" s="1" t="s">
        <v>210</v>
      </c>
      <c r="V846" s="1" t="s">
        <v>211</v>
      </c>
      <c r="W846" s="1" t="s">
        <v>44</v>
      </c>
      <c r="X846" s="1" t="s">
        <v>45</v>
      </c>
      <c r="Y846" s="1">
        <v>4.82023068E8</v>
      </c>
      <c r="AA846" s="1" t="s">
        <v>46</v>
      </c>
      <c r="AB846" s="1" t="s">
        <v>45</v>
      </c>
      <c r="AC846" s="1">
        <v>4.82023068E8</v>
      </c>
      <c r="AD846" s="1">
        <v>3.8775243E7</v>
      </c>
      <c r="AE846" s="1" t="s">
        <v>209</v>
      </c>
      <c r="AF846" s="1">
        <v>1360.0</v>
      </c>
      <c r="AG846" s="2">
        <v>41548.0</v>
      </c>
      <c r="AH846" s="1">
        <v>7500.0</v>
      </c>
      <c r="AI846" s="1" t="s">
        <v>40</v>
      </c>
      <c r="AJ846" s="1">
        <v>2.01407E7</v>
      </c>
      <c r="AK846" s="1" t="s">
        <v>2013</v>
      </c>
      <c r="AL846" s="1">
        <v>10.0</v>
      </c>
      <c r="AM846" s="1">
        <v>2011.0</v>
      </c>
      <c r="AN846" s="1">
        <v>2014.0</v>
      </c>
      <c r="AO846" s="1" t="s">
        <v>162</v>
      </c>
    </row>
    <row r="847">
      <c r="A847" s="5">
        <v>1.0</v>
      </c>
      <c r="B847" s="1">
        <f t="shared" si="1"/>
        <v>847</v>
      </c>
      <c r="C847" s="1" t="s">
        <v>2054</v>
      </c>
      <c r="D847" s="1" t="s">
        <v>2054</v>
      </c>
      <c r="E847" s="1" t="s">
        <v>224</v>
      </c>
      <c r="G847" s="1">
        <v>629967.0</v>
      </c>
      <c r="H847" s="2">
        <v>41942.0</v>
      </c>
      <c r="I847" s="1" t="s">
        <v>2055</v>
      </c>
      <c r="K847" s="1" t="s">
        <v>2055</v>
      </c>
      <c r="N847" s="1" t="s">
        <v>151</v>
      </c>
      <c r="O847" s="1">
        <v>6900.0</v>
      </c>
      <c r="P847" s="1" t="s">
        <v>151</v>
      </c>
      <c r="Q847" s="1" t="str">
        <f>IF(ISERROR(VLOOKUP(P847,'unique fed agency names'!A:C,3,FALSE)),P847,VLOOKUP(P847,'unique fed agency names'!A:C,3,FALSE))
</f>
        <v>U.S. Department of Transportation (DOT)</v>
      </c>
      <c r="R847" s="1">
        <v>3.3334835E7</v>
      </c>
      <c r="S847" s="1" t="s">
        <v>1796</v>
      </c>
      <c r="T847" s="1" t="str">
        <f>IF(ISERROR(VLOOKUP(S847,'unique org names'!A:C,3,FALSE)),S847,VLOOKUP(S847,'unique org names'!A:C,3,FALSE))
</f>
        <v>Wayne County</v>
      </c>
      <c r="U847" s="1" t="s">
        <v>2056</v>
      </c>
      <c r="V847" s="1" t="s">
        <v>2057</v>
      </c>
      <c r="W847" s="1" t="s">
        <v>44</v>
      </c>
      <c r="X847" s="1" t="s">
        <v>45</v>
      </c>
      <c r="Y847" s="1">
        <v>4.82262301E8</v>
      </c>
      <c r="AA847" s="1" t="s">
        <v>46</v>
      </c>
      <c r="AB847" s="1" t="s">
        <v>45</v>
      </c>
      <c r="AC847" s="1">
        <v>4.82262301E8</v>
      </c>
      <c r="AD847" s="1">
        <v>7.3134884E7</v>
      </c>
      <c r="AE847" s="1" t="s">
        <v>1796</v>
      </c>
      <c r="AF847" s="1">
        <v>629967.0</v>
      </c>
      <c r="AG847" s="2">
        <v>41942.0</v>
      </c>
      <c r="AH847" s="1">
        <v>6900.0</v>
      </c>
      <c r="AI847" s="1" t="s">
        <v>151</v>
      </c>
      <c r="AJ847" s="1">
        <v>145616.0</v>
      </c>
      <c r="AK847" s="1" t="s">
        <v>2058</v>
      </c>
      <c r="AL847" s="1">
        <v>11.0</v>
      </c>
      <c r="AM847" s="1">
        <v>2014.0</v>
      </c>
      <c r="AN847" s="1">
        <v>2015.0</v>
      </c>
      <c r="AO847" s="1" t="s">
        <v>229</v>
      </c>
    </row>
    <row r="848">
      <c r="A848" s="5">
        <v>1.0</v>
      </c>
      <c r="B848" s="1">
        <f t="shared" si="1"/>
        <v>848</v>
      </c>
      <c r="C848" s="1" t="s">
        <v>2016</v>
      </c>
      <c r="D848" s="1" t="s">
        <v>2016</v>
      </c>
      <c r="E848" s="1" t="s">
        <v>159</v>
      </c>
      <c r="G848" s="1">
        <v>1375382.0</v>
      </c>
      <c r="H848" s="2">
        <v>41913.0</v>
      </c>
      <c r="I848" s="1" t="s">
        <v>2017</v>
      </c>
      <c r="K848" s="1" t="s">
        <v>2017</v>
      </c>
      <c r="N848" s="1" t="s">
        <v>40</v>
      </c>
      <c r="O848" s="1">
        <v>7500.0</v>
      </c>
      <c r="P848" s="1" t="s">
        <v>40</v>
      </c>
      <c r="Q848" s="1" t="str">
        <f>IF(ISERROR(VLOOKUP(P848,'unique fed agency names'!A:C,3,FALSE)),P848,VLOOKUP(P848,'unique fed agency names'!A:C,3,FALSE))
</f>
        <v>U.S. Department of Health and Human Services (DHHS)</v>
      </c>
      <c r="R848" s="1">
        <v>6.0932517E7</v>
      </c>
      <c r="S848" s="1" t="s">
        <v>2018</v>
      </c>
      <c r="T848" s="1" t="str">
        <f>IF(ISERROR(VLOOKUP(S848,'unique org names'!A:C,3,FALSE)),S848,VLOOKUP(S848,'unique org names'!A:C,3,FALSE))
</f>
        <v>Wayne Children's Healthcare Access Program</v>
      </c>
      <c r="V848" s="1" t="s">
        <v>2019</v>
      </c>
      <c r="W848" s="1" t="s">
        <v>44</v>
      </c>
      <c r="X848" s="1" t="s">
        <v>45</v>
      </c>
      <c r="Y848" s="1">
        <v>4.82352708E8</v>
      </c>
      <c r="AA848" s="1" t="s">
        <v>46</v>
      </c>
      <c r="AB848" s="1" t="s">
        <v>45</v>
      </c>
      <c r="AC848" s="1">
        <v>4.82352708E8</v>
      </c>
      <c r="AF848" s="1">
        <v>12500.0</v>
      </c>
      <c r="AG848" s="2">
        <v>41913.0</v>
      </c>
      <c r="AH848" s="1">
        <v>7500.0</v>
      </c>
      <c r="AI848" s="1" t="s">
        <v>40</v>
      </c>
      <c r="AJ848" s="1">
        <v>2.0150157E7</v>
      </c>
      <c r="AK848" s="1" t="s">
        <v>2020</v>
      </c>
      <c r="AL848" s="1">
        <v>10.0</v>
      </c>
      <c r="AM848" s="1">
        <v>2011.0</v>
      </c>
      <c r="AN848" s="1">
        <v>2015.0</v>
      </c>
      <c r="AO848" s="1" t="s">
        <v>2021</v>
      </c>
    </row>
    <row r="849">
      <c r="A849" s="5">
        <v>1.0</v>
      </c>
      <c r="B849" s="1">
        <f t="shared" si="1"/>
        <v>849</v>
      </c>
      <c r="C849" s="1" t="s">
        <v>2000</v>
      </c>
      <c r="D849" s="1" t="s">
        <v>2000</v>
      </c>
      <c r="E849" s="1" t="s">
        <v>964</v>
      </c>
      <c r="G849" s="1">
        <v>299822.0</v>
      </c>
      <c r="H849" s="2">
        <v>41548.0</v>
      </c>
      <c r="I849" s="1" t="s">
        <v>2001</v>
      </c>
      <c r="K849" s="1" t="s">
        <v>2001</v>
      </c>
      <c r="N849" s="1" t="s">
        <v>40</v>
      </c>
      <c r="O849" s="1">
        <v>7500.0</v>
      </c>
      <c r="P849" s="1" t="s">
        <v>40</v>
      </c>
      <c r="Q849" s="1" t="str">
        <f>IF(ISERROR(VLOOKUP(P849,'unique fed agency names'!A:C,3,FALSE)),P849,VLOOKUP(P849,'unique fed agency names'!A:C,3,FALSE))
</f>
        <v>U.S. Department of Health and Human Services (DHHS)</v>
      </c>
      <c r="R849" s="1">
        <v>1.41947783E8</v>
      </c>
      <c r="S849" s="1" t="s">
        <v>144</v>
      </c>
      <c r="T849" s="1" t="str">
        <f>IF(ISERROR(VLOOKUP(S849,'unique org names'!A:C,3,FALSE)),S849,VLOOKUP(S849,'unique org names'!A:C,3,FALSE))
</f>
        <v>St John Community Health Investment Corporation</v>
      </c>
      <c r="U849" s="1" t="s">
        <v>2059</v>
      </c>
      <c r="V849" s="1" t="s">
        <v>145</v>
      </c>
      <c r="W849" s="1" t="s">
        <v>44</v>
      </c>
      <c r="X849" s="1" t="s">
        <v>45</v>
      </c>
      <c r="Y849" s="1">
        <v>4.82362148E8</v>
      </c>
      <c r="AA849" s="1" t="s">
        <v>1454</v>
      </c>
      <c r="AB849" s="1" t="s">
        <v>45</v>
      </c>
      <c r="AC849" s="1">
        <v>4.80922468E8</v>
      </c>
      <c r="AD849" s="1">
        <v>5.1214708E7</v>
      </c>
      <c r="AE849" s="1" t="s">
        <v>2060</v>
      </c>
      <c r="AF849" s="1">
        <v>625.0</v>
      </c>
      <c r="AG849" s="2">
        <v>41548.0</v>
      </c>
      <c r="AH849" s="1">
        <v>7500.0</v>
      </c>
      <c r="AI849" s="1" t="s">
        <v>40</v>
      </c>
      <c r="AJ849" s="1">
        <v>2.0140231E7</v>
      </c>
      <c r="AK849" s="1" t="s">
        <v>2002</v>
      </c>
      <c r="AL849" s="1">
        <v>10.0</v>
      </c>
      <c r="AM849" s="1">
        <v>2013.0</v>
      </c>
      <c r="AN849" s="1">
        <v>2014.0</v>
      </c>
      <c r="AO849" s="1" t="s">
        <v>1439</v>
      </c>
    </row>
    <row r="850">
      <c r="A850" s="5">
        <v>1.0</v>
      </c>
      <c r="B850" s="1">
        <f t="shared" si="1"/>
        <v>850</v>
      </c>
      <c r="C850" s="1" t="s">
        <v>2061</v>
      </c>
      <c r="D850" s="1" t="s">
        <v>2061</v>
      </c>
      <c r="E850" s="1">
        <v>7545.0</v>
      </c>
      <c r="G850" s="1">
        <v>4637617.0</v>
      </c>
      <c r="H850" s="2">
        <v>41548.0</v>
      </c>
      <c r="I850" s="1" t="s">
        <v>2062</v>
      </c>
      <c r="K850" s="1" t="s">
        <v>2062</v>
      </c>
      <c r="N850" s="1" t="s">
        <v>40</v>
      </c>
      <c r="O850" s="1">
        <v>7500.0</v>
      </c>
      <c r="P850" s="1" t="s">
        <v>40</v>
      </c>
      <c r="Q850" s="1" t="str">
        <f>IF(ISERROR(VLOOKUP(P850,'unique fed agency names'!A:C,3,FALSE)),P850,VLOOKUP(P850,'unique fed agency names'!A:C,3,FALSE))
</f>
        <v>U.S. Department of Health and Human Services (DHHS)</v>
      </c>
      <c r="R850" s="1">
        <v>4.6842605E7</v>
      </c>
      <c r="S850" s="1" t="s">
        <v>165</v>
      </c>
      <c r="T850" s="1" t="str">
        <f>IF(ISERROR(VLOOKUP(S850,'unique org names'!A:C,3,FALSE)),S850,VLOOKUP(S850,'unique org names'!A:C,3,FALSE))
</f>
        <v>DETROIT AREA AGENCY ON AGING</v>
      </c>
      <c r="U850" s="1" t="s">
        <v>166</v>
      </c>
      <c r="V850" s="1" t="s">
        <v>167</v>
      </c>
      <c r="W850" s="1" t="s">
        <v>44</v>
      </c>
      <c r="X850" s="1" t="s">
        <v>45</v>
      </c>
      <c r="Y850" s="1">
        <v>4.82074544E8</v>
      </c>
      <c r="AA850" s="1" t="s">
        <v>46</v>
      </c>
      <c r="AB850" s="1" t="s">
        <v>45</v>
      </c>
      <c r="AC850" s="1">
        <v>4.82074544E8</v>
      </c>
      <c r="AF850" s="1">
        <v>436935.0</v>
      </c>
      <c r="AG850" s="2">
        <v>41548.0</v>
      </c>
      <c r="AH850" s="1">
        <v>7500.0</v>
      </c>
      <c r="AI850" s="1" t="s">
        <v>40</v>
      </c>
      <c r="AJ850" s="1">
        <v>2.0141854E7</v>
      </c>
      <c r="AK850" s="1" t="s">
        <v>392</v>
      </c>
      <c r="AL850" s="1">
        <v>10.0</v>
      </c>
      <c r="AM850" s="1">
        <v>2013.0</v>
      </c>
      <c r="AN850" s="1">
        <v>2014.0</v>
      </c>
      <c r="AO850" s="1" t="s">
        <v>2063</v>
      </c>
    </row>
    <row r="851">
      <c r="A851" s="5">
        <v>1.0</v>
      </c>
      <c r="B851" s="1">
        <f t="shared" si="1"/>
        <v>851</v>
      </c>
      <c r="C851" s="1" t="s">
        <v>2064</v>
      </c>
      <c r="D851" s="1" t="s">
        <v>2064</v>
      </c>
      <c r="E851" s="1" t="s">
        <v>224</v>
      </c>
      <c r="G851" s="1">
        <v>648300.0</v>
      </c>
      <c r="H851" s="2">
        <v>41942.0</v>
      </c>
      <c r="I851" s="1" t="s">
        <v>2065</v>
      </c>
      <c r="K851" s="1" t="s">
        <v>2065</v>
      </c>
      <c r="N851" s="1" t="s">
        <v>151</v>
      </c>
      <c r="O851" s="1">
        <v>6900.0</v>
      </c>
      <c r="P851" s="1" t="s">
        <v>151</v>
      </c>
      <c r="Q851" s="1" t="str">
        <f>IF(ISERROR(VLOOKUP(P851,'unique fed agency names'!A:C,3,FALSE)),P851,VLOOKUP(P851,'unique fed agency names'!A:C,3,FALSE))
</f>
        <v>U.S. Department of Transportation (DOT)</v>
      </c>
      <c r="R851" s="1">
        <v>9.63886101E8</v>
      </c>
      <c r="S851" s="1" t="s">
        <v>259</v>
      </c>
      <c r="T851" s="1" t="str">
        <f>IF(ISERROR(VLOOKUP(S851,'unique org names'!A:C,3,FALSE)),S851,VLOOKUP(S851,'unique org names'!A:C,3,FALSE))
</f>
        <v>Wayne County</v>
      </c>
      <c r="U851" s="1" t="s">
        <v>1795</v>
      </c>
      <c r="V851" s="1" t="s">
        <v>260</v>
      </c>
      <c r="W851" s="1" t="s">
        <v>44</v>
      </c>
      <c r="X851" s="1" t="s">
        <v>45</v>
      </c>
      <c r="Y851" s="1">
        <v>4.8226348E8</v>
      </c>
      <c r="AA851" s="1" t="s">
        <v>46</v>
      </c>
      <c r="AB851" s="1" t="s">
        <v>45</v>
      </c>
      <c r="AC851" s="1">
        <v>4.8226348E8</v>
      </c>
      <c r="AD851" s="1">
        <v>7.3134884E7</v>
      </c>
      <c r="AE851" s="1" t="s">
        <v>1796</v>
      </c>
      <c r="AF851" s="1">
        <v>648300.49</v>
      </c>
      <c r="AG851" s="2">
        <v>41942.0</v>
      </c>
      <c r="AH851" s="1">
        <v>6900.0</v>
      </c>
      <c r="AI851" s="1" t="s">
        <v>151</v>
      </c>
      <c r="AJ851" s="1">
        <v>145615.0</v>
      </c>
      <c r="AK851" s="1" t="s">
        <v>2066</v>
      </c>
      <c r="AL851" s="1">
        <v>11.0</v>
      </c>
      <c r="AM851" s="1">
        <v>2014.0</v>
      </c>
      <c r="AN851" s="1">
        <v>2015.0</v>
      </c>
      <c r="AO851" s="1" t="s">
        <v>229</v>
      </c>
    </row>
    <row r="852">
      <c r="A852" s="5">
        <v>1.0</v>
      </c>
      <c r="B852" s="1">
        <f t="shared" si="1"/>
        <v>852</v>
      </c>
      <c r="C852" s="1" t="s">
        <v>2067</v>
      </c>
      <c r="D852" s="1" t="s">
        <v>2067</v>
      </c>
      <c r="E852" s="1">
        <v>7545.0</v>
      </c>
      <c r="G852" s="1">
        <v>510772.0</v>
      </c>
      <c r="H852" s="2">
        <v>41548.0</v>
      </c>
      <c r="I852" s="1" t="s">
        <v>2068</v>
      </c>
      <c r="K852" s="1" t="s">
        <v>2068</v>
      </c>
      <c r="N852" s="1" t="s">
        <v>40</v>
      </c>
      <c r="O852" s="1">
        <v>7500.0</v>
      </c>
      <c r="P852" s="1" t="s">
        <v>40</v>
      </c>
      <c r="Q852" s="1" t="str">
        <f>IF(ISERROR(VLOOKUP(P852,'unique fed agency names'!A:C,3,FALSE)),P852,VLOOKUP(P852,'unique fed agency names'!A:C,3,FALSE))
</f>
        <v>U.S. Department of Health and Human Services (DHHS)</v>
      </c>
      <c r="R852" s="1">
        <v>4.6842605E7</v>
      </c>
      <c r="S852" s="1" t="s">
        <v>165</v>
      </c>
      <c r="T852" s="1" t="str">
        <f>IF(ISERROR(VLOOKUP(S852,'unique org names'!A:C,3,FALSE)),S852,VLOOKUP(S852,'unique org names'!A:C,3,FALSE))
</f>
        <v>DETROIT AREA AGENCY ON AGING</v>
      </c>
      <c r="U852" s="1" t="s">
        <v>166</v>
      </c>
      <c r="V852" s="1" t="s">
        <v>167</v>
      </c>
      <c r="W852" s="1" t="s">
        <v>44</v>
      </c>
      <c r="X852" s="1" t="s">
        <v>45</v>
      </c>
      <c r="Y852" s="1">
        <v>4.82074544E8</v>
      </c>
      <c r="AA852" s="1" t="s">
        <v>46</v>
      </c>
      <c r="AB852" s="1" t="s">
        <v>45</v>
      </c>
      <c r="AC852" s="1">
        <v>4.82074544E8</v>
      </c>
      <c r="AF852" s="1">
        <v>18349.0</v>
      </c>
      <c r="AG852" s="2">
        <v>41548.0</v>
      </c>
      <c r="AH852" s="1">
        <v>7500.0</v>
      </c>
      <c r="AI852" s="1" t="s">
        <v>40</v>
      </c>
      <c r="AJ852" s="1">
        <v>2.0141854E7</v>
      </c>
      <c r="AK852" s="1" t="s">
        <v>392</v>
      </c>
      <c r="AL852" s="1">
        <v>10.0</v>
      </c>
      <c r="AM852" s="1">
        <v>2013.0</v>
      </c>
      <c r="AN852" s="1">
        <v>2014.0</v>
      </c>
      <c r="AO852" s="1" t="s">
        <v>1139</v>
      </c>
    </row>
    <row r="853">
      <c r="A853" s="5">
        <v>1.0</v>
      </c>
      <c r="B853" s="1">
        <f t="shared" si="1"/>
        <v>853</v>
      </c>
      <c r="C853" s="1" t="s">
        <v>2069</v>
      </c>
      <c r="D853" s="1" t="s">
        <v>2069</v>
      </c>
      <c r="E853" s="1">
        <v>7545.0</v>
      </c>
      <c r="G853" s="1">
        <v>2650059.0</v>
      </c>
      <c r="H853" s="2">
        <v>41913.0</v>
      </c>
      <c r="I853" s="1" t="s">
        <v>2070</v>
      </c>
      <c r="K853" s="1" t="s">
        <v>2070</v>
      </c>
      <c r="N853" s="1" t="s">
        <v>40</v>
      </c>
      <c r="O853" s="1">
        <v>7500.0</v>
      </c>
      <c r="P853" s="1" t="s">
        <v>40</v>
      </c>
      <c r="Q853" s="1" t="str">
        <f>IF(ISERROR(VLOOKUP(P853,'unique fed agency names'!A:C,3,FALSE)),P853,VLOOKUP(P853,'unique fed agency names'!A:C,3,FALSE))
</f>
        <v>U.S. Department of Health and Human Services (DHHS)</v>
      </c>
      <c r="R853" s="1">
        <v>4.6842605E7</v>
      </c>
      <c r="S853" s="1" t="s">
        <v>165</v>
      </c>
      <c r="T853" s="1" t="str">
        <f>IF(ISERROR(VLOOKUP(S853,'unique org names'!A:C,3,FALSE)),S853,VLOOKUP(S853,'unique org names'!A:C,3,FALSE))
</f>
        <v>DETROIT AREA AGENCY ON AGING</v>
      </c>
      <c r="U853" s="1" t="s">
        <v>166</v>
      </c>
      <c r="V853" s="1" t="s">
        <v>167</v>
      </c>
      <c r="W853" s="1" t="s">
        <v>44</v>
      </c>
      <c r="X853" s="1" t="s">
        <v>45</v>
      </c>
      <c r="Y853" s="1">
        <v>4.82074544E8</v>
      </c>
      <c r="AA853" s="1" t="s">
        <v>46</v>
      </c>
      <c r="AB853" s="1" t="s">
        <v>45</v>
      </c>
      <c r="AC853" s="1">
        <v>4.82074544E8</v>
      </c>
      <c r="AF853" s="1">
        <v>237174.54</v>
      </c>
      <c r="AG853" s="2">
        <v>41913.0</v>
      </c>
      <c r="AH853" s="1">
        <v>7500.0</v>
      </c>
      <c r="AI853" s="1" t="s">
        <v>40</v>
      </c>
      <c r="AJ853" s="1">
        <v>2.0152003E7</v>
      </c>
      <c r="AK853" s="1" t="s">
        <v>392</v>
      </c>
      <c r="AL853" s="1">
        <v>10.0</v>
      </c>
      <c r="AM853" s="1">
        <v>2014.0</v>
      </c>
      <c r="AN853" s="1">
        <v>2015.0</v>
      </c>
      <c r="AO853" s="1" t="s">
        <v>1109</v>
      </c>
    </row>
    <row r="854">
      <c r="A854" s="5">
        <v>1.0</v>
      </c>
      <c r="B854" s="1">
        <f t="shared" si="1"/>
        <v>854</v>
      </c>
      <c r="C854" s="1" t="s">
        <v>2071</v>
      </c>
      <c r="D854" s="1" t="s">
        <v>2071</v>
      </c>
      <c r="E854" s="1" t="s">
        <v>224</v>
      </c>
      <c r="G854" s="1">
        <v>98820.0</v>
      </c>
      <c r="H854" s="2">
        <v>41942.0</v>
      </c>
      <c r="I854" s="1" t="s">
        <v>2065</v>
      </c>
      <c r="K854" s="1" t="s">
        <v>2065</v>
      </c>
      <c r="N854" s="1" t="s">
        <v>151</v>
      </c>
      <c r="O854" s="1">
        <v>6900.0</v>
      </c>
      <c r="P854" s="1" t="s">
        <v>151</v>
      </c>
      <c r="Q854" s="1" t="str">
        <f>IF(ISERROR(VLOOKUP(P854,'unique fed agency names'!A:C,3,FALSE)),P854,VLOOKUP(P854,'unique fed agency names'!A:C,3,FALSE))
</f>
        <v>U.S. Department of Transportation (DOT)</v>
      </c>
      <c r="R854" s="1">
        <v>9.63886101E8</v>
      </c>
      <c r="S854" s="1" t="s">
        <v>259</v>
      </c>
      <c r="T854" s="1" t="str">
        <f>IF(ISERROR(VLOOKUP(S854,'unique org names'!A:C,3,FALSE)),S854,VLOOKUP(S854,'unique org names'!A:C,3,FALSE))
</f>
        <v>Wayne County</v>
      </c>
      <c r="U854" s="1" t="s">
        <v>1795</v>
      </c>
      <c r="V854" s="1" t="s">
        <v>260</v>
      </c>
      <c r="W854" s="1" t="s">
        <v>44</v>
      </c>
      <c r="X854" s="1" t="s">
        <v>45</v>
      </c>
      <c r="Y854" s="1">
        <v>4.8226348E8</v>
      </c>
      <c r="AA854" s="1" t="s">
        <v>46</v>
      </c>
      <c r="AB854" s="1" t="s">
        <v>45</v>
      </c>
      <c r="AC854" s="1">
        <v>4.8226348E8</v>
      </c>
      <c r="AD854" s="1">
        <v>7.3134884E7</v>
      </c>
      <c r="AE854" s="1" t="s">
        <v>1796</v>
      </c>
      <c r="AF854" s="1">
        <v>98820.69</v>
      </c>
      <c r="AG854" s="2">
        <v>41942.0</v>
      </c>
      <c r="AH854" s="1">
        <v>6900.0</v>
      </c>
      <c r="AI854" s="1" t="s">
        <v>151</v>
      </c>
      <c r="AJ854" s="1">
        <v>145615.0</v>
      </c>
      <c r="AK854" s="1" t="s">
        <v>2072</v>
      </c>
      <c r="AL854" s="1">
        <v>11.0</v>
      </c>
      <c r="AM854" s="1">
        <v>2014.0</v>
      </c>
      <c r="AN854" s="1">
        <v>2015.0</v>
      </c>
      <c r="AO854" s="1" t="s">
        <v>229</v>
      </c>
    </row>
    <row r="855">
      <c r="A855" s="5">
        <v>1.0</v>
      </c>
      <c r="B855" s="1">
        <f t="shared" si="1"/>
        <v>855</v>
      </c>
      <c r="C855" s="1" t="s">
        <v>2073</v>
      </c>
      <c r="D855" s="1" t="s">
        <v>2073</v>
      </c>
      <c r="E855" s="1" t="s">
        <v>224</v>
      </c>
      <c r="G855" s="1">
        <v>96070.0</v>
      </c>
      <c r="H855" s="2">
        <v>41942.0</v>
      </c>
      <c r="I855" s="1" t="s">
        <v>2055</v>
      </c>
      <c r="K855" s="1" t="s">
        <v>2055</v>
      </c>
      <c r="N855" s="1" t="s">
        <v>151</v>
      </c>
      <c r="O855" s="1">
        <v>6900.0</v>
      </c>
      <c r="P855" s="1" t="s">
        <v>151</v>
      </c>
      <c r="Q855" s="1" t="str">
        <f>IF(ISERROR(VLOOKUP(P855,'unique fed agency names'!A:C,3,FALSE)),P855,VLOOKUP(P855,'unique fed agency names'!A:C,3,FALSE))
</f>
        <v>U.S. Department of Transportation (DOT)</v>
      </c>
      <c r="R855" s="1">
        <v>3.3334835E7</v>
      </c>
      <c r="S855" s="1" t="s">
        <v>1796</v>
      </c>
      <c r="T855" s="1" t="str">
        <f>IF(ISERROR(VLOOKUP(S855,'unique org names'!A:C,3,FALSE)),S855,VLOOKUP(S855,'unique org names'!A:C,3,FALSE))
</f>
        <v>Wayne County</v>
      </c>
      <c r="U855" s="1" t="s">
        <v>2056</v>
      </c>
      <c r="V855" s="1" t="s">
        <v>2057</v>
      </c>
      <c r="W855" s="1" t="s">
        <v>44</v>
      </c>
      <c r="X855" s="1" t="s">
        <v>45</v>
      </c>
      <c r="Y855" s="1">
        <v>4.82262301E8</v>
      </c>
      <c r="AA855" s="1" t="s">
        <v>46</v>
      </c>
      <c r="AB855" s="1" t="s">
        <v>45</v>
      </c>
      <c r="AC855" s="1">
        <v>4.82262301E8</v>
      </c>
      <c r="AD855" s="1">
        <v>7.3134884E7</v>
      </c>
      <c r="AE855" s="1" t="s">
        <v>1796</v>
      </c>
      <c r="AF855" s="1">
        <v>96070.66</v>
      </c>
      <c r="AG855" s="2">
        <v>41942.0</v>
      </c>
      <c r="AH855" s="1">
        <v>6900.0</v>
      </c>
      <c r="AI855" s="1" t="s">
        <v>151</v>
      </c>
      <c r="AJ855" s="1">
        <v>145616.0</v>
      </c>
      <c r="AK855" s="1" t="s">
        <v>2058</v>
      </c>
      <c r="AL855" s="1">
        <v>11.0</v>
      </c>
      <c r="AM855" s="1">
        <v>2014.0</v>
      </c>
      <c r="AN855" s="1">
        <v>2015.0</v>
      </c>
      <c r="AO855" s="1" t="s">
        <v>229</v>
      </c>
    </row>
    <row r="856">
      <c r="A856" s="5">
        <v>1.0</v>
      </c>
      <c r="B856" s="1">
        <f t="shared" si="1"/>
        <v>856</v>
      </c>
      <c r="C856" s="1" t="s">
        <v>2074</v>
      </c>
      <c r="D856" s="1" t="s">
        <v>2074</v>
      </c>
      <c r="E856" s="1">
        <v>7545.0</v>
      </c>
      <c r="G856" s="1">
        <v>907730.0</v>
      </c>
      <c r="H856" s="2">
        <v>41913.0</v>
      </c>
      <c r="I856" s="1" t="s">
        <v>2075</v>
      </c>
      <c r="K856" s="1" t="s">
        <v>2075</v>
      </c>
      <c r="N856" s="1" t="s">
        <v>40</v>
      </c>
      <c r="O856" s="1">
        <v>7500.0</v>
      </c>
      <c r="P856" s="1" t="s">
        <v>40</v>
      </c>
      <c r="Q856" s="1" t="str">
        <f>IF(ISERROR(VLOOKUP(P856,'unique fed agency names'!A:C,3,FALSE)),P856,VLOOKUP(P856,'unique fed agency names'!A:C,3,FALSE))
</f>
        <v>U.S. Department of Health and Human Services (DHHS)</v>
      </c>
      <c r="R856" s="1">
        <v>4.6842605E7</v>
      </c>
      <c r="S856" s="1" t="s">
        <v>165</v>
      </c>
      <c r="T856" s="1" t="str">
        <f>IF(ISERROR(VLOOKUP(S856,'unique org names'!A:C,3,FALSE)),S856,VLOOKUP(S856,'unique org names'!A:C,3,FALSE))
</f>
        <v>DETROIT AREA AGENCY ON AGING</v>
      </c>
      <c r="U856" s="1" t="s">
        <v>166</v>
      </c>
      <c r="V856" s="1" t="s">
        <v>167</v>
      </c>
      <c r="W856" s="1" t="s">
        <v>44</v>
      </c>
      <c r="X856" s="1" t="s">
        <v>45</v>
      </c>
      <c r="Y856" s="1">
        <v>4.82074544E8</v>
      </c>
      <c r="AA856" s="1" t="s">
        <v>46</v>
      </c>
      <c r="AB856" s="1" t="s">
        <v>45</v>
      </c>
      <c r="AC856" s="1">
        <v>4.82074544E8</v>
      </c>
      <c r="AF856" s="1">
        <v>107647.85</v>
      </c>
      <c r="AG856" s="2">
        <v>41913.0</v>
      </c>
      <c r="AH856" s="1">
        <v>7500.0</v>
      </c>
      <c r="AI856" s="1" t="s">
        <v>40</v>
      </c>
      <c r="AJ856" s="1">
        <v>2.0152003E7</v>
      </c>
      <c r="AK856" s="1" t="s">
        <v>392</v>
      </c>
      <c r="AL856" s="1">
        <v>10.0</v>
      </c>
      <c r="AM856" s="1">
        <v>2014.0</v>
      </c>
      <c r="AN856" s="1">
        <v>2015.0</v>
      </c>
      <c r="AO856" s="1" t="s">
        <v>2063</v>
      </c>
    </row>
    <row r="857">
      <c r="A857" s="5">
        <v>1.0</v>
      </c>
      <c r="B857" s="1">
        <f t="shared" si="1"/>
        <v>857</v>
      </c>
      <c r="C857" s="1" t="s">
        <v>1943</v>
      </c>
      <c r="D857" s="1" t="s">
        <v>1943</v>
      </c>
      <c r="E857" s="1" t="s">
        <v>85</v>
      </c>
      <c r="G857" s="1">
        <v>1.3010049E7</v>
      </c>
      <c r="H857" s="2">
        <v>41548.0</v>
      </c>
      <c r="I857" s="1" t="s">
        <v>1097</v>
      </c>
      <c r="K857" s="1" t="s">
        <v>1097</v>
      </c>
      <c r="N857" s="1" t="s">
        <v>40</v>
      </c>
      <c r="O857" s="1">
        <v>7500.0</v>
      </c>
      <c r="P857" s="1" t="s">
        <v>40</v>
      </c>
      <c r="Q857" s="1" t="str">
        <f>IF(ISERROR(VLOOKUP(P857,'unique fed agency names'!A:C,3,FALSE)),P857,VLOOKUP(P857,'unique fed agency names'!A:C,3,FALSE))
</f>
        <v>U.S. Department of Health and Human Services (DHHS)</v>
      </c>
      <c r="R857" s="1">
        <v>7.914812E7</v>
      </c>
      <c r="S857" s="1" t="s">
        <v>1944</v>
      </c>
      <c r="T857" s="1" t="str">
        <f>IF(ISERROR(VLOOKUP(S857,'unique org names'!A:C,3,FALSE)),S857,VLOOKUP(S857,'unique org names'!A:C,3,FALSE))
</f>
        <v>DETROIT WAYNE MENTAL HEALTH AUTHORITY</v>
      </c>
      <c r="V857" s="1" t="s">
        <v>1945</v>
      </c>
      <c r="W857" s="1" t="s">
        <v>44</v>
      </c>
      <c r="X857" s="1" t="s">
        <v>45</v>
      </c>
      <c r="Y857" s="1">
        <v>4.820125E8</v>
      </c>
      <c r="AA857" s="1" t="s">
        <v>46</v>
      </c>
      <c r="AB857" s="1" t="s">
        <v>45</v>
      </c>
      <c r="AC857" s="1">
        <v>4.820125E8</v>
      </c>
      <c r="AF857" s="1">
        <v>1043582.0</v>
      </c>
      <c r="AG857" s="2">
        <v>41548.0</v>
      </c>
      <c r="AH857" s="1">
        <v>7500.0</v>
      </c>
      <c r="AI857" s="1" t="s">
        <v>40</v>
      </c>
      <c r="AJ857" s="1">
        <v>2.0141656E7</v>
      </c>
      <c r="AK857" s="1" t="s">
        <v>1098</v>
      </c>
      <c r="AL857" s="1">
        <v>10.0</v>
      </c>
      <c r="AM857" s="1">
        <v>2011.0</v>
      </c>
      <c r="AN857" s="1">
        <v>2014.0</v>
      </c>
      <c r="AO857" s="1" t="s">
        <v>1099</v>
      </c>
    </row>
    <row r="858">
      <c r="A858" s="5">
        <v>1.0</v>
      </c>
      <c r="B858" s="1">
        <f t="shared" si="1"/>
        <v>858</v>
      </c>
      <c r="C858" s="1" t="s">
        <v>1943</v>
      </c>
      <c r="D858" s="1" t="s">
        <v>1943</v>
      </c>
      <c r="E858" s="1" t="s">
        <v>85</v>
      </c>
      <c r="G858" s="1">
        <v>1.3010049E7</v>
      </c>
      <c r="H858" s="2">
        <v>41548.0</v>
      </c>
      <c r="I858" s="1" t="s">
        <v>1097</v>
      </c>
      <c r="K858" s="1" t="s">
        <v>1097</v>
      </c>
      <c r="N858" s="1" t="s">
        <v>40</v>
      </c>
      <c r="O858" s="1">
        <v>7500.0</v>
      </c>
      <c r="P858" s="1" t="s">
        <v>40</v>
      </c>
      <c r="Q858" s="1" t="str">
        <f>IF(ISERROR(VLOOKUP(P858,'unique fed agency names'!A:C,3,FALSE)),P858,VLOOKUP(P858,'unique fed agency names'!A:C,3,FALSE))
</f>
        <v>U.S. Department of Health and Human Services (DHHS)</v>
      </c>
      <c r="R858" s="1">
        <v>7.914812E7</v>
      </c>
      <c r="S858" s="1" t="s">
        <v>1944</v>
      </c>
      <c r="T858" s="1" t="str">
        <f>IF(ISERROR(VLOOKUP(S858,'unique org names'!A:C,3,FALSE)),S858,VLOOKUP(S858,'unique org names'!A:C,3,FALSE))
</f>
        <v>DETROIT WAYNE MENTAL HEALTH AUTHORITY</v>
      </c>
      <c r="V858" s="1" t="s">
        <v>1945</v>
      </c>
      <c r="W858" s="1" t="s">
        <v>44</v>
      </c>
      <c r="X858" s="1" t="s">
        <v>45</v>
      </c>
      <c r="Y858" s="1">
        <v>4.820125E8</v>
      </c>
      <c r="AA858" s="1" t="s">
        <v>46</v>
      </c>
      <c r="AB858" s="1" t="s">
        <v>45</v>
      </c>
      <c r="AC858" s="1">
        <v>4.820125E8</v>
      </c>
      <c r="AF858" s="1">
        <v>49000.0</v>
      </c>
      <c r="AG858" s="2">
        <v>41548.0</v>
      </c>
      <c r="AH858" s="1">
        <v>7500.0</v>
      </c>
      <c r="AI858" s="1" t="s">
        <v>40</v>
      </c>
      <c r="AJ858" s="1">
        <v>2.0140669E7</v>
      </c>
      <c r="AK858" s="1" t="s">
        <v>1098</v>
      </c>
      <c r="AL858" s="1">
        <v>10.0</v>
      </c>
      <c r="AM858" s="1">
        <v>2011.0</v>
      </c>
      <c r="AN858" s="1">
        <v>2014.0</v>
      </c>
      <c r="AO858" s="1" t="s">
        <v>1099</v>
      </c>
    </row>
    <row r="859">
      <c r="A859" s="5">
        <v>1.0</v>
      </c>
      <c r="B859" s="1">
        <f t="shared" si="1"/>
        <v>859</v>
      </c>
      <c r="C859" s="1" t="s">
        <v>1943</v>
      </c>
      <c r="D859" s="1" t="s">
        <v>1943</v>
      </c>
      <c r="E859" s="1" t="s">
        <v>85</v>
      </c>
      <c r="G859" s="1">
        <v>1.3010049E7</v>
      </c>
      <c r="H859" s="2">
        <v>41548.0</v>
      </c>
      <c r="I859" s="1" t="s">
        <v>1097</v>
      </c>
      <c r="K859" s="1" t="s">
        <v>1097</v>
      </c>
      <c r="N859" s="1" t="s">
        <v>40</v>
      </c>
      <c r="O859" s="1">
        <v>7500.0</v>
      </c>
      <c r="P859" s="1" t="s">
        <v>40</v>
      </c>
      <c r="Q859" s="1" t="str">
        <f>IF(ISERROR(VLOOKUP(P859,'unique fed agency names'!A:C,3,FALSE)),P859,VLOOKUP(P859,'unique fed agency names'!A:C,3,FALSE))
</f>
        <v>U.S. Department of Health and Human Services (DHHS)</v>
      </c>
      <c r="R859" s="1">
        <v>3.8775243E7</v>
      </c>
      <c r="S859" s="1" t="s">
        <v>209</v>
      </c>
      <c r="T859" s="1" t="str">
        <f>IF(ISERROR(VLOOKUP(S859,'unique org names'!A:C,3,FALSE)),S859,VLOOKUP(S859,'unique org names'!A:C,3,FALSE))
</f>
        <v>SOUTHEASTERN MICHIGAN HEALTH ASSOCIATION</v>
      </c>
      <c r="U859" s="1" t="s">
        <v>210</v>
      </c>
      <c r="V859" s="1" t="s">
        <v>211</v>
      </c>
      <c r="W859" s="1" t="s">
        <v>44</v>
      </c>
      <c r="X859" s="1" t="s">
        <v>45</v>
      </c>
      <c r="Y859" s="1">
        <v>4.82023068E8</v>
      </c>
      <c r="AA859" s="1" t="s">
        <v>46</v>
      </c>
      <c r="AB859" s="1" t="s">
        <v>45</v>
      </c>
      <c r="AC859" s="1">
        <v>4.82023068E8</v>
      </c>
      <c r="AD859" s="1">
        <v>3.8775243E7</v>
      </c>
      <c r="AE859" s="1" t="s">
        <v>209</v>
      </c>
      <c r="AF859" s="1">
        <v>39845.62</v>
      </c>
      <c r="AG859" s="2">
        <v>41548.0</v>
      </c>
      <c r="AH859" s="1">
        <v>7500.0</v>
      </c>
      <c r="AI859" s="1" t="s">
        <v>40</v>
      </c>
      <c r="AJ859" s="1">
        <v>2.0140694E7</v>
      </c>
      <c r="AK859" s="1" t="s">
        <v>1098</v>
      </c>
      <c r="AL859" s="1">
        <v>10.0</v>
      </c>
      <c r="AM859" s="1">
        <v>2011.0</v>
      </c>
      <c r="AN859" s="1">
        <v>2014.0</v>
      </c>
      <c r="AO859" s="1" t="s">
        <v>1099</v>
      </c>
    </row>
    <row r="860">
      <c r="A860" s="5">
        <v>1.0</v>
      </c>
      <c r="B860" s="1">
        <f t="shared" si="1"/>
        <v>860</v>
      </c>
      <c r="C860" s="1" t="s">
        <v>1943</v>
      </c>
      <c r="D860" s="1" t="s">
        <v>1943</v>
      </c>
      <c r="E860" s="1" t="s">
        <v>85</v>
      </c>
      <c r="G860" s="1">
        <v>1.3010049E7</v>
      </c>
      <c r="H860" s="2">
        <v>41183.0</v>
      </c>
      <c r="I860" s="1" t="s">
        <v>1097</v>
      </c>
      <c r="K860" s="1" t="s">
        <v>1097</v>
      </c>
      <c r="N860" s="1" t="s">
        <v>40</v>
      </c>
      <c r="O860" s="1">
        <v>7500.0</v>
      </c>
      <c r="P860" s="1" t="s">
        <v>40</v>
      </c>
      <c r="Q860" s="1" t="str">
        <f>IF(ISERROR(VLOOKUP(P860,'unique fed agency names'!A:C,3,FALSE)),P860,VLOOKUP(P860,'unique fed agency names'!A:C,3,FALSE))
</f>
        <v>U.S. Department of Health and Human Services (DHHS)</v>
      </c>
      <c r="R860" s="1">
        <v>3.8775243E7</v>
      </c>
      <c r="S860" s="1" t="s">
        <v>209</v>
      </c>
      <c r="T860" s="1" t="str">
        <f>IF(ISERROR(VLOOKUP(S860,'unique org names'!A:C,3,FALSE)),S860,VLOOKUP(S860,'unique org names'!A:C,3,FALSE))
</f>
        <v>SOUTHEASTERN MICHIGAN HEALTH ASSOCIATION</v>
      </c>
      <c r="U860" s="1" t="s">
        <v>210</v>
      </c>
      <c r="V860" s="1" t="s">
        <v>211</v>
      </c>
      <c r="W860" s="1" t="s">
        <v>44</v>
      </c>
      <c r="X860" s="1" t="s">
        <v>45</v>
      </c>
      <c r="Y860" s="1">
        <v>4.82023068E8</v>
      </c>
      <c r="AA860" s="1" t="s">
        <v>46</v>
      </c>
      <c r="AB860" s="1" t="s">
        <v>45</v>
      </c>
      <c r="AC860" s="1">
        <v>4.82023068E8</v>
      </c>
      <c r="AD860" s="1">
        <v>3.8775243E7</v>
      </c>
      <c r="AE860" s="1" t="s">
        <v>209</v>
      </c>
      <c r="AF860" s="1">
        <v>6838.0</v>
      </c>
      <c r="AG860" s="2">
        <v>41183.0</v>
      </c>
      <c r="AH860" s="1">
        <v>7500.0</v>
      </c>
      <c r="AI860" s="1" t="s">
        <v>40</v>
      </c>
      <c r="AJ860" s="1">
        <v>2.0131086E7</v>
      </c>
      <c r="AK860" s="1" t="s">
        <v>1098</v>
      </c>
      <c r="AL860" s="1">
        <v>10.0</v>
      </c>
      <c r="AM860" s="1">
        <v>2011.0</v>
      </c>
      <c r="AN860" s="1">
        <v>2013.0</v>
      </c>
      <c r="AO860" s="1" t="s">
        <v>1099</v>
      </c>
    </row>
    <row r="861">
      <c r="A861" s="5">
        <v>1.0</v>
      </c>
      <c r="B861" s="1">
        <f t="shared" si="1"/>
        <v>861</v>
      </c>
      <c r="C861" s="1" t="s">
        <v>1949</v>
      </c>
      <c r="D861" s="1" t="s">
        <v>1949</v>
      </c>
      <c r="E861" s="1" t="s">
        <v>194</v>
      </c>
      <c r="G861" s="1">
        <v>3.78525088E8</v>
      </c>
      <c r="H861" s="2">
        <v>41584.0</v>
      </c>
      <c r="I861" s="1" t="s">
        <v>1950</v>
      </c>
      <c r="K861" s="1" t="s">
        <v>1950</v>
      </c>
      <c r="N861" s="1" t="s">
        <v>194</v>
      </c>
      <c r="O861" s="1">
        <v>9100.0</v>
      </c>
      <c r="P861" s="1" t="s">
        <v>194</v>
      </c>
      <c r="Q861" s="1" t="str">
        <f>IF(ISERROR(VLOOKUP(P861,'unique fed agency names'!A:C,3,FALSE)),P861,VLOOKUP(P861,'unique fed agency names'!A:C,3,FALSE))
</f>
        <v>U.S. Department of Education (ED)</v>
      </c>
      <c r="R861" s="1">
        <v>7.8346351E7</v>
      </c>
      <c r="S861" s="1" t="s">
        <v>615</v>
      </c>
      <c r="T861" s="1" t="str">
        <f>IF(ISERROR(VLOOKUP(S861,'unique org names'!A:C,3,FALSE)),S861,VLOOKUP(S861,'unique org names'!A:C,3,FALSE))
</f>
        <v>Education Achievement Authority</v>
      </c>
      <c r="V861" s="1" t="s">
        <v>1708</v>
      </c>
      <c r="W861" s="1" t="s">
        <v>44</v>
      </c>
      <c r="X861" s="1" t="s">
        <v>45</v>
      </c>
      <c r="Y861" s="1">
        <v>4.82074457E8</v>
      </c>
      <c r="AA861" s="1" t="s">
        <v>46</v>
      </c>
      <c r="AB861" s="1" t="s">
        <v>45</v>
      </c>
      <c r="AC861" s="1">
        <v>4.82023037E8</v>
      </c>
      <c r="AF861" s="1">
        <v>2671018.0</v>
      </c>
      <c r="AG861" s="2">
        <v>41584.0</v>
      </c>
      <c r="AH861" s="1">
        <v>9100.0</v>
      </c>
      <c r="AI861" s="1" t="s">
        <v>194</v>
      </c>
      <c r="AJ861" s="1" t="s">
        <v>2076</v>
      </c>
      <c r="AK861" s="1" t="s">
        <v>1952</v>
      </c>
      <c r="AL861" s="1">
        <v>11.0</v>
      </c>
      <c r="AM861" s="1">
        <v>2014.0</v>
      </c>
      <c r="AN861" s="1">
        <v>2014.0</v>
      </c>
      <c r="AO861" s="1" t="s">
        <v>1953</v>
      </c>
    </row>
    <row r="862">
      <c r="A862" s="5">
        <v>1.0</v>
      </c>
      <c r="B862" s="1">
        <f t="shared" si="1"/>
        <v>862</v>
      </c>
      <c r="C862" s="1" t="s">
        <v>1943</v>
      </c>
      <c r="D862" s="1" t="s">
        <v>1943</v>
      </c>
      <c r="E862" s="1" t="s">
        <v>85</v>
      </c>
      <c r="G862" s="1">
        <v>1.3010049E7</v>
      </c>
      <c r="H862" s="2">
        <v>41548.0</v>
      </c>
      <c r="I862" s="1" t="s">
        <v>1097</v>
      </c>
      <c r="K862" s="1" t="s">
        <v>1097</v>
      </c>
      <c r="N862" s="1" t="s">
        <v>40</v>
      </c>
      <c r="O862" s="1">
        <v>7500.0</v>
      </c>
      <c r="P862" s="1" t="s">
        <v>40</v>
      </c>
      <c r="Q862" s="1" t="str">
        <f>IF(ISERROR(VLOOKUP(P862,'unique fed agency names'!A:C,3,FALSE)),P862,VLOOKUP(P862,'unique fed agency names'!A:C,3,FALSE))
</f>
        <v>U.S. Department of Health and Human Services (DHHS)</v>
      </c>
      <c r="R862" s="1">
        <v>3.8775243E7</v>
      </c>
      <c r="S862" s="1" t="s">
        <v>209</v>
      </c>
      <c r="T862" s="1" t="str">
        <f>IF(ISERROR(VLOOKUP(S862,'unique org names'!A:C,3,FALSE)),S862,VLOOKUP(S862,'unique org names'!A:C,3,FALSE))
</f>
        <v>SOUTHEASTERN MICHIGAN HEALTH ASSOCIATION</v>
      </c>
      <c r="U862" s="1" t="s">
        <v>210</v>
      </c>
      <c r="V862" s="1" t="s">
        <v>211</v>
      </c>
      <c r="W862" s="1" t="s">
        <v>44</v>
      </c>
      <c r="X862" s="1" t="s">
        <v>45</v>
      </c>
      <c r="Y862" s="1">
        <v>4.82023068E8</v>
      </c>
      <c r="AA862" s="1" t="s">
        <v>46</v>
      </c>
      <c r="AB862" s="1" t="s">
        <v>45</v>
      </c>
      <c r="AC862" s="1">
        <v>4.82023068E8</v>
      </c>
      <c r="AD862" s="1">
        <v>3.8775243E7</v>
      </c>
      <c r="AE862" s="1" t="s">
        <v>209</v>
      </c>
      <c r="AF862" s="1">
        <v>142147.67</v>
      </c>
      <c r="AG862" s="2">
        <v>41548.0</v>
      </c>
      <c r="AH862" s="1">
        <v>7500.0</v>
      </c>
      <c r="AI862" s="1" t="s">
        <v>40</v>
      </c>
      <c r="AJ862" s="1">
        <v>2.0140692E7</v>
      </c>
      <c r="AK862" s="1" t="s">
        <v>1098</v>
      </c>
      <c r="AL862" s="1">
        <v>10.0</v>
      </c>
      <c r="AM862" s="1">
        <v>2011.0</v>
      </c>
      <c r="AN862" s="1">
        <v>2014.0</v>
      </c>
      <c r="AO862" s="1" t="s">
        <v>1099</v>
      </c>
    </row>
    <row r="863">
      <c r="A863" s="5">
        <v>1.0</v>
      </c>
      <c r="B863" s="1">
        <f t="shared" si="1"/>
        <v>863</v>
      </c>
      <c r="C863" s="1" t="s">
        <v>1943</v>
      </c>
      <c r="D863" s="1" t="s">
        <v>1943</v>
      </c>
      <c r="E863" s="1" t="s">
        <v>85</v>
      </c>
      <c r="G863" s="1">
        <v>1.3010049E7</v>
      </c>
      <c r="H863" s="2">
        <v>41183.0</v>
      </c>
      <c r="I863" s="1" t="s">
        <v>1097</v>
      </c>
      <c r="K863" s="1" t="s">
        <v>1097</v>
      </c>
      <c r="N863" s="1" t="s">
        <v>40</v>
      </c>
      <c r="O863" s="1">
        <v>7500.0</v>
      </c>
      <c r="P863" s="1" t="s">
        <v>40</v>
      </c>
      <c r="Q863" s="1" t="str">
        <f>IF(ISERROR(VLOOKUP(P863,'unique fed agency names'!A:C,3,FALSE)),P863,VLOOKUP(P863,'unique fed agency names'!A:C,3,FALSE))
</f>
        <v>U.S. Department of Health and Human Services (DHHS)</v>
      </c>
      <c r="R863" s="1">
        <v>3.8775243E7</v>
      </c>
      <c r="S863" s="1" t="s">
        <v>209</v>
      </c>
      <c r="T863" s="1" t="str">
        <f>IF(ISERROR(VLOOKUP(S863,'unique org names'!A:C,3,FALSE)),S863,VLOOKUP(S863,'unique org names'!A:C,3,FALSE))
</f>
        <v>SOUTHEASTERN MICHIGAN HEALTH ASSOCIATION</v>
      </c>
      <c r="U863" s="1" t="s">
        <v>210</v>
      </c>
      <c r="V863" s="1" t="s">
        <v>211</v>
      </c>
      <c r="W863" s="1" t="s">
        <v>44</v>
      </c>
      <c r="X863" s="1" t="s">
        <v>45</v>
      </c>
      <c r="Y863" s="1">
        <v>4.82023068E8</v>
      </c>
      <c r="AA863" s="1" t="s">
        <v>46</v>
      </c>
      <c r="AB863" s="1" t="s">
        <v>45</v>
      </c>
      <c r="AC863" s="1">
        <v>4.82023068E8</v>
      </c>
      <c r="AD863" s="1">
        <v>3.8775243E7</v>
      </c>
      <c r="AE863" s="1" t="s">
        <v>209</v>
      </c>
      <c r="AF863" s="1">
        <v>54127.27</v>
      </c>
      <c r="AG863" s="2">
        <v>41183.0</v>
      </c>
      <c r="AH863" s="1">
        <v>7500.0</v>
      </c>
      <c r="AI863" s="1" t="s">
        <v>40</v>
      </c>
      <c r="AJ863" s="1">
        <v>2.0131084E7</v>
      </c>
      <c r="AK863" s="1" t="s">
        <v>1098</v>
      </c>
      <c r="AL863" s="1">
        <v>10.0</v>
      </c>
      <c r="AM863" s="1">
        <v>2011.0</v>
      </c>
      <c r="AN863" s="1">
        <v>2013.0</v>
      </c>
      <c r="AO863" s="1" t="s">
        <v>1099</v>
      </c>
    </row>
    <row r="864">
      <c r="A864" s="5">
        <v>1.0</v>
      </c>
      <c r="B864" s="1">
        <f t="shared" si="1"/>
        <v>864</v>
      </c>
      <c r="C864" s="1" t="s">
        <v>1943</v>
      </c>
      <c r="D864" s="1" t="s">
        <v>1943</v>
      </c>
      <c r="E864" s="1" t="s">
        <v>85</v>
      </c>
      <c r="G864" s="1">
        <v>1.3010049E7</v>
      </c>
      <c r="H864" s="2">
        <v>41183.0</v>
      </c>
      <c r="I864" s="1" t="s">
        <v>1097</v>
      </c>
      <c r="K864" s="1" t="s">
        <v>1097</v>
      </c>
      <c r="N864" s="1" t="s">
        <v>40</v>
      </c>
      <c r="O864" s="1">
        <v>7500.0</v>
      </c>
      <c r="P864" s="1" t="s">
        <v>40</v>
      </c>
      <c r="Q864" s="1" t="str">
        <f>IF(ISERROR(VLOOKUP(P864,'unique fed agency names'!A:C,3,FALSE)),P864,VLOOKUP(P864,'unique fed agency names'!A:C,3,FALSE))
</f>
        <v>U.S. Department of Health and Human Services (DHHS)</v>
      </c>
      <c r="R864" s="1">
        <v>8.09204196E8</v>
      </c>
      <c r="S864" s="1" t="s">
        <v>175</v>
      </c>
      <c r="T864" s="1" t="str">
        <f>IF(ISERROR(VLOOKUP(S864,'unique org names'!A:C,3,FALSE)),S864,VLOOKUP(S864,'unique org names'!A:C,3,FALSE))
</f>
        <v>DETROIT WAYNE COUNTY HEALTH AUTHORITY</v>
      </c>
      <c r="U864" s="1" t="s">
        <v>2077</v>
      </c>
      <c r="V864" s="1" t="s">
        <v>2078</v>
      </c>
      <c r="W864" s="1" t="s">
        <v>44</v>
      </c>
      <c r="X864" s="1" t="s">
        <v>45</v>
      </c>
      <c r="Y864" s="1">
        <v>4.82023026E8</v>
      </c>
      <c r="AA864" s="1" t="s">
        <v>46</v>
      </c>
      <c r="AB864" s="1" t="s">
        <v>45</v>
      </c>
      <c r="AC864" s="1">
        <v>4.82023025E8</v>
      </c>
      <c r="AD864" s="1">
        <v>8.09204196E8</v>
      </c>
      <c r="AE864" s="1" t="s">
        <v>175</v>
      </c>
      <c r="AF864" s="1">
        <v>50000.0</v>
      </c>
      <c r="AG864" s="2">
        <v>41183.0</v>
      </c>
      <c r="AH864" s="1">
        <v>7500.0</v>
      </c>
      <c r="AI864" s="1" t="s">
        <v>40</v>
      </c>
      <c r="AJ864" s="1">
        <v>2.0131357E7</v>
      </c>
      <c r="AK864" s="1" t="s">
        <v>1098</v>
      </c>
      <c r="AL864" s="1">
        <v>10.0</v>
      </c>
      <c r="AM864" s="1">
        <v>2011.0</v>
      </c>
      <c r="AN864" s="1">
        <v>2013.0</v>
      </c>
      <c r="AO864" s="1" t="s">
        <v>1099</v>
      </c>
    </row>
    <row r="865">
      <c r="A865" s="5">
        <v>1.0</v>
      </c>
      <c r="B865" s="1">
        <f t="shared" si="1"/>
        <v>865</v>
      </c>
      <c r="C865" s="1" t="s">
        <v>1949</v>
      </c>
      <c r="D865" s="1" t="s">
        <v>1949</v>
      </c>
      <c r="E865" s="1" t="s">
        <v>194</v>
      </c>
      <c r="G865" s="1">
        <v>3.78525088E8</v>
      </c>
      <c r="H865" s="2">
        <v>41787.0</v>
      </c>
      <c r="I865" s="1" t="s">
        <v>1950</v>
      </c>
      <c r="K865" s="1" t="s">
        <v>1950</v>
      </c>
      <c r="N865" s="1" t="s">
        <v>194</v>
      </c>
      <c r="O865" s="1">
        <v>9100.0</v>
      </c>
      <c r="P865" s="1" t="s">
        <v>194</v>
      </c>
      <c r="Q865" s="1" t="str">
        <f>IF(ISERROR(VLOOKUP(P865,'unique fed agency names'!A:C,3,FALSE)),P865,VLOOKUP(P865,'unique fed agency names'!A:C,3,FALSE))
</f>
        <v>U.S. Department of Education (ED)</v>
      </c>
      <c r="R865" s="1">
        <v>7.8346351E7</v>
      </c>
      <c r="S865" s="1" t="s">
        <v>615</v>
      </c>
      <c r="T865" s="1" t="str">
        <f>IF(ISERROR(VLOOKUP(S865,'unique org names'!A:C,3,FALSE)),S865,VLOOKUP(S865,'unique org names'!A:C,3,FALSE))
</f>
        <v>Education Achievement Authority</v>
      </c>
      <c r="V865" s="1" t="s">
        <v>1708</v>
      </c>
      <c r="W865" s="1" t="s">
        <v>44</v>
      </c>
      <c r="X865" s="1" t="s">
        <v>45</v>
      </c>
      <c r="Y865" s="1">
        <v>4.82074457E8</v>
      </c>
      <c r="AA865" s="1" t="s">
        <v>46</v>
      </c>
      <c r="AB865" s="1" t="s">
        <v>45</v>
      </c>
      <c r="AC865" s="1">
        <v>4.82023037E8</v>
      </c>
      <c r="AF865" s="1">
        <v>65000.0</v>
      </c>
      <c r="AG865" s="2">
        <v>41787.0</v>
      </c>
      <c r="AH865" s="1">
        <v>9100.0</v>
      </c>
      <c r="AI865" s="1" t="s">
        <v>194</v>
      </c>
      <c r="AJ865" s="1" t="s">
        <v>2079</v>
      </c>
      <c r="AK865" s="1" t="s">
        <v>1952</v>
      </c>
      <c r="AL865" s="1">
        <v>11.0</v>
      </c>
      <c r="AM865" s="1">
        <v>2014.0</v>
      </c>
      <c r="AN865" s="1">
        <v>2014.0</v>
      </c>
      <c r="AO865" s="1" t="s">
        <v>1953</v>
      </c>
    </row>
    <row r="866">
      <c r="A866" s="5">
        <v>1.0</v>
      </c>
      <c r="B866" s="1">
        <f t="shared" si="1"/>
        <v>866</v>
      </c>
      <c r="C866" s="1">
        <v>1120923.0</v>
      </c>
      <c r="D866" s="1">
        <v>1120923.0</v>
      </c>
      <c r="E866" s="1" t="s">
        <v>109</v>
      </c>
      <c r="G866" s="1">
        <v>9645000.0</v>
      </c>
      <c r="H866" s="2">
        <v>41940.0</v>
      </c>
      <c r="I866" s="1" t="s">
        <v>1376</v>
      </c>
      <c r="K866" s="1" t="s">
        <v>1376</v>
      </c>
      <c r="N866" s="1" t="s">
        <v>109</v>
      </c>
      <c r="O866" s="1">
        <v>4900.0</v>
      </c>
      <c r="P866" s="1" t="s">
        <v>109</v>
      </c>
      <c r="Q866" s="1" t="str">
        <f>IF(ISERROR(VLOOKUP(P866,'unique fed agency names'!A:C,3,FALSE)),P866,VLOOKUP(P866,'unique fed agency names'!A:C,3,FALSE))
</f>
        <v>National Science Foundation</v>
      </c>
      <c r="R866" s="1">
        <v>1962224.0</v>
      </c>
      <c r="S866" s="1" t="s">
        <v>52</v>
      </c>
      <c r="T866" s="1" t="str">
        <f>IF(ISERROR(VLOOKUP(S866,'unique org names'!A:C,3,FALSE)),S866,VLOOKUP(S866,'unique org names'!A:C,3,FALSE))
</f>
        <v>WAYNE STATE UNIVERSITY</v>
      </c>
      <c r="V866" s="1" t="s">
        <v>1885</v>
      </c>
      <c r="W866" s="1" t="s">
        <v>44</v>
      </c>
      <c r="X866" s="1" t="s">
        <v>45</v>
      </c>
      <c r="Y866" s="1">
        <v>4.82021347E8</v>
      </c>
      <c r="AA866" s="1" t="s">
        <v>46</v>
      </c>
      <c r="AB866" s="1" t="s">
        <v>45</v>
      </c>
      <c r="AC866" s="1">
        <v>4.82024E8</v>
      </c>
      <c r="AD866" s="1">
        <v>1962224.0</v>
      </c>
      <c r="AE866" s="1" t="s">
        <v>52</v>
      </c>
      <c r="AF866" s="1">
        <v>35000.0</v>
      </c>
      <c r="AG866" s="2">
        <v>41940.0</v>
      </c>
      <c r="AH866" s="1">
        <v>4900.0</v>
      </c>
      <c r="AI866" s="1" t="s">
        <v>109</v>
      </c>
      <c r="AJ866" s="1">
        <v>3.002109091E9</v>
      </c>
      <c r="AK866" s="1" t="s">
        <v>2080</v>
      </c>
      <c r="AL866" s="1">
        <v>10.0</v>
      </c>
      <c r="AM866" s="1">
        <v>2014.0</v>
      </c>
      <c r="AN866" s="1">
        <v>2015.0</v>
      </c>
      <c r="AO866" s="1" t="s">
        <v>1378</v>
      </c>
    </row>
    <row r="867">
      <c r="A867" s="5">
        <v>1.0</v>
      </c>
      <c r="B867" s="1">
        <f t="shared" si="1"/>
        <v>867</v>
      </c>
      <c r="C867" s="1" t="s">
        <v>2081</v>
      </c>
      <c r="D867" s="1" t="s">
        <v>2081</v>
      </c>
      <c r="E867" s="1" t="s">
        <v>70</v>
      </c>
      <c r="G867" s="1">
        <v>691306.0</v>
      </c>
      <c r="H867" s="2">
        <v>41913.0</v>
      </c>
      <c r="I867" s="1" t="s">
        <v>2082</v>
      </c>
      <c r="K867" s="1" t="s">
        <v>2082</v>
      </c>
      <c r="N867" s="1" t="s">
        <v>72</v>
      </c>
      <c r="O867" s="1">
        <v>1500.0</v>
      </c>
      <c r="P867" s="1" t="s">
        <v>72</v>
      </c>
      <c r="Q867" s="1" t="str">
        <f>IF(ISERROR(VLOOKUP(P867,'unique fed agency names'!A:C,3,FALSE)),P867,VLOOKUP(P867,'unique fed agency names'!A:C,3,FALSE))
</f>
        <v>U.S. Department of Justice (DOJ)</v>
      </c>
      <c r="R867" s="1">
        <v>7.8074923E8</v>
      </c>
      <c r="S867" s="1" t="s">
        <v>419</v>
      </c>
      <c r="T867" s="1" t="str">
        <f>IF(ISERROR(VLOOKUP(S867,'unique org names'!A:C,3,FALSE)),S867,VLOOKUP(S867,'unique org names'!A:C,3,FALSE))
</f>
        <v>ALTERNATIVES FOR GIRLS</v>
      </c>
      <c r="V867" s="1" t="s">
        <v>420</v>
      </c>
      <c r="W867" s="1" t="s">
        <v>44</v>
      </c>
      <c r="X867" s="1" t="s">
        <v>45</v>
      </c>
      <c r="Y867" s="1">
        <v>4.82082365E8</v>
      </c>
      <c r="AA867" s="1" t="s">
        <v>44</v>
      </c>
      <c r="AB867" s="1" t="s">
        <v>45</v>
      </c>
      <c r="AC867" s="1">
        <v>4.82082365E8</v>
      </c>
      <c r="AF867" s="1">
        <v>87500.0</v>
      </c>
      <c r="AG867" s="2">
        <v>41913.0</v>
      </c>
      <c r="AH867" s="1">
        <v>1500.0</v>
      </c>
      <c r="AI867" s="1" t="s">
        <v>72</v>
      </c>
      <c r="AJ867" s="1" t="s">
        <v>2083</v>
      </c>
      <c r="AK867" s="1" t="s">
        <v>2084</v>
      </c>
      <c r="AL867" s="1">
        <v>10.0</v>
      </c>
      <c r="AM867" s="1">
        <v>2014.0</v>
      </c>
      <c r="AN867" s="1">
        <v>2015.0</v>
      </c>
      <c r="AO867" s="1" t="s">
        <v>2085</v>
      </c>
    </row>
    <row r="868">
      <c r="A868" s="5">
        <v>1.0</v>
      </c>
      <c r="B868" s="1">
        <f t="shared" si="1"/>
        <v>868</v>
      </c>
      <c r="C868" s="1" t="s">
        <v>198</v>
      </c>
      <c r="D868" s="1" t="s">
        <v>198</v>
      </c>
      <c r="E868" s="1" t="s">
        <v>38</v>
      </c>
      <c r="G868" s="1">
        <v>9391444.0</v>
      </c>
      <c r="H868" s="2">
        <v>41922.0</v>
      </c>
      <c r="I868" s="1" t="s">
        <v>2086</v>
      </c>
      <c r="K868" s="1" t="s">
        <v>2086</v>
      </c>
      <c r="N868" s="1" t="s">
        <v>40</v>
      </c>
      <c r="O868" s="1">
        <v>7500.0</v>
      </c>
      <c r="P868" s="1" t="s">
        <v>40</v>
      </c>
      <c r="Q868" s="1" t="str">
        <f>IF(ISERROR(VLOOKUP(P868,'unique fed agency names'!A:C,3,FALSE)),P868,VLOOKUP(P868,'unique fed agency names'!A:C,3,FALSE))
</f>
        <v>U.S. Department of Health and Human Services (DHHS)</v>
      </c>
      <c r="R868" s="1">
        <v>7.3134603E7</v>
      </c>
      <c r="S868" s="1" t="s">
        <v>41</v>
      </c>
      <c r="T868" s="1" t="str">
        <f>IF(ISERROR(VLOOKUP(S868,'unique org names'!A:C,3,FALSE)),S868,VLOOKUP(S868,'unique org names'!A:C,3,FALSE))
</f>
        <v>Henry Ford Health System</v>
      </c>
      <c r="U868" s="1" t="s">
        <v>252</v>
      </c>
      <c r="V868" s="1" t="s">
        <v>253</v>
      </c>
      <c r="W868" s="1" t="s">
        <v>44</v>
      </c>
      <c r="X868" s="1" t="s">
        <v>45</v>
      </c>
      <c r="Y868" s="1">
        <v>4.8202345E8</v>
      </c>
      <c r="AA868" s="1" t="s">
        <v>46</v>
      </c>
      <c r="AB868" s="1" t="s">
        <v>45</v>
      </c>
      <c r="AC868" s="1">
        <v>4.8202345E8</v>
      </c>
      <c r="AD868" s="1">
        <v>7.3134603E7</v>
      </c>
      <c r="AE868" s="1" t="s">
        <v>41</v>
      </c>
      <c r="AF868" s="1">
        <v>99979.0</v>
      </c>
      <c r="AG868" s="2">
        <v>41922.0</v>
      </c>
      <c r="AH868" s="1">
        <v>7500.0</v>
      </c>
      <c r="AI868" s="1" t="s">
        <v>40</v>
      </c>
      <c r="AJ868" s="1" t="s">
        <v>1527</v>
      </c>
      <c r="AK868" s="1" t="s">
        <v>2087</v>
      </c>
      <c r="AL868" s="1">
        <v>11.0</v>
      </c>
      <c r="AM868" s="1">
        <v>2014.0</v>
      </c>
      <c r="AN868" s="1">
        <v>2015.0</v>
      </c>
      <c r="AO868" s="1" t="s">
        <v>202</v>
      </c>
    </row>
    <row r="869">
      <c r="A869" s="5">
        <v>1.0</v>
      </c>
      <c r="B869" s="1">
        <f t="shared" si="1"/>
        <v>869</v>
      </c>
      <c r="C869" s="1" t="s">
        <v>1782</v>
      </c>
      <c r="D869" s="1" t="s">
        <v>1782</v>
      </c>
      <c r="E869" s="1" t="s">
        <v>1303</v>
      </c>
      <c r="G869" s="1">
        <v>1699482.0</v>
      </c>
      <c r="H869" s="2">
        <v>41932.0</v>
      </c>
      <c r="I869" s="1" t="s">
        <v>2088</v>
      </c>
      <c r="K869" s="1" t="s">
        <v>2088</v>
      </c>
      <c r="N869" s="1" t="s">
        <v>1305</v>
      </c>
      <c r="O869" s="1">
        <v>1300.0</v>
      </c>
      <c r="P869" s="1" t="s">
        <v>1305</v>
      </c>
      <c r="Q869" s="1" t="str">
        <f>IF(ISERROR(VLOOKUP(P869,'unique fed agency names'!A:C,3,FALSE)),P869,VLOOKUP(P869,'unique fed agency names'!A:C,3,FALSE))
</f>
        <v>U.S. Department of Commerce (DOC)</v>
      </c>
      <c r="R869" s="1">
        <v>1962224.0</v>
      </c>
      <c r="S869" s="1" t="s">
        <v>52</v>
      </c>
      <c r="T869" s="1" t="str">
        <f>IF(ISERROR(VLOOKUP(S869,'unique org names'!A:C,3,FALSE)),S869,VLOOKUP(S869,'unique org names'!A:C,3,FALSE))
</f>
        <v>WAYNE STATE UNIVERSITY</v>
      </c>
      <c r="V869" s="1" t="s">
        <v>1885</v>
      </c>
      <c r="W869" s="1" t="s">
        <v>44</v>
      </c>
      <c r="X869" s="1" t="s">
        <v>45</v>
      </c>
      <c r="Y869" s="1">
        <v>4.82021347E8</v>
      </c>
      <c r="AA869" s="1" t="s">
        <v>46</v>
      </c>
      <c r="AB869" s="1" t="s">
        <v>45</v>
      </c>
      <c r="AC869" s="1">
        <v>4.82024E8</v>
      </c>
      <c r="AD869" s="1">
        <v>1962224.0</v>
      </c>
      <c r="AE869" s="1" t="s">
        <v>52</v>
      </c>
      <c r="AF869" s="1">
        <v>25000.0</v>
      </c>
      <c r="AG869" s="2">
        <v>41932.0</v>
      </c>
      <c r="AH869" s="1">
        <v>1300.0</v>
      </c>
      <c r="AI869" s="1" t="s">
        <v>1305</v>
      </c>
      <c r="AJ869" s="1">
        <v>3.00300294E9</v>
      </c>
      <c r="AK869" s="1" t="s">
        <v>2089</v>
      </c>
      <c r="AL869" s="1">
        <v>10.0</v>
      </c>
      <c r="AM869" s="1">
        <v>2014.0</v>
      </c>
      <c r="AN869" s="1">
        <v>2015.0</v>
      </c>
      <c r="AO869" s="1" t="s">
        <v>1785</v>
      </c>
    </row>
    <row r="870">
      <c r="A870" s="5">
        <v>1.0</v>
      </c>
      <c r="B870" s="1">
        <f t="shared" si="1"/>
        <v>870</v>
      </c>
      <c r="C870" s="1" t="s">
        <v>2090</v>
      </c>
      <c r="D870" s="1" t="s">
        <v>2090</v>
      </c>
      <c r="E870" s="1" t="s">
        <v>2091</v>
      </c>
      <c r="G870" s="1">
        <v>7512885.0</v>
      </c>
      <c r="H870" s="2">
        <v>41436.0</v>
      </c>
      <c r="I870" s="1" t="s">
        <v>2092</v>
      </c>
      <c r="K870" s="1" t="s">
        <v>2092</v>
      </c>
      <c r="N870" s="1" t="s">
        <v>151</v>
      </c>
      <c r="O870" s="1">
        <v>6900.0</v>
      </c>
      <c r="P870" s="1" t="s">
        <v>151</v>
      </c>
      <c r="Q870" s="1" t="str">
        <f>IF(ISERROR(VLOOKUP(P870,'unique fed agency names'!A:C,3,FALSE)),P870,VLOOKUP(P870,'unique fed agency names'!A:C,3,FALSE))
</f>
        <v>U.S. Department of Transportation (DOT)</v>
      </c>
      <c r="R870" s="1">
        <v>2.082621E7</v>
      </c>
      <c r="S870" s="1" t="s">
        <v>983</v>
      </c>
      <c r="T870" s="1" t="str">
        <f>IF(ISERROR(VLOOKUP(S870,'unique org names'!A:C,3,FALSE)),S870,VLOOKUP(S870,'unique org names'!A:C,3,FALSE))
</f>
        <v>City of Detroit</v>
      </c>
      <c r="U870" s="1" t="s">
        <v>984</v>
      </c>
      <c r="V870" s="1" t="s">
        <v>2093</v>
      </c>
      <c r="W870" s="1" t="s">
        <v>44</v>
      </c>
      <c r="X870" s="1" t="s">
        <v>45</v>
      </c>
      <c r="Y870" s="1">
        <v>4.82131204E8</v>
      </c>
      <c r="AA870" s="1" t="s">
        <v>46</v>
      </c>
      <c r="AB870" s="1" t="s">
        <v>45</v>
      </c>
      <c r="AC870" s="1">
        <v>4.82131204E8</v>
      </c>
      <c r="AD870" s="1">
        <v>6530661.0</v>
      </c>
      <c r="AE870" s="1" t="s">
        <v>76</v>
      </c>
      <c r="AF870" s="1">
        <v>28813.0</v>
      </c>
      <c r="AG870" s="2">
        <v>41436.0</v>
      </c>
      <c r="AH870" s="1">
        <v>6900.0</v>
      </c>
      <c r="AI870" s="1" t="s">
        <v>151</v>
      </c>
      <c r="AJ870" s="1" t="s">
        <v>2094</v>
      </c>
      <c r="AK870" s="1" t="s">
        <v>2095</v>
      </c>
      <c r="AL870" s="1">
        <v>11.0</v>
      </c>
      <c r="AM870" s="1">
        <v>2014.0</v>
      </c>
      <c r="AN870" s="1">
        <v>2013.0</v>
      </c>
      <c r="AO870" s="1" t="s">
        <v>2096</v>
      </c>
    </row>
    <row r="871">
      <c r="A871" s="5">
        <v>1.0</v>
      </c>
      <c r="B871" s="1">
        <f t="shared" si="1"/>
        <v>871</v>
      </c>
      <c r="C871" s="1" t="s">
        <v>2097</v>
      </c>
      <c r="D871" s="1" t="s">
        <v>2097</v>
      </c>
      <c r="E871" s="1" t="s">
        <v>964</v>
      </c>
      <c r="G871" s="1">
        <v>4.2339816E7</v>
      </c>
      <c r="H871" s="2">
        <v>41183.0</v>
      </c>
      <c r="I871" s="1" t="s">
        <v>2098</v>
      </c>
      <c r="K871" s="1" t="s">
        <v>2098</v>
      </c>
      <c r="N871" s="1" t="s">
        <v>40</v>
      </c>
      <c r="O871" s="1">
        <v>7500.0</v>
      </c>
      <c r="P871" s="1" t="s">
        <v>40</v>
      </c>
      <c r="Q871" s="1" t="str">
        <f>IF(ISERROR(VLOOKUP(P871,'unique fed agency names'!A:C,3,FALSE)),P871,VLOOKUP(P871,'unique fed agency names'!A:C,3,FALSE))
</f>
        <v>U.S. Department of Health and Human Services (DHHS)</v>
      </c>
      <c r="R871" s="1">
        <v>7.8583404E7</v>
      </c>
      <c r="S871" s="1" t="s">
        <v>65</v>
      </c>
      <c r="T871" s="1" t="str">
        <f>IF(ISERROR(VLOOKUP(S871,'unique org names'!A:C,3,FALSE)),S871,VLOOKUP(S871,'unique org names'!A:C,3,FALSE))
</f>
        <v>Institute for Population Health Inc.</v>
      </c>
      <c r="U871" s="1" t="s">
        <v>210</v>
      </c>
      <c r="V871" s="1" t="s">
        <v>1573</v>
      </c>
      <c r="W871" s="1" t="s">
        <v>44</v>
      </c>
      <c r="X871" s="1" t="s">
        <v>45</v>
      </c>
      <c r="Y871" s="1">
        <v>4.8207311E8</v>
      </c>
      <c r="AA871" s="1" t="s">
        <v>46</v>
      </c>
      <c r="AB871" s="1" t="s">
        <v>45</v>
      </c>
      <c r="AC871" s="1">
        <v>4.82021732E8</v>
      </c>
      <c r="AD871" s="1">
        <v>3.8775243E7</v>
      </c>
      <c r="AE871" s="1" t="s">
        <v>209</v>
      </c>
      <c r="AF871" s="1">
        <v>405991.0</v>
      </c>
      <c r="AG871" s="2">
        <v>41183.0</v>
      </c>
      <c r="AH871" s="1">
        <v>7500.0</v>
      </c>
      <c r="AI871" s="1" t="s">
        <v>40</v>
      </c>
      <c r="AJ871" s="1">
        <v>2.01304E7</v>
      </c>
      <c r="AK871" s="1" t="s">
        <v>2099</v>
      </c>
      <c r="AL871" s="1">
        <v>10.0</v>
      </c>
      <c r="AM871" s="1">
        <v>2010.0</v>
      </c>
      <c r="AN871" s="1">
        <v>2013.0</v>
      </c>
      <c r="AO871" s="1" t="s">
        <v>2100</v>
      </c>
    </row>
    <row r="872">
      <c r="A872" s="5">
        <v>1.0</v>
      </c>
      <c r="B872" s="1">
        <f t="shared" si="1"/>
        <v>872</v>
      </c>
      <c r="C872" s="1" t="s">
        <v>2101</v>
      </c>
      <c r="D872" s="1" t="s">
        <v>2101</v>
      </c>
      <c r="E872" s="1" t="s">
        <v>389</v>
      </c>
      <c r="G872" s="1">
        <v>2.416402E7</v>
      </c>
      <c r="H872" s="2">
        <v>41340.0</v>
      </c>
      <c r="I872" s="1" t="s">
        <v>397</v>
      </c>
      <c r="K872" s="1" t="s">
        <v>397</v>
      </c>
      <c r="N872" s="1" t="s">
        <v>391</v>
      </c>
      <c r="O872" s="1">
        <v>1600.0</v>
      </c>
      <c r="P872" s="1" t="s">
        <v>391</v>
      </c>
      <c r="Q872" s="1" t="str">
        <f>IF(ISERROR(VLOOKUP(P872,'unique fed agency names'!A:C,3,FALSE)),P872,VLOOKUP(P872,'unique fed agency names'!A:C,3,FALSE))
</f>
        <v>U.S. Department of Labor (DOL)</v>
      </c>
      <c r="R872" s="1">
        <v>9.68755756E8</v>
      </c>
      <c r="S872" s="1" t="s">
        <v>1806</v>
      </c>
      <c r="T872" s="1" t="str">
        <f>IF(ISERROR(VLOOKUP(S872,'unique org names'!A:C,3,FALSE)),S872,VLOOKUP(S872,'unique org names'!A:C,3,FALSE))
</f>
        <v>Detroit Employment Solutions Corporation</v>
      </c>
      <c r="V872" s="1" t="s">
        <v>1807</v>
      </c>
      <c r="W872" s="1" t="s">
        <v>44</v>
      </c>
      <c r="X872" s="1" t="s">
        <v>45</v>
      </c>
      <c r="Y872" s="1">
        <v>4.82262917E8</v>
      </c>
      <c r="AA872" s="1" t="s">
        <v>46</v>
      </c>
      <c r="AB872" s="1" t="s">
        <v>45</v>
      </c>
      <c r="AC872" s="1">
        <v>4.82022943E8</v>
      </c>
      <c r="AF872" s="1">
        <v>1761784.0</v>
      </c>
      <c r="AG872" s="2">
        <v>41340.0</v>
      </c>
      <c r="AH872" s="1">
        <v>1600.0</v>
      </c>
      <c r="AI872" s="1" t="s">
        <v>391</v>
      </c>
      <c r="AJ872" s="1" t="s">
        <v>2102</v>
      </c>
      <c r="AK872" s="1" t="s">
        <v>2103</v>
      </c>
      <c r="AL872" s="1">
        <v>8.0</v>
      </c>
      <c r="AM872" s="1">
        <v>2014.0</v>
      </c>
      <c r="AN872" s="1">
        <v>2013.0</v>
      </c>
      <c r="AO872" s="1" t="s">
        <v>2104</v>
      </c>
    </row>
    <row r="873">
      <c r="A873" s="5">
        <v>1.0</v>
      </c>
      <c r="B873" s="1">
        <f t="shared" si="1"/>
        <v>873</v>
      </c>
      <c r="C873" s="1" t="s">
        <v>2105</v>
      </c>
      <c r="D873" s="1" t="s">
        <v>2105</v>
      </c>
      <c r="E873" s="1" t="s">
        <v>224</v>
      </c>
      <c r="G873" s="1">
        <v>665854.0</v>
      </c>
      <c r="H873" s="2">
        <v>41834.0</v>
      </c>
      <c r="I873" s="1" t="s">
        <v>2106</v>
      </c>
      <c r="K873" s="1" t="s">
        <v>2106</v>
      </c>
      <c r="N873" s="1" t="s">
        <v>151</v>
      </c>
      <c r="O873" s="1">
        <v>6900.0</v>
      </c>
      <c r="P873" s="1" t="s">
        <v>151</v>
      </c>
      <c r="Q873" s="1" t="str">
        <f>IF(ISERROR(VLOOKUP(P873,'unique fed agency names'!A:C,3,FALSE)),P873,VLOOKUP(P873,'unique fed agency names'!A:C,3,FALSE))
</f>
        <v>U.S. Department of Transportation (DOT)</v>
      </c>
      <c r="R873" s="1">
        <v>9.63886101E8</v>
      </c>
      <c r="S873" s="1" t="s">
        <v>259</v>
      </c>
      <c r="T873" s="1" t="str">
        <f>IF(ISERROR(VLOOKUP(S873,'unique org names'!A:C,3,FALSE)),S873,VLOOKUP(S873,'unique org names'!A:C,3,FALSE))
</f>
        <v>Wayne County</v>
      </c>
      <c r="U873" s="1" t="s">
        <v>1795</v>
      </c>
      <c r="V873" s="1" t="s">
        <v>260</v>
      </c>
      <c r="W873" s="1" t="s">
        <v>44</v>
      </c>
      <c r="X873" s="1" t="s">
        <v>45</v>
      </c>
      <c r="Y873" s="1">
        <v>4.8226348E8</v>
      </c>
      <c r="AA873" s="1" t="s">
        <v>46</v>
      </c>
      <c r="AB873" s="1" t="s">
        <v>45</v>
      </c>
      <c r="AC873" s="1">
        <v>4.8226348E8</v>
      </c>
      <c r="AD873" s="1">
        <v>7.3134884E7</v>
      </c>
      <c r="AE873" s="1" t="s">
        <v>1796</v>
      </c>
      <c r="AF873" s="1">
        <v>665854.62</v>
      </c>
      <c r="AG873" s="2">
        <v>41834.0</v>
      </c>
      <c r="AH873" s="1">
        <v>6900.0</v>
      </c>
      <c r="AI873" s="1" t="s">
        <v>151</v>
      </c>
      <c r="AJ873" s="1">
        <v>145459.0</v>
      </c>
      <c r="AK873" s="1" t="s">
        <v>2107</v>
      </c>
      <c r="AL873" s="1">
        <v>8.0</v>
      </c>
      <c r="AM873" s="1">
        <v>2014.0</v>
      </c>
      <c r="AN873" s="1">
        <v>2014.0</v>
      </c>
      <c r="AO873" s="1" t="s">
        <v>229</v>
      </c>
    </row>
    <row r="874">
      <c r="A874" s="5">
        <v>1.0</v>
      </c>
      <c r="B874" s="1">
        <f t="shared" si="1"/>
        <v>874</v>
      </c>
      <c r="C874" s="1" t="s">
        <v>2108</v>
      </c>
      <c r="D874" s="1" t="s">
        <v>2108</v>
      </c>
      <c r="E874" s="1" t="s">
        <v>224</v>
      </c>
      <c r="G874" s="1">
        <v>167368.0</v>
      </c>
      <c r="H874" s="2">
        <v>41837.0</v>
      </c>
      <c r="I874" s="1" t="s">
        <v>2109</v>
      </c>
      <c r="K874" s="1" t="s">
        <v>2109</v>
      </c>
      <c r="N874" s="1" t="s">
        <v>151</v>
      </c>
      <c r="O874" s="1">
        <v>6900.0</v>
      </c>
      <c r="P874" s="1" t="s">
        <v>151</v>
      </c>
      <c r="Q874" s="1" t="str">
        <f>IF(ISERROR(VLOOKUP(P874,'unique fed agency names'!A:C,3,FALSE)),P874,VLOOKUP(P874,'unique fed agency names'!A:C,3,FALSE))
</f>
        <v>U.S. Department of Transportation (DOT)</v>
      </c>
      <c r="R874" s="1">
        <v>9.63886101E8</v>
      </c>
      <c r="S874" s="1" t="s">
        <v>259</v>
      </c>
      <c r="T874" s="1" t="str">
        <f>IF(ISERROR(VLOOKUP(S874,'unique org names'!A:C,3,FALSE)),S874,VLOOKUP(S874,'unique org names'!A:C,3,FALSE))
</f>
        <v>Wayne County</v>
      </c>
      <c r="U874" s="1" t="s">
        <v>1795</v>
      </c>
      <c r="V874" s="1" t="s">
        <v>260</v>
      </c>
      <c r="W874" s="1" t="s">
        <v>44</v>
      </c>
      <c r="X874" s="1" t="s">
        <v>45</v>
      </c>
      <c r="Y874" s="1">
        <v>4.8226348E8</v>
      </c>
      <c r="AA874" s="1" t="s">
        <v>46</v>
      </c>
      <c r="AB874" s="1" t="s">
        <v>45</v>
      </c>
      <c r="AC874" s="1">
        <v>4.8226348E8</v>
      </c>
      <c r="AD874" s="1">
        <v>7.3134884E7</v>
      </c>
      <c r="AE874" s="1" t="s">
        <v>1796</v>
      </c>
      <c r="AF874" s="1">
        <v>167368.41</v>
      </c>
      <c r="AG874" s="2">
        <v>41837.0</v>
      </c>
      <c r="AH874" s="1">
        <v>6900.0</v>
      </c>
      <c r="AI874" s="1" t="s">
        <v>151</v>
      </c>
      <c r="AJ874" s="1">
        <v>145479.0</v>
      </c>
      <c r="AK874" s="1" t="s">
        <v>2110</v>
      </c>
      <c r="AL874" s="1">
        <v>7.0</v>
      </c>
      <c r="AM874" s="1">
        <v>2014.0</v>
      </c>
      <c r="AN874" s="1">
        <v>2014.0</v>
      </c>
      <c r="AO874" s="1" t="s">
        <v>229</v>
      </c>
    </row>
    <row r="875">
      <c r="A875" s="5">
        <v>1.0</v>
      </c>
      <c r="B875" s="1">
        <f t="shared" si="1"/>
        <v>875</v>
      </c>
      <c r="C875" s="1" t="s">
        <v>2111</v>
      </c>
      <c r="D875" s="1" t="s">
        <v>2111</v>
      </c>
      <c r="E875" s="1" t="s">
        <v>224</v>
      </c>
      <c r="G875" s="1">
        <v>1136858.0</v>
      </c>
      <c r="H875" s="2">
        <v>41837.0</v>
      </c>
      <c r="I875" s="1" t="s">
        <v>2109</v>
      </c>
      <c r="K875" s="1" t="s">
        <v>2109</v>
      </c>
      <c r="N875" s="1" t="s">
        <v>151</v>
      </c>
      <c r="O875" s="1">
        <v>6900.0</v>
      </c>
      <c r="P875" s="1" t="s">
        <v>151</v>
      </c>
      <c r="Q875" s="1" t="str">
        <f>IF(ISERROR(VLOOKUP(P875,'unique fed agency names'!A:C,3,FALSE)),P875,VLOOKUP(P875,'unique fed agency names'!A:C,3,FALSE))
</f>
        <v>U.S. Department of Transportation (DOT)</v>
      </c>
      <c r="R875" s="1">
        <v>9.63886101E8</v>
      </c>
      <c r="S875" s="1" t="s">
        <v>259</v>
      </c>
      <c r="T875" s="1" t="str">
        <f>IF(ISERROR(VLOOKUP(S875,'unique org names'!A:C,3,FALSE)),S875,VLOOKUP(S875,'unique org names'!A:C,3,FALSE))
</f>
        <v>Wayne County</v>
      </c>
      <c r="U875" s="1" t="s">
        <v>1795</v>
      </c>
      <c r="V875" s="1" t="s">
        <v>260</v>
      </c>
      <c r="W875" s="1" t="s">
        <v>44</v>
      </c>
      <c r="X875" s="1" t="s">
        <v>45</v>
      </c>
      <c r="Y875" s="1">
        <v>4.8226348E8</v>
      </c>
      <c r="AA875" s="1" t="s">
        <v>46</v>
      </c>
      <c r="AB875" s="1" t="s">
        <v>45</v>
      </c>
      <c r="AC875" s="1">
        <v>4.8226348E8</v>
      </c>
      <c r="AD875" s="1">
        <v>7.3134884E7</v>
      </c>
      <c r="AE875" s="1" t="s">
        <v>1796</v>
      </c>
      <c r="AF875" s="1">
        <v>1136857.59</v>
      </c>
      <c r="AG875" s="2">
        <v>41837.0</v>
      </c>
      <c r="AH875" s="1">
        <v>6900.0</v>
      </c>
      <c r="AI875" s="1" t="s">
        <v>151</v>
      </c>
      <c r="AJ875" s="1">
        <v>145479.0</v>
      </c>
      <c r="AK875" s="1" t="s">
        <v>2110</v>
      </c>
      <c r="AL875" s="1">
        <v>7.0</v>
      </c>
      <c r="AM875" s="1">
        <v>2014.0</v>
      </c>
      <c r="AN875" s="1">
        <v>2014.0</v>
      </c>
      <c r="AO875" s="1" t="s">
        <v>229</v>
      </c>
    </row>
    <row r="876">
      <c r="A876" s="5">
        <v>1.0</v>
      </c>
      <c r="B876" s="1">
        <f t="shared" si="1"/>
        <v>876</v>
      </c>
      <c r="C876" s="1" t="s">
        <v>2112</v>
      </c>
      <c r="D876" s="1" t="s">
        <v>2112</v>
      </c>
      <c r="E876" s="1" t="s">
        <v>224</v>
      </c>
      <c r="G876" s="1">
        <v>101453.0</v>
      </c>
      <c r="H876" s="2">
        <v>41834.0</v>
      </c>
      <c r="I876" s="1" t="s">
        <v>2106</v>
      </c>
      <c r="K876" s="1" t="s">
        <v>2106</v>
      </c>
      <c r="N876" s="1" t="s">
        <v>151</v>
      </c>
      <c r="O876" s="1">
        <v>6900.0</v>
      </c>
      <c r="P876" s="1" t="s">
        <v>151</v>
      </c>
      <c r="Q876" s="1" t="str">
        <f>IF(ISERROR(VLOOKUP(P876,'unique fed agency names'!A:C,3,FALSE)),P876,VLOOKUP(P876,'unique fed agency names'!A:C,3,FALSE))
</f>
        <v>U.S. Department of Transportation (DOT)</v>
      </c>
      <c r="R876" s="1">
        <v>9.63886101E8</v>
      </c>
      <c r="S876" s="1" t="s">
        <v>259</v>
      </c>
      <c r="T876" s="1" t="str">
        <f>IF(ISERROR(VLOOKUP(S876,'unique org names'!A:C,3,FALSE)),S876,VLOOKUP(S876,'unique org names'!A:C,3,FALSE))
</f>
        <v>Wayne County</v>
      </c>
      <c r="U876" s="1" t="s">
        <v>1795</v>
      </c>
      <c r="V876" s="1" t="s">
        <v>260</v>
      </c>
      <c r="W876" s="1" t="s">
        <v>44</v>
      </c>
      <c r="X876" s="1" t="s">
        <v>45</v>
      </c>
      <c r="Y876" s="1">
        <v>4.8226348E8</v>
      </c>
      <c r="AA876" s="1" t="s">
        <v>46</v>
      </c>
      <c r="AB876" s="1" t="s">
        <v>45</v>
      </c>
      <c r="AC876" s="1">
        <v>4.8226348E8</v>
      </c>
      <c r="AD876" s="1">
        <v>7.3134884E7</v>
      </c>
      <c r="AE876" s="1" t="s">
        <v>1796</v>
      </c>
      <c r="AF876" s="1">
        <v>101453.8</v>
      </c>
      <c r="AG876" s="2">
        <v>41834.0</v>
      </c>
      <c r="AH876" s="1">
        <v>6900.0</v>
      </c>
      <c r="AI876" s="1" t="s">
        <v>151</v>
      </c>
      <c r="AJ876" s="1">
        <v>145459.0</v>
      </c>
      <c r="AK876" s="1" t="s">
        <v>2113</v>
      </c>
      <c r="AL876" s="1">
        <v>7.0</v>
      </c>
      <c r="AM876" s="1">
        <v>2014.0</v>
      </c>
      <c r="AN876" s="1">
        <v>2014.0</v>
      </c>
      <c r="AO876" s="1" t="s">
        <v>229</v>
      </c>
    </row>
    <row r="877">
      <c r="A877" s="5">
        <v>1.0</v>
      </c>
      <c r="B877" s="1">
        <f t="shared" si="1"/>
        <v>877</v>
      </c>
      <c r="C877" s="1" t="s">
        <v>89</v>
      </c>
      <c r="D877" s="1" t="s">
        <v>89</v>
      </c>
      <c r="E877" s="1" t="s">
        <v>38</v>
      </c>
      <c r="G877" s="1">
        <v>6684268.0</v>
      </c>
      <c r="H877" s="2">
        <v>41831.0</v>
      </c>
      <c r="I877" s="1" t="s">
        <v>2114</v>
      </c>
      <c r="K877" s="1" t="s">
        <v>2114</v>
      </c>
      <c r="N877" s="1" t="s">
        <v>40</v>
      </c>
      <c r="O877" s="1">
        <v>7500.0</v>
      </c>
      <c r="P877" s="1" t="s">
        <v>40</v>
      </c>
      <c r="Q877" s="1" t="str">
        <f>IF(ISERROR(VLOOKUP(P877,'unique fed agency names'!A:C,3,FALSE)),P877,VLOOKUP(P877,'unique fed agency names'!A:C,3,FALSE))
</f>
        <v>U.S. Department of Health and Human Services (DHHS)</v>
      </c>
      <c r="R877" s="1">
        <v>1962224.0</v>
      </c>
      <c r="S877" s="1" t="s">
        <v>52</v>
      </c>
      <c r="T877" s="1" t="str">
        <f>IF(ISERROR(VLOOKUP(S877,'unique org names'!A:C,3,FALSE)),S877,VLOOKUP(S877,'unique org names'!A:C,3,FALSE))
</f>
        <v>WAYNE STATE UNIVERSITY</v>
      </c>
      <c r="U877" s="1" t="s">
        <v>1566</v>
      </c>
      <c r="V877" s="1" t="s">
        <v>53</v>
      </c>
      <c r="W877" s="1" t="s">
        <v>44</v>
      </c>
      <c r="X877" s="1" t="s">
        <v>45</v>
      </c>
      <c r="Y877" s="1">
        <v>4.82023692E8</v>
      </c>
      <c r="AA877" s="1" t="s">
        <v>46</v>
      </c>
      <c r="AB877" s="1" t="s">
        <v>45</v>
      </c>
      <c r="AC877" s="1">
        <v>4.82012013E8</v>
      </c>
      <c r="AD877" s="1">
        <v>1962224.0</v>
      </c>
      <c r="AE877" s="1" t="s">
        <v>52</v>
      </c>
      <c r="AF877" s="1">
        <v>80304.0</v>
      </c>
      <c r="AG877" s="2">
        <v>41831.0</v>
      </c>
      <c r="AH877" s="1">
        <v>7500.0</v>
      </c>
      <c r="AI877" s="1" t="s">
        <v>40</v>
      </c>
      <c r="AJ877" s="1" t="s">
        <v>2115</v>
      </c>
      <c r="AK877" s="1" t="s">
        <v>92</v>
      </c>
      <c r="AL877" s="1">
        <v>8.0</v>
      </c>
      <c r="AM877" s="1">
        <v>2014.0</v>
      </c>
      <c r="AN877" s="1">
        <v>2014.0</v>
      </c>
      <c r="AO877" s="1" t="s">
        <v>93</v>
      </c>
    </row>
    <row r="878">
      <c r="A878" s="5">
        <v>1.0</v>
      </c>
      <c r="B878" s="1">
        <f t="shared" si="1"/>
        <v>878</v>
      </c>
      <c r="C878" s="1" t="s">
        <v>1064</v>
      </c>
      <c r="D878" s="1" t="s">
        <v>1064</v>
      </c>
      <c r="E878" s="1" t="s">
        <v>38</v>
      </c>
      <c r="G878" s="1">
        <v>7580537.0</v>
      </c>
      <c r="H878" s="2">
        <v>41836.0</v>
      </c>
      <c r="I878" s="1" t="s">
        <v>2116</v>
      </c>
      <c r="K878" s="1" t="s">
        <v>2116</v>
      </c>
      <c r="N878" s="1" t="s">
        <v>40</v>
      </c>
      <c r="O878" s="1">
        <v>7500.0</v>
      </c>
      <c r="P878" s="1" t="s">
        <v>40</v>
      </c>
      <c r="Q878" s="1" t="str">
        <f>IF(ISERROR(VLOOKUP(P878,'unique fed agency names'!A:C,3,FALSE)),P878,VLOOKUP(P878,'unique fed agency names'!A:C,3,FALSE))
</f>
        <v>U.S. Department of Health and Human Services (DHHS)</v>
      </c>
      <c r="R878" s="1">
        <v>1962224.0</v>
      </c>
      <c r="S878" s="1" t="s">
        <v>52</v>
      </c>
      <c r="T878" s="1" t="str">
        <f>IF(ISERROR(VLOOKUP(S878,'unique org names'!A:C,3,FALSE)),S878,VLOOKUP(S878,'unique org names'!A:C,3,FALSE))
</f>
        <v>WAYNE STATE UNIVERSITY</v>
      </c>
      <c r="U878" s="1" t="s">
        <v>1566</v>
      </c>
      <c r="V878" s="1" t="s">
        <v>53</v>
      </c>
      <c r="W878" s="1" t="s">
        <v>44</v>
      </c>
      <c r="X878" s="1" t="s">
        <v>45</v>
      </c>
      <c r="Y878" s="1">
        <v>4.82023692E8</v>
      </c>
      <c r="AA878" s="1" t="s">
        <v>46</v>
      </c>
      <c r="AB878" s="1" t="s">
        <v>45</v>
      </c>
      <c r="AC878" s="1">
        <v>4.8202405E8</v>
      </c>
      <c r="AD878" s="1">
        <v>1962224.0</v>
      </c>
      <c r="AE878" s="1" t="s">
        <v>52</v>
      </c>
      <c r="AF878" s="1">
        <v>114000.0</v>
      </c>
      <c r="AG878" s="2">
        <v>41836.0</v>
      </c>
      <c r="AH878" s="1">
        <v>7500.0</v>
      </c>
      <c r="AI878" s="1" t="s">
        <v>40</v>
      </c>
      <c r="AJ878" s="1" t="s">
        <v>2117</v>
      </c>
      <c r="AK878" s="1" t="s">
        <v>2118</v>
      </c>
      <c r="AL878" s="1">
        <v>8.0</v>
      </c>
      <c r="AM878" s="1">
        <v>2014.0</v>
      </c>
      <c r="AN878" s="1">
        <v>2014.0</v>
      </c>
      <c r="AO878" s="1" t="s">
        <v>415</v>
      </c>
    </row>
    <row r="879">
      <c r="A879" s="5">
        <v>1.0</v>
      </c>
      <c r="B879" s="1">
        <f t="shared" si="1"/>
        <v>879</v>
      </c>
      <c r="C879" s="1" t="s">
        <v>2119</v>
      </c>
      <c r="D879" s="1" t="s">
        <v>2119</v>
      </c>
      <c r="E879" s="1" t="s">
        <v>224</v>
      </c>
      <c r="G879" s="1">
        <v>308570.0</v>
      </c>
      <c r="H879" s="2">
        <v>41834.0</v>
      </c>
      <c r="I879" s="1" t="s">
        <v>2120</v>
      </c>
      <c r="K879" s="1" t="s">
        <v>2120</v>
      </c>
      <c r="N879" s="1" t="s">
        <v>151</v>
      </c>
      <c r="O879" s="1">
        <v>6900.0</v>
      </c>
      <c r="P879" s="1" t="s">
        <v>151</v>
      </c>
      <c r="Q879" s="1" t="str">
        <f>IF(ISERROR(VLOOKUP(P879,'unique fed agency names'!A:C,3,FALSE)),P879,VLOOKUP(P879,'unique fed agency names'!A:C,3,FALSE))
</f>
        <v>U.S. Department of Transportation (DOT)</v>
      </c>
      <c r="R879" s="1">
        <v>1.1855476E8</v>
      </c>
      <c r="S879" s="1" t="s">
        <v>983</v>
      </c>
      <c r="T879" s="1" t="str">
        <f>IF(ISERROR(VLOOKUP(S879,'unique org names'!A:C,3,FALSE)),S879,VLOOKUP(S879,'unique org names'!A:C,3,FALSE))
</f>
        <v>City of Detroit</v>
      </c>
      <c r="U879" s="1" t="s">
        <v>984</v>
      </c>
      <c r="V879" s="1" t="s">
        <v>227</v>
      </c>
      <c r="W879" s="1" t="s">
        <v>44</v>
      </c>
      <c r="X879" s="1" t="s">
        <v>45</v>
      </c>
      <c r="Y879" s="1">
        <v>4.82262886E8</v>
      </c>
      <c r="AA879" s="1" t="s">
        <v>46</v>
      </c>
      <c r="AB879" s="1" t="s">
        <v>45</v>
      </c>
      <c r="AC879" s="1">
        <v>4.82262886E8</v>
      </c>
      <c r="AD879" s="1">
        <v>6530661.0</v>
      </c>
      <c r="AE879" s="1" t="s">
        <v>76</v>
      </c>
      <c r="AF879" s="1">
        <v>308570.85</v>
      </c>
      <c r="AG879" s="2">
        <v>41834.0</v>
      </c>
      <c r="AH879" s="1">
        <v>6900.0</v>
      </c>
      <c r="AI879" s="1" t="s">
        <v>151</v>
      </c>
      <c r="AJ879" s="1">
        <v>145495.0</v>
      </c>
      <c r="AK879" s="1" t="s">
        <v>2121</v>
      </c>
      <c r="AL879" s="1">
        <v>8.0</v>
      </c>
      <c r="AM879" s="1">
        <v>2014.0</v>
      </c>
      <c r="AN879" s="1">
        <v>2014.0</v>
      </c>
      <c r="AO879" s="1" t="s">
        <v>229</v>
      </c>
    </row>
    <row r="880">
      <c r="A880" s="5">
        <v>1.0</v>
      </c>
      <c r="B880" s="1">
        <f t="shared" si="1"/>
        <v>880</v>
      </c>
      <c r="C880" s="1" t="s">
        <v>2122</v>
      </c>
      <c r="D880" s="1" t="s">
        <v>2122</v>
      </c>
      <c r="E880" s="1" t="s">
        <v>645</v>
      </c>
      <c r="G880" s="1">
        <v>1315177.0</v>
      </c>
      <c r="H880" s="2">
        <v>41795.0</v>
      </c>
      <c r="I880" s="1" t="s">
        <v>677</v>
      </c>
      <c r="K880" s="1" t="s">
        <v>677</v>
      </c>
      <c r="N880" s="1" t="s">
        <v>647</v>
      </c>
      <c r="O880" s="1">
        <v>1200.0</v>
      </c>
      <c r="P880" s="1" t="s">
        <v>647</v>
      </c>
      <c r="Q880" s="1" t="str">
        <f>IF(ISERROR(VLOOKUP(P880,'unique fed agency names'!A:C,3,FALSE)),P880,VLOOKUP(P880,'unique fed agency names'!A:C,3,FALSE))
</f>
        <v>U.S. Department of Agriculture (USDA)</v>
      </c>
      <c r="R880" s="1">
        <v>7.3832607E7</v>
      </c>
      <c r="S880" s="1" t="s">
        <v>482</v>
      </c>
      <c r="T880" s="1" t="str">
        <f>IF(ISERROR(VLOOKUP(S880,'unique org names'!A:C,3,FALSE)),S880,VLOOKUP(S880,'unique org names'!A:C,3,FALSE))
</f>
        <v>DETROIT ACADEMY OF ARTS AND SCIENCES</v>
      </c>
      <c r="V880" s="1" t="s">
        <v>483</v>
      </c>
      <c r="W880" s="1" t="s">
        <v>44</v>
      </c>
      <c r="X880" s="1" t="s">
        <v>45</v>
      </c>
      <c r="Y880" s="1">
        <v>4.82074288E8</v>
      </c>
      <c r="AA880" s="1" t="s">
        <v>44</v>
      </c>
      <c r="AB880" s="1" t="s">
        <v>45</v>
      </c>
      <c r="AC880" s="1">
        <v>4.82074288E8</v>
      </c>
      <c r="AF880" s="1">
        <v>39522.0</v>
      </c>
      <c r="AG880" s="2">
        <v>41795.0</v>
      </c>
      <c r="AH880" s="1">
        <v>1200.0</v>
      </c>
      <c r="AI880" s="1" t="s">
        <v>647</v>
      </c>
      <c r="AJ880" s="1" t="s">
        <v>2123</v>
      </c>
      <c r="AK880" s="1" t="s">
        <v>712</v>
      </c>
      <c r="AL880" s="1">
        <v>8.0</v>
      </c>
      <c r="AM880" s="1">
        <v>2014.0</v>
      </c>
      <c r="AN880" s="1">
        <v>2014.0</v>
      </c>
      <c r="AO880" s="1" t="s">
        <v>680</v>
      </c>
    </row>
    <row r="881">
      <c r="A881" s="5">
        <v>1.0</v>
      </c>
      <c r="B881" s="1">
        <f t="shared" si="1"/>
        <v>881</v>
      </c>
      <c r="C881" s="1" t="s">
        <v>2122</v>
      </c>
      <c r="D881" s="1" t="s">
        <v>2122</v>
      </c>
      <c r="E881" s="1" t="s">
        <v>645</v>
      </c>
      <c r="G881" s="1">
        <v>1315177.0</v>
      </c>
      <c r="H881" s="2">
        <v>41802.0</v>
      </c>
      <c r="I881" s="1" t="s">
        <v>677</v>
      </c>
      <c r="K881" s="1" t="s">
        <v>677</v>
      </c>
      <c r="N881" s="1" t="s">
        <v>647</v>
      </c>
      <c r="O881" s="1">
        <v>1200.0</v>
      </c>
      <c r="P881" s="1" t="s">
        <v>647</v>
      </c>
      <c r="Q881" s="1" t="str">
        <f>IF(ISERROR(VLOOKUP(P881,'unique fed agency names'!A:C,3,FALSE)),P881,VLOOKUP(P881,'unique fed agency names'!A:C,3,FALSE))
</f>
        <v>U.S. Department of Agriculture (USDA)</v>
      </c>
      <c r="R881" s="1">
        <v>3.9866801E7</v>
      </c>
      <c r="S881" s="1" t="s">
        <v>612</v>
      </c>
      <c r="T881" s="1" t="str">
        <f>IF(ISERROR(VLOOKUP(S881,'unique org names'!A:C,3,FALSE)),S881,VLOOKUP(S881,'unique org names'!A:C,3,FALSE))
</f>
        <v>HAMTRAMCK PUBLIC SCHOOLS</v>
      </c>
      <c r="V881" s="1" t="s">
        <v>613</v>
      </c>
      <c r="W881" s="1" t="s">
        <v>44</v>
      </c>
      <c r="X881" s="1" t="s">
        <v>45</v>
      </c>
      <c r="Y881" s="1">
        <v>4.8212E8</v>
      </c>
      <c r="AA881" s="1" t="s">
        <v>607</v>
      </c>
      <c r="AB881" s="1" t="s">
        <v>45</v>
      </c>
      <c r="AC881" s="1">
        <v>4.82120012E8</v>
      </c>
      <c r="AD881" s="1">
        <v>3.9866801E7</v>
      </c>
      <c r="AE881" s="1" t="s">
        <v>612</v>
      </c>
      <c r="AF881" s="1">
        <v>55779.0</v>
      </c>
      <c r="AG881" s="2">
        <v>41802.0</v>
      </c>
      <c r="AH881" s="1">
        <v>1200.0</v>
      </c>
      <c r="AI881" s="1" t="s">
        <v>647</v>
      </c>
      <c r="AJ881" s="1" t="s">
        <v>2124</v>
      </c>
      <c r="AK881" s="1" t="s">
        <v>2125</v>
      </c>
      <c r="AL881" s="1">
        <v>8.0</v>
      </c>
      <c r="AM881" s="1">
        <v>2014.0</v>
      </c>
      <c r="AN881" s="1">
        <v>2014.0</v>
      </c>
      <c r="AO881" s="1" t="s">
        <v>680</v>
      </c>
    </row>
    <row r="882">
      <c r="A882" s="5">
        <v>1.0</v>
      </c>
      <c r="B882" s="1">
        <f t="shared" si="1"/>
        <v>882</v>
      </c>
      <c r="C882" s="1" t="s">
        <v>2126</v>
      </c>
      <c r="D882" s="1" t="s">
        <v>2126</v>
      </c>
      <c r="E882" s="1" t="s">
        <v>224</v>
      </c>
      <c r="G882" s="1">
        <v>499420.0</v>
      </c>
      <c r="H882" s="2">
        <v>41849.0</v>
      </c>
      <c r="I882" s="1" t="s">
        <v>2127</v>
      </c>
      <c r="K882" s="1" t="s">
        <v>2127</v>
      </c>
      <c r="N882" s="1" t="s">
        <v>151</v>
      </c>
      <c r="O882" s="1">
        <v>6900.0</v>
      </c>
      <c r="P882" s="1" t="s">
        <v>151</v>
      </c>
      <c r="Q882" s="1" t="str">
        <f>IF(ISERROR(VLOOKUP(P882,'unique fed agency names'!A:C,3,FALSE)),P882,VLOOKUP(P882,'unique fed agency names'!A:C,3,FALSE))
</f>
        <v>U.S. Department of Transportation (DOT)</v>
      </c>
      <c r="R882" s="1">
        <v>1.1855476E8</v>
      </c>
      <c r="S882" s="1" t="s">
        <v>983</v>
      </c>
      <c r="T882" s="1" t="str">
        <f>IF(ISERROR(VLOOKUP(S882,'unique org names'!A:C,3,FALSE)),S882,VLOOKUP(S882,'unique org names'!A:C,3,FALSE))
</f>
        <v>City of Detroit</v>
      </c>
      <c r="U882" s="1" t="s">
        <v>984</v>
      </c>
      <c r="V882" s="1" t="s">
        <v>227</v>
      </c>
      <c r="W882" s="1" t="s">
        <v>44</v>
      </c>
      <c r="X882" s="1" t="s">
        <v>45</v>
      </c>
      <c r="Y882" s="1">
        <v>4.82262886E8</v>
      </c>
      <c r="AA882" s="1" t="s">
        <v>46</v>
      </c>
      <c r="AB882" s="1" t="s">
        <v>45</v>
      </c>
      <c r="AC882" s="1">
        <v>4.82262886E8</v>
      </c>
      <c r="AD882" s="1">
        <v>6530661.0</v>
      </c>
      <c r="AE882" s="1" t="s">
        <v>76</v>
      </c>
      <c r="AF882" s="1">
        <v>499420.05</v>
      </c>
      <c r="AG882" s="2">
        <v>41849.0</v>
      </c>
      <c r="AH882" s="1">
        <v>6900.0</v>
      </c>
      <c r="AI882" s="1" t="s">
        <v>151</v>
      </c>
      <c r="AJ882" s="1">
        <v>1.0</v>
      </c>
      <c r="AK882" s="1" t="s">
        <v>2128</v>
      </c>
      <c r="AL882" s="1">
        <v>7.0</v>
      </c>
      <c r="AM882" s="1">
        <v>2014.0</v>
      </c>
      <c r="AN882" s="1">
        <v>2014.0</v>
      </c>
      <c r="AO882" s="1" t="s">
        <v>229</v>
      </c>
    </row>
    <row r="883">
      <c r="A883" s="5">
        <v>1.0</v>
      </c>
      <c r="B883" s="1">
        <f t="shared" si="1"/>
        <v>883</v>
      </c>
      <c r="C883" s="1" t="s">
        <v>2129</v>
      </c>
      <c r="D883" s="1" t="s">
        <v>2129</v>
      </c>
      <c r="E883" s="1" t="s">
        <v>100</v>
      </c>
      <c r="G883" s="1">
        <v>189725.0</v>
      </c>
      <c r="H883" s="2">
        <v>41548.0</v>
      </c>
      <c r="I883" s="1" t="s">
        <v>1858</v>
      </c>
      <c r="K883" s="1" t="s">
        <v>1858</v>
      </c>
      <c r="N883" s="1" t="s">
        <v>102</v>
      </c>
      <c r="O883" s="1">
        <v>8600.0</v>
      </c>
      <c r="P883" s="1" t="s">
        <v>102</v>
      </c>
      <c r="Q883" s="1" t="str">
        <f>IF(ISERROR(VLOOKUP(P883,'unique fed agency names'!A:C,3,FALSE)),P883,VLOOKUP(P883,'unique fed agency names'!A:C,3,FALSE))
</f>
        <v>U.S. Department of Housing and Urban Development (HUD)</v>
      </c>
      <c r="R883" s="1">
        <v>1.31984697E8</v>
      </c>
      <c r="S883" s="1" t="s">
        <v>103</v>
      </c>
      <c r="T883" s="1" t="str">
        <f>IF(ISERROR(VLOOKUP(S883,'unique org names'!A:C,3,FALSE)),S883,VLOOKUP(S883,'unique org names'!A:C,3,FALSE))
</f>
        <v>SOUTHWEST HOUSING SOLUTIONS CORPORATION</v>
      </c>
      <c r="U883" s="1" t="s">
        <v>104</v>
      </c>
      <c r="V883" s="1" t="s">
        <v>105</v>
      </c>
      <c r="W883" s="1" t="s">
        <v>44</v>
      </c>
      <c r="X883" s="1" t="s">
        <v>45</v>
      </c>
      <c r="Y883" s="1">
        <v>4.82161435E8</v>
      </c>
      <c r="AA883" s="1" t="s">
        <v>46</v>
      </c>
      <c r="AB883" s="1" t="s">
        <v>45</v>
      </c>
      <c r="AC883" s="1">
        <v>4.82161435E8</v>
      </c>
      <c r="AD883" s="1">
        <v>7.6385699E7</v>
      </c>
      <c r="AE883" s="1" t="s">
        <v>106</v>
      </c>
      <c r="AF883" s="1">
        <v>94113.8</v>
      </c>
      <c r="AG883" s="2">
        <v>41548.0</v>
      </c>
      <c r="AH883" s="1">
        <v>8600.0</v>
      </c>
      <c r="AI883" s="1" t="s">
        <v>102</v>
      </c>
      <c r="AJ883" s="1">
        <v>2.0140938E7</v>
      </c>
      <c r="AK883" s="1" t="s">
        <v>107</v>
      </c>
      <c r="AL883" s="1">
        <v>10.0</v>
      </c>
      <c r="AM883" s="1">
        <v>2011.0</v>
      </c>
      <c r="AN883" s="1">
        <v>2014.0</v>
      </c>
      <c r="AO883" s="1" t="s">
        <v>1860</v>
      </c>
    </row>
    <row r="884">
      <c r="A884" s="5">
        <v>1.0</v>
      </c>
      <c r="B884" s="1">
        <f t="shared" si="1"/>
        <v>884</v>
      </c>
      <c r="C884" s="1" t="s">
        <v>2122</v>
      </c>
      <c r="D884" s="1" t="s">
        <v>2122</v>
      </c>
      <c r="E884" s="1" t="s">
        <v>645</v>
      </c>
      <c r="G884" s="1">
        <v>1315177.0</v>
      </c>
      <c r="H884" s="2">
        <v>41830.0</v>
      </c>
      <c r="I884" s="1" t="s">
        <v>677</v>
      </c>
      <c r="K884" s="1" t="s">
        <v>677</v>
      </c>
      <c r="N884" s="1" t="s">
        <v>647</v>
      </c>
      <c r="O884" s="1">
        <v>1200.0</v>
      </c>
      <c r="P884" s="1" t="s">
        <v>647</v>
      </c>
      <c r="Q884" s="1" t="str">
        <f>IF(ISERROR(VLOOKUP(P884,'unique fed agency names'!A:C,3,FALSE)),P884,VLOOKUP(P884,'unique fed agency names'!A:C,3,FALSE))
</f>
        <v>U.S. Department of Agriculture (USDA)</v>
      </c>
      <c r="R884" s="1">
        <v>1.17726252E8</v>
      </c>
      <c r="S884" s="1" t="s">
        <v>512</v>
      </c>
      <c r="T884" s="1" t="str">
        <f>IF(ISERROR(VLOOKUP(S884,'unique org names'!A:C,3,FALSE)),S884,VLOOKUP(S884,'unique org names'!A:C,3,FALSE))
</f>
        <v>OLD REDFORD ACADEMY</v>
      </c>
      <c r="V884" s="1" t="s">
        <v>513</v>
      </c>
      <c r="W884" s="1" t="s">
        <v>44</v>
      </c>
      <c r="X884" s="1" t="s">
        <v>45</v>
      </c>
      <c r="Y884" s="1">
        <v>4.82193259E8</v>
      </c>
      <c r="AA884" s="1" t="s">
        <v>44</v>
      </c>
      <c r="AB884" s="1" t="s">
        <v>45</v>
      </c>
      <c r="AC884" s="1">
        <v>4.82193259E8</v>
      </c>
      <c r="AF884" s="1">
        <v>41305.0</v>
      </c>
      <c r="AG884" s="2">
        <v>41830.0</v>
      </c>
      <c r="AH884" s="1">
        <v>1200.0</v>
      </c>
      <c r="AI884" s="1" t="s">
        <v>647</v>
      </c>
      <c r="AJ884" s="1" t="s">
        <v>2130</v>
      </c>
      <c r="AK884" s="1" t="s">
        <v>712</v>
      </c>
      <c r="AL884" s="1">
        <v>8.0</v>
      </c>
      <c r="AM884" s="1">
        <v>2014.0</v>
      </c>
      <c r="AN884" s="1">
        <v>2014.0</v>
      </c>
      <c r="AO884" s="1" t="s">
        <v>680</v>
      </c>
    </row>
    <row r="885">
      <c r="A885" s="5">
        <v>1.0</v>
      </c>
      <c r="B885" s="1">
        <f t="shared" si="1"/>
        <v>885</v>
      </c>
      <c r="C885" s="1" t="s">
        <v>2131</v>
      </c>
      <c r="D885" s="1" t="s">
        <v>2131</v>
      </c>
      <c r="E885" s="1" t="s">
        <v>224</v>
      </c>
      <c r="G885" s="1">
        <v>750400.0</v>
      </c>
      <c r="H885" s="2">
        <v>41838.0</v>
      </c>
      <c r="I885" s="1" t="s">
        <v>2132</v>
      </c>
      <c r="K885" s="1" t="s">
        <v>2132</v>
      </c>
      <c r="N885" s="1" t="s">
        <v>151</v>
      </c>
      <c r="O885" s="1">
        <v>6900.0</v>
      </c>
      <c r="P885" s="1" t="s">
        <v>151</v>
      </c>
      <c r="Q885" s="1" t="str">
        <f>IF(ISERROR(VLOOKUP(P885,'unique fed agency names'!A:C,3,FALSE)),P885,VLOOKUP(P885,'unique fed agency names'!A:C,3,FALSE))
</f>
        <v>U.S. Department of Transportation (DOT)</v>
      </c>
      <c r="R885" s="1">
        <v>1.1855476E8</v>
      </c>
      <c r="S885" s="1" t="s">
        <v>983</v>
      </c>
      <c r="T885" s="1" t="str">
        <f>IF(ISERROR(VLOOKUP(S885,'unique org names'!A:C,3,FALSE)),S885,VLOOKUP(S885,'unique org names'!A:C,3,FALSE))
</f>
        <v>City of Detroit</v>
      </c>
      <c r="U885" s="1" t="s">
        <v>984</v>
      </c>
      <c r="V885" s="1" t="s">
        <v>227</v>
      </c>
      <c r="W885" s="1" t="s">
        <v>44</v>
      </c>
      <c r="X885" s="1" t="s">
        <v>45</v>
      </c>
      <c r="Y885" s="1">
        <v>4.82262886E8</v>
      </c>
      <c r="AA885" s="1" t="s">
        <v>46</v>
      </c>
      <c r="AB885" s="1" t="s">
        <v>45</v>
      </c>
      <c r="AC885" s="1">
        <v>4.82262886E8</v>
      </c>
      <c r="AD885" s="1">
        <v>6530661.0</v>
      </c>
      <c r="AE885" s="1" t="s">
        <v>76</v>
      </c>
      <c r="AF885" s="1">
        <v>750400.0</v>
      </c>
      <c r="AG885" s="2">
        <v>41838.0</v>
      </c>
      <c r="AH885" s="1">
        <v>6900.0</v>
      </c>
      <c r="AI885" s="1" t="s">
        <v>151</v>
      </c>
      <c r="AJ885" s="1">
        <v>145477.0</v>
      </c>
      <c r="AK885" s="1" t="s">
        <v>2133</v>
      </c>
      <c r="AL885" s="1">
        <v>7.0</v>
      </c>
      <c r="AM885" s="1">
        <v>2014.0</v>
      </c>
      <c r="AN885" s="1">
        <v>2014.0</v>
      </c>
      <c r="AO885" s="1" t="s">
        <v>229</v>
      </c>
    </row>
    <row r="886">
      <c r="A886" s="5">
        <v>1.0</v>
      </c>
      <c r="B886" s="1">
        <f t="shared" si="1"/>
        <v>886</v>
      </c>
      <c r="C886" s="1" t="s">
        <v>2129</v>
      </c>
      <c r="D886" s="1" t="s">
        <v>2129</v>
      </c>
      <c r="E886" s="1" t="s">
        <v>100</v>
      </c>
      <c r="G886" s="1">
        <v>189725.0</v>
      </c>
      <c r="H886" s="2">
        <v>41183.0</v>
      </c>
      <c r="I886" s="1" t="s">
        <v>1858</v>
      </c>
      <c r="K886" s="1" t="s">
        <v>1858</v>
      </c>
      <c r="N886" s="1" t="s">
        <v>102</v>
      </c>
      <c r="O886" s="1">
        <v>8600.0</v>
      </c>
      <c r="P886" s="1" t="s">
        <v>102</v>
      </c>
      <c r="Q886" s="1" t="str">
        <f>IF(ISERROR(VLOOKUP(P886,'unique fed agency names'!A:C,3,FALSE)),P886,VLOOKUP(P886,'unique fed agency names'!A:C,3,FALSE))
</f>
        <v>U.S. Department of Housing and Urban Development (HUD)</v>
      </c>
      <c r="R886" s="1">
        <v>1.31984697E8</v>
      </c>
      <c r="S886" s="1" t="s">
        <v>103</v>
      </c>
      <c r="T886" s="1" t="str">
        <f>IF(ISERROR(VLOOKUP(S886,'unique org names'!A:C,3,FALSE)),S886,VLOOKUP(S886,'unique org names'!A:C,3,FALSE))
</f>
        <v>SOUTHWEST HOUSING SOLUTIONS CORPORATION</v>
      </c>
      <c r="U886" s="1" t="s">
        <v>104</v>
      </c>
      <c r="V886" s="1" t="s">
        <v>105</v>
      </c>
      <c r="W886" s="1" t="s">
        <v>44</v>
      </c>
      <c r="X886" s="1" t="s">
        <v>45</v>
      </c>
      <c r="Y886" s="1">
        <v>4.82161435E8</v>
      </c>
      <c r="AA886" s="1" t="s">
        <v>46</v>
      </c>
      <c r="AB886" s="1" t="s">
        <v>45</v>
      </c>
      <c r="AC886" s="1">
        <v>4.82161435E8</v>
      </c>
      <c r="AD886" s="1">
        <v>7.6385699E7</v>
      </c>
      <c r="AE886" s="1" t="s">
        <v>106</v>
      </c>
      <c r="AF886" s="1">
        <v>90473.56</v>
      </c>
      <c r="AG886" s="2">
        <v>41183.0</v>
      </c>
      <c r="AH886" s="1">
        <v>8600.0</v>
      </c>
      <c r="AI886" s="1" t="s">
        <v>102</v>
      </c>
      <c r="AJ886" s="1">
        <v>2.0130876E7</v>
      </c>
      <c r="AK886" s="1" t="s">
        <v>107</v>
      </c>
      <c r="AL886" s="1">
        <v>10.0</v>
      </c>
      <c r="AM886" s="1">
        <v>2011.0</v>
      </c>
      <c r="AN886" s="1">
        <v>2013.0</v>
      </c>
      <c r="AO886" s="1" t="s">
        <v>1860</v>
      </c>
    </row>
    <row r="887">
      <c r="A887" s="5">
        <v>1.0</v>
      </c>
      <c r="B887" s="1">
        <f t="shared" si="1"/>
        <v>887</v>
      </c>
      <c r="C887" s="1" t="s">
        <v>2122</v>
      </c>
      <c r="D887" s="1" t="s">
        <v>2122</v>
      </c>
      <c r="E887" s="1" t="s">
        <v>645</v>
      </c>
      <c r="G887" s="1">
        <v>1315177.0</v>
      </c>
      <c r="H887" s="2">
        <v>41844.0</v>
      </c>
      <c r="I887" s="1" t="s">
        <v>677</v>
      </c>
      <c r="K887" s="1" t="s">
        <v>677</v>
      </c>
      <c r="N887" s="1" t="s">
        <v>647</v>
      </c>
      <c r="O887" s="1">
        <v>1200.0</v>
      </c>
      <c r="P887" s="1" t="s">
        <v>647</v>
      </c>
      <c r="Q887" s="1" t="str">
        <f>IF(ISERROR(VLOOKUP(P887,'unique fed agency names'!A:C,3,FALSE)),P887,VLOOKUP(P887,'unique fed agency names'!A:C,3,FALSE))
</f>
        <v>U.S. Department of Agriculture (USDA)</v>
      </c>
      <c r="R887" s="1">
        <v>7.6340843E7</v>
      </c>
      <c r="S887" s="1" t="s">
        <v>461</v>
      </c>
      <c r="T887" s="1" t="str">
        <f>IF(ISERROR(VLOOKUP(S887,'unique org names'!A:C,3,FALSE)),S887,VLOOKUP(S887,'unique org names'!A:C,3,FALSE))
</f>
        <v>BOARD OF EDUCATION OF THE CITY OF DETROIT</v>
      </c>
      <c r="V887" s="1" t="s">
        <v>1599</v>
      </c>
      <c r="W887" s="1" t="s">
        <v>44</v>
      </c>
      <c r="X887" s="1" t="s">
        <v>45</v>
      </c>
      <c r="Y887" s="1">
        <v>4.8202301E8</v>
      </c>
      <c r="AA887" s="1" t="s">
        <v>44</v>
      </c>
      <c r="AB887" s="1" t="s">
        <v>45</v>
      </c>
      <c r="AC887" s="1">
        <v>4.82023096E8</v>
      </c>
      <c r="AD887" s="1">
        <v>7.6340843E7</v>
      </c>
      <c r="AE887" s="1" t="s">
        <v>461</v>
      </c>
      <c r="AF887" s="1">
        <v>1902557.0</v>
      </c>
      <c r="AG887" s="2">
        <v>41844.0</v>
      </c>
      <c r="AH887" s="1">
        <v>1200.0</v>
      </c>
      <c r="AI887" s="1" t="s">
        <v>647</v>
      </c>
      <c r="AJ887" s="1" t="s">
        <v>2134</v>
      </c>
      <c r="AK887" s="1" t="s">
        <v>712</v>
      </c>
      <c r="AL887" s="1">
        <v>8.0</v>
      </c>
      <c r="AM887" s="1">
        <v>2014.0</v>
      </c>
      <c r="AN887" s="1">
        <v>2014.0</v>
      </c>
      <c r="AO887" s="1" t="s">
        <v>680</v>
      </c>
    </row>
    <row r="888">
      <c r="A888" s="5">
        <v>1.0</v>
      </c>
      <c r="B888" s="1">
        <f t="shared" si="1"/>
        <v>888</v>
      </c>
      <c r="C888" s="1" t="s">
        <v>2135</v>
      </c>
      <c r="D888" s="1" t="s">
        <v>2135</v>
      </c>
      <c r="E888" s="1" t="s">
        <v>224</v>
      </c>
      <c r="G888" s="1">
        <v>554157.0</v>
      </c>
      <c r="H888" s="2">
        <v>41835.0</v>
      </c>
      <c r="I888" s="1" t="s">
        <v>2136</v>
      </c>
      <c r="K888" s="1" t="s">
        <v>2136</v>
      </c>
      <c r="N888" s="1" t="s">
        <v>151</v>
      </c>
      <c r="O888" s="1">
        <v>6900.0</v>
      </c>
      <c r="P888" s="1" t="s">
        <v>151</v>
      </c>
      <c r="Q888" s="1" t="str">
        <f>IF(ISERROR(VLOOKUP(P888,'unique fed agency names'!A:C,3,FALSE)),P888,VLOOKUP(P888,'unique fed agency names'!A:C,3,FALSE))
</f>
        <v>U.S. Department of Transportation (DOT)</v>
      </c>
      <c r="R888" s="1">
        <v>1.1855476E8</v>
      </c>
      <c r="S888" s="1" t="s">
        <v>983</v>
      </c>
      <c r="T888" s="1" t="str">
        <f>IF(ISERROR(VLOOKUP(S888,'unique org names'!A:C,3,FALSE)),S888,VLOOKUP(S888,'unique org names'!A:C,3,FALSE))
</f>
        <v>City of Detroit</v>
      </c>
      <c r="U888" s="1" t="s">
        <v>984</v>
      </c>
      <c r="V888" s="1" t="s">
        <v>227</v>
      </c>
      <c r="W888" s="1" t="s">
        <v>44</v>
      </c>
      <c r="X888" s="1" t="s">
        <v>45</v>
      </c>
      <c r="Y888" s="1">
        <v>4.82262886E8</v>
      </c>
      <c r="AA888" s="1" t="s">
        <v>46</v>
      </c>
      <c r="AB888" s="1" t="s">
        <v>45</v>
      </c>
      <c r="AC888" s="1">
        <v>4.82262886E8</v>
      </c>
      <c r="AD888" s="1">
        <v>6530661.0</v>
      </c>
      <c r="AE888" s="1" t="s">
        <v>76</v>
      </c>
      <c r="AF888" s="1">
        <v>554157.11</v>
      </c>
      <c r="AG888" s="2">
        <v>41835.0</v>
      </c>
      <c r="AH888" s="1">
        <v>6900.0</v>
      </c>
      <c r="AI888" s="1" t="s">
        <v>151</v>
      </c>
      <c r="AJ888" s="1">
        <v>145476.0</v>
      </c>
      <c r="AK888" s="1" t="s">
        <v>2137</v>
      </c>
      <c r="AL888" s="1">
        <v>7.0</v>
      </c>
      <c r="AM888" s="1">
        <v>2014.0</v>
      </c>
      <c r="AN888" s="1">
        <v>2014.0</v>
      </c>
      <c r="AO888" s="1" t="s">
        <v>229</v>
      </c>
    </row>
    <row r="889">
      <c r="A889" s="5">
        <v>1.0</v>
      </c>
      <c r="B889" s="1">
        <f t="shared" si="1"/>
        <v>889</v>
      </c>
      <c r="C889" s="1" t="s">
        <v>2138</v>
      </c>
      <c r="D889" s="1" t="s">
        <v>2138</v>
      </c>
      <c r="E889" s="1" t="s">
        <v>224</v>
      </c>
      <c r="G889" s="1">
        <v>83842.0</v>
      </c>
      <c r="H889" s="2">
        <v>41835.0</v>
      </c>
      <c r="I889" s="1" t="s">
        <v>2136</v>
      </c>
      <c r="K889" s="1" t="s">
        <v>2136</v>
      </c>
      <c r="N889" s="1" t="s">
        <v>151</v>
      </c>
      <c r="O889" s="1">
        <v>6900.0</v>
      </c>
      <c r="P889" s="1" t="s">
        <v>151</v>
      </c>
      <c r="Q889" s="1" t="str">
        <f>IF(ISERROR(VLOOKUP(P889,'unique fed agency names'!A:C,3,FALSE)),P889,VLOOKUP(P889,'unique fed agency names'!A:C,3,FALSE))
</f>
        <v>U.S. Department of Transportation (DOT)</v>
      </c>
      <c r="R889" s="1">
        <v>1.1855476E8</v>
      </c>
      <c r="S889" s="1" t="s">
        <v>983</v>
      </c>
      <c r="T889" s="1" t="str">
        <f>IF(ISERROR(VLOOKUP(S889,'unique org names'!A:C,3,FALSE)),S889,VLOOKUP(S889,'unique org names'!A:C,3,FALSE))
</f>
        <v>City of Detroit</v>
      </c>
      <c r="U889" s="1" t="s">
        <v>984</v>
      </c>
      <c r="V889" s="1" t="s">
        <v>227</v>
      </c>
      <c r="W889" s="1" t="s">
        <v>44</v>
      </c>
      <c r="X889" s="1" t="s">
        <v>45</v>
      </c>
      <c r="Y889" s="1">
        <v>4.82262886E8</v>
      </c>
      <c r="AA889" s="1" t="s">
        <v>46</v>
      </c>
      <c r="AB889" s="1" t="s">
        <v>45</v>
      </c>
      <c r="AC889" s="1">
        <v>4.82262886E8</v>
      </c>
      <c r="AD889" s="1">
        <v>6530661.0</v>
      </c>
      <c r="AE889" s="1" t="s">
        <v>76</v>
      </c>
      <c r="AF889" s="1">
        <v>83842.89</v>
      </c>
      <c r="AG889" s="2">
        <v>41835.0</v>
      </c>
      <c r="AH889" s="1">
        <v>6900.0</v>
      </c>
      <c r="AI889" s="1" t="s">
        <v>151</v>
      </c>
      <c r="AJ889" s="1">
        <v>145476.0</v>
      </c>
      <c r="AK889" s="1" t="s">
        <v>2137</v>
      </c>
      <c r="AL889" s="1">
        <v>7.0</v>
      </c>
      <c r="AM889" s="1">
        <v>2014.0</v>
      </c>
      <c r="AN889" s="1">
        <v>2014.0</v>
      </c>
      <c r="AO889" s="1" t="s">
        <v>229</v>
      </c>
    </row>
    <row r="890">
      <c r="A890" s="5">
        <v>1.0</v>
      </c>
      <c r="B890" s="1">
        <f t="shared" si="1"/>
        <v>890</v>
      </c>
      <c r="C890" s="1" t="s">
        <v>2139</v>
      </c>
      <c r="D890" s="1" t="s">
        <v>2139</v>
      </c>
      <c r="E890" s="1" t="s">
        <v>100</v>
      </c>
      <c r="G890" s="1">
        <v>3.2109172E7</v>
      </c>
      <c r="H890" s="2">
        <v>41837.0</v>
      </c>
      <c r="I890" s="1" t="s">
        <v>297</v>
      </c>
      <c r="K890" s="1" t="s">
        <v>297</v>
      </c>
      <c r="N890" s="1" t="s">
        <v>102</v>
      </c>
      <c r="O890" s="1">
        <v>8600.0</v>
      </c>
      <c r="P890" s="1" t="s">
        <v>102</v>
      </c>
      <c r="Q890" s="1" t="str">
        <f>IF(ISERROR(VLOOKUP(P890,'unique fed agency names'!A:C,3,FALSE)),P890,VLOOKUP(P890,'unique fed agency names'!A:C,3,FALSE))
</f>
        <v>U.S. Department of Housing and Urban Development (HUD)</v>
      </c>
      <c r="R890" s="1">
        <v>7.2761299E7</v>
      </c>
      <c r="S890" s="1" t="s">
        <v>667</v>
      </c>
      <c r="T890" s="1" t="str">
        <f>IF(ISERROR(VLOOKUP(S890,'unique org names'!A:C,3,FALSE)),S890,VLOOKUP(S890,'unique org names'!A:C,3,FALSE))
</f>
        <v>Focus: HOPE</v>
      </c>
      <c r="V890" s="1" t="s">
        <v>668</v>
      </c>
      <c r="W890" s="1" t="s">
        <v>44</v>
      </c>
      <c r="X890" s="1" t="s">
        <v>45</v>
      </c>
      <c r="Y890" s="1">
        <v>4.82382849E8</v>
      </c>
      <c r="AA890" s="1" t="s">
        <v>46</v>
      </c>
      <c r="AB890" s="1" t="s">
        <v>45</v>
      </c>
      <c r="AC890" s="1">
        <v>4.82382849E8</v>
      </c>
      <c r="AD890" s="1">
        <v>7.2761299E7</v>
      </c>
      <c r="AE890" s="1" t="s">
        <v>667</v>
      </c>
      <c r="AF890" s="1">
        <v>103700.0</v>
      </c>
      <c r="AG890" s="2">
        <v>41837.0</v>
      </c>
      <c r="AH890" s="1">
        <v>8600.0</v>
      </c>
      <c r="AI890" s="1" t="s">
        <v>102</v>
      </c>
      <c r="AJ890" s="1">
        <v>3.0</v>
      </c>
      <c r="AK890" s="1" t="s">
        <v>2140</v>
      </c>
      <c r="AL890" s="1">
        <v>8.0</v>
      </c>
      <c r="AM890" s="1">
        <v>2014.0</v>
      </c>
      <c r="AN890" s="1">
        <v>2014.0</v>
      </c>
      <c r="AO890" s="1" t="s">
        <v>305</v>
      </c>
    </row>
    <row r="891">
      <c r="A891" s="5">
        <v>1.0</v>
      </c>
      <c r="B891" s="1">
        <f t="shared" si="1"/>
        <v>891</v>
      </c>
      <c r="C891" s="1" t="s">
        <v>2139</v>
      </c>
      <c r="D891" s="1" t="s">
        <v>2139</v>
      </c>
      <c r="E891" s="1" t="s">
        <v>100</v>
      </c>
      <c r="G891" s="1">
        <v>3.2109172E7</v>
      </c>
      <c r="H891" s="2">
        <v>41837.0</v>
      </c>
      <c r="I891" s="1" t="s">
        <v>297</v>
      </c>
      <c r="K891" s="1" t="s">
        <v>297</v>
      </c>
      <c r="N891" s="1" t="s">
        <v>102</v>
      </c>
      <c r="O891" s="1">
        <v>8600.0</v>
      </c>
      <c r="P891" s="1" t="s">
        <v>102</v>
      </c>
      <c r="Q891" s="1" t="str">
        <f>IF(ISERROR(VLOOKUP(P891,'unique fed agency names'!A:C,3,FALSE)),P891,VLOOKUP(P891,'unique fed agency names'!A:C,3,FALSE))
</f>
        <v>U.S. Department of Housing and Urban Development (HUD)</v>
      </c>
      <c r="R891" s="1">
        <v>1.0882231E7</v>
      </c>
      <c r="S891" s="1" t="s">
        <v>2141</v>
      </c>
      <c r="T891" s="1" t="str">
        <f>IF(ISERROR(VLOOKUP(S891,'unique org names'!A:C,3,FALSE)),S891,VLOOKUP(S891,'unique org names'!A:C,3,FALSE))
</f>
        <v>SER Metro Detroit Jobs for Progress, Inc</v>
      </c>
      <c r="V891" s="1" t="s">
        <v>878</v>
      </c>
      <c r="W891" s="1" t="s">
        <v>44</v>
      </c>
      <c r="X891" s="1" t="s">
        <v>45</v>
      </c>
      <c r="Y891" s="1">
        <v>4.82102038E8</v>
      </c>
      <c r="AA891" s="1" t="s">
        <v>46</v>
      </c>
      <c r="AB891" s="1" t="s">
        <v>45</v>
      </c>
      <c r="AC891" s="1">
        <v>4.82102038E8</v>
      </c>
      <c r="AD891" s="1">
        <v>1.0882231E7</v>
      </c>
      <c r="AE891" s="1" t="s">
        <v>2141</v>
      </c>
      <c r="AF891" s="1">
        <v>104000.0</v>
      </c>
      <c r="AG891" s="2">
        <v>41837.0</v>
      </c>
      <c r="AH891" s="1">
        <v>8600.0</v>
      </c>
      <c r="AI891" s="1" t="s">
        <v>102</v>
      </c>
      <c r="AJ891" s="1">
        <v>7.0</v>
      </c>
      <c r="AK891" s="1" t="s">
        <v>2142</v>
      </c>
      <c r="AL891" s="1">
        <v>8.0</v>
      </c>
      <c r="AM891" s="1">
        <v>2014.0</v>
      </c>
      <c r="AN891" s="1">
        <v>2014.0</v>
      </c>
      <c r="AO891" s="1" t="s">
        <v>305</v>
      </c>
    </row>
    <row r="892">
      <c r="A892" s="5">
        <v>1.0</v>
      </c>
      <c r="B892" s="1">
        <f t="shared" si="1"/>
        <v>892</v>
      </c>
      <c r="C892" s="1" t="s">
        <v>2139</v>
      </c>
      <c r="D892" s="1" t="s">
        <v>2139</v>
      </c>
      <c r="E892" s="1" t="s">
        <v>100</v>
      </c>
      <c r="G892" s="1">
        <v>3.2109172E7</v>
      </c>
      <c r="H892" s="2">
        <v>41837.0</v>
      </c>
      <c r="I892" s="1" t="s">
        <v>297</v>
      </c>
      <c r="K892" s="1" t="s">
        <v>297</v>
      </c>
      <c r="N892" s="1" t="s">
        <v>102</v>
      </c>
      <c r="O892" s="1">
        <v>8600.0</v>
      </c>
      <c r="P892" s="1" t="s">
        <v>102</v>
      </c>
      <c r="Q892" s="1" t="str">
        <f>IF(ISERROR(VLOOKUP(P892,'unique fed agency names'!A:C,3,FALSE)),P892,VLOOKUP(P892,'unique fed agency names'!A:C,3,FALSE))
</f>
        <v>U.S. Department of Housing and Urban Development (HUD)</v>
      </c>
      <c r="R892" s="1">
        <v>1.43949258E8</v>
      </c>
      <c r="S892" s="1" t="s">
        <v>2143</v>
      </c>
      <c r="T892" s="1" t="str">
        <f>IF(ISERROR(VLOOKUP(S892,'unique org names'!A:C,3,FALSE)),S892,VLOOKUP(S892,'unique org names'!A:C,3,FALSE))
</f>
        <v>Alkebu-Lan Village</v>
      </c>
      <c r="V892" s="1" t="s">
        <v>2144</v>
      </c>
      <c r="W892" s="1" t="s">
        <v>44</v>
      </c>
      <c r="X892" s="1" t="s">
        <v>45</v>
      </c>
      <c r="Y892" s="1">
        <v>4.82132411E8</v>
      </c>
      <c r="AA892" s="1" t="s">
        <v>46</v>
      </c>
      <c r="AB892" s="1" t="s">
        <v>45</v>
      </c>
      <c r="AC892" s="1">
        <v>4.82132411E8</v>
      </c>
      <c r="AF892" s="1">
        <v>100000.0</v>
      </c>
      <c r="AG892" s="2">
        <v>41837.0</v>
      </c>
      <c r="AH892" s="1">
        <v>8600.0</v>
      </c>
      <c r="AI892" s="1" t="s">
        <v>102</v>
      </c>
      <c r="AJ892" s="1">
        <v>12.0</v>
      </c>
      <c r="AK892" s="1" t="s">
        <v>2145</v>
      </c>
      <c r="AL892" s="1">
        <v>8.0</v>
      </c>
      <c r="AM892" s="1">
        <v>2014.0</v>
      </c>
      <c r="AN892" s="1">
        <v>2014.0</v>
      </c>
      <c r="AO892" s="1" t="s">
        <v>305</v>
      </c>
    </row>
    <row r="893">
      <c r="A893" s="5">
        <v>1.0</v>
      </c>
      <c r="B893" s="1">
        <f t="shared" si="1"/>
        <v>893</v>
      </c>
      <c r="C893" s="1" t="s">
        <v>2139</v>
      </c>
      <c r="D893" s="1" t="s">
        <v>2139</v>
      </c>
      <c r="E893" s="1" t="s">
        <v>100</v>
      </c>
      <c r="G893" s="1">
        <v>3.2109172E7</v>
      </c>
      <c r="H893" s="2">
        <v>41837.0</v>
      </c>
      <c r="I893" s="1" t="s">
        <v>297</v>
      </c>
      <c r="K893" s="1" t="s">
        <v>297</v>
      </c>
      <c r="N893" s="1" t="s">
        <v>102</v>
      </c>
      <c r="O893" s="1">
        <v>8600.0</v>
      </c>
      <c r="P893" s="1" t="s">
        <v>102</v>
      </c>
      <c r="Q893" s="1" t="str">
        <f>IF(ISERROR(VLOOKUP(P893,'unique fed agency names'!A:C,3,FALSE)),P893,VLOOKUP(P893,'unique fed agency names'!A:C,3,FALSE))
</f>
        <v>U.S. Department of Housing and Urban Development (HUD)</v>
      </c>
      <c r="R893" s="1">
        <v>6.0974268E7</v>
      </c>
      <c r="S893" s="1" t="s">
        <v>2146</v>
      </c>
      <c r="T893" s="1" t="str">
        <f>IF(ISERROR(VLOOKUP(S893,'unique org names'!A:C,3,FALSE)),S893,VLOOKUP(S893,'unique org names'!A:C,3,FALSE))
</f>
        <v>Michigan Legal Services</v>
      </c>
      <c r="V893" s="1" t="s">
        <v>2147</v>
      </c>
      <c r="W893" s="1" t="s">
        <v>44</v>
      </c>
      <c r="X893" s="1" t="s">
        <v>45</v>
      </c>
      <c r="Y893" s="1">
        <v>4.82261417E8</v>
      </c>
      <c r="AA893" s="1" t="s">
        <v>46</v>
      </c>
      <c r="AB893" s="1" t="s">
        <v>45</v>
      </c>
      <c r="AC893" s="1">
        <v>4.82261417E8</v>
      </c>
      <c r="AF893" s="1">
        <v>100000.0</v>
      </c>
      <c r="AG893" s="2">
        <v>41837.0</v>
      </c>
      <c r="AH893" s="1">
        <v>8600.0</v>
      </c>
      <c r="AI893" s="1" t="s">
        <v>102</v>
      </c>
      <c r="AJ893" s="1">
        <v>30.0</v>
      </c>
      <c r="AK893" s="1" t="s">
        <v>2148</v>
      </c>
      <c r="AL893" s="1">
        <v>8.0</v>
      </c>
      <c r="AM893" s="1">
        <v>2014.0</v>
      </c>
      <c r="AN893" s="1">
        <v>2014.0</v>
      </c>
      <c r="AO893" s="1" t="s">
        <v>305</v>
      </c>
    </row>
    <row r="894">
      <c r="A894" s="5">
        <v>1.0</v>
      </c>
      <c r="B894" s="1">
        <f t="shared" si="1"/>
        <v>894</v>
      </c>
      <c r="C894" s="1" t="s">
        <v>2139</v>
      </c>
      <c r="D894" s="1" t="s">
        <v>2139</v>
      </c>
      <c r="E894" s="1" t="s">
        <v>100</v>
      </c>
      <c r="G894" s="1">
        <v>3.2109172E7</v>
      </c>
      <c r="H894" s="2">
        <v>41837.0</v>
      </c>
      <c r="I894" s="1" t="s">
        <v>297</v>
      </c>
      <c r="K894" s="1" t="s">
        <v>297</v>
      </c>
      <c r="N894" s="1" t="s">
        <v>102</v>
      </c>
      <c r="O894" s="1">
        <v>8600.0</v>
      </c>
      <c r="P894" s="1" t="s">
        <v>102</v>
      </c>
      <c r="Q894" s="1" t="str">
        <f>IF(ISERROR(VLOOKUP(P894,'unique fed agency names'!A:C,3,FALSE)),P894,VLOOKUP(P894,'unique fed agency names'!A:C,3,FALSE))
</f>
        <v>U.S. Department of Housing and Urban Development (HUD)</v>
      </c>
      <c r="R894" s="1">
        <v>1.21516199E8</v>
      </c>
      <c r="S894" s="1" t="s">
        <v>380</v>
      </c>
      <c r="T894" s="1" t="str">
        <f>IF(ISERROR(VLOOKUP(S894,'unique org names'!A:C,3,FALSE)),S894,VLOOKUP(S894,'unique org names'!A:C,3,FALSE))
</f>
        <v>YWCA of Metropolitan Detroit</v>
      </c>
      <c r="U894" s="1" t="s">
        <v>381</v>
      </c>
      <c r="V894" s="1" t="s">
        <v>382</v>
      </c>
      <c r="W894" s="1" t="s">
        <v>44</v>
      </c>
      <c r="X894" s="1" t="s">
        <v>45</v>
      </c>
      <c r="Y894" s="1">
        <v>4.82073156E8</v>
      </c>
      <c r="AA894" s="1" t="s">
        <v>46</v>
      </c>
      <c r="AB894" s="1" t="s">
        <v>45</v>
      </c>
      <c r="AC894" s="1">
        <v>4.82073156E8</v>
      </c>
      <c r="AD894" s="1">
        <v>1.21516199E8</v>
      </c>
      <c r="AE894" s="1" t="s">
        <v>380</v>
      </c>
      <c r="AF894" s="1">
        <v>100000.0</v>
      </c>
      <c r="AG894" s="2">
        <v>41837.0</v>
      </c>
      <c r="AH894" s="1">
        <v>8600.0</v>
      </c>
      <c r="AI894" s="1" t="s">
        <v>102</v>
      </c>
      <c r="AJ894" s="1">
        <v>62.0</v>
      </c>
      <c r="AK894" s="1" t="s">
        <v>2149</v>
      </c>
      <c r="AL894" s="1">
        <v>8.0</v>
      </c>
      <c r="AM894" s="1">
        <v>2014.0</v>
      </c>
      <c r="AN894" s="1">
        <v>2014.0</v>
      </c>
      <c r="AO894" s="1" t="s">
        <v>305</v>
      </c>
    </row>
    <row r="895">
      <c r="A895" s="5">
        <v>1.0</v>
      </c>
      <c r="B895" s="1">
        <f t="shared" si="1"/>
        <v>895</v>
      </c>
      <c r="C895" s="1" t="s">
        <v>2139</v>
      </c>
      <c r="D895" s="1" t="s">
        <v>2139</v>
      </c>
      <c r="E895" s="1" t="s">
        <v>100</v>
      </c>
      <c r="G895" s="1">
        <v>3.2109172E7</v>
      </c>
      <c r="H895" s="2">
        <v>41837.0</v>
      </c>
      <c r="I895" s="1" t="s">
        <v>297</v>
      </c>
      <c r="K895" s="1" t="s">
        <v>297</v>
      </c>
      <c r="N895" s="1" t="s">
        <v>102</v>
      </c>
      <c r="O895" s="1">
        <v>8600.0</v>
      </c>
      <c r="P895" s="1" t="s">
        <v>102</v>
      </c>
      <c r="Q895" s="1" t="str">
        <f>IF(ISERROR(VLOOKUP(P895,'unique fed agency names'!A:C,3,FALSE)),P895,VLOOKUP(P895,'unique fed agency names'!A:C,3,FALSE))
</f>
        <v>U.S. Department of Housing and Urban Development (HUD)</v>
      </c>
      <c r="R895" s="1">
        <v>2.0830303E7</v>
      </c>
      <c r="S895" s="1" t="s">
        <v>424</v>
      </c>
      <c r="T895" s="1" t="str">
        <f>IF(ISERROR(VLOOKUP(S895,'unique org names'!A:C,3,FALSE)),S895,VLOOKUP(S895,'unique org names'!A:C,3,FALSE))
</f>
        <v>MATRIX HUMAN SERVICES</v>
      </c>
      <c r="U895" s="1" t="s">
        <v>425</v>
      </c>
      <c r="V895" s="1" t="s">
        <v>426</v>
      </c>
      <c r="W895" s="1" t="s">
        <v>44</v>
      </c>
      <c r="X895" s="1" t="s">
        <v>45</v>
      </c>
      <c r="Y895" s="1">
        <v>4.82012002E8</v>
      </c>
      <c r="AA895" s="1" t="s">
        <v>46</v>
      </c>
      <c r="AB895" s="1" t="s">
        <v>45</v>
      </c>
      <c r="AC895" s="1">
        <v>4.82012002E8</v>
      </c>
      <c r="AD895" s="1">
        <v>2.0830303E7</v>
      </c>
      <c r="AE895" s="1" t="s">
        <v>424</v>
      </c>
      <c r="AF895" s="1">
        <v>100000.0</v>
      </c>
      <c r="AG895" s="2">
        <v>41837.0</v>
      </c>
      <c r="AH895" s="1">
        <v>8600.0</v>
      </c>
      <c r="AI895" s="1" t="s">
        <v>102</v>
      </c>
      <c r="AJ895" s="1">
        <v>28.0</v>
      </c>
      <c r="AK895" s="1" t="s">
        <v>2150</v>
      </c>
      <c r="AL895" s="1">
        <v>8.0</v>
      </c>
      <c r="AM895" s="1">
        <v>2014.0</v>
      </c>
      <c r="AN895" s="1">
        <v>2014.0</v>
      </c>
      <c r="AO895" s="1" t="s">
        <v>305</v>
      </c>
    </row>
    <row r="896">
      <c r="A896" s="5">
        <v>1.0</v>
      </c>
      <c r="B896" s="1">
        <f t="shared" si="1"/>
        <v>896</v>
      </c>
      <c r="C896" s="1" t="s">
        <v>2139</v>
      </c>
      <c r="D896" s="1" t="s">
        <v>2139</v>
      </c>
      <c r="E896" s="1" t="s">
        <v>100</v>
      </c>
      <c r="G896" s="1">
        <v>3.2109172E7</v>
      </c>
      <c r="H896" s="2">
        <v>41837.0</v>
      </c>
      <c r="I896" s="1" t="s">
        <v>297</v>
      </c>
      <c r="K896" s="1" t="s">
        <v>297</v>
      </c>
      <c r="N896" s="1" t="s">
        <v>102</v>
      </c>
      <c r="O896" s="1">
        <v>8600.0</v>
      </c>
      <c r="P896" s="1" t="s">
        <v>102</v>
      </c>
      <c r="Q896" s="1" t="str">
        <f>IF(ISERROR(VLOOKUP(P896,'unique fed agency names'!A:C,3,FALSE)),P896,VLOOKUP(P896,'unique fed agency names'!A:C,3,FALSE))
</f>
        <v>U.S. Department of Housing and Urban Development (HUD)</v>
      </c>
      <c r="R896" s="1">
        <v>8.2218256E7</v>
      </c>
      <c r="S896" s="1" t="s">
        <v>2151</v>
      </c>
      <c r="T896" s="1" t="str">
        <f>IF(ISERROR(VLOOKUP(S896,'unique org names'!A:C,3,FALSE)),S896,VLOOKUP(S896,'unique org names'!A:C,3,FALSE))
</f>
        <v>Greater Detroit Agency for the Blind and Visually Impaired</v>
      </c>
      <c r="V896" s="1" t="s">
        <v>2152</v>
      </c>
      <c r="W896" s="1" t="s">
        <v>44</v>
      </c>
      <c r="X896" s="1" t="s">
        <v>45</v>
      </c>
      <c r="Y896" s="1">
        <v>4.82271419E8</v>
      </c>
      <c r="AA896" s="1" t="s">
        <v>46</v>
      </c>
      <c r="AB896" s="1" t="s">
        <v>45</v>
      </c>
      <c r="AC896" s="1">
        <v>4.82271419E8</v>
      </c>
      <c r="AF896" s="1">
        <v>100000.0</v>
      </c>
      <c r="AG896" s="2">
        <v>41837.0</v>
      </c>
      <c r="AH896" s="1">
        <v>8600.0</v>
      </c>
      <c r="AI896" s="1" t="s">
        <v>102</v>
      </c>
      <c r="AJ896" s="1">
        <v>22.0</v>
      </c>
      <c r="AK896" s="1" t="s">
        <v>2153</v>
      </c>
      <c r="AL896" s="1">
        <v>8.0</v>
      </c>
      <c r="AM896" s="1">
        <v>2014.0</v>
      </c>
      <c r="AN896" s="1">
        <v>2014.0</v>
      </c>
      <c r="AO896" s="1" t="s">
        <v>305</v>
      </c>
    </row>
    <row r="897">
      <c r="A897" s="5">
        <v>1.0</v>
      </c>
      <c r="B897" s="1">
        <f t="shared" si="1"/>
        <v>897</v>
      </c>
      <c r="C897" s="1" t="s">
        <v>2139</v>
      </c>
      <c r="D897" s="1" t="s">
        <v>2139</v>
      </c>
      <c r="E897" s="1" t="s">
        <v>100</v>
      </c>
      <c r="G897" s="1">
        <v>3.2109172E7</v>
      </c>
      <c r="H897" s="2">
        <v>41837.0</v>
      </c>
      <c r="I897" s="1" t="s">
        <v>297</v>
      </c>
      <c r="K897" s="1" t="s">
        <v>297</v>
      </c>
      <c r="N897" s="1" t="s">
        <v>102</v>
      </c>
      <c r="O897" s="1">
        <v>8600.0</v>
      </c>
      <c r="P897" s="1" t="s">
        <v>102</v>
      </c>
      <c r="Q897" s="1" t="str">
        <f>IF(ISERROR(VLOOKUP(P897,'unique fed agency names'!A:C,3,FALSE)),P897,VLOOKUP(P897,'unique fed agency names'!A:C,3,FALSE))
</f>
        <v>U.S. Department of Housing and Urban Development (HUD)</v>
      </c>
      <c r="R897" s="1">
        <v>7.8671071E8</v>
      </c>
      <c r="S897" s="1" t="s">
        <v>2154</v>
      </c>
      <c r="T897" s="1" t="str">
        <f>IF(ISERROR(VLOOKUP(S897,'unique org names'!A:C,3,FALSE)),S897,VLOOKUP(S897,'unique org names'!A:C,3,FALSE))
</f>
        <v>Joy-Southfield Community Development Corporation</v>
      </c>
      <c r="V897" s="1" t="s">
        <v>2155</v>
      </c>
      <c r="W897" s="1" t="s">
        <v>44</v>
      </c>
      <c r="X897" s="1" t="s">
        <v>45</v>
      </c>
      <c r="Y897" s="1">
        <v>4.8228305E8</v>
      </c>
      <c r="AA897" s="1" t="s">
        <v>46</v>
      </c>
      <c r="AB897" s="1" t="s">
        <v>45</v>
      </c>
      <c r="AC897" s="1">
        <v>4.8228305E8</v>
      </c>
      <c r="AF897" s="1">
        <v>100000.0</v>
      </c>
      <c r="AG897" s="2">
        <v>41837.0</v>
      </c>
      <c r="AH897" s="1">
        <v>8600.0</v>
      </c>
      <c r="AI897" s="1" t="s">
        <v>102</v>
      </c>
      <c r="AJ897" s="1">
        <v>25.0</v>
      </c>
      <c r="AK897" s="1" t="s">
        <v>2156</v>
      </c>
      <c r="AL897" s="1">
        <v>8.0</v>
      </c>
      <c r="AM897" s="1">
        <v>2014.0</v>
      </c>
      <c r="AN897" s="1">
        <v>2014.0</v>
      </c>
      <c r="AO897" s="1" t="s">
        <v>305</v>
      </c>
    </row>
    <row r="898">
      <c r="A898" s="5">
        <v>1.0</v>
      </c>
      <c r="B898" s="1">
        <f t="shared" si="1"/>
        <v>898</v>
      </c>
      <c r="C898" s="1" t="s">
        <v>2139</v>
      </c>
      <c r="D898" s="1" t="s">
        <v>2139</v>
      </c>
      <c r="E898" s="1" t="s">
        <v>100</v>
      </c>
      <c r="G898" s="1">
        <v>3.2109172E7</v>
      </c>
      <c r="H898" s="2">
        <v>41837.0</v>
      </c>
      <c r="I898" s="1" t="s">
        <v>297</v>
      </c>
      <c r="K898" s="1" t="s">
        <v>297</v>
      </c>
      <c r="N898" s="1" t="s">
        <v>102</v>
      </c>
      <c r="O898" s="1">
        <v>8600.0</v>
      </c>
      <c r="P898" s="1" t="s">
        <v>102</v>
      </c>
      <c r="Q898" s="1" t="str">
        <f>IF(ISERROR(VLOOKUP(P898,'unique fed agency names'!A:C,3,FALSE)),P898,VLOOKUP(P898,'unique fed agency names'!A:C,3,FALSE))
</f>
        <v>U.S. Department of Housing and Urban Development (HUD)</v>
      </c>
      <c r="R898" s="1">
        <v>1.24022237E8</v>
      </c>
      <c r="S898" s="1" t="s">
        <v>2157</v>
      </c>
      <c r="T898" s="1" t="str">
        <f>IF(ISERROR(VLOOKUP(S898,'unique org names'!A:C,3,FALSE)),S898,VLOOKUP(S898,'unique org names'!A:C,3,FALSE))
</f>
        <v>Sickle Cell Disease Association Of America Michigan Chapter Inc</v>
      </c>
      <c r="V898" s="1" t="s">
        <v>2158</v>
      </c>
      <c r="W898" s="1" t="s">
        <v>44</v>
      </c>
      <c r="X898" s="1" t="s">
        <v>45</v>
      </c>
      <c r="Y898" s="1">
        <v>4.82352507E8</v>
      </c>
      <c r="AA898" s="1" t="s">
        <v>46</v>
      </c>
      <c r="AB898" s="1" t="s">
        <v>45</v>
      </c>
      <c r="AC898" s="1">
        <v>4.82352507E8</v>
      </c>
      <c r="AD898" s="1">
        <v>1.24022237E8</v>
      </c>
      <c r="AF898" s="1">
        <v>100000.0</v>
      </c>
      <c r="AG898" s="2">
        <v>41837.0</v>
      </c>
      <c r="AH898" s="1">
        <v>8600.0</v>
      </c>
      <c r="AI898" s="1" t="s">
        <v>102</v>
      </c>
      <c r="AJ898" s="1">
        <v>8.0</v>
      </c>
      <c r="AK898" s="1" t="s">
        <v>2159</v>
      </c>
      <c r="AL898" s="1">
        <v>8.0</v>
      </c>
      <c r="AM898" s="1">
        <v>2014.0</v>
      </c>
      <c r="AN898" s="1">
        <v>2014.0</v>
      </c>
      <c r="AO898" s="1" t="s">
        <v>305</v>
      </c>
    </row>
    <row r="899">
      <c r="A899" s="5">
        <v>1.0</v>
      </c>
      <c r="B899" s="1">
        <f t="shared" si="1"/>
        <v>899</v>
      </c>
      <c r="C899" s="1" t="s">
        <v>2139</v>
      </c>
      <c r="D899" s="1" t="s">
        <v>2139</v>
      </c>
      <c r="E899" s="1" t="s">
        <v>100</v>
      </c>
      <c r="G899" s="1">
        <v>3.2109172E7</v>
      </c>
      <c r="H899" s="2">
        <v>41837.0</v>
      </c>
      <c r="I899" s="1" t="s">
        <v>297</v>
      </c>
      <c r="K899" s="1" t="s">
        <v>297</v>
      </c>
      <c r="N899" s="1" t="s">
        <v>102</v>
      </c>
      <c r="O899" s="1">
        <v>8600.0</v>
      </c>
      <c r="P899" s="1" t="s">
        <v>102</v>
      </c>
      <c r="Q899" s="1" t="str">
        <f>IF(ISERROR(VLOOKUP(P899,'unique fed agency names'!A:C,3,FALSE)),P899,VLOOKUP(P899,'unique fed agency names'!A:C,3,FALSE))
</f>
        <v>U.S. Department of Housing and Urban Development (HUD)</v>
      </c>
      <c r="R899" s="1">
        <v>7.8074923E8</v>
      </c>
      <c r="S899" s="1" t="s">
        <v>419</v>
      </c>
      <c r="T899" s="1" t="str">
        <f>IF(ISERROR(VLOOKUP(S899,'unique org names'!A:C,3,FALSE)),S899,VLOOKUP(S899,'unique org names'!A:C,3,FALSE))
</f>
        <v>ALTERNATIVES FOR GIRLS</v>
      </c>
      <c r="V899" s="1" t="s">
        <v>420</v>
      </c>
      <c r="W899" s="1" t="s">
        <v>44</v>
      </c>
      <c r="X899" s="1" t="s">
        <v>45</v>
      </c>
      <c r="Y899" s="1">
        <v>4.82082365E8</v>
      </c>
      <c r="AA899" s="1" t="s">
        <v>46</v>
      </c>
      <c r="AB899" s="1" t="s">
        <v>45</v>
      </c>
      <c r="AC899" s="1">
        <v>4.82082365E8</v>
      </c>
      <c r="AF899" s="1">
        <v>100000.0</v>
      </c>
      <c r="AG899" s="2">
        <v>41837.0</v>
      </c>
      <c r="AH899" s="1">
        <v>8600.0</v>
      </c>
      <c r="AI899" s="1" t="s">
        <v>102</v>
      </c>
      <c r="AJ899" s="1">
        <v>40.0</v>
      </c>
      <c r="AK899" s="1" t="s">
        <v>2160</v>
      </c>
      <c r="AL899" s="1">
        <v>8.0</v>
      </c>
      <c r="AM899" s="1">
        <v>2014.0</v>
      </c>
      <c r="AN899" s="1">
        <v>2014.0</v>
      </c>
      <c r="AO899" s="1" t="s">
        <v>305</v>
      </c>
    </row>
    <row r="900">
      <c r="A900" s="5">
        <v>1.0</v>
      </c>
      <c r="B900" s="1">
        <f t="shared" si="1"/>
        <v>900</v>
      </c>
      <c r="C900" s="1" t="s">
        <v>2139</v>
      </c>
      <c r="D900" s="1" t="s">
        <v>2139</v>
      </c>
      <c r="E900" s="1" t="s">
        <v>100</v>
      </c>
      <c r="G900" s="1">
        <v>3.2109172E7</v>
      </c>
      <c r="H900" s="2">
        <v>41837.0</v>
      </c>
      <c r="I900" s="1" t="s">
        <v>297</v>
      </c>
      <c r="K900" s="1" t="s">
        <v>297</v>
      </c>
      <c r="N900" s="1" t="s">
        <v>102</v>
      </c>
      <c r="O900" s="1">
        <v>8600.0</v>
      </c>
      <c r="P900" s="1" t="s">
        <v>102</v>
      </c>
      <c r="Q900" s="1" t="str">
        <f>IF(ISERROR(VLOOKUP(P900,'unique fed agency names'!A:C,3,FALSE)),P900,VLOOKUP(P900,'unique fed agency names'!A:C,3,FALSE))
</f>
        <v>U.S. Department of Housing and Urban Development (HUD)</v>
      </c>
      <c r="R900" s="1">
        <v>1.61078902E8</v>
      </c>
      <c r="S900" s="1" t="s">
        <v>1010</v>
      </c>
      <c r="T900" s="1" t="str">
        <f>IF(ISERROR(VLOOKUP(S900,'unique org names'!A:C,3,FALSE)),S900,VLOOKUP(S900,'unique org names'!A:C,3,FALSE))
</f>
        <v>COALITION ON TEMPORARY SHELTER</v>
      </c>
      <c r="U900" s="1" t="s">
        <v>1011</v>
      </c>
      <c r="V900" s="1" t="s">
        <v>1012</v>
      </c>
      <c r="W900" s="1" t="s">
        <v>44</v>
      </c>
      <c r="X900" s="1" t="s">
        <v>45</v>
      </c>
      <c r="Y900" s="1">
        <v>4.82012722E8</v>
      </c>
      <c r="AA900" s="1" t="s">
        <v>46</v>
      </c>
      <c r="AB900" s="1" t="s">
        <v>45</v>
      </c>
      <c r="AC900" s="1">
        <v>4.82012722E8</v>
      </c>
      <c r="AD900" s="1">
        <v>1.61078902E8</v>
      </c>
      <c r="AE900" s="1" t="s">
        <v>1010</v>
      </c>
      <c r="AF900" s="1">
        <v>100000.0</v>
      </c>
      <c r="AG900" s="2">
        <v>41837.0</v>
      </c>
      <c r="AH900" s="1">
        <v>8600.0</v>
      </c>
      <c r="AI900" s="1" t="s">
        <v>102</v>
      </c>
      <c r="AJ900" s="1">
        <v>43.0</v>
      </c>
      <c r="AK900" s="1" t="s">
        <v>2161</v>
      </c>
      <c r="AL900" s="1">
        <v>8.0</v>
      </c>
      <c r="AM900" s="1">
        <v>2014.0</v>
      </c>
      <c r="AN900" s="1">
        <v>2014.0</v>
      </c>
      <c r="AO900" s="1" t="s">
        <v>305</v>
      </c>
    </row>
    <row r="901">
      <c r="A901" s="5">
        <v>1.0</v>
      </c>
      <c r="B901" s="1">
        <f t="shared" si="1"/>
        <v>901</v>
      </c>
      <c r="C901" s="1" t="s">
        <v>2139</v>
      </c>
      <c r="D901" s="1" t="s">
        <v>2139</v>
      </c>
      <c r="E901" s="1" t="s">
        <v>100</v>
      </c>
      <c r="G901" s="1">
        <v>3.2109172E7</v>
      </c>
      <c r="H901" s="2">
        <v>41837.0</v>
      </c>
      <c r="I901" s="1" t="s">
        <v>297</v>
      </c>
      <c r="K901" s="1" t="s">
        <v>297</v>
      </c>
      <c r="N901" s="1" t="s">
        <v>102</v>
      </c>
      <c r="O901" s="1">
        <v>8600.0</v>
      </c>
      <c r="P901" s="1" t="s">
        <v>102</v>
      </c>
      <c r="Q901" s="1" t="str">
        <f>IF(ISERROR(VLOOKUP(P901,'unique fed agency names'!A:C,3,FALSE)),P901,VLOOKUP(P901,'unique fed agency names'!A:C,3,FALSE))
</f>
        <v>U.S. Department of Housing and Urban Development (HUD)</v>
      </c>
      <c r="R901" s="1">
        <v>5.1034718E7</v>
      </c>
      <c r="S901" s="1" t="s">
        <v>2162</v>
      </c>
      <c r="T901" s="1" t="str">
        <f>IF(ISERROR(VLOOKUP(S901,'unique org names'!A:C,3,FALSE)),S901,VLOOKUP(S901,'unique org names'!A:C,3,FALSE))
</f>
        <v>Sickle Cell Disease Association of America Michigan Chapter, Inc</v>
      </c>
      <c r="V901" s="1" t="s">
        <v>2163</v>
      </c>
      <c r="W901" s="1" t="s">
        <v>44</v>
      </c>
      <c r="X901" s="1" t="s">
        <v>45</v>
      </c>
      <c r="Y901" s="1">
        <v>4.82261472E8</v>
      </c>
      <c r="AA901" s="1" t="s">
        <v>46</v>
      </c>
      <c r="AB901" s="1" t="s">
        <v>45</v>
      </c>
      <c r="AC901" s="1">
        <v>4.82261472E8</v>
      </c>
      <c r="AF901" s="1">
        <v>75000.0</v>
      </c>
      <c r="AG901" s="2">
        <v>41837.0</v>
      </c>
      <c r="AH901" s="1">
        <v>8600.0</v>
      </c>
      <c r="AI901" s="1" t="s">
        <v>102</v>
      </c>
      <c r="AJ901" s="1">
        <v>61.0</v>
      </c>
      <c r="AK901" s="1" t="s">
        <v>2164</v>
      </c>
      <c r="AL901" s="1">
        <v>8.0</v>
      </c>
      <c r="AM901" s="1">
        <v>2014.0</v>
      </c>
      <c r="AN901" s="1">
        <v>2014.0</v>
      </c>
      <c r="AO901" s="1" t="s">
        <v>305</v>
      </c>
    </row>
    <row r="902">
      <c r="A902" s="5">
        <v>1.0</v>
      </c>
      <c r="B902" s="1">
        <f t="shared" si="1"/>
        <v>902</v>
      </c>
      <c r="C902" s="1" t="s">
        <v>2139</v>
      </c>
      <c r="D902" s="1" t="s">
        <v>2139</v>
      </c>
      <c r="E902" s="1" t="s">
        <v>100</v>
      </c>
      <c r="G902" s="1">
        <v>3.2109172E7</v>
      </c>
      <c r="H902" s="2">
        <v>41837.0</v>
      </c>
      <c r="I902" s="1" t="s">
        <v>297</v>
      </c>
      <c r="K902" s="1" t="s">
        <v>297</v>
      </c>
      <c r="N902" s="1" t="s">
        <v>102</v>
      </c>
      <c r="O902" s="1">
        <v>8600.0</v>
      </c>
      <c r="P902" s="1" t="s">
        <v>102</v>
      </c>
      <c r="Q902" s="1" t="str">
        <f>IF(ISERROR(VLOOKUP(P902,'unique fed agency names'!A:C,3,FALSE)),P902,VLOOKUP(P902,'unique fed agency names'!A:C,3,FALSE))
</f>
        <v>U.S. Department of Housing and Urban Development (HUD)</v>
      </c>
      <c r="R902" s="1">
        <v>8.61422566E8</v>
      </c>
      <c r="S902" s="1" t="s">
        <v>2165</v>
      </c>
      <c r="T902" s="1" t="str">
        <f>IF(ISERROR(VLOOKUP(S902,'unique org names'!A:C,3,FALSE)),S902,VLOOKUP(S902,'unique org names'!A:C,3,FALSE))
</f>
        <v>Coleman A. Young Foundation</v>
      </c>
      <c r="V902" s="1" t="s">
        <v>2166</v>
      </c>
      <c r="W902" s="1" t="s">
        <v>44</v>
      </c>
      <c r="X902" s="1" t="s">
        <v>45</v>
      </c>
      <c r="Y902" s="1">
        <v>4.82013473E8</v>
      </c>
      <c r="AA902" s="1" t="s">
        <v>46</v>
      </c>
      <c r="AB902" s="1" t="s">
        <v>45</v>
      </c>
      <c r="AC902" s="1">
        <v>4.82013473E8</v>
      </c>
      <c r="AF902" s="1">
        <v>75000.0</v>
      </c>
      <c r="AG902" s="2">
        <v>41837.0</v>
      </c>
      <c r="AH902" s="1">
        <v>8600.0</v>
      </c>
      <c r="AI902" s="1" t="s">
        <v>102</v>
      </c>
      <c r="AJ902" s="1">
        <v>16.0</v>
      </c>
      <c r="AK902" s="1" t="s">
        <v>2167</v>
      </c>
      <c r="AL902" s="1">
        <v>8.0</v>
      </c>
      <c r="AM902" s="1">
        <v>2014.0</v>
      </c>
      <c r="AN902" s="1">
        <v>2014.0</v>
      </c>
      <c r="AO902" s="1" t="s">
        <v>305</v>
      </c>
    </row>
    <row r="903">
      <c r="A903" s="5">
        <v>1.0</v>
      </c>
      <c r="B903" s="1">
        <f t="shared" si="1"/>
        <v>903</v>
      </c>
      <c r="C903" s="1" t="s">
        <v>2139</v>
      </c>
      <c r="D903" s="1" t="s">
        <v>2139</v>
      </c>
      <c r="E903" s="1" t="s">
        <v>100</v>
      </c>
      <c r="G903" s="1">
        <v>3.2109172E7</v>
      </c>
      <c r="H903" s="2">
        <v>41837.0</v>
      </c>
      <c r="I903" s="1" t="s">
        <v>297</v>
      </c>
      <c r="K903" s="1" t="s">
        <v>297</v>
      </c>
      <c r="N903" s="1" t="s">
        <v>102</v>
      </c>
      <c r="O903" s="1">
        <v>8600.0</v>
      </c>
      <c r="P903" s="1" t="s">
        <v>102</v>
      </c>
      <c r="Q903" s="1" t="str">
        <f>IF(ISERROR(VLOOKUP(P903,'unique fed agency names'!A:C,3,FALSE)),P903,VLOOKUP(P903,'unique fed agency names'!A:C,3,FALSE))
</f>
        <v>U.S. Department of Housing and Urban Development (HUD)</v>
      </c>
      <c r="R903" s="1">
        <v>8.29087881E8</v>
      </c>
      <c r="S903" s="1" t="s">
        <v>2168</v>
      </c>
      <c r="T903" s="1" t="str">
        <f>IF(ISERROR(VLOOKUP(S903,'unique org names'!A:C,3,FALSE)),S903,VLOOKUP(S903,'unique org names'!A:C,3,FALSE))
</f>
        <v>Lift Women's Resource Center</v>
      </c>
      <c r="V903" s="1" t="s">
        <v>2169</v>
      </c>
      <c r="W903" s="1" t="s">
        <v>44</v>
      </c>
      <c r="X903" s="1" t="s">
        <v>45</v>
      </c>
      <c r="Y903" s="1">
        <v>4.82354107E8</v>
      </c>
      <c r="AA903" s="1" t="s">
        <v>46</v>
      </c>
      <c r="AB903" s="1" t="s">
        <v>45</v>
      </c>
      <c r="AC903" s="1">
        <v>4.82354107E8</v>
      </c>
      <c r="AF903" s="1">
        <v>100000.0</v>
      </c>
      <c r="AG903" s="2">
        <v>41837.0</v>
      </c>
      <c r="AH903" s="1">
        <v>8600.0</v>
      </c>
      <c r="AI903" s="1" t="s">
        <v>102</v>
      </c>
      <c r="AJ903" s="1">
        <v>49.0</v>
      </c>
      <c r="AK903" s="1" t="s">
        <v>2170</v>
      </c>
      <c r="AL903" s="1">
        <v>8.0</v>
      </c>
      <c r="AM903" s="1">
        <v>2014.0</v>
      </c>
      <c r="AN903" s="1">
        <v>2014.0</v>
      </c>
      <c r="AO903" s="1" t="s">
        <v>305</v>
      </c>
    </row>
    <row r="904">
      <c r="A904" s="5">
        <v>1.0</v>
      </c>
      <c r="B904" s="1">
        <f t="shared" si="1"/>
        <v>904</v>
      </c>
      <c r="C904" s="1" t="s">
        <v>2139</v>
      </c>
      <c r="D904" s="1" t="s">
        <v>2139</v>
      </c>
      <c r="E904" s="1" t="s">
        <v>100</v>
      </c>
      <c r="G904" s="1">
        <v>3.2109172E7</v>
      </c>
      <c r="H904" s="2">
        <v>41837.0</v>
      </c>
      <c r="I904" s="1" t="s">
        <v>297</v>
      </c>
      <c r="K904" s="1" t="s">
        <v>297</v>
      </c>
      <c r="N904" s="1" t="s">
        <v>102</v>
      </c>
      <c r="O904" s="1">
        <v>8600.0</v>
      </c>
      <c r="P904" s="1" t="s">
        <v>102</v>
      </c>
      <c r="Q904" s="1" t="str">
        <f>IF(ISERROR(VLOOKUP(P904,'unique fed agency names'!A:C,3,FALSE)),P904,VLOOKUP(P904,'unique fed agency names'!A:C,3,FALSE))
</f>
        <v>U.S. Department of Housing and Urban Development (HUD)</v>
      </c>
      <c r="R904" s="1">
        <v>6.2962068E7</v>
      </c>
      <c r="S904" s="1" t="s">
        <v>1252</v>
      </c>
      <c r="T904" s="1" t="str">
        <f>IF(ISERROR(VLOOKUP(S904,'unique org names'!A:C,3,FALSE)),S904,VLOOKUP(S904,'unique org names'!A:C,3,FALSE))
</f>
        <v>MERCY EDUCATION PROJECT</v>
      </c>
      <c r="V904" s="1" t="s">
        <v>1253</v>
      </c>
      <c r="W904" s="1" t="s">
        <v>44</v>
      </c>
      <c r="X904" s="1" t="s">
        <v>45</v>
      </c>
      <c r="Y904" s="1">
        <v>4.82161917E8</v>
      </c>
      <c r="AA904" s="1" t="s">
        <v>46</v>
      </c>
      <c r="AB904" s="1" t="s">
        <v>45</v>
      </c>
      <c r="AC904" s="1">
        <v>4.82161917E8</v>
      </c>
      <c r="AF904" s="1">
        <v>75000.0</v>
      </c>
      <c r="AG904" s="2">
        <v>41837.0</v>
      </c>
      <c r="AH904" s="1">
        <v>8600.0</v>
      </c>
      <c r="AI904" s="1" t="s">
        <v>102</v>
      </c>
      <c r="AJ904" s="1">
        <v>29.0</v>
      </c>
      <c r="AK904" s="1" t="s">
        <v>2171</v>
      </c>
      <c r="AL904" s="1">
        <v>8.0</v>
      </c>
      <c r="AM904" s="1">
        <v>2014.0</v>
      </c>
      <c r="AN904" s="1">
        <v>2014.0</v>
      </c>
      <c r="AO904" s="1" t="s">
        <v>305</v>
      </c>
    </row>
    <row r="905">
      <c r="A905" s="5">
        <v>1.0</v>
      </c>
      <c r="B905" s="1">
        <f t="shared" si="1"/>
        <v>905</v>
      </c>
      <c r="C905" s="1" t="s">
        <v>2139</v>
      </c>
      <c r="D905" s="1" t="s">
        <v>2139</v>
      </c>
      <c r="E905" s="1" t="s">
        <v>100</v>
      </c>
      <c r="G905" s="1">
        <v>3.2109172E7</v>
      </c>
      <c r="H905" s="2">
        <v>41837.0</v>
      </c>
      <c r="I905" s="1" t="s">
        <v>297</v>
      </c>
      <c r="K905" s="1" t="s">
        <v>297</v>
      </c>
      <c r="N905" s="1" t="s">
        <v>102</v>
      </c>
      <c r="O905" s="1">
        <v>8600.0</v>
      </c>
      <c r="P905" s="1" t="s">
        <v>102</v>
      </c>
      <c r="Q905" s="1" t="str">
        <f>IF(ISERROR(VLOOKUP(P905,'unique fed agency names'!A:C,3,FALSE)),P905,VLOOKUP(P905,'unique fed agency names'!A:C,3,FALSE))
</f>
        <v>U.S. Department of Housing and Urban Development (HUD)</v>
      </c>
      <c r="R905" s="1">
        <v>1.12914697E8</v>
      </c>
      <c r="S905" s="1" t="s">
        <v>2172</v>
      </c>
      <c r="T905" s="1" t="str">
        <f>IF(ISERROR(VLOOKUP(S905,'unique org names'!A:C,3,FALSE)),S905,VLOOKUP(S905,'unique org names'!A:C,3,FALSE))
</f>
        <v>L &amp; L Adult Day Care, Inc</v>
      </c>
      <c r="U905" s="1" t="s">
        <v>2173</v>
      </c>
      <c r="V905" s="1" t="s">
        <v>2174</v>
      </c>
      <c r="W905" s="1" t="s">
        <v>44</v>
      </c>
      <c r="X905" s="1" t="s">
        <v>45</v>
      </c>
      <c r="Y905" s="1">
        <v>4.82341265E8</v>
      </c>
      <c r="AA905" s="1" t="s">
        <v>46</v>
      </c>
      <c r="AB905" s="1" t="s">
        <v>45</v>
      </c>
      <c r="AC905" s="1">
        <v>4.82341965E8</v>
      </c>
      <c r="AF905" s="1">
        <v>75000.0</v>
      </c>
      <c r="AG905" s="2">
        <v>41837.0</v>
      </c>
      <c r="AH905" s="1">
        <v>8600.0</v>
      </c>
      <c r="AI905" s="1" t="s">
        <v>102</v>
      </c>
      <c r="AJ905" s="1">
        <v>26.0</v>
      </c>
      <c r="AK905" s="1" t="s">
        <v>2175</v>
      </c>
      <c r="AL905" s="1">
        <v>8.0</v>
      </c>
      <c r="AM905" s="1">
        <v>2014.0</v>
      </c>
      <c r="AN905" s="1">
        <v>2014.0</v>
      </c>
      <c r="AO905" s="1" t="s">
        <v>305</v>
      </c>
    </row>
    <row r="906">
      <c r="A906" s="5">
        <v>1.0</v>
      </c>
      <c r="B906" s="1">
        <f t="shared" si="1"/>
        <v>906</v>
      </c>
      <c r="C906" s="1" t="s">
        <v>2139</v>
      </c>
      <c r="D906" s="1" t="s">
        <v>2139</v>
      </c>
      <c r="E906" s="1" t="s">
        <v>100</v>
      </c>
      <c r="G906" s="1">
        <v>3.2109172E7</v>
      </c>
      <c r="H906" s="2">
        <v>41837.0</v>
      </c>
      <c r="I906" s="1" t="s">
        <v>297</v>
      </c>
      <c r="K906" s="1" t="s">
        <v>297</v>
      </c>
      <c r="N906" s="1" t="s">
        <v>102</v>
      </c>
      <c r="O906" s="1">
        <v>8600.0</v>
      </c>
      <c r="P906" s="1" t="s">
        <v>102</v>
      </c>
      <c r="Q906" s="1" t="str">
        <f>IF(ISERROR(VLOOKUP(P906,'unique fed agency names'!A:C,3,FALSE)),P906,VLOOKUP(P906,'unique fed agency names'!A:C,3,FALSE))
</f>
        <v>U.S. Department of Housing and Urban Development (HUD)</v>
      </c>
      <c r="R906" s="1">
        <v>1962224.0</v>
      </c>
      <c r="S906" s="1" t="s">
        <v>52</v>
      </c>
      <c r="T906" s="1" t="str">
        <f>IF(ISERROR(VLOOKUP(S906,'unique org names'!A:C,3,FALSE)),S906,VLOOKUP(S906,'unique org names'!A:C,3,FALSE))
</f>
        <v>WAYNE STATE UNIVERSITY</v>
      </c>
      <c r="U906" s="1" t="s">
        <v>1566</v>
      </c>
      <c r="V906" s="1" t="s">
        <v>53</v>
      </c>
      <c r="W906" s="1" t="s">
        <v>44</v>
      </c>
      <c r="X906" s="1" t="s">
        <v>45</v>
      </c>
      <c r="Y906" s="1">
        <v>4.82023692E8</v>
      </c>
      <c r="AA906" s="1" t="s">
        <v>46</v>
      </c>
      <c r="AB906" s="1" t="s">
        <v>45</v>
      </c>
      <c r="AC906" s="1">
        <v>4.82023692E8</v>
      </c>
      <c r="AD906" s="1">
        <v>1962224.0</v>
      </c>
      <c r="AE906" s="1" t="s">
        <v>52</v>
      </c>
      <c r="AF906" s="1">
        <v>75000.0</v>
      </c>
      <c r="AG906" s="2">
        <v>41837.0</v>
      </c>
      <c r="AH906" s="1">
        <v>8600.0</v>
      </c>
      <c r="AI906" s="1" t="s">
        <v>102</v>
      </c>
      <c r="AJ906" s="1">
        <v>37.0</v>
      </c>
      <c r="AK906" s="1" t="s">
        <v>2176</v>
      </c>
      <c r="AL906" s="1">
        <v>8.0</v>
      </c>
      <c r="AM906" s="1">
        <v>2014.0</v>
      </c>
      <c r="AN906" s="1">
        <v>2014.0</v>
      </c>
      <c r="AO906" s="1" t="s">
        <v>305</v>
      </c>
    </row>
    <row r="907">
      <c r="A907" s="5">
        <v>1.0</v>
      </c>
      <c r="B907" s="1">
        <f t="shared" si="1"/>
        <v>907</v>
      </c>
      <c r="C907" s="1" t="s">
        <v>2139</v>
      </c>
      <c r="D907" s="1" t="s">
        <v>2139</v>
      </c>
      <c r="E907" s="1" t="s">
        <v>100</v>
      </c>
      <c r="G907" s="1">
        <v>3.2109172E7</v>
      </c>
      <c r="H907" s="2">
        <v>41837.0</v>
      </c>
      <c r="I907" s="1" t="s">
        <v>297</v>
      </c>
      <c r="K907" s="1" t="s">
        <v>297</v>
      </c>
      <c r="N907" s="1" t="s">
        <v>102</v>
      </c>
      <c r="O907" s="1">
        <v>8600.0</v>
      </c>
      <c r="P907" s="1" t="s">
        <v>102</v>
      </c>
      <c r="Q907" s="1" t="str">
        <f>IF(ISERROR(VLOOKUP(P907,'unique fed agency names'!A:C,3,FALSE)),P907,VLOOKUP(P907,'unique fed agency names'!A:C,3,FALSE))
</f>
        <v>U.S. Department of Housing and Urban Development (HUD)</v>
      </c>
      <c r="R907" s="1">
        <v>8.07778837E8</v>
      </c>
      <c r="S907" s="1" t="s">
        <v>2177</v>
      </c>
      <c r="T907" s="1" t="str">
        <f>IF(ISERROR(VLOOKUP(S907,'unique org names'!A:C,3,FALSE)),S907,VLOOKUP(S907,'unique org names'!A:C,3,FALSE))
</f>
        <v>Bridging Communities, Inc</v>
      </c>
      <c r="V907" s="1" t="s">
        <v>2178</v>
      </c>
      <c r="W907" s="1" t="s">
        <v>44</v>
      </c>
      <c r="X907" s="1" t="s">
        <v>45</v>
      </c>
      <c r="Y907" s="1">
        <v>4.82101936E8</v>
      </c>
      <c r="AA907" s="1" t="s">
        <v>46</v>
      </c>
      <c r="AB907" s="1" t="s">
        <v>45</v>
      </c>
      <c r="AC907" s="1">
        <v>4.82101936E8</v>
      </c>
      <c r="AF907" s="1">
        <v>75000.0</v>
      </c>
      <c r="AG907" s="2">
        <v>41837.0</v>
      </c>
      <c r="AH907" s="1">
        <v>8600.0</v>
      </c>
      <c r="AI907" s="1" t="s">
        <v>102</v>
      </c>
      <c r="AJ907" s="1">
        <v>14.0</v>
      </c>
      <c r="AK907" s="1" t="s">
        <v>2179</v>
      </c>
      <c r="AL907" s="1">
        <v>8.0</v>
      </c>
      <c r="AM907" s="1">
        <v>2014.0</v>
      </c>
      <c r="AN907" s="1">
        <v>2014.0</v>
      </c>
      <c r="AO907" s="1" t="s">
        <v>305</v>
      </c>
    </row>
    <row r="908">
      <c r="A908" s="5">
        <v>1.0</v>
      </c>
      <c r="B908" s="1">
        <f t="shared" si="1"/>
        <v>908</v>
      </c>
      <c r="C908" s="1" t="s">
        <v>2139</v>
      </c>
      <c r="D908" s="1" t="s">
        <v>2139</v>
      </c>
      <c r="E908" s="1" t="s">
        <v>100</v>
      </c>
      <c r="G908" s="1">
        <v>3.2109172E7</v>
      </c>
      <c r="H908" s="2">
        <v>41837.0</v>
      </c>
      <c r="I908" s="1" t="s">
        <v>297</v>
      </c>
      <c r="K908" s="1" t="s">
        <v>297</v>
      </c>
      <c r="N908" s="1" t="s">
        <v>102</v>
      </c>
      <c r="O908" s="1">
        <v>8600.0</v>
      </c>
      <c r="P908" s="1" t="s">
        <v>102</v>
      </c>
      <c r="Q908" s="1" t="str">
        <f>IF(ISERROR(VLOOKUP(P908,'unique fed agency names'!A:C,3,FALSE)),P908,VLOOKUP(P908,'unique fed agency names'!A:C,3,FALSE))
</f>
        <v>U.S. Department of Housing and Urban Development (HUD)</v>
      </c>
      <c r="R908" s="1">
        <v>8.44806708E8</v>
      </c>
      <c r="S908" s="1" t="s">
        <v>103</v>
      </c>
      <c r="T908" s="1" t="str">
        <f>IF(ISERROR(VLOOKUP(S908,'unique org names'!A:C,3,FALSE)),S908,VLOOKUP(S908,'unique org names'!A:C,3,FALSE))
</f>
        <v>SOUTHWEST HOUSING SOLUTIONS CORPORATION</v>
      </c>
      <c r="U908" s="1" t="s">
        <v>1507</v>
      </c>
      <c r="V908" s="1" t="s">
        <v>1006</v>
      </c>
      <c r="W908" s="1" t="s">
        <v>44</v>
      </c>
      <c r="X908" s="1" t="s">
        <v>45</v>
      </c>
      <c r="Y908" s="1">
        <v>4.82092022E8</v>
      </c>
      <c r="AA908" s="1" t="s">
        <v>46</v>
      </c>
      <c r="AB908" s="1" t="s">
        <v>45</v>
      </c>
      <c r="AC908" s="1">
        <v>4.82092022E8</v>
      </c>
      <c r="AD908" s="1">
        <v>7.6385699E7</v>
      </c>
      <c r="AE908" s="1" t="s">
        <v>106</v>
      </c>
      <c r="AF908" s="1">
        <v>100000.0</v>
      </c>
      <c r="AG908" s="2">
        <v>41837.0</v>
      </c>
      <c r="AH908" s="1">
        <v>8600.0</v>
      </c>
      <c r="AI908" s="1" t="s">
        <v>102</v>
      </c>
      <c r="AJ908" s="1">
        <v>56.0</v>
      </c>
      <c r="AK908" s="1" t="s">
        <v>2180</v>
      </c>
      <c r="AL908" s="1">
        <v>8.0</v>
      </c>
      <c r="AM908" s="1">
        <v>2014.0</v>
      </c>
      <c r="AN908" s="1">
        <v>2014.0</v>
      </c>
      <c r="AO908" s="1" t="s">
        <v>305</v>
      </c>
    </row>
    <row r="909">
      <c r="A909" s="5">
        <v>1.0</v>
      </c>
      <c r="B909" s="1">
        <f t="shared" si="1"/>
        <v>909</v>
      </c>
      <c r="C909" s="1" t="s">
        <v>2139</v>
      </c>
      <c r="D909" s="1" t="s">
        <v>2139</v>
      </c>
      <c r="E909" s="1" t="s">
        <v>100</v>
      </c>
      <c r="G909" s="1">
        <v>3.2109172E7</v>
      </c>
      <c r="H909" s="2">
        <v>41837.0</v>
      </c>
      <c r="I909" s="1" t="s">
        <v>297</v>
      </c>
      <c r="K909" s="1" t="s">
        <v>297</v>
      </c>
      <c r="N909" s="1" t="s">
        <v>102</v>
      </c>
      <c r="O909" s="1">
        <v>8600.0</v>
      </c>
      <c r="P909" s="1" t="s">
        <v>102</v>
      </c>
      <c r="Q909" s="1" t="str">
        <f>IF(ISERROR(VLOOKUP(P909,'unique fed agency names'!A:C,3,FALSE)),P909,VLOOKUP(P909,'unique fed agency names'!A:C,3,FALSE))
</f>
        <v>U.S. Department of Housing and Urban Development (HUD)</v>
      </c>
      <c r="R909" s="1">
        <v>1.2380762E8</v>
      </c>
      <c r="S909" s="1" t="s">
        <v>2181</v>
      </c>
      <c r="T909" s="1" t="str">
        <f>IF(ISERROR(VLOOKUP(S909,'unique org names'!A:C,3,FALSE)),S909,VLOOKUP(S909,'unique org names'!A:C,3,FALSE))
</f>
        <v>Detroit Area Pre-College Engineering Program, Inc</v>
      </c>
      <c r="U909" s="1" t="s">
        <v>2182</v>
      </c>
      <c r="V909" s="1" t="s">
        <v>2183</v>
      </c>
      <c r="W909" s="1" t="s">
        <v>44</v>
      </c>
      <c r="X909" s="1" t="s">
        <v>45</v>
      </c>
      <c r="Y909" s="1">
        <v>4.82013473E8</v>
      </c>
      <c r="AA909" s="1" t="s">
        <v>46</v>
      </c>
      <c r="AB909" s="1" t="s">
        <v>45</v>
      </c>
      <c r="AC909" s="1">
        <v>4.82013473E8</v>
      </c>
      <c r="AF909" s="1">
        <v>17.0</v>
      </c>
      <c r="AG909" s="2">
        <v>41837.0</v>
      </c>
      <c r="AH909" s="1">
        <v>8600.0</v>
      </c>
      <c r="AI909" s="1" t="s">
        <v>102</v>
      </c>
      <c r="AJ909" s="1">
        <v>17.0</v>
      </c>
      <c r="AK909" s="1" t="s">
        <v>2184</v>
      </c>
      <c r="AL909" s="1">
        <v>8.0</v>
      </c>
      <c r="AM909" s="1">
        <v>2014.0</v>
      </c>
      <c r="AN909" s="1">
        <v>2014.0</v>
      </c>
      <c r="AO909" s="1" t="s">
        <v>305</v>
      </c>
    </row>
    <row r="910">
      <c r="A910" s="5">
        <v>1.0</v>
      </c>
      <c r="B910" s="1">
        <f t="shared" si="1"/>
        <v>910</v>
      </c>
      <c r="C910" s="1" t="s">
        <v>2139</v>
      </c>
      <c r="D910" s="1" t="s">
        <v>2139</v>
      </c>
      <c r="E910" s="1" t="s">
        <v>100</v>
      </c>
      <c r="G910" s="1">
        <v>3.2109172E7</v>
      </c>
      <c r="H910" s="2">
        <v>41837.0</v>
      </c>
      <c r="I910" s="1" t="s">
        <v>297</v>
      </c>
      <c r="K910" s="1" t="s">
        <v>297</v>
      </c>
      <c r="N910" s="1" t="s">
        <v>102</v>
      </c>
      <c r="O910" s="1">
        <v>8600.0</v>
      </c>
      <c r="P910" s="1" t="s">
        <v>102</v>
      </c>
      <c r="Q910" s="1" t="str">
        <f>IF(ISERROR(VLOOKUP(P910,'unique fed agency names'!A:C,3,FALSE)),P910,VLOOKUP(P910,'unique fed agency names'!A:C,3,FALSE))
</f>
        <v>U.S. Department of Housing and Urban Development (HUD)</v>
      </c>
      <c r="R910" s="1">
        <v>1.42440143E8</v>
      </c>
      <c r="S910" s="1" t="s">
        <v>2185</v>
      </c>
      <c r="T910" s="1" t="str">
        <f>IF(ISERROR(VLOOKUP(S910,'unique org names'!A:C,3,FALSE)),S910,VLOOKUP(S910,'unique org names'!A:C,3,FALSE))
</f>
        <v>DETROIT NON-PROFIT HOUSING CORPORATION</v>
      </c>
      <c r="U910" s="1" t="s">
        <v>2186</v>
      </c>
      <c r="V910" s="1" t="s">
        <v>2187</v>
      </c>
      <c r="W910" s="1" t="s">
        <v>44</v>
      </c>
      <c r="X910" s="1" t="s">
        <v>45</v>
      </c>
      <c r="Y910" s="1">
        <v>4.82021821E8</v>
      </c>
      <c r="AA910" s="1" t="s">
        <v>46</v>
      </c>
      <c r="AB910" s="1" t="s">
        <v>45</v>
      </c>
      <c r="AC910" s="1">
        <v>4.82021821E8</v>
      </c>
      <c r="AF910" s="1">
        <v>75000.0</v>
      </c>
      <c r="AG910" s="2">
        <v>41837.0</v>
      </c>
      <c r="AH910" s="1">
        <v>8600.0</v>
      </c>
      <c r="AI910" s="1" t="s">
        <v>102</v>
      </c>
      <c r="AJ910" s="1">
        <v>19.0</v>
      </c>
      <c r="AK910" s="1" t="s">
        <v>2188</v>
      </c>
      <c r="AL910" s="1">
        <v>8.0</v>
      </c>
      <c r="AM910" s="1">
        <v>2014.0</v>
      </c>
      <c r="AN910" s="1">
        <v>2014.0</v>
      </c>
      <c r="AO910" s="1" t="s">
        <v>305</v>
      </c>
    </row>
    <row r="911">
      <c r="A911" s="5">
        <v>1.0</v>
      </c>
      <c r="B911" s="1">
        <f t="shared" si="1"/>
        <v>911</v>
      </c>
      <c r="C911" s="1" t="s">
        <v>2139</v>
      </c>
      <c r="D911" s="1" t="s">
        <v>2139</v>
      </c>
      <c r="E911" s="1" t="s">
        <v>100</v>
      </c>
      <c r="G911" s="1">
        <v>3.2109172E7</v>
      </c>
      <c r="H911" s="2">
        <v>41837.0</v>
      </c>
      <c r="I911" s="1" t="s">
        <v>297</v>
      </c>
      <c r="K911" s="1" t="s">
        <v>297</v>
      </c>
      <c r="N911" s="1" t="s">
        <v>102</v>
      </c>
      <c r="O911" s="1">
        <v>8600.0</v>
      </c>
      <c r="P911" s="1" t="s">
        <v>102</v>
      </c>
      <c r="Q911" s="1" t="str">
        <f>IF(ISERROR(VLOOKUP(P911,'unique fed agency names'!A:C,3,FALSE)),P911,VLOOKUP(P911,'unique fed agency names'!A:C,3,FALSE))
</f>
        <v>U.S. Department of Housing and Urban Development (HUD)</v>
      </c>
      <c r="R911" s="1">
        <v>4.9254014E7</v>
      </c>
      <c r="S911" s="1" t="s">
        <v>2189</v>
      </c>
      <c r="T911" s="1" t="str">
        <f>IF(ISERROR(VLOOKUP(S911,'unique org names'!A:C,3,FALSE)),S911,VLOOKUP(S911,'unique org names'!A:C,3,FALSE))
</f>
        <v>International Institute of Metropolitan Detroit, Inc</v>
      </c>
      <c r="V911" s="1" t="s">
        <v>2190</v>
      </c>
      <c r="W911" s="1" t="s">
        <v>44</v>
      </c>
      <c r="X911" s="1" t="s">
        <v>45</v>
      </c>
      <c r="Y911" s="1">
        <v>4.82024003E8</v>
      </c>
      <c r="AA911" s="1" t="s">
        <v>46</v>
      </c>
      <c r="AB911" s="1" t="s">
        <v>45</v>
      </c>
      <c r="AC911" s="1">
        <v>4.82024003E8</v>
      </c>
      <c r="AD911" s="1">
        <v>4.9254014E7</v>
      </c>
      <c r="AE911" s="1" t="s">
        <v>2189</v>
      </c>
      <c r="AF911" s="1">
        <v>100000.0</v>
      </c>
      <c r="AG911" s="2">
        <v>41837.0</v>
      </c>
      <c r="AH911" s="1">
        <v>8600.0</v>
      </c>
      <c r="AI911" s="1" t="s">
        <v>102</v>
      </c>
      <c r="AJ911" s="1">
        <v>23.0</v>
      </c>
      <c r="AK911" s="1" t="s">
        <v>2191</v>
      </c>
      <c r="AL911" s="1">
        <v>8.0</v>
      </c>
      <c r="AM911" s="1">
        <v>2014.0</v>
      </c>
      <c r="AN911" s="1">
        <v>2014.0</v>
      </c>
      <c r="AO911" s="1" t="s">
        <v>305</v>
      </c>
    </row>
    <row r="912">
      <c r="A912" s="5">
        <v>1.0</v>
      </c>
      <c r="B912" s="1">
        <f t="shared" si="1"/>
        <v>912</v>
      </c>
      <c r="C912" s="1" t="s">
        <v>2139</v>
      </c>
      <c r="D912" s="1" t="s">
        <v>2139</v>
      </c>
      <c r="E912" s="1" t="s">
        <v>100</v>
      </c>
      <c r="G912" s="1">
        <v>3.2109172E7</v>
      </c>
      <c r="H912" s="2">
        <v>41837.0</v>
      </c>
      <c r="I912" s="1" t="s">
        <v>297</v>
      </c>
      <c r="K912" s="1" t="s">
        <v>297</v>
      </c>
      <c r="N912" s="1" t="s">
        <v>102</v>
      </c>
      <c r="O912" s="1">
        <v>8600.0</v>
      </c>
      <c r="P912" s="1" t="s">
        <v>102</v>
      </c>
      <c r="Q912" s="1" t="str">
        <f>IF(ISERROR(VLOOKUP(P912,'unique fed agency names'!A:C,3,FALSE)),P912,VLOOKUP(P912,'unique fed agency names'!A:C,3,FALSE))
</f>
        <v>U.S. Department of Housing and Urban Development (HUD)</v>
      </c>
      <c r="R912" s="1">
        <v>6.2371729E8</v>
      </c>
      <c r="S912" s="1" t="s">
        <v>2192</v>
      </c>
      <c r="T912" s="1" t="str">
        <f>IF(ISERROR(VLOOKUP(S912,'unique org names'!A:C,3,FALSE)),S912,VLOOKUP(S912,'unique org names'!A:C,3,FALSE))
</f>
        <v>Community Social Services of Wayne County</v>
      </c>
      <c r="V912" s="1" t="s">
        <v>2193</v>
      </c>
      <c r="W912" s="1" t="s">
        <v>44</v>
      </c>
      <c r="X912" s="1" t="s">
        <v>45</v>
      </c>
      <c r="Y912" s="1">
        <v>4.82021424E8</v>
      </c>
      <c r="AA912" s="1" t="s">
        <v>46</v>
      </c>
      <c r="AB912" s="1" t="s">
        <v>45</v>
      </c>
      <c r="AC912" s="1">
        <v>4.82021424E8</v>
      </c>
      <c r="AF912" s="1">
        <v>100000.0</v>
      </c>
      <c r="AG912" s="2">
        <v>41837.0</v>
      </c>
      <c r="AH912" s="1">
        <v>8600.0</v>
      </c>
      <c r="AI912" s="1" t="s">
        <v>102</v>
      </c>
      <c r="AJ912" s="1">
        <v>42.0</v>
      </c>
      <c r="AK912" s="1" t="s">
        <v>2194</v>
      </c>
      <c r="AL912" s="1">
        <v>8.0</v>
      </c>
      <c r="AM912" s="1">
        <v>2014.0</v>
      </c>
      <c r="AN912" s="1">
        <v>2014.0</v>
      </c>
      <c r="AO912" s="1" t="s">
        <v>305</v>
      </c>
    </row>
    <row r="913">
      <c r="A913" s="5">
        <v>1.0</v>
      </c>
      <c r="B913" s="1">
        <f t="shared" si="1"/>
        <v>913</v>
      </c>
      <c r="C913" s="1" t="s">
        <v>2139</v>
      </c>
      <c r="D913" s="1" t="s">
        <v>2139</v>
      </c>
      <c r="E913" s="1" t="s">
        <v>100</v>
      </c>
      <c r="G913" s="1">
        <v>3.2109172E7</v>
      </c>
      <c r="H913" s="2">
        <v>41837.0</v>
      </c>
      <c r="I913" s="1" t="s">
        <v>297</v>
      </c>
      <c r="K913" s="1" t="s">
        <v>297</v>
      </c>
      <c r="N913" s="1" t="s">
        <v>102</v>
      </c>
      <c r="O913" s="1">
        <v>8600.0</v>
      </c>
      <c r="P913" s="1" t="s">
        <v>102</v>
      </c>
      <c r="Q913" s="1" t="str">
        <f>IF(ISERROR(VLOOKUP(P913,'unique fed agency names'!A:C,3,FALSE)),P913,VLOOKUP(P913,'unique fed agency names'!A:C,3,FALSE))
</f>
        <v>U.S. Department of Housing and Urban Development (HUD)</v>
      </c>
      <c r="R913" s="1">
        <v>1.27458909E8</v>
      </c>
      <c r="S913" s="1" t="s">
        <v>2195</v>
      </c>
      <c r="T913" s="1" t="str">
        <f>IF(ISERROR(VLOOKUP(S913,'unique org names'!A:C,3,FALSE)),S913,VLOOKUP(S913,'unique org names'!A:C,3,FALSE))
</f>
        <v>Mariners Inn</v>
      </c>
      <c r="V913" s="1" t="s">
        <v>2196</v>
      </c>
      <c r="W913" s="1" t="s">
        <v>44</v>
      </c>
      <c r="X913" s="1" t="s">
        <v>45</v>
      </c>
      <c r="Y913" s="1">
        <v>4.82012641E8</v>
      </c>
      <c r="AA913" s="1" t="s">
        <v>46</v>
      </c>
      <c r="AB913" s="1" t="s">
        <v>45</v>
      </c>
      <c r="AC913" s="1">
        <v>4.82012641E8</v>
      </c>
      <c r="AF913" s="1">
        <v>100000.0</v>
      </c>
      <c r="AG913" s="2">
        <v>41837.0</v>
      </c>
      <c r="AH913" s="1">
        <v>8600.0</v>
      </c>
      <c r="AI913" s="1" t="s">
        <v>102</v>
      </c>
      <c r="AJ913" s="1">
        <v>51.0</v>
      </c>
      <c r="AK913" s="1" t="s">
        <v>2197</v>
      </c>
      <c r="AL913" s="1">
        <v>8.0</v>
      </c>
      <c r="AM913" s="1">
        <v>2014.0</v>
      </c>
      <c r="AN913" s="1">
        <v>2014.0</v>
      </c>
      <c r="AO913" s="1" t="s">
        <v>305</v>
      </c>
    </row>
    <row r="914">
      <c r="A914" s="5">
        <v>1.0</v>
      </c>
      <c r="B914" s="1">
        <f t="shared" si="1"/>
        <v>914</v>
      </c>
      <c r="C914" s="1" t="s">
        <v>2139</v>
      </c>
      <c r="D914" s="1" t="s">
        <v>2139</v>
      </c>
      <c r="E914" s="1" t="s">
        <v>100</v>
      </c>
      <c r="G914" s="1">
        <v>3.2109172E7</v>
      </c>
      <c r="H914" s="2">
        <v>41837.0</v>
      </c>
      <c r="I914" s="1" t="s">
        <v>297</v>
      </c>
      <c r="K914" s="1" t="s">
        <v>297</v>
      </c>
      <c r="N914" s="1" t="s">
        <v>102</v>
      </c>
      <c r="O914" s="1">
        <v>8600.0</v>
      </c>
      <c r="P914" s="1" t="s">
        <v>102</v>
      </c>
      <c r="Q914" s="1" t="str">
        <f>IF(ISERROR(VLOOKUP(P914,'unique fed agency names'!A:C,3,FALSE)),P914,VLOOKUP(P914,'unique fed agency names'!A:C,3,FALSE))
</f>
        <v>U.S. Department of Housing and Urban Development (HUD)</v>
      </c>
      <c r="R914" s="1">
        <v>6.23610313E8</v>
      </c>
      <c r="S914" s="1" t="s">
        <v>2198</v>
      </c>
      <c r="T914" s="1" t="str">
        <f>IF(ISERROR(VLOOKUP(S914,'unique org names'!A:C,3,FALSE)),S914,VLOOKUP(S914,'unique org names'!A:C,3,FALSE))
</f>
        <v>Samaritan Center</v>
      </c>
      <c r="V914" s="1" t="s">
        <v>2199</v>
      </c>
      <c r="W914" s="1" t="s">
        <v>44</v>
      </c>
      <c r="X914" s="1" t="s">
        <v>45</v>
      </c>
      <c r="Y914" s="1">
        <v>4.82133487E8</v>
      </c>
      <c r="AA914" s="1" t="s">
        <v>46</v>
      </c>
      <c r="AB914" s="1" t="s">
        <v>45</v>
      </c>
      <c r="AC914" s="1">
        <v>4.82133487E8</v>
      </c>
      <c r="AF914" s="1">
        <v>100000.0</v>
      </c>
      <c r="AG914" s="2">
        <v>41837.0</v>
      </c>
      <c r="AH914" s="1">
        <v>8600.0</v>
      </c>
      <c r="AI914" s="1" t="s">
        <v>102</v>
      </c>
      <c r="AJ914" s="1">
        <v>6.0</v>
      </c>
      <c r="AK914" s="1" t="s">
        <v>2200</v>
      </c>
      <c r="AL914" s="1">
        <v>8.0</v>
      </c>
      <c r="AM914" s="1">
        <v>2014.0</v>
      </c>
      <c r="AN914" s="1">
        <v>2014.0</v>
      </c>
      <c r="AO914" s="1" t="s">
        <v>305</v>
      </c>
    </row>
    <row r="915">
      <c r="A915" s="5">
        <v>1.0</v>
      </c>
      <c r="B915" s="1">
        <f t="shared" si="1"/>
        <v>915</v>
      </c>
      <c r="C915" s="1" t="s">
        <v>2139</v>
      </c>
      <c r="D915" s="1" t="s">
        <v>2139</v>
      </c>
      <c r="E915" s="1" t="s">
        <v>100</v>
      </c>
      <c r="G915" s="1">
        <v>3.2109172E7</v>
      </c>
      <c r="H915" s="2">
        <v>41837.0</v>
      </c>
      <c r="I915" s="1" t="s">
        <v>297</v>
      </c>
      <c r="K915" s="1" t="s">
        <v>297</v>
      </c>
      <c r="N915" s="1" t="s">
        <v>102</v>
      </c>
      <c r="O915" s="1">
        <v>8600.0</v>
      </c>
      <c r="P915" s="1" t="s">
        <v>102</v>
      </c>
      <c r="Q915" s="1" t="str">
        <f>IF(ISERROR(VLOOKUP(P915,'unique fed agency names'!A:C,3,FALSE)),P915,VLOOKUP(P915,'unique fed agency names'!A:C,3,FALSE))
</f>
        <v>U.S. Department of Housing and Urban Development (HUD)</v>
      </c>
      <c r="R915" s="1">
        <v>9.4547247E7</v>
      </c>
      <c r="S915" s="1" t="s">
        <v>2201</v>
      </c>
      <c r="T915" s="1" t="str">
        <f>IF(ISERROR(VLOOKUP(S915,'unique org names'!A:C,3,FALSE)),S915,VLOOKUP(S915,'unique org names'!A:C,3,FALSE))
</f>
        <v>Detroit Rescue Mission Ministries</v>
      </c>
      <c r="U915" s="1" t="s">
        <v>2202</v>
      </c>
      <c r="V915" s="1" t="s">
        <v>2203</v>
      </c>
      <c r="W915" s="1" t="s">
        <v>44</v>
      </c>
      <c r="X915" s="1" t="s">
        <v>45</v>
      </c>
      <c r="Y915" s="1">
        <v>4.8201241E8</v>
      </c>
      <c r="AA915" s="1" t="s">
        <v>46</v>
      </c>
      <c r="AB915" s="1" t="s">
        <v>45</v>
      </c>
      <c r="AC915" s="1">
        <v>4.8201241E8</v>
      </c>
      <c r="AD915" s="1">
        <v>9.4547247E7</v>
      </c>
      <c r="AE915" s="1" t="s">
        <v>2201</v>
      </c>
      <c r="AF915" s="1">
        <v>100000.0</v>
      </c>
      <c r="AG915" s="2">
        <v>41837.0</v>
      </c>
      <c r="AH915" s="1">
        <v>8600.0</v>
      </c>
      <c r="AI915" s="1" t="s">
        <v>102</v>
      </c>
      <c r="AJ915" s="1">
        <v>45.0</v>
      </c>
      <c r="AK915" s="1" t="s">
        <v>2204</v>
      </c>
      <c r="AL915" s="1">
        <v>8.0</v>
      </c>
      <c r="AM915" s="1">
        <v>2014.0</v>
      </c>
      <c r="AN915" s="1">
        <v>2014.0</v>
      </c>
      <c r="AO915" s="1" t="s">
        <v>305</v>
      </c>
    </row>
    <row r="916">
      <c r="A916" s="5">
        <v>1.0</v>
      </c>
      <c r="B916" s="1">
        <f t="shared" si="1"/>
        <v>916</v>
      </c>
      <c r="C916" s="1" t="s">
        <v>2139</v>
      </c>
      <c r="D916" s="1" t="s">
        <v>2139</v>
      </c>
      <c r="E916" s="1" t="s">
        <v>100</v>
      </c>
      <c r="G916" s="1">
        <v>3.2109172E7</v>
      </c>
      <c r="H916" s="2">
        <v>41837.0</v>
      </c>
      <c r="I916" s="1" t="s">
        <v>297</v>
      </c>
      <c r="K916" s="1" t="s">
        <v>297</v>
      </c>
      <c r="N916" s="1" t="s">
        <v>102</v>
      </c>
      <c r="O916" s="1">
        <v>8600.0</v>
      </c>
      <c r="P916" s="1" t="s">
        <v>102</v>
      </c>
      <c r="Q916" s="1" t="str">
        <f>IF(ISERROR(VLOOKUP(P916,'unique fed agency names'!A:C,3,FALSE)),P916,VLOOKUP(P916,'unique fed agency names'!A:C,3,FALSE))
</f>
        <v>U.S. Department of Housing and Urban Development (HUD)</v>
      </c>
      <c r="R916" s="1">
        <v>8.06464913E8</v>
      </c>
      <c r="S916" s="1" t="s">
        <v>2205</v>
      </c>
      <c r="T916" s="1" t="str">
        <f>IF(ISERROR(VLOOKUP(S916,'unique org names'!A:C,3,FALSE)),S916,VLOOKUP(S916,'unique org names'!A:C,3,FALSE))
</f>
        <v>Covenant House Michigan</v>
      </c>
      <c r="U916" s="1" t="s">
        <v>2206</v>
      </c>
      <c r="V916" s="1" t="s">
        <v>2207</v>
      </c>
      <c r="W916" s="1" t="s">
        <v>44</v>
      </c>
      <c r="X916" s="1" t="s">
        <v>45</v>
      </c>
      <c r="Y916" s="1">
        <v>4.82082475E8</v>
      </c>
      <c r="AA916" s="1" t="s">
        <v>46</v>
      </c>
      <c r="AB916" s="1" t="s">
        <v>45</v>
      </c>
      <c r="AC916" s="1">
        <v>4.82082475E8</v>
      </c>
      <c r="AF916" s="1">
        <v>100000.0</v>
      </c>
      <c r="AG916" s="2">
        <v>41837.0</v>
      </c>
      <c r="AH916" s="1">
        <v>8600.0</v>
      </c>
      <c r="AI916" s="1" t="s">
        <v>102</v>
      </c>
      <c r="AJ916" s="1">
        <v>44.0</v>
      </c>
      <c r="AK916" s="1" t="s">
        <v>2208</v>
      </c>
      <c r="AL916" s="1">
        <v>8.0</v>
      </c>
      <c r="AM916" s="1">
        <v>2014.0</v>
      </c>
      <c r="AN916" s="1">
        <v>2014.0</v>
      </c>
      <c r="AO916" s="1" t="s">
        <v>305</v>
      </c>
    </row>
    <row r="917">
      <c r="A917" s="5">
        <v>1.0</v>
      </c>
      <c r="B917" s="1">
        <f t="shared" si="1"/>
        <v>917</v>
      </c>
      <c r="C917" s="1" t="s">
        <v>2139</v>
      </c>
      <c r="D917" s="1" t="s">
        <v>2139</v>
      </c>
      <c r="E917" s="1" t="s">
        <v>100</v>
      </c>
      <c r="G917" s="1">
        <v>3.2109172E7</v>
      </c>
      <c r="H917" s="2">
        <v>41837.0</v>
      </c>
      <c r="I917" s="1" t="s">
        <v>297</v>
      </c>
      <c r="K917" s="1" t="s">
        <v>297</v>
      </c>
      <c r="N917" s="1" t="s">
        <v>102</v>
      </c>
      <c r="O917" s="1">
        <v>8600.0</v>
      </c>
      <c r="P917" s="1" t="s">
        <v>102</v>
      </c>
      <c r="Q917" s="1" t="str">
        <f>IF(ISERROR(VLOOKUP(P917,'unique fed agency names'!A:C,3,FALSE)),P917,VLOOKUP(P917,'unique fed agency names'!A:C,3,FALSE))
</f>
        <v>U.S. Department of Housing and Urban Development (HUD)</v>
      </c>
      <c r="R917" s="1">
        <v>9.33501314E8</v>
      </c>
      <c r="S917" s="1" t="s">
        <v>2209</v>
      </c>
      <c r="T917" s="1" t="str">
        <f>IF(ISERROR(VLOOKUP(S917,'unique org names'!A:C,3,FALSE)),S917,VLOOKUP(S917,'unique org names'!A:C,3,FALSE))
</f>
        <v>Jefferson East, Inc</v>
      </c>
      <c r="U917" s="1" t="s">
        <v>2210</v>
      </c>
      <c r="V917" s="1" t="s">
        <v>2211</v>
      </c>
      <c r="W917" s="1" t="s">
        <v>44</v>
      </c>
      <c r="X917" s="1" t="s">
        <v>45</v>
      </c>
      <c r="Y917" s="1">
        <v>4.82152967E8</v>
      </c>
      <c r="AA917" s="1" t="s">
        <v>46</v>
      </c>
      <c r="AB917" s="1" t="s">
        <v>45</v>
      </c>
      <c r="AC917" s="1">
        <v>4.82152697E8</v>
      </c>
      <c r="AF917" s="1">
        <v>100000.0</v>
      </c>
      <c r="AG917" s="2">
        <v>41837.0</v>
      </c>
      <c r="AH917" s="1">
        <v>8600.0</v>
      </c>
      <c r="AI917" s="1" t="s">
        <v>102</v>
      </c>
      <c r="AJ917" s="1">
        <v>24.0</v>
      </c>
      <c r="AK917" s="1" t="s">
        <v>2212</v>
      </c>
      <c r="AL917" s="1">
        <v>8.0</v>
      </c>
      <c r="AM917" s="1">
        <v>2014.0</v>
      </c>
      <c r="AN917" s="1">
        <v>2014.0</v>
      </c>
      <c r="AO917" s="1" t="s">
        <v>305</v>
      </c>
    </row>
    <row r="918">
      <c r="A918" s="5">
        <v>1.0</v>
      </c>
      <c r="B918" s="1">
        <f t="shared" si="1"/>
        <v>918</v>
      </c>
      <c r="C918" s="1" t="s">
        <v>2139</v>
      </c>
      <c r="D918" s="1" t="s">
        <v>2139</v>
      </c>
      <c r="E918" s="1" t="s">
        <v>100</v>
      </c>
      <c r="G918" s="1">
        <v>3.2109172E7</v>
      </c>
      <c r="H918" s="2">
        <v>41837.0</v>
      </c>
      <c r="I918" s="1" t="s">
        <v>297</v>
      </c>
      <c r="K918" s="1" t="s">
        <v>297</v>
      </c>
      <c r="N918" s="1" t="s">
        <v>102</v>
      </c>
      <c r="O918" s="1">
        <v>8600.0</v>
      </c>
      <c r="P918" s="1" t="s">
        <v>102</v>
      </c>
      <c r="Q918" s="1" t="str">
        <f>IF(ISERROR(VLOOKUP(P918,'unique fed agency names'!A:C,3,FALSE)),P918,VLOOKUP(P918,'unique fed agency names'!A:C,3,FALSE))
</f>
        <v>U.S. Department of Housing and Urban Development (HUD)</v>
      </c>
      <c r="R918" s="1">
        <v>9.68670828E8</v>
      </c>
      <c r="S918" s="1" t="s">
        <v>2213</v>
      </c>
      <c r="T918" s="1" t="str">
        <f>IF(ISERROR(VLOOKUP(S918,'unique org names'!A:C,3,FALSE)),S918,VLOOKUP(S918,'unique org names'!A:C,3,FALSE))
</f>
        <v>St Johns Congregational Church</v>
      </c>
      <c r="U918" s="1" t="s">
        <v>2214</v>
      </c>
      <c r="V918" s="1" t="s">
        <v>2215</v>
      </c>
      <c r="W918" s="1" t="s">
        <v>44</v>
      </c>
      <c r="X918" s="1" t="s">
        <v>45</v>
      </c>
      <c r="Y918" s="1">
        <v>4.82152804E8</v>
      </c>
      <c r="AA918" s="1" t="s">
        <v>46</v>
      </c>
      <c r="AB918" s="1" t="s">
        <v>45</v>
      </c>
      <c r="AC918" s="1">
        <v>4.82152804E8</v>
      </c>
      <c r="AF918" s="1">
        <v>100000.0</v>
      </c>
      <c r="AG918" s="2">
        <v>41837.0</v>
      </c>
      <c r="AH918" s="1">
        <v>8600.0</v>
      </c>
      <c r="AI918" s="1" t="s">
        <v>102</v>
      </c>
      <c r="AJ918" s="1">
        <v>57.0</v>
      </c>
      <c r="AK918" s="1" t="s">
        <v>2216</v>
      </c>
      <c r="AL918" s="1">
        <v>8.0</v>
      </c>
      <c r="AM918" s="1">
        <v>2014.0</v>
      </c>
      <c r="AN918" s="1">
        <v>2014.0</v>
      </c>
      <c r="AO918" s="1" t="s">
        <v>305</v>
      </c>
    </row>
    <row r="919">
      <c r="A919" s="5">
        <v>1.0</v>
      </c>
      <c r="B919" s="1">
        <f t="shared" si="1"/>
        <v>919</v>
      </c>
      <c r="C919" s="1" t="s">
        <v>2139</v>
      </c>
      <c r="D919" s="1" t="s">
        <v>2139</v>
      </c>
      <c r="E919" s="1" t="s">
        <v>100</v>
      </c>
      <c r="G919" s="1">
        <v>3.2109172E7</v>
      </c>
      <c r="H919" s="2">
        <v>41837.0</v>
      </c>
      <c r="I919" s="1" t="s">
        <v>297</v>
      </c>
      <c r="K919" s="1" t="s">
        <v>297</v>
      </c>
      <c r="N919" s="1" t="s">
        <v>102</v>
      </c>
      <c r="O919" s="1">
        <v>8600.0</v>
      </c>
      <c r="P919" s="1" t="s">
        <v>102</v>
      </c>
      <c r="Q919" s="1" t="str">
        <f>IF(ISERROR(VLOOKUP(P919,'unique fed agency names'!A:C,3,FALSE)),P919,VLOOKUP(P919,'unique fed agency names'!A:C,3,FALSE))
</f>
        <v>U.S. Department of Housing and Urban Development (HUD)</v>
      </c>
      <c r="R919" s="1">
        <v>7.8274513E7</v>
      </c>
      <c r="S919" s="1" t="s">
        <v>2217</v>
      </c>
      <c r="T919" s="1" t="str">
        <f>IF(ISERROR(VLOOKUP(S919,'unique org names'!A:C,3,FALSE)),S919,VLOOKUP(S919,'unique org names'!A:C,3,FALSE))
</f>
        <v>E MICHIGAN CCDA</v>
      </c>
      <c r="V919" s="1" t="s">
        <v>2218</v>
      </c>
      <c r="W919" s="1" t="s">
        <v>44</v>
      </c>
      <c r="X919" s="1" t="s">
        <v>45</v>
      </c>
      <c r="Y919" s="1">
        <v>4.82211964E8</v>
      </c>
      <c r="AA919" s="1" t="s">
        <v>46</v>
      </c>
      <c r="AB919" s="1" t="s">
        <v>45</v>
      </c>
      <c r="AC919" s="1">
        <v>4.82211964E8</v>
      </c>
      <c r="AF919" s="1">
        <v>100000.0</v>
      </c>
      <c r="AG919" s="2">
        <v>41837.0</v>
      </c>
      <c r="AH919" s="1">
        <v>8600.0</v>
      </c>
      <c r="AI919" s="1" t="s">
        <v>102</v>
      </c>
      <c r="AJ919" s="1">
        <v>21.0</v>
      </c>
      <c r="AK919" s="1" t="s">
        <v>2219</v>
      </c>
      <c r="AL919" s="1">
        <v>8.0</v>
      </c>
      <c r="AM919" s="1">
        <v>2014.0</v>
      </c>
      <c r="AN919" s="1">
        <v>2014.0</v>
      </c>
      <c r="AO919" s="1" t="s">
        <v>305</v>
      </c>
    </row>
    <row r="920">
      <c r="A920" s="5">
        <v>1.0</v>
      </c>
      <c r="B920" s="1">
        <f t="shared" si="1"/>
        <v>920</v>
      </c>
      <c r="C920" s="1" t="s">
        <v>2139</v>
      </c>
      <c r="D920" s="1" t="s">
        <v>2139</v>
      </c>
      <c r="E920" s="1" t="s">
        <v>100</v>
      </c>
      <c r="G920" s="1">
        <v>3.2109172E7</v>
      </c>
      <c r="H920" s="2">
        <v>41837.0</v>
      </c>
      <c r="I920" s="1" t="s">
        <v>297</v>
      </c>
      <c r="K920" s="1" t="s">
        <v>297</v>
      </c>
      <c r="N920" s="1" t="s">
        <v>102</v>
      </c>
      <c r="O920" s="1">
        <v>8600.0</v>
      </c>
      <c r="P920" s="1" t="s">
        <v>102</v>
      </c>
      <c r="Q920" s="1" t="str">
        <f>IF(ISERROR(VLOOKUP(P920,'unique fed agency names'!A:C,3,FALSE)),P920,VLOOKUP(P920,'unique fed agency names'!A:C,3,FALSE))
</f>
        <v>U.S. Department of Housing and Urban Development (HUD)</v>
      </c>
      <c r="R920" s="1">
        <v>2.183979E7</v>
      </c>
      <c r="S920" s="1" t="s">
        <v>2220</v>
      </c>
      <c r="T920" s="1" t="str">
        <f>IF(ISERROR(VLOOKUP(S920,'unique org names'!A:C,3,FALSE)),S920,VLOOKUP(S920,'unique org names'!A:C,3,FALSE))
</f>
        <v>Society of St Vincent de Paul (SVDP) - Detroit</v>
      </c>
      <c r="V920" s="1" t="s">
        <v>2221</v>
      </c>
      <c r="W920" s="1" t="s">
        <v>44</v>
      </c>
      <c r="X920" s="1" t="s">
        <v>45</v>
      </c>
      <c r="Y920" s="1">
        <v>4.82072372E8</v>
      </c>
      <c r="AA920" s="1" t="s">
        <v>46</v>
      </c>
      <c r="AB920" s="1" t="s">
        <v>45</v>
      </c>
      <c r="AC920" s="1">
        <v>4.82072372E8</v>
      </c>
      <c r="AD920" s="1">
        <v>2.183979E7</v>
      </c>
      <c r="AE920" s="1" t="s">
        <v>2220</v>
      </c>
      <c r="AF920" s="1">
        <v>100000.0</v>
      </c>
      <c r="AG920" s="2">
        <v>41837.0</v>
      </c>
      <c r="AH920" s="1">
        <v>8600.0</v>
      </c>
      <c r="AI920" s="1" t="s">
        <v>102</v>
      </c>
      <c r="AJ920" s="1">
        <v>35.0</v>
      </c>
      <c r="AK920" s="1" t="s">
        <v>2222</v>
      </c>
      <c r="AL920" s="1">
        <v>8.0</v>
      </c>
      <c r="AM920" s="1">
        <v>2014.0</v>
      </c>
      <c r="AN920" s="1">
        <v>2014.0</v>
      </c>
      <c r="AO920" s="1" t="s">
        <v>305</v>
      </c>
    </row>
    <row r="921">
      <c r="A921" s="5">
        <v>1.0</v>
      </c>
      <c r="B921" s="1">
        <f t="shared" si="1"/>
        <v>921</v>
      </c>
      <c r="C921" s="1" t="s">
        <v>2139</v>
      </c>
      <c r="D921" s="1" t="s">
        <v>2139</v>
      </c>
      <c r="E921" s="1" t="s">
        <v>100</v>
      </c>
      <c r="G921" s="1">
        <v>3.2109172E7</v>
      </c>
      <c r="H921" s="2">
        <v>41837.0</v>
      </c>
      <c r="I921" s="1" t="s">
        <v>297</v>
      </c>
      <c r="K921" s="1" t="s">
        <v>297</v>
      </c>
      <c r="N921" s="1" t="s">
        <v>102</v>
      </c>
      <c r="O921" s="1">
        <v>8600.0</v>
      </c>
      <c r="P921" s="1" t="s">
        <v>102</v>
      </c>
      <c r="Q921" s="1" t="str">
        <f>IF(ISERROR(VLOOKUP(P921,'unique fed agency names'!A:C,3,FALSE)),P921,VLOOKUP(P921,'unique fed agency names'!A:C,3,FALSE))
</f>
        <v>U.S. Department of Housing and Urban Development (HUD)</v>
      </c>
      <c r="R921" s="1">
        <v>9.65680176E8</v>
      </c>
      <c r="S921" s="1" t="s">
        <v>353</v>
      </c>
      <c r="T921" s="1" t="str">
        <f>IF(ISERROR(VLOOKUP(S921,'unique org names'!A:C,3,FALSE)),S921,VLOOKUP(S921,'unique org names'!A:C,3,FALSE))
</f>
        <v>Urban Neighborhood Initiatives, Inc</v>
      </c>
      <c r="U921" s="1" t="s">
        <v>354</v>
      </c>
      <c r="V921" s="1" t="s">
        <v>355</v>
      </c>
      <c r="W921" s="1" t="s">
        <v>44</v>
      </c>
      <c r="X921" s="1" t="s">
        <v>45</v>
      </c>
      <c r="Y921" s="1">
        <v>4.8209344E8</v>
      </c>
      <c r="AA921" s="1" t="s">
        <v>46</v>
      </c>
      <c r="AB921" s="1" t="s">
        <v>45</v>
      </c>
      <c r="AC921" s="1">
        <v>4.8209344E8</v>
      </c>
      <c r="AF921" s="1">
        <v>200000.0</v>
      </c>
      <c r="AG921" s="2">
        <v>41837.0</v>
      </c>
      <c r="AH921" s="1">
        <v>8600.0</v>
      </c>
      <c r="AI921" s="1" t="s">
        <v>102</v>
      </c>
      <c r="AJ921" s="1">
        <v>10.0</v>
      </c>
      <c r="AK921" s="1" t="s">
        <v>2223</v>
      </c>
      <c r="AL921" s="1">
        <v>8.0</v>
      </c>
      <c r="AM921" s="1">
        <v>2014.0</v>
      </c>
      <c r="AN921" s="1">
        <v>2014.0</v>
      </c>
      <c r="AO921" s="1" t="s">
        <v>305</v>
      </c>
    </row>
    <row r="922">
      <c r="A922" s="5">
        <v>1.0</v>
      </c>
      <c r="B922" s="1">
        <f t="shared" si="1"/>
        <v>922</v>
      </c>
      <c r="C922" s="1" t="s">
        <v>2139</v>
      </c>
      <c r="D922" s="1" t="s">
        <v>2139</v>
      </c>
      <c r="E922" s="1" t="s">
        <v>100</v>
      </c>
      <c r="G922" s="1">
        <v>3.2109172E7</v>
      </c>
      <c r="H922" s="2">
        <v>41837.0</v>
      </c>
      <c r="I922" s="1" t="s">
        <v>297</v>
      </c>
      <c r="K922" s="1" t="s">
        <v>297</v>
      </c>
      <c r="N922" s="1" t="s">
        <v>102</v>
      </c>
      <c r="O922" s="1">
        <v>8600.0</v>
      </c>
      <c r="P922" s="1" t="s">
        <v>102</v>
      </c>
      <c r="Q922" s="1" t="str">
        <f>IF(ISERROR(VLOOKUP(P922,'unique fed agency names'!A:C,3,FALSE)),P922,VLOOKUP(P922,'unique fed agency names'!A:C,3,FALSE))
</f>
        <v>U.S. Department of Housing and Urban Development (HUD)</v>
      </c>
      <c r="R922" s="1">
        <v>8.37073782E8</v>
      </c>
      <c r="S922" s="1" t="s">
        <v>2224</v>
      </c>
      <c r="T922" s="1" t="str">
        <f>IF(ISERROR(VLOOKUP(S922,'unique org names'!A:C,3,FALSE)),S922,VLOOKUP(S922,'unique org names'!A:C,3,FALSE))
</f>
        <v>Greening of Detroit</v>
      </c>
      <c r="V922" s="1" t="s">
        <v>2225</v>
      </c>
      <c r="W922" s="1" t="s">
        <v>44</v>
      </c>
      <c r="X922" s="1" t="s">
        <v>45</v>
      </c>
      <c r="Y922" s="1">
        <v>4.82161324E8</v>
      </c>
      <c r="AA922" s="1" t="s">
        <v>46</v>
      </c>
      <c r="AB922" s="1" t="s">
        <v>45</v>
      </c>
      <c r="AC922" s="1">
        <v>4.82161324E8</v>
      </c>
      <c r="AF922" s="1">
        <v>100000.0</v>
      </c>
      <c r="AG922" s="2">
        <v>41837.0</v>
      </c>
      <c r="AH922" s="1">
        <v>8600.0</v>
      </c>
      <c r="AI922" s="1" t="s">
        <v>102</v>
      </c>
      <c r="AJ922" s="1">
        <v>37.0</v>
      </c>
      <c r="AK922" s="1" t="s">
        <v>2226</v>
      </c>
      <c r="AL922" s="1">
        <v>8.0</v>
      </c>
      <c r="AM922" s="1">
        <v>2014.0</v>
      </c>
      <c r="AN922" s="1">
        <v>2014.0</v>
      </c>
      <c r="AO922" s="1" t="s">
        <v>305</v>
      </c>
    </row>
    <row r="923">
      <c r="A923" s="5">
        <v>1.0</v>
      </c>
      <c r="B923" s="1">
        <f t="shared" si="1"/>
        <v>923</v>
      </c>
      <c r="C923" s="1" t="s">
        <v>2139</v>
      </c>
      <c r="D923" s="1" t="s">
        <v>2139</v>
      </c>
      <c r="E923" s="1" t="s">
        <v>100</v>
      </c>
      <c r="G923" s="1">
        <v>3.2109172E7</v>
      </c>
      <c r="H923" s="2">
        <v>41837.0</v>
      </c>
      <c r="I923" s="1" t="s">
        <v>297</v>
      </c>
      <c r="K923" s="1" t="s">
        <v>297</v>
      </c>
      <c r="N923" s="1" t="s">
        <v>102</v>
      </c>
      <c r="O923" s="1">
        <v>8600.0</v>
      </c>
      <c r="P923" s="1" t="s">
        <v>102</v>
      </c>
      <c r="Q923" s="1" t="str">
        <f>IF(ISERROR(VLOOKUP(P923,'unique fed agency names'!A:C,3,FALSE)),P923,VLOOKUP(P923,'unique fed agency names'!A:C,3,FALSE))
</f>
        <v>U.S. Department of Housing and Urban Development (HUD)</v>
      </c>
      <c r="R923" s="1">
        <v>2.0396122E7</v>
      </c>
      <c r="S923" s="1" t="s">
        <v>2227</v>
      </c>
      <c r="T923" s="1" t="str">
        <f>IF(ISERROR(VLOOKUP(S923,'unique org names'!A:C,3,FALSE)),S923,VLOOKUP(S923,'unique org names'!A:C,3,FALSE))
</f>
        <v>Heat and Warmth Fund (THAW)</v>
      </c>
      <c r="V923" s="1" t="s">
        <v>2228</v>
      </c>
      <c r="W923" s="1" t="s">
        <v>44</v>
      </c>
      <c r="X923" s="1" t="s">
        <v>45</v>
      </c>
      <c r="Y923" s="1">
        <v>4.82263285E8</v>
      </c>
      <c r="AA923" s="1" t="s">
        <v>46</v>
      </c>
      <c r="AB923" s="1" t="s">
        <v>45</v>
      </c>
      <c r="AC923" s="1">
        <v>4.82263285E8</v>
      </c>
      <c r="AF923" s="1">
        <v>100000.0</v>
      </c>
      <c r="AG923" s="2">
        <v>41837.0</v>
      </c>
      <c r="AH923" s="1">
        <v>8600.0</v>
      </c>
      <c r="AI923" s="1" t="s">
        <v>102</v>
      </c>
      <c r="AJ923" s="1">
        <v>58.0</v>
      </c>
      <c r="AK923" s="1" t="s">
        <v>2229</v>
      </c>
      <c r="AL923" s="1">
        <v>8.0</v>
      </c>
      <c r="AM923" s="1">
        <v>2014.0</v>
      </c>
      <c r="AN923" s="1">
        <v>2014.0</v>
      </c>
      <c r="AO923" s="1" t="s">
        <v>305</v>
      </c>
    </row>
    <row r="924">
      <c r="A924" s="5">
        <v>1.0</v>
      </c>
      <c r="B924" s="1">
        <f t="shared" si="1"/>
        <v>924</v>
      </c>
      <c r="C924" s="1" t="s">
        <v>2139</v>
      </c>
      <c r="D924" s="1" t="s">
        <v>2139</v>
      </c>
      <c r="E924" s="1" t="s">
        <v>100</v>
      </c>
      <c r="G924" s="1">
        <v>3.2109172E7</v>
      </c>
      <c r="H924" s="2">
        <v>41837.0</v>
      </c>
      <c r="I924" s="1" t="s">
        <v>297</v>
      </c>
      <c r="K924" s="1" t="s">
        <v>297</v>
      </c>
      <c r="N924" s="1" t="s">
        <v>102</v>
      </c>
      <c r="O924" s="1">
        <v>8600.0</v>
      </c>
      <c r="P924" s="1" t="s">
        <v>102</v>
      </c>
      <c r="Q924" s="1" t="str">
        <f>IF(ISERROR(VLOOKUP(P924,'unique fed agency names'!A:C,3,FALSE)),P924,VLOOKUP(P924,'unique fed agency names'!A:C,3,FALSE))
</f>
        <v>U.S. Department of Housing and Urban Development (HUD)</v>
      </c>
      <c r="R924" s="1">
        <v>1.44744369E8</v>
      </c>
      <c r="S924" s="1" t="s">
        <v>2230</v>
      </c>
      <c r="T924" s="1" t="str">
        <f>IF(ISERROR(VLOOKUP(S924,'unique org names'!A:C,3,FALSE)),S924,VLOOKUP(S924,'unique org names'!A:C,3,FALSE))
</f>
        <v>Senior Delray Housing</v>
      </c>
      <c r="V924" s="1" t="s">
        <v>2231</v>
      </c>
      <c r="W924" s="1" t="s">
        <v>44</v>
      </c>
      <c r="X924" s="1" t="s">
        <v>45</v>
      </c>
      <c r="Y924" s="1">
        <v>4.82161595E8</v>
      </c>
      <c r="AA924" s="1" t="s">
        <v>46</v>
      </c>
      <c r="AB924" s="1" t="s">
        <v>45</v>
      </c>
      <c r="AC924" s="1">
        <v>4.82161595E8</v>
      </c>
      <c r="AF924" s="1">
        <v>100000.0</v>
      </c>
      <c r="AG924" s="2">
        <v>41837.0</v>
      </c>
      <c r="AH924" s="1">
        <v>8600.0</v>
      </c>
      <c r="AI924" s="1" t="s">
        <v>102</v>
      </c>
      <c r="AJ924" s="1">
        <v>18.0</v>
      </c>
      <c r="AK924" s="1" t="s">
        <v>2232</v>
      </c>
      <c r="AL924" s="1">
        <v>8.0</v>
      </c>
      <c r="AM924" s="1">
        <v>2014.0</v>
      </c>
      <c r="AN924" s="1">
        <v>2014.0</v>
      </c>
      <c r="AO924" s="1" t="s">
        <v>305</v>
      </c>
    </row>
    <row r="925">
      <c r="A925" s="5">
        <v>1.0</v>
      </c>
      <c r="B925" s="1">
        <f t="shared" si="1"/>
        <v>925</v>
      </c>
      <c r="C925" s="1" t="s">
        <v>2139</v>
      </c>
      <c r="D925" s="1" t="s">
        <v>2139</v>
      </c>
      <c r="E925" s="1" t="s">
        <v>100</v>
      </c>
      <c r="G925" s="1">
        <v>3.2109172E7</v>
      </c>
      <c r="H925" s="2">
        <v>41837.0</v>
      </c>
      <c r="I925" s="1" t="s">
        <v>297</v>
      </c>
      <c r="K925" s="1" t="s">
        <v>297</v>
      </c>
      <c r="N925" s="1" t="s">
        <v>102</v>
      </c>
      <c r="O925" s="1">
        <v>8600.0</v>
      </c>
      <c r="P925" s="1" t="s">
        <v>102</v>
      </c>
      <c r="Q925" s="1" t="str">
        <f>IF(ISERROR(VLOOKUP(P925,'unique fed agency names'!A:C,3,FALSE)),P925,VLOOKUP(P925,'unique fed agency names'!A:C,3,FALSE))
</f>
        <v>U.S. Department of Housing and Urban Development (HUD)</v>
      </c>
      <c r="R925" s="1">
        <v>1.75587161E8</v>
      </c>
      <c r="S925" s="1" t="s">
        <v>2233</v>
      </c>
      <c r="T925" s="1" t="str">
        <f>IF(ISERROR(VLOOKUP(S925,'unique org names'!A:C,3,FALSE)),S925,VLOOKUP(S925,'unique org names'!A:C,3,FALSE))
</f>
        <v>Accounting Aid Society</v>
      </c>
      <c r="U925" s="1" t="s">
        <v>2234</v>
      </c>
      <c r="V925" s="1" t="s">
        <v>2235</v>
      </c>
      <c r="W925" s="1" t="s">
        <v>44</v>
      </c>
      <c r="X925" s="1" t="s">
        <v>45</v>
      </c>
      <c r="Y925" s="1">
        <v>4.82022411E8</v>
      </c>
      <c r="AA925" s="1" t="s">
        <v>46</v>
      </c>
      <c r="AB925" s="1" t="s">
        <v>45</v>
      </c>
      <c r="AC925" s="1">
        <v>4.82022411E8</v>
      </c>
      <c r="AD925" s="1">
        <v>1.75587161E8</v>
      </c>
      <c r="AE925" s="1" t="s">
        <v>2236</v>
      </c>
      <c r="AF925" s="1">
        <v>100000.0</v>
      </c>
      <c r="AG925" s="2">
        <v>41837.0</v>
      </c>
      <c r="AH925" s="1">
        <v>8600.0</v>
      </c>
      <c r="AI925" s="1" t="s">
        <v>102</v>
      </c>
      <c r="AJ925" s="1">
        <v>11.0</v>
      </c>
      <c r="AK925" s="1" t="s">
        <v>2237</v>
      </c>
      <c r="AL925" s="1">
        <v>8.0</v>
      </c>
      <c r="AM925" s="1">
        <v>2014.0</v>
      </c>
      <c r="AN925" s="1">
        <v>2014.0</v>
      </c>
      <c r="AO925" s="1" t="s">
        <v>305</v>
      </c>
    </row>
    <row r="926">
      <c r="A926" s="5">
        <v>1.0</v>
      </c>
      <c r="B926" s="1">
        <f t="shared" si="1"/>
        <v>926</v>
      </c>
      <c r="C926" s="1" t="s">
        <v>2139</v>
      </c>
      <c r="D926" s="1" t="s">
        <v>2139</v>
      </c>
      <c r="E926" s="1" t="s">
        <v>100</v>
      </c>
      <c r="G926" s="1">
        <v>3.2109172E7</v>
      </c>
      <c r="H926" s="2">
        <v>41837.0</v>
      </c>
      <c r="I926" s="1" t="s">
        <v>297</v>
      </c>
      <c r="K926" s="1" t="s">
        <v>297</v>
      </c>
      <c r="N926" s="1" t="s">
        <v>102</v>
      </c>
      <c r="O926" s="1">
        <v>8600.0</v>
      </c>
      <c r="P926" s="1" t="s">
        <v>102</v>
      </c>
      <c r="Q926" s="1" t="str">
        <f>IF(ISERROR(VLOOKUP(P926,'unique fed agency names'!A:C,3,FALSE)),P926,VLOOKUP(P926,'unique fed agency names'!A:C,3,FALSE))
</f>
        <v>U.S. Department of Housing and Urban Development (HUD)</v>
      </c>
      <c r="R926" s="1">
        <v>1.42793053E8</v>
      </c>
      <c r="S926" s="1" t="s">
        <v>994</v>
      </c>
      <c r="T926" s="1" t="str">
        <f>IF(ISERROR(VLOOKUP(S926,'unique org names'!A:C,3,FALSE)),S926,VLOOKUP(S926,'unique org names'!A:C,3,FALSE))
</f>
        <v>CARE FIRST COMMUNITY HEALTH SERVICES</v>
      </c>
      <c r="V926" s="1" t="s">
        <v>995</v>
      </c>
      <c r="W926" s="1" t="s">
        <v>44</v>
      </c>
      <c r="X926" s="1" t="s">
        <v>45</v>
      </c>
      <c r="Y926" s="1">
        <v>4.82282721E8</v>
      </c>
      <c r="AA926" s="1" t="s">
        <v>46</v>
      </c>
      <c r="AB926" s="1" t="s">
        <v>45</v>
      </c>
      <c r="AC926" s="1">
        <v>4.82282721E8</v>
      </c>
      <c r="AF926" s="1">
        <v>100000.0</v>
      </c>
      <c r="AG926" s="2">
        <v>41837.0</v>
      </c>
      <c r="AH926" s="1">
        <v>8600.0</v>
      </c>
      <c r="AI926" s="1" t="s">
        <v>102</v>
      </c>
      <c r="AJ926" s="1">
        <v>41.0</v>
      </c>
      <c r="AK926" s="1" t="s">
        <v>2238</v>
      </c>
      <c r="AL926" s="1">
        <v>8.0</v>
      </c>
      <c r="AM926" s="1">
        <v>2014.0</v>
      </c>
      <c r="AN926" s="1">
        <v>2014.0</v>
      </c>
      <c r="AO926" s="1" t="s">
        <v>305</v>
      </c>
    </row>
    <row r="927">
      <c r="A927" s="5">
        <v>1.0</v>
      </c>
      <c r="B927" s="1">
        <f t="shared" si="1"/>
        <v>927</v>
      </c>
      <c r="C927" s="1" t="s">
        <v>2139</v>
      </c>
      <c r="D927" s="1" t="s">
        <v>2139</v>
      </c>
      <c r="E927" s="1" t="s">
        <v>100</v>
      </c>
      <c r="G927" s="1">
        <v>3.2109172E7</v>
      </c>
      <c r="H927" s="2">
        <v>41837.0</v>
      </c>
      <c r="I927" s="1" t="s">
        <v>297</v>
      </c>
      <c r="K927" s="1" t="s">
        <v>297</v>
      </c>
      <c r="N927" s="1" t="s">
        <v>102</v>
      </c>
      <c r="O927" s="1">
        <v>8600.0</v>
      </c>
      <c r="P927" s="1" t="s">
        <v>102</v>
      </c>
      <c r="Q927" s="1" t="str">
        <f>IF(ISERROR(VLOOKUP(P927,'unique fed agency names'!A:C,3,FALSE)),P927,VLOOKUP(P927,'unique fed agency names'!A:C,3,FALSE))
</f>
        <v>U.S. Department of Housing and Urban Development (HUD)</v>
      </c>
      <c r="R927" s="1">
        <v>6.07778081E8</v>
      </c>
      <c r="S927" s="1" t="s">
        <v>1002</v>
      </c>
      <c r="T927" s="1" t="str">
        <f>IF(ISERROR(VLOOKUP(S927,'unique org names'!A:C,3,FALSE)),S927,VLOOKUP(S927,'unique org names'!A:C,3,FALSE))
</f>
        <v>TRAVELERS AID SOCIETY OF METROPOLITAN DETROIT</v>
      </c>
      <c r="U927" s="1" t="s">
        <v>1003</v>
      </c>
      <c r="V927" s="1" t="s">
        <v>1004</v>
      </c>
      <c r="W927" s="1" t="s">
        <v>44</v>
      </c>
      <c r="X927" s="1" t="s">
        <v>45</v>
      </c>
      <c r="Y927" s="1">
        <v>4.82261986E8</v>
      </c>
      <c r="AA927" s="1" t="s">
        <v>46</v>
      </c>
      <c r="AB927" s="1" t="s">
        <v>45</v>
      </c>
      <c r="AC927" s="1">
        <v>4.82261986E8</v>
      </c>
      <c r="AD927" s="1">
        <v>6.07778081E8</v>
      </c>
      <c r="AE927" s="1" t="s">
        <v>1002</v>
      </c>
      <c r="AF927" s="1">
        <v>100000.0</v>
      </c>
      <c r="AG927" s="2">
        <v>41837.0</v>
      </c>
      <c r="AH927" s="1">
        <v>8600.0</v>
      </c>
      <c r="AI927" s="1" t="s">
        <v>102</v>
      </c>
      <c r="AJ927" s="1">
        <v>59.0</v>
      </c>
      <c r="AK927" s="1" t="s">
        <v>2239</v>
      </c>
      <c r="AL927" s="1">
        <v>8.0</v>
      </c>
      <c r="AM927" s="1">
        <v>2014.0</v>
      </c>
      <c r="AN927" s="1">
        <v>2014.0</v>
      </c>
      <c r="AO927" s="1" t="s">
        <v>305</v>
      </c>
    </row>
    <row r="928">
      <c r="A928" s="5">
        <v>1.0</v>
      </c>
      <c r="B928" s="1">
        <f t="shared" si="1"/>
        <v>928</v>
      </c>
      <c r="C928" s="1" t="s">
        <v>2139</v>
      </c>
      <c r="D928" s="1" t="s">
        <v>2139</v>
      </c>
      <c r="E928" s="1" t="s">
        <v>100</v>
      </c>
      <c r="G928" s="1">
        <v>3.2109172E7</v>
      </c>
      <c r="H928" s="2">
        <v>41837.0</v>
      </c>
      <c r="I928" s="1" t="s">
        <v>297</v>
      </c>
      <c r="K928" s="1" t="s">
        <v>297</v>
      </c>
      <c r="N928" s="1" t="s">
        <v>102</v>
      </c>
      <c r="O928" s="1">
        <v>8600.0</v>
      </c>
      <c r="P928" s="1" t="s">
        <v>102</v>
      </c>
      <c r="Q928" s="1" t="str">
        <f>IF(ISERROR(VLOOKUP(P928,'unique fed agency names'!A:C,3,FALSE)),P928,VLOOKUP(P928,'unique fed agency names'!A:C,3,FALSE))
</f>
        <v>U.S. Department of Housing and Urban Development (HUD)</v>
      </c>
      <c r="R928" s="1">
        <v>1.06504459E8</v>
      </c>
      <c r="S928" s="1" t="s">
        <v>2240</v>
      </c>
      <c r="T928" s="1" t="str">
        <f>IF(ISERROR(VLOOKUP(S928,'unique org names'!A:C,3,FALSE)),S928,VLOOKUP(S928,'unique org names'!A:C,3,FALSE))
</f>
        <v>Operation Get Down</v>
      </c>
      <c r="V928" s="1" t="s">
        <v>2241</v>
      </c>
      <c r="W928" s="1" t="s">
        <v>44</v>
      </c>
      <c r="X928" s="1" t="s">
        <v>45</v>
      </c>
      <c r="Y928" s="1">
        <v>4.82133112E8</v>
      </c>
      <c r="AA928" s="1" t="s">
        <v>46</v>
      </c>
      <c r="AB928" s="1" t="s">
        <v>45</v>
      </c>
      <c r="AC928" s="1">
        <v>4.82133112E8</v>
      </c>
      <c r="AF928" s="1">
        <v>100000.0</v>
      </c>
      <c r="AG928" s="2">
        <v>41837.0</v>
      </c>
      <c r="AH928" s="1">
        <v>8600.0</v>
      </c>
      <c r="AI928" s="1" t="s">
        <v>102</v>
      </c>
      <c r="AJ928" s="1">
        <v>55.0</v>
      </c>
      <c r="AK928" s="1" t="s">
        <v>2242</v>
      </c>
      <c r="AL928" s="1">
        <v>8.0</v>
      </c>
      <c r="AM928" s="1">
        <v>2014.0</v>
      </c>
      <c r="AN928" s="1">
        <v>2014.0</v>
      </c>
      <c r="AO928" s="1" t="s">
        <v>305</v>
      </c>
    </row>
    <row r="929">
      <c r="A929" s="5">
        <v>1.0</v>
      </c>
      <c r="B929" s="1">
        <f t="shared" si="1"/>
        <v>929</v>
      </c>
      <c r="C929" s="1" t="s">
        <v>2139</v>
      </c>
      <c r="D929" s="1" t="s">
        <v>2139</v>
      </c>
      <c r="E929" s="1" t="s">
        <v>100</v>
      </c>
      <c r="G929" s="1">
        <v>3.2109172E7</v>
      </c>
      <c r="H929" s="2">
        <v>41837.0</v>
      </c>
      <c r="I929" s="1" t="s">
        <v>297</v>
      </c>
      <c r="K929" s="1" t="s">
        <v>297</v>
      </c>
      <c r="N929" s="1" t="s">
        <v>102</v>
      </c>
      <c r="O929" s="1">
        <v>8600.0</v>
      </c>
      <c r="P929" s="1" t="s">
        <v>102</v>
      </c>
      <c r="Q929" s="1" t="str">
        <f>IF(ISERROR(VLOOKUP(P929,'unique fed agency names'!A:C,3,FALSE)),P929,VLOOKUP(P929,'unique fed agency names'!A:C,3,FALSE))
</f>
        <v>U.S. Department of Housing and Urban Development (HUD)</v>
      </c>
      <c r="R929" s="1">
        <v>7.9832754E8</v>
      </c>
      <c r="S929" s="1" t="s">
        <v>2243</v>
      </c>
      <c r="T929" s="1" t="str">
        <f>IF(ISERROR(VLOOKUP(S929,'unique org names'!A:C,3,FALSE)),S929,VLOOKUP(S929,'unique org names'!A:C,3,FALSE))
</f>
        <v>Michigan Veterans Foundation</v>
      </c>
      <c r="U929" s="1" t="s">
        <v>2244</v>
      </c>
      <c r="V929" s="1" t="s">
        <v>2245</v>
      </c>
      <c r="W929" s="1" t="s">
        <v>44</v>
      </c>
      <c r="X929" s="1" t="s">
        <v>45</v>
      </c>
      <c r="Y929" s="1">
        <v>4.82013012E8</v>
      </c>
      <c r="AA929" s="1" t="s">
        <v>46</v>
      </c>
      <c r="AB929" s="1" t="s">
        <v>45</v>
      </c>
      <c r="AC929" s="1">
        <v>4.82013012E8</v>
      </c>
      <c r="AF929" s="1">
        <v>100000.0</v>
      </c>
      <c r="AG929" s="2">
        <v>41837.0</v>
      </c>
      <c r="AH929" s="1">
        <v>8600.0</v>
      </c>
      <c r="AI929" s="1" t="s">
        <v>102</v>
      </c>
      <c r="AJ929" s="1">
        <v>52.0</v>
      </c>
      <c r="AK929" s="1" t="s">
        <v>2246</v>
      </c>
      <c r="AL929" s="1">
        <v>8.0</v>
      </c>
      <c r="AM929" s="1">
        <v>2014.0</v>
      </c>
      <c r="AN929" s="1">
        <v>2014.0</v>
      </c>
      <c r="AO929" s="1" t="s">
        <v>305</v>
      </c>
    </row>
    <row r="930">
      <c r="A930" s="5">
        <v>1.0</v>
      </c>
      <c r="B930" s="1">
        <f t="shared" si="1"/>
        <v>930</v>
      </c>
      <c r="C930" s="1" t="s">
        <v>2247</v>
      </c>
      <c r="D930" s="1" t="s">
        <v>2247</v>
      </c>
      <c r="E930" s="1" t="s">
        <v>100</v>
      </c>
      <c r="G930" s="1">
        <v>4698558.0</v>
      </c>
      <c r="H930" s="2">
        <v>41837.0</v>
      </c>
      <c r="I930" s="1" t="s">
        <v>332</v>
      </c>
      <c r="K930" s="1" t="s">
        <v>332</v>
      </c>
      <c r="N930" s="1" t="s">
        <v>102</v>
      </c>
      <c r="O930" s="1">
        <v>8600.0</v>
      </c>
      <c r="P930" s="1" t="s">
        <v>102</v>
      </c>
      <c r="Q930" s="1" t="str">
        <f>IF(ISERROR(VLOOKUP(P930,'unique fed agency names'!A:C,3,FALSE)),P930,VLOOKUP(P930,'unique fed agency names'!A:C,3,FALSE))
</f>
        <v>U.S. Department of Housing and Urban Development (HUD)</v>
      </c>
      <c r="R930" s="1">
        <v>6530661.0</v>
      </c>
      <c r="S930" s="1" t="s">
        <v>73</v>
      </c>
      <c r="T930" s="1" t="str">
        <f>IF(ISERROR(VLOOKUP(S930,'unique org names'!A:C,3,FALSE)),S930,VLOOKUP(S930,'unique org names'!A:C,3,FALSE))
</f>
        <v>City Of Detroit</v>
      </c>
      <c r="U930" s="1" t="s">
        <v>323</v>
      </c>
      <c r="V930" s="1" t="s">
        <v>1961</v>
      </c>
      <c r="W930" s="1" t="s">
        <v>44</v>
      </c>
      <c r="X930" s="1" t="s">
        <v>45</v>
      </c>
      <c r="Y930" s="1">
        <v>4.82263443E8</v>
      </c>
      <c r="AA930" s="1" t="s">
        <v>46</v>
      </c>
      <c r="AB930" s="1" t="s">
        <v>45</v>
      </c>
      <c r="AC930" s="1">
        <v>4.82263443E8</v>
      </c>
      <c r="AD930" s="1">
        <v>6530661.0</v>
      </c>
      <c r="AE930" s="1" t="s">
        <v>76</v>
      </c>
      <c r="AF930" s="1">
        <v>4698558.0</v>
      </c>
      <c r="AG930" s="2">
        <v>41837.0</v>
      </c>
      <c r="AH930" s="1">
        <v>8600.0</v>
      </c>
      <c r="AI930" s="1" t="s">
        <v>102</v>
      </c>
      <c r="AJ930" s="1">
        <v>1.0</v>
      </c>
      <c r="AK930" s="1" t="s">
        <v>2248</v>
      </c>
      <c r="AL930" s="1">
        <v>8.0</v>
      </c>
      <c r="AM930" s="1">
        <v>2014.0</v>
      </c>
      <c r="AN930" s="1">
        <v>2014.0</v>
      </c>
      <c r="AO930" s="1" t="s">
        <v>334</v>
      </c>
    </row>
    <row r="931">
      <c r="A931" s="5">
        <v>1.0</v>
      </c>
      <c r="B931" s="1">
        <f t="shared" si="1"/>
        <v>931</v>
      </c>
      <c r="C931" s="1" t="s">
        <v>2249</v>
      </c>
      <c r="D931" s="1" t="s">
        <v>2249</v>
      </c>
      <c r="E931" s="1" t="s">
        <v>100</v>
      </c>
      <c r="G931" s="1">
        <v>2351114.0</v>
      </c>
      <c r="H931" s="2">
        <v>41837.0</v>
      </c>
      <c r="I931" s="1" t="s">
        <v>2250</v>
      </c>
      <c r="K931" s="1" t="s">
        <v>2250</v>
      </c>
      <c r="N931" s="1" t="s">
        <v>102</v>
      </c>
      <c r="O931" s="1">
        <v>8600.0</v>
      </c>
      <c r="P931" s="1" t="s">
        <v>102</v>
      </c>
      <c r="Q931" s="1" t="str">
        <f>IF(ISERROR(VLOOKUP(P931,'unique fed agency names'!A:C,3,FALSE)),P931,VLOOKUP(P931,'unique fed agency names'!A:C,3,FALSE))
</f>
        <v>U.S. Department of Housing and Urban Development (HUD)</v>
      </c>
      <c r="R931" s="1">
        <v>6.03005542E8</v>
      </c>
      <c r="S931" s="1" t="s">
        <v>73</v>
      </c>
      <c r="T931" s="1" t="str">
        <f>IF(ISERROR(VLOOKUP(S931,'unique org names'!A:C,3,FALSE)),S931,VLOOKUP(S931,'unique org names'!A:C,3,FALSE))
</f>
        <v>City Of Detroit</v>
      </c>
      <c r="U931" s="1" t="s">
        <v>2251</v>
      </c>
      <c r="V931" s="1" t="s">
        <v>2252</v>
      </c>
      <c r="W931" s="1" t="s">
        <v>44</v>
      </c>
      <c r="X931" s="1" t="s">
        <v>45</v>
      </c>
      <c r="Y931" s="1">
        <v>4.82021732E8</v>
      </c>
      <c r="AA931" s="1" t="s">
        <v>46</v>
      </c>
      <c r="AB931" s="1" t="s">
        <v>45</v>
      </c>
      <c r="AC931" s="1">
        <v>4.82021732E8</v>
      </c>
      <c r="AD931" s="1">
        <v>6530661.0</v>
      </c>
      <c r="AE931" s="1" t="s">
        <v>76</v>
      </c>
      <c r="AF931" s="1">
        <v>2351114.0</v>
      </c>
      <c r="AG931" s="2">
        <v>41837.0</v>
      </c>
      <c r="AH931" s="1">
        <v>8600.0</v>
      </c>
      <c r="AI931" s="1" t="s">
        <v>102</v>
      </c>
      <c r="AJ931" s="1">
        <v>1.0</v>
      </c>
      <c r="AK931" s="1" t="s">
        <v>2253</v>
      </c>
      <c r="AL931" s="1">
        <v>8.0</v>
      </c>
      <c r="AM931" s="1">
        <v>2014.0</v>
      </c>
      <c r="AN931" s="1">
        <v>2014.0</v>
      </c>
      <c r="AO931" s="1" t="s">
        <v>326</v>
      </c>
    </row>
    <row r="932">
      <c r="A932" s="5">
        <v>1.0</v>
      </c>
      <c r="B932" s="1">
        <f t="shared" si="1"/>
        <v>932</v>
      </c>
      <c r="C932" s="1" t="s">
        <v>2139</v>
      </c>
      <c r="D932" s="1" t="s">
        <v>2139</v>
      </c>
      <c r="E932" s="1" t="s">
        <v>100</v>
      </c>
      <c r="G932" s="1">
        <v>3.2109172E7</v>
      </c>
      <c r="H932" s="2">
        <v>41837.0</v>
      </c>
      <c r="I932" s="1" t="s">
        <v>297</v>
      </c>
      <c r="K932" s="1" t="s">
        <v>297</v>
      </c>
      <c r="N932" s="1" t="s">
        <v>102</v>
      </c>
      <c r="O932" s="1">
        <v>8600.0</v>
      </c>
      <c r="P932" s="1" t="s">
        <v>102</v>
      </c>
      <c r="Q932" s="1" t="str">
        <f>IF(ISERROR(VLOOKUP(P932,'unique fed agency names'!A:C,3,FALSE)),P932,VLOOKUP(P932,'unique fed agency names'!A:C,3,FALSE))
</f>
        <v>U.S. Department of Housing and Urban Development (HUD)</v>
      </c>
      <c r="R932" s="1">
        <v>8.840899E8</v>
      </c>
      <c r="S932" s="1" t="s">
        <v>2254</v>
      </c>
      <c r="T932" s="1" t="str">
        <f>IF(ISERROR(VLOOKUP(S932,'unique org names'!A:C,3,FALSE)),S932,VLOOKUP(S932,'unique org names'!A:C,3,FALSE))
</f>
        <v>Wellspring</v>
      </c>
      <c r="V932" s="1" t="s">
        <v>2255</v>
      </c>
      <c r="W932" s="1" t="s">
        <v>44</v>
      </c>
      <c r="X932" s="1" t="s">
        <v>45</v>
      </c>
      <c r="Y932" s="1">
        <v>4.82193761E8</v>
      </c>
      <c r="AA932" s="1" t="s">
        <v>46</v>
      </c>
      <c r="AB932" s="1" t="s">
        <v>45</v>
      </c>
      <c r="AC932" s="1">
        <v>4.82193761E8</v>
      </c>
      <c r="AF932" s="1">
        <v>75000.0</v>
      </c>
      <c r="AG932" s="2">
        <v>41837.0</v>
      </c>
      <c r="AH932" s="1">
        <v>8600.0</v>
      </c>
      <c r="AI932" s="1" t="s">
        <v>102</v>
      </c>
      <c r="AJ932" s="1">
        <v>38.0</v>
      </c>
      <c r="AK932" s="1" t="s">
        <v>2256</v>
      </c>
      <c r="AL932" s="1">
        <v>8.0</v>
      </c>
      <c r="AM932" s="1">
        <v>2014.0</v>
      </c>
      <c r="AN932" s="1">
        <v>2014.0</v>
      </c>
      <c r="AO932" s="1" t="s">
        <v>305</v>
      </c>
    </row>
    <row r="933">
      <c r="A933" s="5">
        <v>1.0</v>
      </c>
      <c r="B933" s="1">
        <f t="shared" si="1"/>
        <v>933</v>
      </c>
      <c r="C933" s="1" t="s">
        <v>2139</v>
      </c>
      <c r="D933" s="1" t="s">
        <v>2139</v>
      </c>
      <c r="E933" s="1" t="s">
        <v>100</v>
      </c>
      <c r="G933" s="1">
        <v>3.2109172E7</v>
      </c>
      <c r="H933" s="2">
        <v>41837.0</v>
      </c>
      <c r="I933" s="1" t="s">
        <v>297</v>
      </c>
      <c r="K933" s="1" t="s">
        <v>297</v>
      </c>
      <c r="N933" s="1" t="s">
        <v>102</v>
      </c>
      <c r="O933" s="1">
        <v>8600.0</v>
      </c>
      <c r="P933" s="1" t="s">
        <v>102</v>
      </c>
      <c r="Q933" s="1" t="str">
        <f>IF(ISERROR(VLOOKUP(P933,'unique fed agency names'!A:C,3,FALSE)),P933,VLOOKUP(P933,'unique fed agency names'!A:C,3,FALSE))
</f>
        <v>U.S. Department of Housing and Urban Development (HUD)</v>
      </c>
      <c r="R933" s="1">
        <v>2.1100599E7</v>
      </c>
      <c r="S933" s="1" t="s">
        <v>2257</v>
      </c>
      <c r="T933" s="1" t="str">
        <f>IF(ISERROR(VLOOKUP(S933,'unique org names'!A:C,3,FALSE)),S933,VLOOKUP(S933,'unique org names'!A:C,3,FALSE))
</f>
        <v>Franklin-Wright Settlements, Inc</v>
      </c>
      <c r="V933" s="1" t="s">
        <v>2258</v>
      </c>
      <c r="W933" s="1" t="s">
        <v>44</v>
      </c>
      <c r="X933" s="1" t="s">
        <v>45</v>
      </c>
      <c r="Y933" s="1">
        <v>4.8207322E8</v>
      </c>
      <c r="AA933" s="1" t="s">
        <v>46</v>
      </c>
      <c r="AB933" s="1" t="s">
        <v>45</v>
      </c>
      <c r="AC933" s="1">
        <v>4.8207322E8</v>
      </c>
      <c r="AD933" s="1">
        <v>2.1100599E7</v>
      </c>
      <c r="AE933" s="1" t="s">
        <v>2257</v>
      </c>
      <c r="AF933" s="1">
        <v>120000.0</v>
      </c>
      <c r="AG933" s="2">
        <v>41837.0</v>
      </c>
      <c r="AH933" s="1">
        <v>8600.0</v>
      </c>
      <c r="AI933" s="1" t="s">
        <v>102</v>
      </c>
      <c r="AJ933" s="1">
        <v>4.0</v>
      </c>
      <c r="AK933" s="1" t="s">
        <v>2259</v>
      </c>
      <c r="AL933" s="1">
        <v>8.0</v>
      </c>
      <c r="AM933" s="1">
        <v>2014.0</v>
      </c>
      <c r="AN933" s="1">
        <v>2014.0</v>
      </c>
      <c r="AO933" s="1" t="s">
        <v>305</v>
      </c>
    </row>
    <row r="934">
      <c r="A934" s="5">
        <v>1.0</v>
      </c>
      <c r="B934" s="1">
        <f t="shared" si="1"/>
        <v>934</v>
      </c>
      <c r="C934" s="1" t="s">
        <v>2139</v>
      </c>
      <c r="D934" s="1" t="s">
        <v>2139</v>
      </c>
      <c r="E934" s="1" t="s">
        <v>100</v>
      </c>
      <c r="G934" s="1">
        <v>3.2109172E7</v>
      </c>
      <c r="H934" s="2">
        <v>41837.0</v>
      </c>
      <c r="I934" s="1" t="s">
        <v>297</v>
      </c>
      <c r="K934" s="1" t="s">
        <v>297</v>
      </c>
      <c r="N934" s="1" t="s">
        <v>102</v>
      </c>
      <c r="O934" s="1">
        <v>8600.0</v>
      </c>
      <c r="P934" s="1" t="s">
        <v>102</v>
      </c>
      <c r="Q934" s="1" t="str">
        <f>IF(ISERROR(VLOOKUP(P934,'unique fed agency names'!A:C,3,FALSE)),P934,VLOOKUP(P934,'unique fed agency names'!A:C,3,FALSE))
</f>
        <v>U.S. Department of Housing and Urban Development (HUD)</v>
      </c>
      <c r="R934" s="1">
        <v>3.3965752E7</v>
      </c>
      <c r="S934" s="1" t="s">
        <v>2260</v>
      </c>
      <c r="T934" s="1" t="str">
        <f>IF(ISERROR(VLOOKUP(S934,'unique org names'!A:C,3,FALSE)),S934,VLOOKUP(S934,'unique org names'!A:C,3,FALSE))
</f>
        <v>Emmanuel House</v>
      </c>
      <c r="U934" s="1" t="s">
        <v>2261</v>
      </c>
      <c r="V934" s="1" t="s">
        <v>2262</v>
      </c>
      <c r="W934" s="1" t="s">
        <v>44</v>
      </c>
      <c r="X934" s="1" t="s">
        <v>45</v>
      </c>
      <c r="Y934" s="1">
        <v>4.82281411E8</v>
      </c>
      <c r="AA934" s="1">
        <v>100000.0</v>
      </c>
      <c r="AB934" s="1" t="s">
        <v>45</v>
      </c>
      <c r="AC934" s="1">
        <v>4.82281411E8</v>
      </c>
      <c r="AD934" s="1">
        <v>3.3965752E7</v>
      </c>
      <c r="AE934" s="1" t="s">
        <v>2260</v>
      </c>
      <c r="AF934" s="1">
        <v>100000.0</v>
      </c>
      <c r="AG934" s="2">
        <v>41837.0</v>
      </c>
      <c r="AH934" s="1">
        <v>8600.0</v>
      </c>
      <c r="AI934" s="1" t="s">
        <v>102</v>
      </c>
      <c r="AJ934" s="1">
        <v>46.0</v>
      </c>
      <c r="AK934" s="1" t="s">
        <v>2263</v>
      </c>
      <c r="AL934" s="1">
        <v>8.0</v>
      </c>
      <c r="AM934" s="1">
        <v>2014.0</v>
      </c>
      <c r="AN934" s="1">
        <v>2014.0</v>
      </c>
      <c r="AO934" s="1" t="s">
        <v>305</v>
      </c>
    </row>
    <row r="935">
      <c r="A935" s="5">
        <v>1.0</v>
      </c>
      <c r="B935" s="1">
        <f t="shared" si="1"/>
        <v>935</v>
      </c>
      <c r="C935" s="1" t="s">
        <v>2139</v>
      </c>
      <c r="D935" s="1" t="s">
        <v>2139</v>
      </c>
      <c r="E935" s="1" t="s">
        <v>100</v>
      </c>
      <c r="G935" s="1">
        <v>3.2109172E7</v>
      </c>
      <c r="H935" s="2">
        <v>41837.0</v>
      </c>
      <c r="I935" s="1" t="s">
        <v>297</v>
      </c>
      <c r="K935" s="1" t="s">
        <v>297</v>
      </c>
      <c r="N935" s="1" t="s">
        <v>102</v>
      </c>
      <c r="O935" s="1">
        <v>8600.0</v>
      </c>
      <c r="P935" s="1" t="s">
        <v>102</v>
      </c>
      <c r="Q935" s="1" t="str">
        <f>IF(ISERROR(VLOOKUP(P935,'unique fed agency names'!A:C,3,FALSE)),P935,VLOOKUP(P935,'unique fed agency names'!A:C,3,FALSE))
</f>
        <v>U.S. Department of Housing and Urban Development (HUD)</v>
      </c>
      <c r="R935" s="1">
        <v>2.183979E7</v>
      </c>
      <c r="S935" s="1" t="s">
        <v>2220</v>
      </c>
      <c r="T935" s="1" t="str">
        <f>IF(ISERROR(VLOOKUP(S935,'unique org names'!A:C,3,FALSE)),S935,VLOOKUP(S935,'unique org names'!A:C,3,FALSE))
</f>
        <v>Society of St Vincent de Paul (SVDP) - Detroit</v>
      </c>
      <c r="V935" s="1" t="s">
        <v>2221</v>
      </c>
      <c r="W935" s="1" t="s">
        <v>44</v>
      </c>
      <c r="X935" s="1" t="s">
        <v>45</v>
      </c>
      <c r="Y935" s="1">
        <v>4.82072372E8</v>
      </c>
      <c r="AA935" s="1" t="s">
        <v>46</v>
      </c>
      <c r="AB935" s="1" t="s">
        <v>45</v>
      </c>
      <c r="AC935" s="1">
        <v>4.82072372E8</v>
      </c>
      <c r="AD935" s="1">
        <v>2.183979E7</v>
      </c>
      <c r="AE935" s="1" t="s">
        <v>2220</v>
      </c>
      <c r="AF935" s="1">
        <v>100000.0</v>
      </c>
      <c r="AG935" s="2">
        <v>41837.0</v>
      </c>
      <c r="AH935" s="1">
        <v>8600.0</v>
      </c>
      <c r="AI935" s="1" t="s">
        <v>102</v>
      </c>
      <c r="AJ935" s="1">
        <v>33.0</v>
      </c>
      <c r="AK935" s="1" t="s">
        <v>2264</v>
      </c>
      <c r="AL935" s="1">
        <v>8.0</v>
      </c>
      <c r="AM935" s="1">
        <v>2014.0</v>
      </c>
      <c r="AN935" s="1">
        <v>2014.0</v>
      </c>
      <c r="AO935" s="1" t="s">
        <v>305</v>
      </c>
    </row>
    <row r="936">
      <c r="A936" s="5">
        <v>1.0</v>
      </c>
      <c r="B936" s="1">
        <f t="shared" si="1"/>
        <v>936</v>
      </c>
      <c r="C936" s="1" t="s">
        <v>2139</v>
      </c>
      <c r="D936" s="1" t="s">
        <v>2139</v>
      </c>
      <c r="E936" s="1" t="s">
        <v>100</v>
      </c>
      <c r="G936" s="1">
        <v>3.2109172E7</v>
      </c>
      <c r="H936" s="2">
        <v>41837.0</v>
      </c>
      <c r="I936" s="1" t="s">
        <v>297</v>
      </c>
      <c r="K936" s="1" t="s">
        <v>297</v>
      </c>
      <c r="N936" s="1" t="s">
        <v>102</v>
      </c>
      <c r="O936" s="1">
        <v>8600.0</v>
      </c>
      <c r="P936" s="1" t="s">
        <v>102</v>
      </c>
      <c r="Q936" s="1" t="str">
        <f>IF(ISERROR(VLOOKUP(P936,'unique fed agency names'!A:C,3,FALSE)),P936,VLOOKUP(P936,'unique fed agency names'!A:C,3,FALSE))
</f>
        <v>U.S. Department of Housing and Urban Development (HUD)</v>
      </c>
      <c r="R936" s="1">
        <v>9.4544095E7</v>
      </c>
      <c r="S936" s="1" t="s">
        <v>2265</v>
      </c>
      <c r="T936" s="1" t="str">
        <f>IF(ISERROR(VLOOKUP(S936,'unique org names'!A:C,3,FALSE)),S936,VLOOKUP(S936,'unique org names'!A:C,3,FALSE))
</f>
        <v>Adult Well Being Services</v>
      </c>
      <c r="V936" s="1" t="s">
        <v>2266</v>
      </c>
      <c r="W936" s="1" t="s">
        <v>44</v>
      </c>
      <c r="X936" s="1" t="s">
        <v>45</v>
      </c>
      <c r="Y936" s="1">
        <v>4.82142321E8</v>
      </c>
      <c r="AA936" s="1" t="s">
        <v>46</v>
      </c>
      <c r="AB936" s="1" t="s">
        <v>45</v>
      </c>
      <c r="AC936" s="1">
        <v>4.82142321E8</v>
      </c>
      <c r="AD936" s="1">
        <v>9.4544095E7</v>
      </c>
      <c r="AE936" s="1" t="s">
        <v>2265</v>
      </c>
      <c r="AF936" s="1">
        <v>134690.0</v>
      </c>
      <c r="AG936" s="2">
        <v>41837.0</v>
      </c>
      <c r="AH936" s="1">
        <v>8600.0</v>
      </c>
      <c r="AI936" s="1" t="s">
        <v>102</v>
      </c>
      <c r="AJ936" s="1">
        <v>1.0</v>
      </c>
      <c r="AK936" s="1" t="s">
        <v>2267</v>
      </c>
      <c r="AL936" s="1">
        <v>8.0</v>
      </c>
      <c r="AM936" s="1">
        <v>2014.0</v>
      </c>
      <c r="AN936" s="1">
        <v>2014.0</v>
      </c>
      <c r="AO936" s="1" t="s">
        <v>305</v>
      </c>
    </row>
    <row r="937">
      <c r="A937" s="5">
        <v>1.0</v>
      </c>
      <c r="B937" s="1">
        <f t="shared" si="1"/>
        <v>937</v>
      </c>
      <c r="C937" s="1" t="s">
        <v>2139</v>
      </c>
      <c r="D937" s="1" t="s">
        <v>2139</v>
      </c>
      <c r="E937" s="1" t="s">
        <v>100</v>
      </c>
      <c r="G937" s="1">
        <v>3.2109172E7</v>
      </c>
      <c r="H937" s="2">
        <v>41837.0</v>
      </c>
      <c r="I937" s="1" t="s">
        <v>297</v>
      </c>
      <c r="K937" s="1" t="s">
        <v>297</v>
      </c>
      <c r="N937" s="1" t="s">
        <v>102</v>
      </c>
      <c r="O937" s="1">
        <v>8600.0</v>
      </c>
      <c r="P937" s="1" t="s">
        <v>102</v>
      </c>
      <c r="Q937" s="1" t="str">
        <f>IF(ISERROR(VLOOKUP(P937,'unique fed agency names'!A:C,3,FALSE)),P937,VLOOKUP(P937,'unique fed agency names'!A:C,3,FALSE))
</f>
        <v>U.S. Department of Housing and Urban Development (HUD)</v>
      </c>
      <c r="R937" s="1">
        <v>1.97862014E8</v>
      </c>
      <c r="S937" s="1" t="s">
        <v>1056</v>
      </c>
      <c r="T937" s="1" t="str">
        <f>IF(ISERROR(VLOOKUP(S937,'unique org names'!A:C,3,FALSE)),S937,VLOOKUP(S937,'unique org names'!A:C,3,FALSE))
</f>
        <v>WAYNE COUNTY NEIGHBORHOOD LEGAL SERVICES</v>
      </c>
      <c r="U937" s="1" t="s">
        <v>1057</v>
      </c>
      <c r="V937" s="1" t="s">
        <v>1058</v>
      </c>
      <c r="W937" s="1" t="s">
        <v>44</v>
      </c>
      <c r="X937" s="1" t="s">
        <v>45</v>
      </c>
      <c r="Y937" s="1">
        <v>4.82023165E8</v>
      </c>
      <c r="AA937" s="1" t="s">
        <v>46</v>
      </c>
      <c r="AB937" s="1" t="s">
        <v>45</v>
      </c>
      <c r="AC937" s="1">
        <v>4.82023165E8</v>
      </c>
      <c r="AD937" s="1">
        <v>1.97862014E8</v>
      </c>
      <c r="AE937" s="1" t="s">
        <v>1056</v>
      </c>
      <c r="AF937" s="1">
        <v>100000.0</v>
      </c>
      <c r="AG937" s="2">
        <v>41837.0</v>
      </c>
      <c r="AH937" s="1">
        <v>8600.0</v>
      </c>
      <c r="AI937" s="1" t="s">
        <v>102</v>
      </c>
      <c r="AJ937" s="1">
        <v>53.0</v>
      </c>
      <c r="AK937" s="1" t="s">
        <v>2268</v>
      </c>
      <c r="AL937" s="1">
        <v>8.0</v>
      </c>
      <c r="AM937" s="1">
        <v>2014.0</v>
      </c>
      <c r="AN937" s="1">
        <v>2014.0</v>
      </c>
      <c r="AO937" s="1" t="s">
        <v>305</v>
      </c>
    </row>
    <row r="938">
      <c r="A938" s="5">
        <v>1.0</v>
      </c>
      <c r="B938" s="1">
        <f t="shared" si="1"/>
        <v>938</v>
      </c>
      <c r="C938" s="1" t="s">
        <v>2139</v>
      </c>
      <c r="D938" s="1" t="s">
        <v>2139</v>
      </c>
      <c r="E938" s="1" t="s">
        <v>100</v>
      </c>
      <c r="G938" s="1">
        <v>3.2109172E7</v>
      </c>
      <c r="H938" s="2">
        <v>41837.0</v>
      </c>
      <c r="I938" s="1" t="s">
        <v>297</v>
      </c>
      <c r="K938" s="1" t="s">
        <v>297</v>
      </c>
      <c r="N938" s="1" t="s">
        <v>102</v>
      </c>
      <c r="O938" s="1">
        <v>8600.0</v>
      </c>
      <c r="P938" s="1" t="s">
        <v>102</v>
      </c>
      <c r="Q938" s="1" t="str">
        <f>IF(ISERROR(VLOOKUP(P938,'unique fed agency names'!A:C,3,FALSE)),P938,VLOOKUP(P938,'unique fed agency names'!A:C,3,FALSE))
</f>
        <v>U.S. Department of Housing and Urban Development (HUD)</v>
      </c>
      <c r="R938" s="1">
        <v>1.37445396E8</v>
      </c>
      <c r="S938" s="1" t="s">
        <v>2269</v>
      </c>
      <c r="T938" s="1" t="str">
        <f>IF(ISERROR(VLOOKUP(S938,'unique org names'!A:C,3,FALSE)),S938,VLOOKUP(S938,'unique org names'!A:C,3,FALSE))
</f>
        <v>Clark Park Coalition</v>
      </c>
      <c r="V938" s="1" t="s">
        <v>2270</v>
      </c>
      <c r="W938" s="1" t="s">
        <v>44</v>
      </c>
      <c r="X938" s="1" t="s">
        <v>45</v>
      </c>
      <c r="Y938" s="1">
        <v>4.820942E8</v>
      </c>
      <c r="AA938" s="1" t="s">
        <v>46</v>
      </c>
      <c r="AB938" s="1" t="s">
        <v>45</v>
      </c>
      <c r="AC938" s="1">
        <v>4.820942E8</v>
      </c>
      <c r="AF938" s="1">
        <v>75000.0</v>
      </c>
      <c r="AG938" s="2">
        <v>41837.0</v>
      </c>
      <c r="AH938" s="1">
        <v>8600.0</v>
      </c>
      <c r="AI938" s="1" t="s">
        <v>102</v>
      </c>
      <c r="AJ938" s="1">
        <v>15.0</v>
      </c>
      <c r="AK938" s="1" t="s">
        <v>2271</v>
      </c>
      <c r="AL938" s="1">
        <v>8.0</v>
      </c>
      <c r="AM938" s="1">
        <v>2014.0</v>
      </c>
      <c r="AN938" s="1">
        <v>2014.0</v>
      </c>
      <c r="AO938" s="1" t="s">
        <v>305</v>
      </c>
    </row>
    <row r="939">
      <c r="A939" s="5">
        <v>1.0</v>
      </c>
      <c r="B939" s="1">
        <f t="shared" si="1"/>
        <v>939</v>
      </c>
      <c r="C939" s="1" t="s">
        <v>2139</v>
      </c>
      <c r="D939" s="1" t="s">
        <v>2139</v>
      </c>
      <c r="E939" s="1" t="s">
        <v>100</v>
      </c>
      <c r="G939" s="1">
        <v>3.2109172E7</v>
      </c>
      <c r="H939" s="2">
        <v>41837.0</v>
      </c>
      <c r="I939" s="1" t="s">
        <v>297</v>
      </c>
      <c r="K939" s="1" t="s">
        <v>297</v>
      </c>
      <c r="N939" s="1" t="s">
        <v>102</v>
      </c>
      <c r="O939" s="1">
        <v>8600.0</v>
      </c>
      <c r="P939" s="1" t="s">
        <v>102</v>
      </c>
      <c r="Q939" s="1" t="str">
        <f>IF(ISERROR(VLOOKUP(P939,'unique fed agency names'!A:C,3,FALSE)),P939,VLOOKUP(P939,'unique fed agency names'!A:C,3,FALSE))
</f>
        <v>U.S. Department of Housing and Urban Development (HUD)</v>
      </c>
      <c r="R939" s="1">
        <v>6.9835866E7</v>
      </c>
      <c r="S939" s="1" t="s">
        <v>2272</v>
      </c>
      <c r="T939" s="1" t="str">
        <f>IF(ISERROR(VLOOKUP(S939,'unique org names'!A:C,3,FALSE)),S939,VLOOKUP(S939,'unique org names'!A:C,3,FALSE))
</f>
        <v>World Medical Relief, Inc.</v>
      </c>
      <c r="V939" s="1" t="s">
        <v>2273</v>
      </c>
      <c r="W939" s="1" t="s">
        <v>44</v>
      </c>
      <c r="X939" s="1" t="s">
        <v>45</v>
      </c>
      <c r="Y939" s="1">
        <v>4.82061269E8</v>
      </c>
      <c r="AA939" s="1" t="s">
        <v>46</v>
      </c>
      <c r="AB939" s="1" t="s">
        <v>45</v>
      </c>
      <c r="AC939" s="1">
        <v>4.82061269E8</v>
      </c>
      <c r="AF939" s="1">
        <v>75000.0</v>
      </c>
      <c r="AG939" s="2">
        <v>41837.0</v>
      </c>
      <c r="AH939" s="1">
        <v>8600.0</v>
      </c>
      <c r="AI939" s="1" t="s">
        <v>102</v>
      </c>
      <c r="AJ939" s="1">
        <v>39.0</v>
      </c>
      <c r="AK939" s="1" t="s">
        <v>2274</v>
      </c>
      <c r="AL939" s="1">
        <v>8.0</v>
      </c>
      <c r="AM939" s="1">
        <v>2014.0</v>
      </c>
      <c r="AN939" s="1">
        <v>2014.0</v>
      </c>
      <c r="AO939" s="1" t="s">
        <v>305</v>
      </c>
    </row>
    <row r="940">
      <c r="A940" s="5">
        <v>1.0</v>
      </c>
      <c r="B940" s="1">
        <f t="shared" si="1"/>
        <v>940</v>
      </c>
      <c r="C940" s="1" t="s">
        <v>2139</v>
      </c>
      <c r="D940" s="1" t="s">
        <v>2139</v>
      </c>
      <c r="E940" s="1" t="s">
        <v>100</v>
      </c>
      <c r="G940" s="1">
        <v>3.2109172E7</v>
      </c>
      <c r="H940" s="2">
        <v>41837.0</v>
      </c>
      <c r="I940" s="1" t="s">
        <v>297</v>
      </c>
      <c r="K940" s="1" t="s">
        <v>297</v>
      </c>
      <c r="N940" s="1" t="s">
        <v>102</v>
      </c>
      <c r="O940" s="1">
        <v>8600.0</v>
      </c>
      <c r="P940" s="1" t="s">
        <v>102</v>
      </c>
      <c r="Q940" s="1" t="str">
        <f>IF(ISERROR(VLOOKUP(P940,'unique fed agency names'!A:C,3,FALSE)),P940,VLOOKUP(P940,'unique fed agency names'!A:C,3,FALSE))
</f>
        <v>U.S. Department of Housing and Urban Development (HUD)</v>
      </c>
      <c r="R940" s="1">
        <v>8.44806708E8</v>
      </c>
      <c r="S940" s="1" t="s">
        <v>103</v>
      </c>
      <c r="T940" s="1" t="str">
        <f>IF(ISERROR(VLOOKUP(S940,'unique org names'!A:C,3,FALSE)),S940,VLOOKUP(S940,'unique org names'!A:C,3,FALSE))
</f>
        <v>SOUTHWEST HOUSING SOLUTIONS CORPORATION</v>
      </c>
      <c r="U940" s="1" t="s">
        <v>1507</v>
      </c>
      <c r="V940" s="1" t="s">
        <v>1006</v>
      </c>
      <c r="W940" s="1" t="s">
        <v>44</v>
      </c>
      <c r="X940" s="1" t="s">
        <v>45</v>
      </c>
      <c r="Y940" s="1">
        <v>4.82092022E8</v>
      </c>
      <c r="AA940" s="1" t="s">
        <v>46</v>
      </c>
      <c r="AB940" s="1" t="s">
        <v>45</v>
      </c>
      <c r="AC940" s="1">
        <v>4.82092022E8</v>
      </c>
      <c r="AD940" s="1">
        <v>7.6385699E7</v>
      </c>
      <c r="AE940" s="1" t="s">
        <v>106</v>
      </c>
      <c r="AF940" s="1">
        <v>125000.0</v>
      </c>
      <c r="AG940" s="2">
        <v>41837.0</v>
      </c>
      <c r="AH940" s="1">
        <v>8600.0</v>
      </c>
      <c r="AI940" s="1" t="s">
        <v>102</v>
      </c>
      <c r="AJ940" s="1">
        <v>9.0</v>
      </c>
      <c r="AK940" s="1" t="s">
        <v>2275</v>
      </c>
      <c r="AL940" s="1">
        <v>8.0</v>
      </c>
      <c r="AM940" s="1">
        <v>2014.0</v>
      </c>
      <c r="AN940" s="1">
        <v>2014.0</v>
      </c>
      <c r="AO940" s="1" t="s">
        <v>305</v>
      </c>
    </row>
    <row r="941">
      <c r="A941" s="5">
        <v>1.0</v>
      </c>
      <c r="B941" s="1">
        <f t="shared" si="1"/>
        <v>941</v>
      </c>
      <c r="C941" s="1" t="s">
        <v>2139</v>
      </c>
      <c r="D941" s="1" t="s">
        <v>2139</v>
      </c>
      <c r="E941" s="1" t="s">
        <v>100</v>
      </c>
      <c r="G941" s="1">
        <v>3.2109172E7</v>
      </c>
      <c r="H941" s="2">
        <v>41837.0</v>
      </c>
      <c r="I941" s="1" t="s">
        <v>297</v>
      </c>
      <c r="K941" s="1" t="s">
        <v>297</v>
      </c>
      <c r="N941" s="1" t="s">
        <v>102</v>
      </c>
      <c r="O941" s="1">
        <v>8600.0</v>
      </c>
      <c r="P941" s="1" t="s">
        <v>102</v>
      </c>
      <c r="Q941" s="1" t="str">
        <f>IF(ISERROR(VLOOKUP(P941,'unique fed agency names'!A:C,3,FALSE)),P941,VLOOKUP(P941,'unique fed agency names'!A:C,3,FALSE))
</f>
        <v>U.S. Department of Housing and Urban Development (HUD)</v>
      </c>
      <c r="R941" s="1">
        <v>8.76583006E8</v>
      </c>
      <c r="S941" s="1" t="s">
        <v>2276</v>
      </c>
      <c r="T941" s="1" t="str">
        <f>IF(ISERROR(VLOOKUP(S941,'unique org names'!A:C,3,FALSE)),S941,VLOOKUP(S941,'unique org names'!A:C,3,FALSE))
</f>
        <v>Mosaic Youth Theatre of Detroit</v>
      </c>
      <c r="V941" s="1" t="s">
        <v>2277</v>
      </c>
      <c r="W941" s="1" t="s">
        <v>44</v>
      </c>
      <c r="X941" s="1" t="s">
        <v>45</v>
      </c>
      <c r="Y941" s="1">
        <v>4.82073879E8</v>
      </c>
      <c r="AA941" s="1" t="s">
        <v>46</v>
      </c>
      <c r="AB941" s="1" t="s">
        <v>45</v>
      </c>
      <c r="AC941" s="1">
        <v>4.82073839E8</v>
      </c>
      <c r="AF941" s="1">
        <v>75000.0</v>
      </c>
      <c r="AG941" s="2">
        <v>41837.0</v>
      </c>
      <c r="AH941" s="1">
        <v>8600.0</v>
      </c>
      <c r="AI941" s="1" t="s">
        <v>102</v>
      </c>
      <c r="AJ941" s="1">
        <v>31.0</v>
      </c>
      <c r="AK941" s="1" t="s">
        <v>2278</v>
      </c>
      <c r="AL941" s="1">
        <v>8.0</v>
      </c>
      <c r="AM941" s="1">
        <v>2014.0</v>
      </c>
      <c r="AN941" s="1">
        <v>2014.0</v>
      </c>
      <c r="AO941" s="1" t="s">
        <v>305</v>
      </c>
    </row>
    <row r="942">
      <c r="A942" s="5">
        <v>1.0</v>
      </c>
      <c r="B942" s="1">
        <f t="shared" si="1"/>
        <v>942</v>
      </c>
      <c r="C942" s="1" t="s">
        <v>2279</v>
      </c>
      <c r="D942" s="1" t="s">
        <v>2279</v>
      </c>
      <c r="E942" s="1" t="s">
        <v>63</v>
      </c>
      <c r="G942" s="1">
        <v>292500.0</v>
      </c>
      <c r="H942" s="2">
        <v>41183.0</v>
      </c>
      <c r="I942" s="1" t="s">
        <v>2280</v>
      </c>
      <c r="K942" s="1" t="s">
        <v>2280</v>
      </c>
      <c r="N942" s="1" t="s">
        <v>40</v>
      </c>
      <c r="O942" s="1">
        <v>7500.0</v>
      </c>
      <c r="P942" s="1" t="s">
        <v>40</v>
      </c>
      <c r="Q942" s="1" t="str">
        <f>IF(ISERROR(VLOOKUP(P942,'unique fed agency names'!A:C,3,FALSE)),P942,VLOOKUP(P942,'unique fed agency names'!A:C,3,FALSE))
</f>
        <v>U.S. Department of Health and Human Services (DHHS)</v>
      </c>
      <c r="R942" s="1">
        <v>1962224.0</v>
      </c>
      <c r="S942" s="1" t="s">
        <v>52</v>
      </c>
      <c r="T942" s="1" t="str">
        <f>IF(ISERROR(VLOOKUP(S942,'unique org names'!A:C,3,FALSE)),S942,VLOOKUP(S942,'unique org names'!A:C,3,FALSE))
</f>
        <v>WAYNE STATE UNIVERSITY</v>
      </c>
      <c r="U942" s="1" t="s">
        <v>1566</v>
      </c>
      <c r="V942" s="1" t="s">
        <v>53</v>
      </c>
      <c r="W942" s="1" t="s">
        <v>44</v>
      </c>
      <c r="X942" s="1" t="s">
        <v>45</v>
      </c>
      <c r="Y942" s="1">
        <v>4.82023692E8</v>
      </c>
      <c r="AA942" s="1" t="s">
        <v>46</v>
      </c>
      <c r="AB942" s="1" t="s">
        <v>45</v>
      </c>
      <c r="AC942" s="1">
        <v>4.82023692E8</v>
      </c>
      <c r="AD942" s="1">
        <v>1962224.0</v>
      </c>
      <c r="AE942" s="1" t="s">
        <v>52</v>
      </c>
      <c r="AF942" s="1">
        <v>2952.47</v>
      </c>
      <c r="AG942" s="2">
        <v>41183.0</v>
      </c>
      <c r="AH942" s="1">
        <v>7500.0</v>
      </c>
      <c r="AI942" s="1" t="s">
        <v>40</v>
      </c>
      <c r="AJ942" s="1">
        <v>2.0131983E7</v>
      </c>
      <c r="AK942" s="1" t="s">
        <v>2281</v>
      </c>
      <c r="AL942" s="1">
        <v>10.0</v>
      </c>
      <c r="AM942" s="1">
        <v>2011.0</v>
      </c>
      <c r="AN942" s="1">
        <v>2013.0</v>
      </c>
      <c r="AO942" s="1" t="s">
        <v>342</v>
      </c>
    </row>
    <row r="943">
      <c r="A943" s="5">
        <v>1.0</v>
      </c>
      <c r="B943" s="1">
        <f t="shared" si="1"/>
        <v>943</v>
      </c>
      <c r="C943" s="1" t="s">
        <v>2139</v>
      </c>
      <c r="D943" s="1" t="s">
        <v>2139</v>
      </c>
      <c r="E943" s="1" t="s">
        <v>100</v>
      </c>
      <c r="G943" s="1">
        <v>3.2109172E7</v>
      </c>
      <c r="H943" s="2">
        <v>41837.0</v>
      </c>
      <c r="I943" s="1" t="s">
        <v>297</v>
      </c>
      <c r="K943" s="1" t="s">
        <v>297</v>
      </c>
      <c r="N943" s="1" t="s">
        <v>102</v>
      </c>
      <c r="O943" s="1">
        <v>8600.0</v>
      </c>
      <c r="P943" s="1" t="s">
        <v>102</v>
      </c>
      <c r="Q943" s="1" t="str">
        <f>IF(ISERROR(VLOOKUP(P943,'unique fed agency names'!A:C,3,FALSE)),P943,VLOOKUP(P943,'unique fed agency names'!A:C,3,FALSE))
</f>
        <v>U.S. Department of Housing and Urban Development (HUD)</v>
      </c>
      <c r="R943" s="1">
        <v>6.07532215E8</v>
      </c>
      <c r="S943" s="1" t="s">
        <v>2282</v>
      </c>
      <c r="T943" s="1" t="str">
        <f>IF(ISERROR(VLOOKUP(S943,'unique org names'!A:C,3,FALSE)),S943,VLOOKUP(S943,'unique org names'!A:C,3,FALSE))
</f>
        <v>Freedom House Detroit</v>
      </c>
      <c r="V943" s="1" t="s">
        <v>2283</v>
      </c>
      <c r="W943" s="1" t="s">
        <v>44</v>
      </c>
      <c r="X943" s="1" t="s">
        <v>45</v>
      </c>
      <c r="Y943" s="1">
        <v>4.82162019E8</v>
      </c>
      <c r="AA943" s="1" t="s">
        <v>46</v>
      </c>
      <c r="AB943" s="1" t="s">
        <v>45</v>
      </c>
      <c r="AC943" s="1">
        <v>4.82162019E8</v>
      </c>
      <c r="AF943" s="1">
        <v>100000.0</v>
      </c>
      <c r="AG943" s="2">
        <v>41837.0</v>
      </c>
      <c r="AH943" s="1">
        <v>8600.0</v>
      </c>
      <c r="AI943" s="1" t="s">
        <v>102</v>
      </c>
      <c r="AJ943" s="1">
        <v>48.0</v>
      </c>
      <c r="AK943" s="1" t="s">
        <v>2284</v>
      </c>
      <c r="AL943" s="1">
        <v>8.0</v>
      </c>
      <c r="AM943" s="1">
        <v>2014.0</v>
      </c>
      <c r="AN943" s="1">
        <v>2014.0</v>
      </c>
      <c r="AO943" s="1" t="s">
        <v>305</v>
      </c>
    </row>
    <row r="944">
      <c r="A944" s="5">
        <v>1.0</v>
      </c>
      <c r="B944" s="1">
        <f t="shared" si="1"/>
        <v>944</v>
      </c>
      <c r="C944" s="1" t="s">
        <v>2139</v>
      </c>
      <c r="D944" s="1" t="s">
        <v>2139</v>
      </c>
      <c r="E944" s="1" t="s">
        <v>100</v>
      </c>
      <c r="G944" s="1">
        <v>3.2109172E7</v>
      </c>
      <c r="H944" s="2">
        <v>41837.0</v>
      </c>
      <c r="I944" s="1" t="s">
        <v>297</v>
      </c>
      <c r="K944" s="1" t="s">
        <v>297</v>
      </c>
      <c r="N944" s="1" t="s">
        <v>102</v>
      </c>
      <c r="O944" s="1">
        <v>8600.0</v>
      </c>
      <c r="P944" s="1" t="s">
        <v>102</v>
      </c>
      <c r="Q944" s="1" t="str">
        <f>IF(ISERROR(VLOOKUP(P944,'unique fed agency names'!A:C,3,FALSE)),P944,VLOOKUP(P944,'unique fed agency names'!A:C,3,FALSE))
</f>
        <v>U.S. Department of Housing and Urban Development (HUD)</v>
      </c>
      <c r="R944" s="1">
        <v>6.07770427E8</v>
      </c>
      <c r="S944" s="1" t="s">
        <v>1249</v>
      </c>
      <c r="T944" s="1" t="str">
        <f>IF(ISERROR(VLOOKUP(S944,'unique org names'!A:C,3,FALSE)),S944,VLOOKUP(S944,'unique org names'!A:C,3,FALSE))
</f>
        <v>Dominican Literacy Center</v>
      </c>
      <c r="V944" s="1" t="s">
        <v>1250</v>
      </c>
      <c r="W944" s="1" t="s">
        <v>44</v>
      </c>
      <c r="X944" s="1" t="s">
        <v>45</v>
      </c>
      <c r="Y944" s="1">
        <v>4.82133364E8</v>
      </c>
      <c r="AA944" s="1" t="s">
        <v>46</v>
      </c>
      <c r="AB944" s="1" t="s">
        <v>45</v>
      </c>
      <c r="AC944" s="1">
        <v>4.82133364E8</v>
      </c>
      <c r="AF944" s="1">
        <v>100000.0</v>
      </c>
      <c r="AG944" s="2">
        <v>41837.0</v>
      </c>
      <c r="AH944" s="1">
        <v>8600.0</v>
      </c>
      <c r="AI944" s="1" t="s">
        <v>102</v>
      </c>
      <c r="AJ944" s="1">
        <v>20.0</v>
      </c>
      <c r="AK944" s="1" t="s">
        <v>2285</v>
      </c>
      <c r="AL944" s="1">
        <v>8.0</v>
      </c>
      <c r="AM944" s="1">
        <v>2014.0</v>
      </c>
      <c r="AN944" s="1">
        <v>2014.0</v>
      </c>
      <c r="AO944" s="1" t="s">
        <v>305</v>
      </c>
    </row>
    <row r="945">
      <c r="A945" s="5">
        <v>1.0</v>
      </c>
      <c r="B945" s="1">
        <f t="shared" si="1"/>
        <v>945</v>
      </c>
      <c r="C945" s="1" t="s">
        <v>2139</v>
      </c>
      <c r="D945" s="1" t="s">
        <v>2139</v>
      </c>
      <c r="E945" s="1" t="s">
        <v>100</v>
      </c>
      <c r="G945" s="1">
        <v>3.2109172E7</v>
      </c>
      <c r="H945" s="2">
        <v>41837.0</v>
      </c>
      <c r="I945" s="1" t="s">
        <v>297</v>
      </c>
      <c r="K945" s="1" t="s">
        <v>297</v>
      </c>
      <c r="N945" s="1" t="s">
        <v>102</v>
      </c>
      <c r="O945" s="1">
        <v>8600.0</v>
      </c>
      <c r="P945" s="1" t="s">
        <v>102</v>
      </c>
      <c r="Q945" s="1" t="str">
        <f>IF(ISERROR(VLOOKUP(P945,'unique fed agency names'!A:C,3,FALSE)),P945,VLOOKUP(P945,'unique fed agency names'!A:C,3,FALSE))
</f>
        <v>U.S. Department of Housing and Urban Development (HUD)</v>
      </c>
      <c r="R945" s="1">
        <v>8.7741088E7</v>
      </c>
      <c r="S945" s="1" t="s">
        <v>2286</v>
      </c>
      <c r="T945" s="1" t="str">
        <f>IF(ISERROR(VLOOKUP(S945,'unique org names'!A:C,3,FALSE)),S945,VLOOKUP(S945,'unique org names'!A:C,3,FALSE))
</f>
        <v>Charles H. Wright Museum of African American History</v>
      </c>
      <c r="U945" s="1" t="s">
        <v>2287</v>
      </c>
      <c r="V945" s="1" t="s">
        <v>2288</v>
      </c>
      <c r="W945" s="1" t="s">
        <v>44</v>
      </c>
      <c r="X945" s="1" t="s">
        <v>45</v>
      </c>
      <c r="Y945" s="1">
        <v>4.82011443E8</v>
      </c>
      <c r="AA945" s="1" t="s">
        <v>46</v>
      </c>
      <c r="AB945" s="1" t="s">
        <v>45</v>
      </c>
      <c r="AC945" s="1">
        <v>4.82011443E8</v>
      </c>
      <c r="AF945" s="1">
        <v>85000.0</v>
      </c>
      <c r="AG945" s="2">
        <v>41837.0</v>
      </c>
      <c r="AH945" s="1">
        <v>8600.0</v>
      </c>
      <c r="AI945" s="1" t="s">
        <v>102</v>
      </c>
      <c r="AJ945" s="1">
        <v>2.0</v>
      </c>
      <c r="AK945" s="1" t="s">
        <v>2289</v>
      </c>
      <c r="AL945" s="1">
        <v>8.0</v>
      </c>
      <c r="AM945" s="1">
        <v>2014.0</v>
      </c>
      <c r="AN945" s="1">
        <v>2014.0</v>
      </c>
      <c r="AO945" s="1" t="s">
        <v>305</v>
      </c>
    </row>
    <row r="946">
      <c r="A946" s="5">
        <v>1.0</v>
      </c>
      <c r="B946" s="1">
        <f t="shared" si="1"/>
        <v>946</v>
      </c>
      <c r="C946" s="1" t="s">
        <v>2139</v>
      </c>
      <c r="D946" s="1" t="s">
        <v>2139</v>
      </c>
      <c r="E946" s="1" t="s">
        <v>100</v>
      </c>
      <c r="G946" s="1">
        <v>3.2109172E7</v>
      </c>
      <c r="H946" s="2">
        <v>41837.0</v>
      </c>
      <c r="I946" s="1" t="s">
        <v>297</v>
      </c>
      <c r="K946" s="1" t="s">
        <v>297</v>
      </c>
      <c r="N946" s="1" t="s">
        <v>102</v>
      </c>
      <c r="O946" s="1">
        <v>8600.0</v>
      </c>
      <c r="P946" s="1" t="s">
        <v>102</v>
      </c>
      <c r="Q946" s="1" t="str">
        <f>IF(ISERROR(VLOOKUP(P946,'unique fed agency names'!A:C,3,FALSE)),P946,VLOOKUP(P946,'unique fed agency names'!A:C,3,FALSE))
</f>
        <v>U.S. Department of Housing and Urban Development (HUD)</v>
      </c>
      <c r="R946" s="1">
        <v>1.06502784E8</v>
      </c>
      <c r="S946" s="1" t="s">
        <v>2290</v>
      </c>
      <c r="T946" s="1" t="str">
        <f>IF(ISERROR(VLOOKUP(S946,'unique org names'!A:C,3,FALSE)),S946,VLOOKUP(S946,'unique org names'!A:C,3,FALSE))
</f>
        <v>St Patrick Senior Center, Inc</v>
      </c>
      <c r="V946" s="1" t="s">
        <v>2291</v>
      </c>
      <c r="W946" s="1" t="s">
        <v>44</v>
      </c>
      <c r="X946" s="1" t="s">
        <v>45</v>
      </c>
      <c r="Y946" s="1">
        <v>4.82012002E8</v>
      </c>
      <c r="AA946" s="1" t="s">
        <v>46</v>
      </c>
      <c r="AB946" s="1" t="s">
        <v>45</v>
      </c>
      <c r="AC946" s="1">
        <v>4.82012002E8</v>
      </c>
      <c r="AF946" s="1">
        <v>100000.0</v>
      </c>
      <c r="AG946" s="2">
        <v>41837.0</v>
      </c>
      <c r="AH946" s="1">
        <v>8600.0</v>
      </c>
      <c r="AI946" s="1" t="s">
        <v>102</v>
      </c>
      <c r="AJ946" s="1">
        <v>34.0</v>
      </c>
      <c r="AK946" s="1" t="s">
        <v>2292</v>
      </c>
      <c r="AL946" s="1">
        <v>8.0</v>
      </c>
      <c r="AM946" s="1">
        <v>2014.0</v>
      </c>
      <c r="AN946" s="1">
        <v>2014.0</v>
      </c>
      <c r="AO946" s="1" t="s">
        <v>305</v>
      </c>
    </row>
    <row r="947">
      <c r="A947" s="5">
        <v>1.0</v>
      </c>
      <c r="B947" s="1">
        <f t="shared" si="1"/>
        <v>947</v>
      </c>
      <c r="C947" s="1" t="s">
        <v>2139</v>
      </c>
      <c r="D947" s="1" t="s">
        <v>2139</v>
      </c>
      <c r="E947" s="1" t="s">
        <v>100</v>
      </c>
      <c r="G947" s="1">
        <v>3.2109172E7</v>
      </c>
      <c r="H947" s="2">
        <v>41837.0</v>
      </c>
      <c r="I947" s="1" t="s">
        <v>297</v>
      </c>
      <c r="K947" s="1" t="s">
        <v>297</v>
      </c>
      <c r="N947" s="1" t="s">
        <v>102</v>
      </c>
      <c r="O947" s="1">
        <v>8600.0</v>
      </c>
      <c r="P947" s="1" t="s">
        <v>102</v>
      </c>
      <c r="Q947" s="1" t="str">
        <f>IF(ISERROR(VLOOKUP(P947,'unique fed agency names'!A:C,3,FALSE)),P947,VLOOKUP(P947,'unique fed agency names'!A:C,3,FALSE))
</f>
        <v>U.S. Department of Housing and Urban Development (HUD)</v>
      </c>
      <c r="R947" s="1">
        <v>4.3419399E7</v>
      </c>
      <c r="S947" s="1" t="s">
        <v>979</v>
      </c>
      <c r="T947" s="1" t="str">
        <f>IF(ISERROR(VLOOKUP(S947,'unique org names'!A:C,3,FALSE)),S947,VLOOKUP(S947,'unique org names'!A:C,3,FALSE))
</f>
        <v>NEIGHBORHOOD SERVICE ORGANIZATION</v>
      </c>
      <c r="V947" s="1" t="s">
        <v>1934</v>
      </c>
      <c r="W947" s="1" t="s">
        <v>44</v>
      </c>
      <c r="X947" s="1" t="s">
        <v>45</v>
      </c>
      <c r="Y947" s="1">
        <v>4.82384019E8</v>
      </c>
      <c r="AA947" s="1" t="s">
        <v>46</v>
      </c>
      <c r="AB947" s="1" t="s">
        <v>45</v>
      </c>
      <c r="AC947" s="1">
        <v>4.82384019E8</v>
      </c>
      <c r="AD947" s="1">
        <v>4.3419399E7</v>
      </c>
      <c r="AE947" s="1" t="s">
        <v>979</v>
      </c>
      <c r="AF947" s="1">
        <v>100000.0</v>
      </c>
      <c r="AG947" s="2">
        <v>41837.0</v>
      </c>
      <c r="AH947" s="1">
        <v>8600.0</v>
      </c>
      <c r="AI947" s="1" t="s">
        <v>102</v>
      </c>
      <c r="AJ947" s="1">
        <v>54.0</v>
      </c>
      <c r="AK947" s="1" t="s">
        <v>2293</v>
      </c>
      <c r="AL947" s="1">
        <v>8.0</v>
      </c>
      <c r="AM947" s="1">
        <v>2014.0</v>
      </c>
      <c r="AN947" s="1">
        <v>2014.0</v>
      </c>
      <c r="AO947" s="1" t="s">
        <v>305</v>
      </c>
    </row>
    <row r="948">
      <c r="A948" s="5">
        <v>1.0</v>
      </c>
      <c r="B948" s="1">
        <f t="shared" si="1"/>
        <v>948</v>
      </c>
      <c r="C948" s="1" t="s">
        <v>2139</v>
      </c>
      <c r="D948" s="1" t="s">
        <v>2139</v>
      </c>
      <c r="E948" s="1" t="s">
        <v>100</v>
      </c>
      <c r="G948" s="1">
        <v>3.2109172E7</v>
      </c>
      <c r="H948" s="2">
        <v>41837.0</v>
      </c>
      <c r="I948" s="1" t="s">
        <v>297</v>
      </c>
      <c r="K948" s="1" t="s">
        <v>297</v>
      </c>
      <c r="N948" s="1" t="s">
        <v>102</v>
      </c>
      <c r="O948" s="1">
        <v>8600.0</v>
      </c>
      <c r="P948" s="1" t="s">
        <v>102</v>
      </c>
      <c r="Q948" s="1" t="str">
        <f>IF(ISERROR(VLOOKUP(P948,'unique fed agency names'!A:C,3,FALSE)),P948,VLOOKUP(P948,'unique fed agency names'!A:C,3,FALSE))
</f>
        <v>U.S. Department of Housing and Urban Development (HUD)</v>
      </c>
      <c r="R948" s="1">
        <v>1.69757358E8</v>
      </c>
      <c r="S948" s="1" t="s">
        <v>2294</v>
      </c>
      <c r="T948" s="1" t="str">
        <f>IF(ISERROR(VLOOKUP(S948,'unique org names'!A:C,3,FALSE)),S948,VLOOKUP(S948,'unique org names'!A:C,3,FALSE))
</f>
        <v>THE DETROIT ANNUAL CONFERENCE OF THE UNITED METHODIST CHURCH</v>
      </c>
      <c r="U948" s="1" t="s">
        <v>2295</v>
      </c>
      <c r="V948" s="1" t="s">
        <v>2296</v>
      </c>
      <c r="W948" s="1" t="s">
        <v>44</v>
      </c>
      <c r="X948" s="1" t="s">
        <v>45</v>
      </c>
      <c r="Y948" s="1">
        <v>4.82261602E8</v>
      </c>
      <c r="AA948" s="1" t="s">
        <v>46</v>
      </c>
      <c r="AB948" s="1" t="s">
        <v>45</v>
      </c>
      <c r="AC948" s="1">
        <v>4.82261602E8</v>
      </c>
      <c r="AD948" s="1">
        <v>4.8774095E7</v>
      </c>
      <c r="AF948" s="1">
        <v>100000.0</v>
      </c>
      <c r="AG948" s="2">
        <v>41837.0</v>
      </c>
      <c r="AH948" s="1">
        <v>8600.0</v>
      </c>
      <c r="AI948" s="1" t="s">
        <v>102</v>
      </c>
      <c r="AJ948" s="1">
        <v>60.0</v>
      </c>
      <c r="AK948" s="1" t="s">
        <v>2297</v>
      </c>
      <c r="AL948" s="1">
        <v>8.0</v>
      </c>
      <c r="AM948" s="1">
        <v>2014.0</v>
      </c>
      <c r="AN948" s="1">
        <v>2014.0</v>
      </c>
      <c r="AO948" s="1" t="s">
        <v>305</v>
      </c>
    </row>
    <row r="949">
      <c r="A949" s="5">
        <v>1.0</v>
      </c>
      <c r="B949" s="1">
        <f t="shared" si="1"/>
        <v>949</v>
      </c>
      <c r="C949" s="1" t="s">
        <v>2139</v>
      </c>
      <c r="D949" s="1" t="s">
        <v>2139</v>
      </c>
      <c r="E949" s="1" t="s">
        <v>100</v>
      </c>
      <c r="G949" s="1">
        <v>3.2109172E7</v>
      </c>
      <c r="H949" s="2">
        <v>41837.0</v>
      </c>
      <c r="I949" s="1" t="s">
        <v>297</v>
      </c>
      <c r="K949" s="1" t="s">
        <v>297</v>
      </c>
      <c r="N949" s="1" t="s">
        <v>102</v>
      </c>
      <c r="O949" s="1">
        <v>8600.0</v>
      </c>
      <c r="P949" s="1" t="s">
        <v>102</v>
      </c>
      <c r="Q949" s="1" t="str">
        <f>IF(ISERROR(VLOOKUP(P949,'unique fed agency names'!A:C,3,FALSE)),P949,VLOOKUP(P949,'unique fed agency names'!A:C,3,FALSE))
</f>
        <v>U.S. Department of Housing and Urban Development (HUD)</v>
      </c>
      <c r="R949" s="1">
        <v>1.5141952E8</v>
      </c>
      <c r="S949" s="1" t="s">
        <v>2298</v>
      </c>
      <c r="T949" s="1" t="str">
        <f>IF(ISERROR(VLOOKUP(S949,'unique org names'!A:C,3,FALSE)),S949,VLOOKUP(S949,'unique org names'!A:C,3,FALSE))
</f>
        <v>Latin Americans for Social and Economic Development, Inc</v>
      </c>
      <c r="U949" s="1" t="s">
        <v>2299</v>
      </c>
      <c r="V949" s="1" t="s">
        <v>2300</v>
      </c>
      <c r="W949" s="1" t="s">
        <v>44</v>
      </c>
      <c r="X949" s="1" t="s">
        <v>45</v>
      </c>
      <c r="Y949" s="1">
        <v>4.82092145E8</v>
      </c>
      <c r="AA949" s="1" t="s">
        <v>46</v>
      </c>
      <c r="AB949" s="1" t="s">
        <v>45</v>
      </c>
      <c r="AC949" s="1">
        <v>4.82022145E8</v>
      </c>
      <c r="AF949" s="1">
        <v>75000.0</v>
      </c>
      <c r="AG949" s="2">
        <v>41837.0</v>
      </c>
      <c r="AH949" s="1">
        <v>8600.0</v>
      </c>
      <c r="AI949" s="1" t="s">
        <v>102</v>
      </c>
      <c r="AJ949" s="1">
        <v>27.0</v>
      </c>
      <c r="AK949" s="1" t="s">
        <v>2301</v>
      </c>
      <c r="AL949" s="1">
        <v>8.0</v>
      </c>
      <c r="AM949" s="1">
        <v>2014.0</v>
      </c>
      <c r="AN949" s="1">
        <v>2014.0</v>
      </c>
      <c r="AO949" s="1" t="s">
        <v>305</v>
      </c>
    </row>
    <row r="950">
      <c r="A950" s="5">
        <v>1.0</v>
      </c>
      <c r="B950" s="1">
        <f t="shared" si="1"/>
        <v>950</v>
      </c>
      <c r="C950" s="1" t="s">
        <v>2279</v>
      </c>
      <c r="D950" s="1" t="s">
        <v>2279</v>
      </c>
      <c r="E950" s="1" t="s">
        <v>63</v>
      </c>
      <c r="G950" s="1">
        <v>292500.0</v>
      </c>
      <c r="H950" s="2">
        <v>41183.0</v>
      </c>
      <c r="I950" s="1" t="s">
        <v>2280</v>
      </c>
      <c r="K950" s="1" t="s">
        <v>2280</v>
      </c>
      <c r="N950" s="1" t="s">
        <v>40</v>
      </c>
      <c r="O950" s="1">
        <v>7500.0</v>
      </c>
      <c r="P950" s="1" t="s">
        <v>40</v>
      </c>
      <c r="Q950" s="1" t="str">
        <f>IF(ISERROR(VLOOKUP(P950,'unique fed agency names'!A:C,3,FALSE)),P950,VLOOKUP(P950,'unique fed agency names'!A:C,3,FALSE))
</f>
        <v>U.S. Department of Health and Human Services (DHHS)</v>
      </c>
      <c r="R950" s="1">
        <v>7.6377316E7</v>
      </c>
      <c r="S950" s="1" t="s">
        <v>2302</v>
      </c>
      <c r="T950" s="1" t="str">
        <f>IF(ISERROR(VLOOKUP(S950,'unique org names'!A:C,3,FALSE)),S950,VLOOKUP(S950,'unique org names'!A:C,3,FALSE))
</f>
        <v>VHS CHILDREN'S HOSPITAL OF MICHIGAN, INC.</v>
      </c>
      <c r="U950" s="1" t="s">
        <v>210</v>
      </c>
      <c r="V950" s="1" t="s">
        <v>2303</v>
      </c>
      <c r="W950" s="1" t="s">
        <v>44</v>
      </c>
      <c r="X950" s="1" t="s">
        <v>45</v>
      </c>
      <c r="Y950" s="1">
        <v>4.82012119E8</v>
      </c>
      <c r="AA950" s="1" t="s">
        <v>46</v>
      </c>
      <c r="AB950" s="1" t="s">
        <v>45</v>
      </c>
      <c r="AC950" s="1">
        <v>4.82012119E8</v>
      </c>
      <c r="AD950" s="1">
        <v>5.3866661E7</v>
      </c>
      <c r="AF950" s="1">
        <v>0.0</v>
      </c>
      <c r="AG950" s="2">
        <v>41183.0</v>
      </c>
      <c r="AH950" s="1">
        <v>7500.0</v>
      </c>
      <c r="AI950" s="1" t="s">
        <v>40</v>
      </c>
      <c r="AJ950" s="1">
        <v>2.0131715E7</v>
      </c>
      <c r="AK950" s="1" t="s">
        <v>2281</v>
      </c>
      <c r="AL950" s="1">
        <v>10.0</v>
      </c>
      <c r="AM950" s="1">
        <v>2011.0</v>
      </c>
      <c r="AN950" s="1">
        <v>2013.0</v>
      </c>
      <c r="AO950" s="1" t="s">
        <v>342</v>
      </c>
    </row>
    <row r="951">
      <c r="A951" s="5">
        <v>1.0</v>
      </c>
      <c r="B951" s="1">
        <f t="shared" si="1"/>
        <v>951</v>
      </c>
      <c r="C951" s="1" t="s">
        <v>2139</v>
      </c>
      <c r="D951" s="1" t="s">
        <v>2139</v>
      </c>
      <c r="E951" s="1" t="s">
        <v>100</v>
      </c>
      <c r="G951" s="1">
        <v>3.2109172E7</v>
      </c>
      <c r="H951" s="2">
        <v>41837.0</v>
      </c>
      <c r="I951" s="1" t="s">
        <v>297</v>
      </c>
      <c r="K951" s="1" t="s">
        <v>297</v>
      </c>
      <c r="N951" s="1" t="s">
        <v>102</v>
      </c>
      <c r="O951" s="1">
        <v>8600.0</v>
      </c>
      <c r="P951" s="1" t="s">
        <v>102</v>
      </c>
      <c r="Q951" s="1" t="str">
        <f>IF(ISERROR(VLOOKUP(P951,'unique fed agency names'!A:C,3,FALSE)),P951,VLOOKUP(P951,'unique fed agency names'!A:C,3,FALSE))
</f>
        <v>U.S. Department of Housing and Urban Development (HUD)</v>
      </c>
      <c r="R951" s="1">
        <v>4.0560898E7</v>
      </c>
      <c r="S951" s="1" t="s">
        <v>2304</v>
      </c>
      <c r="T951" s="1" t="str">
        <f>IF(ISERROR(VLOOKUP(S951,'unique org names'!A:C,3,FALSE)),S951,VLOOKUP(S951,'unique org names'!A:C,3,FALSE))
</f>
        <v>Legal Aid and Defender Association</v>
      </c>
      <c r="V951" s="1" t="s">
        <v>2305</v>
      </c>
      <c r="W951" s="1" t="s">
        <v>44</v>
      </c>
      <c r="X951" s="1" t="s">
        <v>45</v>
      </c>
      <c r="Y951" s="1">
        <v>4.82261348E8</v>
      </c>
      <c r="AA951" s="1" t="s">
        <v>46</v>
      </c>
      <c r="AB951" s="1" t="s">
        <v>45</v>
      </c>
      <c r="AC951" s="1">
        <v>4.82261348E8</v>
      </c>
      <c r="AD951" s="1">
        <v>4.0560898E7</v>
      </c>
      <c r="AE951" s="1" t="s">
        <v>2304</v>
      </c>
      <c r="AF951" s="1">
        <v>100000.0</v>
      </c>
      <c r="AG951" s="2">
        <v>41837.0</v>
      </c>
      <c r="AH951" s="1">
        <v>8600.0</v>
      </c>
      <c r="AI951" s="1" t="s">
        <v>102</v>
      </c>
      <c r="AJ951" s="1">
        <v>50.0</v>
      </c>
      <c r="AK951" s="1" t="s">
        <v>2306</v>
      </c>
      <c r="AL951" s="1">
        <v>8.0</v>
      </c>
      <c r="AM951" s="1">
        <v>2014.0</v>
      </c>
      <c r="AN951" s="1">
        <v>2014.0</v>
      </c>
      <c r="AO951" s="1" t="s">
        <v>305</v>
      </c>
    </row>
    <row r="952">
      <c r="A952" s="5">
        <v>1.0</v>
      </c>
      <c r="B952" s="1">
        <f t="shared" si="1"/>
        <v>952</v>
      </c>
      <c r="C952" s="1" t="s">
        <v>2307</v>
      </c>
      <c r="D952" s="1" t="s">
        <v>2307</v>
      </c>
      <c r="E952" s="1" t="s">
        <v>100</v>
      </c>
      <c r="G952" s="1">
        <v>2670892.0</v>
      </c>
      <c r="H952" s="2">
        <v>41837.0</v>
      </c>
      <c r="I952" s="1" t="s">
        <v>1433</v>
      </c>
      <c r="K952" s="1" t="s">
        <v>1433</v>
      </c>
      <c r="N952" s="1" t="s">
        <v>102</v>
      </c>
      <c r="O952" s="1">
        <v>8600.0</v>
      </c>
      <c r="P952" s="1" t="s">
        <v>102</v>
      </c>
      <c r="Q952" s="1" t="str">
        <f>IF(ISERROR(VLOOKUP(P952,'unique fed agency names'!A:C,3,FALSE)),P952,VLOOKUP(P952,'unique fed agency names'!A:C,3,FALSE))
</f>
        <v>U.S. Department of Housing and Urban Development (HUD)</v>
      </c>
      <c r="R952" s="1">
        <v>6530661.0</v>
      </c>
      <c r="S952" s="1" t="s">
        <v>73</v>
      </c>
      <c r="T952" s="1" t="str">
        <f>IF(ISERROR(VLOOKUP(S952,'unique org names'!A:C,3,FALSE)),S952,VLOOKUP(S952,'unique org names'!A:C,3,FALSE))
</f>
        <v>City Of Detroit</v>
      </c>
      <c r="U952" s="1" t="s">
        <v>323</v>
      </c>
      <c r="V952" s="1" t="s">
        <v>1961</v>
      </c>
      <c r="W952" s="1" t="s">
        <v>44</v>
      </c>
      <c r="X952" s="1" t="s">
        <v>45</v>
      </c>
      <c r="Y952" s="1">
        <v>4.82263443E8</v>
      </c>
      <c r="AA952" s="1" t="s">
        <v>46</v>
      </c>
      <c r="AB952" s="1" t="s">
        <v>45</v>
      </c>
      <c r="AC952" s="1">
        <v>4.82263443E8</v>
      </c>
      <c r="AD952" s="1">
        <v>6530661.0</v>
      </c>
      <c r="AE952" s="1" t="s">
        <v>76</v>
      </c>
      <c r="AF952" s="1">
        <v>2670892.0</v>
      </c>
      <c r="AG952" s="2">
        <v>41837.0</v>
      </c>
      <c r="AH952" s="1">
        <v>8600.0</v>
      </c>
      <c r="AI952" s="1" t="s">
        <v>102</v>
      </c>
      <c r="AJ952" s="1">
        <v>1.0</v>
      </c>
      <c r="AK952" s="1" t="s">
        <v>2308</v>
      </c>
      <c r="AL952" s="1">
        <v>8.0</v>
      </c>
      <c r="AM952" s="1">
        <v>2014.0</v>
      </c>
      <c r="AN952" s="1">
        <v>2014.0</v>
      </c>
      <c r="AO952" s="1" t="s">
        <v>367</v>
      </c>
    </row>
    <row r="953">
      <c r="A953" s="5">
        <v>1.0</v>
      </c>
      <c r="B953" s="1">
        <f t="shared" si="1"/>
        <v>953</v>
      </c>
      <c r="C953" s="1" t="s">
        <v>2279</v>
      </c>
      <c r="D953" s="1" t="s">
        <v>2279</v>
      </c>
      <c r="E953" s="1" t="s">
        <v>63</v>
      </c>
      <c r="G953" s="1">
        <v>292500.0</v>
      </c>
      <c r="H953" s="2">
        <v>41548.0</v>
      </c>
      <c r="I953" s="1" t="s">
        <v>2280</v>
      </c>
      <c r="K953" s="1" t="s">
        <v>2280</v>
      </c>
      <c r="N953" s="1" t="s">
        <v>40</v>
      </c>
      <c r="O953" s="1">
        <v>7500.0</v>
      </c>
      <c r="P953" s="1" t="s">
        <v>40</v>
      </c>
      <c r="Q953" s="1" t="str">
        <f>IF(ISERROR(VLOOKUP(P953,'unique fed agency names'!A:C,3,FALSE)),P953,VLOOKUP(P953,'unique fed agency names'!A:C,3,FALSE))
</f>
        <v>U.S. Department of Health and Human Services (DHHS)</v>
      </c>
      <c r="R953" s="1">
        <v>1962224.0</v>
      </c>
      <c r="S953" s="1" t="s">
        <v>52</v>
      </c>
      <c r="T953" s="1" t="str">
        <f>IF(ISERROR(VLOOKUP(S953,'unique org names'!A:C,3,FALSE)),S953,VLOOKUP(S953,'unique org names'!A:C,3,FALSE))
</f>
        <v>WAYNE STATE UNIVERSITY</v>
      </c>
      <c r="U953" s="1" t="s">
        <v>1566</v>
      </c>
      <c r="V953" s="1" t="s">
        <v>53</v>
      </c>
      <c r="W953" s="1" t="s">
        <v>44</v>
      </c>
      <c r="X953" s="1" t="s">
        <v>45</v>
      </c>
      <c r="Y953" s="1">
        <v>4.82023692E8</v>
      </c>
      <c r="AA953" s="1" t="s">
        <v>46</v>
      </c>
      <c r="AB953" s="1" t="s">
        <v>45</v>
      </c>
      <c r="AC953" s="1">
        <v>4.82023692E8</v>
      </c>
      <c r="AD953" s="1">
        <v>1962224.0</v>
      </c>
      <c r="AE953" s="1" t="s">
        <v>52</v>
      </c>
      <c r="AF953" s="1">
        <v>44416.33</v>
      </c>
      <c r="AG953" s="2">
        <v>41548.0</v>
      </c>
      <c r="AH953" s="1">
        <v>7500.0</v>
      </c>
      <c r="AI953" s="1" t="s">
        <v>40</v>
      </c>
      <c r="AJ953" s="1">
        <v>2.0141508E7</v>
      </c>
      <c r="AK953" s="1" t="s">
        <v>2281</v>
      </c>
      <c r="AL953" s="1">
        <v>10.0</v>
      </c>
      <c r="AM953" s="1">
        <v>2011.0</v>
      </c>
      <c r="AN953" s="1">
        <v>2014.0</v>
      </c>
      <c r="AO953" s="1" t="s">
        <v>342</v>
      </c>
    </row>
    <row r="954">
      <c r="A954" s="5">
        <v>1.0</v>
      </c>
      <c r="B954" s="1">
        <f t="shared" si="1"/>
        <v>954</v>
      </c>
      <c r="C954" s="1" t="s">
        <v>2279</v>
      </c>
      <c r="D954" s="1" t="s">
        <v>2279</v>
      </c>
      <c r="E954" s="1" t="s">
        <v>63</v>
      </c>
      <c r="G954" s="1">
        <v>292500.0</v>
      </c>
      <c r="H954" s="2">
        <v>41183.0</v>
      </c>
      <c r="I954" s="1" t="s">
        <v>2280</v>
      </c>
      <c r="K954" s="1" t="s">
        <v>2280</v>
      </c>
      <c r="N954" s="1" t="s">
        <v>40</v>
      </c>
      <c r="O954" s="1">
        <v>7500.0</v>
      </c>
      <c r="P954" s="1" t="s">
        <v>40</v>
      </c>
      <c r="Q954" s="1" t="str">
        <f>IF(ISERROR(VLOOKUP(P954,'unique fed agency names'!A:C,3,FALSE)),P954,VLOOKUP(P954,'unique fed agency names'!A:C,3,FALSE))
</f>
        <v>U.S. Department of Health and Human Services (DHHS)</v>
      </c>
      <c r="R954" s="1">
        <v>3.8775243E7</v>
      </c>
      <c r="S954" s="1" t="s">
        <v>209</v>
      </c>
      <c r="T954" s="1" t="str">
        <f>IF(ISERROR(VLOOKUP(S954,'unique org names'!A:C,3,FALSE)),S954,VLOOKUP(S954,'unique org names'!A:C,3,FALSE))
</f>
        <v>SOUTHEASTERN MICHIGAN HEALTH ASSOCIATION</v>
      </c>
      <c r="U954" s="1" t="s">
        <v>210</v>
      </c>
      <c r="V954" s="1" t="s">
        <v>211</v>
      </c>
      <c r="W954" s="1" t="s">
        <v>44</v>
      </c>
      <c r="X954" s="1" t="s">
        <v>45</v>
      </c>
      <c r="Y954" s="1">
        <v>4.82023068E8</v>
      </c>
      <c r="AA954" s="1" t="s">
        <v>46</v>
      </c>
      <c r="AB954" s="1" t="s">
        <v>45</v>
      </c>
      <c r="AC954" s="1">
        <v>4.82023068E8</v>
      </c>
      <c r="AD954" s="1">
        <v>3.8775243E7</v>
      </c>
      <c r="AE954" s="1" t="s">
        <v>209</v>
      </c>
      <c r="AF954" s="1">
        <v>0.0</v>
      </c>
      <c r="AG954" s="2">
        <v>41183.0</v>
      </c>
      <c r="AH954" s="1">
        <v>7500.0</v>
      </c>
      <c r="AI954" s="1" t="s">
        <v>40</v>
      </c>
      <c r="AJ954" s="1">
        <v>2.0131247E7</v>
      </c>
      <c r="AK954" s="1" t="s">
        <v>2281</v>
      </c>
      <c r="AL954" s="1">
        <v>10.0</v>
      </c>
      <c r="AM954" s="1">
        <v>2011.0</v>
      </c>
      <c r="AN954" s="1">
        <v>2013.0</v>
      </c>
      <c r="AO954" s="1" t="s">
        <v>342</v>
      </c>
    </row>
    <row r="955">
      <c r="A955" s="5">
        <v>1.0</v>
      </c>
      <c r="B955" s="1">
        <f t="shared" si="1"/>
        <v>955</v>
      </c>
      <c r="C955" s="1" t="s">
        <v>2279</v>
      </c>
      <c r="D955" s="1" t="s">
        <v>2279</v>
      </c>
      <c r="E955" s="1" t="s">
        <v>63</v>
      </c>
      <c r="G955" s="1">
        <v>292500.0</v>
      </c>
      <c r="H955" s="2">
        <v>41548.0</v>
      </c>
      <c r="I955" s="1" t="s">
        <v>2280</v>
      </c>
      <c r="K955" s="1" t="s">
        <v>2280</v>
      </c>
      <c r="N955" s="1" t="s">
        <v>40</v>
      </c>
      <c r="O955" s="1">
        <v>7500.0</v>
      </c>
      <c r="P955" s="1" t="s">
        <v>40</v>
      </c>
      <c r="Q955" s="1" t="str">
        <f>IF(ISERROR(VLOOKUP(P955,'unique fed agency names'!A:C,3,FALSE)),P955,VLOOKUP(P955,'unique fed agency names'!A:C,3,FALSE))
</f>
        <v>U.S. Department of Health and Human Services (DHHS)</v>
      </c>
      <c r="R955" s="1">
        <v>7.6377316E7</v>
      </c>
      <c r="S955" s="1" t="s">
        <v>2302</v>
      </c>
      <c r="T955" s="1" t="str">
        <f>IF(ISERROR(VLOOKUP(S955,'unique org names'!A:C,3,FALSE)),S955,VLOOKUP(S955,'unique org names'!A:C,3,FALSE))
</f>
        <v>VHS CHILDREN'S HOSPITAL OF MICHIGAN, INC.</v>
      </c>
      <c r="U955" s="1" t="s">
        <v>2309</v>
      </c>
      <c r="V955" s="1" t="s">
        <v>2303</v>
      </c>
      <c r="W955" s="1" t="s">
        <v>44</v>
      </c>
      <c r="X955" s="1" t="s">
        <v>45</v>
      </c>
      <c r="Y955" s="1">
        <v>4.82012119E8</v>
      </c>
      <c r="AA955" s="1" t="s">
        <v>46</v>
      </c>
      <c r="AB955" s="1" t="s">
        <v>45</v>
      </c>
      <c r="AC955" s="1">
        <v>4.82012119E8</v>
      </c>
      <c r="AD955" s="1">
        <v>5.3866661E7</v>
      </c>
      <c r="AF955" s="1">
        <v>33795.05</v>
      </c>
      <c r="AG955" s="2">
        <v>41548.0</v>
      </c>
      <c r="AH955" s="1">
        <v>7500.0</v>
      </c>
      <c r="AI955" s="1" t="s">
        <v>40</v>
      </c>
      <c r="AJ955" s="1">
        <v>2.0140062E7</v>
      </c>
      <c r="AK955" s="1" t="s">
        <v>2281</v>
      </c>
      <c r="AL955" s="1">
        <v>10.0</v>
      </c>
      <c r="AM955" s="1">
        <v>2011.0</v>
      </c>
      <c r="AN955" s="1">
        <v>2014.0</v>
      </c>
      <c r="AO955" s="1" t="s">
        <v>342</v>
      </c>
    </row>
    <row r="956">
      <c r="A956" s="5">
        <v>1.0</v>
      </c>
      <c r="B956" s="1">
        <f t="shared" si="1"/>
        <v>956</v>
      </c>
      <c r="C956" s="1" t="s">
        <v>2279</v>
      </c>
      <c r="D956" s="1" t="s">
        <v>2279</v>
      </c>
      <c r="E956" s="1" t="s">
        <v>63</v>
      </c>
      <c r="G956" s="1">
        <v>292500.0</v>
      </c>
      <c r="H956" s="2">
        <v>41183.0</v>
      </c>
      <c r="I956" s="1" t="s">
        <v>2280</v>
      </c>
      <c r="K956" s="1" t="s">
        <v>2280</v>
      </c>
      <c r="N956" s="1" t="s">
        <v>40</v>
      </c>
      <c r="O956" s="1">
        <v>7500.0</v>
      </c>
      <c r="P956" s="1" t="s">
        <v>40</v>
      </c>
      <c r="Q956" s="1" t="str">
        <f>IF(ISERROR(VLOOKUP(P956,'unique fed agency names'!A:C,3,FALSE)),P956,VLOOKUP(P956,'unique fed agency names'!A:C,3,FALSE))
</f>
        <v>U.S. Department of Health and Human Services (DHHS)</v>
      </c>
      <c r="R956" s="1">
        <v>1962224.0</v>
      </c>
      <c r="S956" s="1" t="s">
        <v>52</v>
      </c>
      <c r="T956" s="1" t="str">
        <f>IF(ISERROR(VLOOKUP(S956,'unique org names'!A:C,3,FALSE)),S956,VLOOKUP(S956,'unique org names'!A:C,3,FALSE))
</f>
        <v>WAYNE STATE UNIVERSITY</v>
      </c>
      <c r="U956" s="1" t="s">
        <v>1566</v>
      </c>
      <c r="V956" s="1" t="s">
        <v>53</v>
      </c>
      <c r="W956" s="1" t="s">
        <v>44</v>
      </c>
      <c r="X956" s="1" t="s">
        <v>45</v>
      </c>
      <c r="Y956" s="1">
        <v>4.82023692E8</v>
      </c>
      <c r="AA956" s="1" t="s">
        <v>46</v>
      </c>
      <c r="AB956" s="1" t="s">
        <v>45</v>
      </c>
      <c r="AC956" s="1">
        <v>4.82023692E8</v>
      </c>
      <c r="AD956" s="1">
        <v>1962224.0</v>
      </c>
      <c r="AE956" s="1" t="s">
        <v>52</v>
      </c>
      <c r="AF956" s="1">
        <v>57267.53</v>
      </c>
      <c r="AG956" s="2">
        <v>41183.0</v>
      </c>
      <c r="AH956" s="1">
        <v>7500.0</v>
      </c>
      <c r="AI956" s="1" t="s">
        <v>40</v>
      </c>
      <c r="AJ956" s="1">
        <v>2.0131983E7</v>
      </c>
      <c r="AK956" s="1" t="s">
        <v>2281</v>
      </c>
      <c r="AL956" s="1">
        <v>10.0</v>
      </c>
      <c r="AM956" s="1">
        <v>2011.0</v>
      </c>
      <c r="AN956" s="1">
        <v>2013.0</v>
      </c>
      <c r="AO956" s="1" t="s">
        <v>342</v>
      </c>
    </row>
    <row r="957">
      <c r="A957" s="5">
        <v>1.0</v>
      </c>
      <c r="B957" s="1">
        <f t="shared" si="1"/>
        <v>957</v>
      </c>
      <c r="C957" s="1" t="s">
        <v>2279</v>
      </c>
      <c r="D957" s="1" t="s">
        <v>2279</v>
      </c>
      <c r="E957" s="1" t="s">
        <v>63</v>
      </c>
      <c r="G957" s="1">
        <v>292500.0</v>
      </c>
      <c r="H957" s="2">
        <v>41183.0</v>
      </c>
      <c r="I957" s="1" t="s">
        <v>2280</v>
      </c>
      <c r="K957" s="1" t="s">
        <v>2280</v>
      </c>
      <c r="N957" s="1" t="s">
        <v>40</v>
      </c>
      <c r="O957" s="1">
        <v>7500.0</v>
      </c>
      <c r="P957" s="1" t="s">
        <v>40</v>
      </c>
      <c r="Q957" s="1" t="str">
        <f>IF(ISERROR(VLOOKUP(P957,'unique fed agency names'!A:C,3,FALSE)),P957,VLOOKUP(P957,'unique fed agency names'!A:C,3,FALSE))
</f>
        <v>U.S. Department of Health and Human Services (DHHS)</v>
      </c>
      <c r="R957" s="1">
        <v>7.6377316E7</v>
      </c>
      <c r="S957" s="1" t="s">
        <v>2302</v>
      </c>
      <c r="T957" s="1" t="str">
        <f>IF(ISERROR(VLOOKUP(S957,'unique org names'!A:C,3,FALSE)),S957,VLOOKUP(S957,'unique org names'!A:C,3,FALSE))
</f>
        <v>VHS CHILDREN'S HOSPITAL OF MICHIGAN, INC.</v>
      </c>
      <c r="U957" s="1" t="s">
        <v>2309</v>
      </c>
      <c r="V957" s="1" t="s">
        <v>2303</v>
      </c>
      <c r="W957" s="1" t="s">
        <v>44</v>
      </c>
      <c r="X957" s="1" t="s">
        <v>45</v>
      </c>
      <c r="Y957" s="1">
        <v>4.82012119E8</v>
      </c>
      <c r="AA957" s="1" t="s">
        <v>46</v>
      </c>
      <c r="AB957" s="1" t="s">
        <v>45</v>
      </c>
      <c r="AC957" s="1">
        <v>4.82012119E8</v>
      </c>
      <c r="AD957" s="1">
        <v>5.3866661E7</v>
      </c>
      <c r="AF957" s="1">
        <v>23500.0</v>
      </c>
      <c r="AG957" s="2">
        <v>41183.0</v>
      </c>
      <c r="AH957" s="1">
        <v>7500.0</v>
      </c>
      <c r="AI957" s="1" t="s">
        <v>40</v>
      </c>
      <c r="AJ957" s="1">
        <v>2.0131715E7</v>
      </c>
      <c r="AK957" s="1" t="s">
        <v>2281</v>
      </c>
      <c r="AL957" s="1">
        <v>10.0</v>
      </c>
      <c r="AM957" s="1">
        <v>2011.0</v>
      </c>
      <c r="AN957" s="1">
        <v>2013.0</v>
      </c>
      <c r="AO957" s="1" t="s">
        <v>342</v>
      </c>
    </row>
    <row r="958">
      <c r="A958" s="5">
        <v>1.0</v>
      </c>
      <c r="B958" s="1">
        <f t="shared" si="1"/>
        <v>958</v>
      </c>
      <c r="C958" s="1" t="s">
        <v>2310</v>
      </c>
      <c r="D958" s="1" t="s">
        <v>2310</v>
      </c>
      <c r="E958" s="1" t="s">
        <v>85</v>
      </c>
      <c r="G958" s="1">
        <v>3913584.0</v>
      </c>
      <c r="H958" s="2">
        <v>41183.0</v>
      </c>
      <c r="I958" s="1" t="s">
        <v>2311</v>
      </c>
      <c r="K958" s="1" t="s">
        <v>2311</v>
      </c>
      <c r="N958" s="1" t="s">
        <v>40</v>
      </c>
      <c r="O958" s="1">
        <v>7500.0</v>
      </c>
      <c r="P958" s="1" t="s">
        <v>40</v>
      </c>
      <c r="Q958" s="1" t="str">
        <f>IF(ISERROR(VLOOKUP(P958,'unique fed agency names'!A:C,3,FALSE)),P958,VLOOKUP(P958,'unique fed agency names'!A:C,3,FALSE))
</f>
        <v>U.S. Department of Health and Human Services (DHHS)</v>
      </c>
      <c r="R958" s="1">
        <v>1962224.0</v>
      </c>
      <c r="S958" s="1" t="s">
        <v>52</v>
      </c>
      <c r="T958" s="1" t="str">
        <f>IF(ISERROR(VLOOKUP(S958,'unique org names'!A:C,3,FALSE)),S958,VLOOKUP(S958,'unique org names'!A:C,3,FALSE))
</f>
        <v>WAYNE STATE UNIVERSITY</v>
      </c>
      <c r="U958" s="1" t="s">
        <v>1566</v>
      </c>
      <c r="V958" s="1" t="s">
        <v>53</v>
      </c>
      <c r="W958" s="1" t="s">
        <v>44</v>
      </c>
      <c r="X958" s="1" t="s">
        <v>45</v>
      </c>
      <c r="Y958" s="1">
        <v>4.82023692E8</v>
      </c>
      <c r="AA958" s="1" t="s">
        <v>46</v>
      </c>
      <c r="AB958" s="1" t="s">
        <v>45</v>
      </c>
      <c r="AC958" s="1">
        <v>4.82024123E8</v>
      </c>
      <c r="AD958" s="1">
        <v>1962224.0</v>
      </c>
      <c r="AE958" s="1" t="s">
        <v>52</v>
      </c>
      <c r="AF958" s="1">
        <v>34924.0</v>
      </c>
      <c r="AG958" s="2">
        <v>41183.0</v>
      </c>
      <c r="AH958" s="1">
        <v>7500.0</v>
      </c>
      <c r="AI958" s="1" t="s">
        <v>40</v>
      </c>
      <c r="AJ958" s="1">
        <v>2.0131984E7</v>
      </c>
      <c r="AK958" s="1" t="s">
        <v>2312</v>
      </c>
      <c r="AL958" s="1">
        <v>10.0</v>
      </c>
      <c r="AM958" s="1">
        <v>2012.0</v>
      </c>
      <c r="AN958" s="1">
        <v>2013.0</v>
      </c>
      <c r="AO958" s="1" t="s">
        <v>88</v>
      </c>
    </row>
    <row r="959">
      <c r="A959" s="5">
        <v>1.0</v>
      </c>
      <c r="B959" s="1">
        <f t="shared" si="1"/>
        <v>959</v>
      </c>
      <c r="C959" s="1" t="s">
        <v>2310</v>
      </c>
      <c r="D959" s="1" t="s">
        <v>2310</v>
      </c>
      <c r="E959" s="1" t="s">
        <v>85</v>
      </c>
      <c r="G959" s="1">
        <v>3913584.0</v>
      </c>
      <c r="H959" s="2">
        <v>41548.0</v>
      </c>
      <c r="I959" s="1" t="s">
        <v>2311</v>
      </c>
      <c r="K959" s="1" t="s">
        <v>2311</v>
      </c>
      <c r="N959" s="1" t="s">
        <v>40</v>
      </c>
      <c r="O959" s="1">
        <v>7500.0</v>
      </c>
      <c r="P959" s="1" t="s">
        <v>40</v>
      </c>
      <c r="Q959" s="1" t="str">
        <f>IF(ISERROR(VLOOKUP(P959,'unique fed agency names'!A:C,3,FALSE)),P959,VLOOKUP(P959,'unique fed agency names'!A:C,3,FALSE))
</f>
        <v>U.S. Department of Health and Human Services (DHHS)</v>
      </c>
      <c r="R959" s="1">
        <v>1962224.0</v>
      </c>
      <c r="S959" s="1" t="s">
        <v>52</v>
      </c>
      <c r="T959" s="1" t="str">
        <f>IF(ISERROR(VLOOKUP(S959,'unique org names'!A:C,3,FALSE)),S959,VLOOKUP(S959,'unique org names'!A:C,3,FALSE))
</f>
        <v>WAYNE STATE UNIVERSITY</v>
      </c>
      <c r="U959" s="1" t="s">
        <v>1566</v>
      </c>
      <c r="V959" s="1" t="s">
        <v>53</v>
      </c>
      <c r="W959" s="1" t="s">
        <v>44</v>
      </c>
      <c r="X959" s="1" t="s">
        <v>45</v>
      </c>
      <c r="Y959" s="1">
        <v>4.82023692E8</v>
      </c>
      <c r="AA959" s="1" t="s">
        <v>46</v>
      </c>
      <c r="AB959" s="1" t="s">
        <v>45</v>
      </c>
      <c r="AC959" s="1">
        <v>4.82024123E8</v>
      </c>
      <c r="AD959" s="1">
        <v>1962224.0</v>
      </c>
      <c r="AE959" s="1" t="s">
        <v>52</v>
      </c>
      <c r="AF959" s="1">
        <v>102430.0</v>
      </c>
      <c r="AG959" s="2">
        <v>41548.0</v>
      </c>
      <c r="AH959" s="1">
        <v>7500.0</v>
      </c>
      <c r="AI959" s="1" t="s">
        <v>40</v>
      </c>
      <c r="AJ959" s="1">
        <v>2.0141518E7</v>
      </c>
      <c r="AK959" s="1" t="s">
        <v>2312</v>
      </c>
      <c r="AL959" s="1">
        <v>10.0</v>
      </c>
      <c r="AM959" s="1">
        <v>2012.0</v>
      </c>
      <c r="AN959" s="1">
        <v>2014.0</v>
      </c>
      <c r="AO959" s="1" t="s">
        <v>88</v>
      </c>
    </row>
    <row r="960">
      <c r="A960" s="5">
        <v>1.0</v>
      </c>
      <c r="B960" s="1">
        <f t="shared" si="1"/>
        <v>960</v>
      </c>
      <c r="C960" s="1" t="s">
        <v>2310</v>
      </c>
      <c r="D960" s="1" t="s">
        <v>2310</v>
      </c>
      <c r="E960" s="1" t="s">
        <v>85</v>
      </c>
      <c r="G960" s="1">
        <v>3913584.0</v>
      </c>
      <c r="H960" s="2">
        <v>41548.0</v>
      </c>
      <c r="I960" s="1" t="s">
        <v>2311</v>
      </c>
      <c r="K960" s="1" t="s">
        <v>2311</v>
      </c>
      <c r="N960" s="1" t="s">
        <v>40</v>
      </c>
      <c r="O960" s="1">
        <v>7500.0</v>
      </c>
      <c r="P960" s="1" t="s">
        <v>40</v>
      </c>
      <c r="Q960" s="1" t="str">
        <f>IF(ISERROR(VLOOKUP(P960,'unique fed agency names'!A:C,3,FALSE)),P960,VLOOKUP(P960,'unique fed agency names'!A:C,3,FALSE))
</f>
        <v>U.S. Department of Health and Human Services (DHHS)</v>
      </c>
      <c r="R960" s="1">
        <v>7596352.0</v>
      </c>
      <c r="S960" s="1" t="s">
        <v>73</v>
      </c>
      <c r="T960" s="1" t="str">
        <f>IF(ISERROR(VLOOKUP(S960,'unique org names'!A:C,3,FALSE)),S960,VLOOKUP(S960,'unique org names'!A:C,3,FALSE))
</f>
        <v>City Of Detroit</v>
      </c>
      <c r="V960" s="1" t="s">
        <v>1578</v>
      </c>
      <c r="W960" s="1" t="s">
        <v>44</v>
      </c>
      <c r="X960" s="1" t="s">
        <v>45</v>
      </c>
      <c r="Y960" s="1">
        <v>4.82263269E8</v>
      </c>
      <c r="AA960" s="1" t="s">
        <v>46</v>
      </c>
      <c r="AB960" s="1" t="s">
        <v>45</v>
      </c>
      <c r="AC960" s="1">
        <v>4.82263269E8</v>
      </c>
      <c r="AD960" s="1">
        <v>6530661.0</v>
      </c>
      <c r="AE960" s="1" t="s">
        <v>76</v>
      </c>
      <c r="AF960" s="1">
        <v>88773.0</v>
      </c>
      <c r="AG960" s="2">
        <v>41548.0</v>
      </c>
      <c r="AH960" s="1">
        <v>7500.0</v>
      </c>
      <c r="AI960" s="1" t="s">
        <v>40</v>
      </c>
      <c r="AJ960" s="1">
        <v>2.014095E7</v>
      </c>
      <c r="AK960" s="1" t="s">
        <v>2312</v>
      </c>
      <c r="AL960" s="1">
        <v>10.0</v>
      </c>
      <c r="AM960" s="1">
        <v>2012.0</v>
      </c>
      <c r="AN960" s="1">
        <v>2014.0</v>
      </c>
      <c r="AO960" s="1" t="s">
        <v>88</v>
      </c>
    </row>
    <row r="961">
      <c r="A961" s="5">
        <v>1.0</v>
      </c>
      <c r="B961" s="1">
        <f t="shared" si="1"/>
        <v>961</v>
      </c>
      <c r="C961" s="1" t="s">
        <v>2310</v>
      </c>
      <c r="D961" s="1" t="s">
        <v>2310</v>
      </c>
      <c r="E961" s="1" t="s">
        <v>85</v>
      </c>
      <c r="G961" s="1">
        <v>3913584.0</v>
      </c>
      <c r="H961" s="2">
        <v>41183.0</v>
      </c>
      <c r="I961" s="1" t="s">
        <v>2311</v>
      </c>
      <c r="K961" s="1" t="s">
        <v>2311</v>
      </c>
      <c r="N961" s="1" t="s">
        <v>40</v>
      </c>
      <c r="O961" s="1">
        <v>7500.0</v>
      </c>
      <c r="P961" s="1" t="s">
        <v>40</v>
      </c>
      <c r="Q961" s="1" t="str">
        <f>IF(ISERROR(VLOOKUP(P961,'unique fed agency names'!A:C,3,FALSE)),P961,VLOOKUP(P961,'unique fed agency names'!A:C,3,FALSE))
</f>
        <v>U.S. Department of Health and Human Services (DHHS)</v>
      </c>
      <c r="R961" s="1">
        <v>7.8583404E7</v>
      </c>
      <c r="S961" s="1" t="s">
        <v>65</v>
      </c>
      <c r="T961" s="1" t="str">
        <f>IF(ISERROR(VLOOKUP(S961,'unique org names'!A:C,3,FALSE)),S961,VLOOKUP(S961,'unique org names'!A:C,3,FALSE))
</f>
        <v>Institute for Population Health Inc.</v>
      </c>
      <c r="U961" s="1" t="s">
        <v>2313</v>
      </c>
      <c r="V961" s="1" t="s">
        <v>1573</v>
      </c>
      <c r="W961" s="1" t="s">
        <v>44</v>
      </c>
      <c r="X961" s="1" t="s">
        <v>45</v>
      </c>
      <c r="Y961" s="1">
        <v>4.8207311E8</v>
      </c>
      <c r="AA961" s="1" t="s">
        <v>46</v>
      </c>
      <c r="AB961" s="1" t="s">
        <v>45</v>
      </c>
      <c r="AC961" s="1">
        <v>4.82021732E8</v>
      </c>
      <c r="AD961" s="1">
        <v>8.6185592E7</v>
      </c>
      <c r="AF961" s="1">
        <v>81585.0</v>
      </c>
      <c r="AG961" s="2">
        <v>41183.0</v>
      </c>
      <c r="AH961" s="1">
        <v>7500.0</v>
      </c>
      <c r="AI961" s="1" t="s">
        <v>40</v>
      </c>
      <c r="AJ961" s="1">
        <v>2.0130787E7</v>
      </c>
      <c r="AK961" s="1" t="s">
        <v>2312</v>
      </c>
      <c r="AL961" s="1">
        <v>10.0</v>
      </c>
      <c r="AM961" s="1">
        <v>2012.0</v>
      </c>
      <c r="AN961" s="1">
        <v>2013.0</v>
      </c>
      <c r="AO961" s="1" t="s">
        <v>88</v>
      </c>
    </row>
    <row r="962">
      <c r="A962" s="5">
        <v>1.0</v>
      </c>
      <c r="B962" s="1">
        <f t="shared" si="1"/>
        <v>962</v>
      </c>
      <c r="C962" s="1" t="s">
        <v>2314</v>
      </c>
      <c r="D962" s="1" t="s">
        <v>2314</v>
      </c>
      <c r="E962" s="1" t="s">
        <v>38</v>
      </c>
      <c r="G962" s="1">
        <v>1.6975458E7</v>
      </c>
      <c r="H962" s="2">
        <v>41232.0</v>
      </c>
      <c r="I962" s="1" t="s">
        <v>2315</v>
      </c>
      <c r="K962" s="1" t="s">
        <v>2315</v>
      </c>
      <c r="N962" s="1" t="s">
        <v>40</v>
      </c>
      <c r="O962" s="1">
        <v>7500.0</v>
      </c>
      <c r="P962" s="1" t="s">
        <v>40</v>
      </c>
      <c r="Q962" s="1" t="str">
        <f>IF(ISERROR(VLOOKUP(P962,'unique fed agency names'!A:C,3,FALSE)),P962,VLOOKUP(P962,'unique fed agency names'!A:C,3,FALSE))
</f>
        <v>U.S. Department of Health and Human Services (DHHS)</v>
      </c>
      <c r="R962" s="1">
        <v>7.3134603E7</v>
      </c>
      <c r="S962" s="1" t="s">
        <v>41</v>
      </c>
      <c r="T962" s="1" t="str">
        <f>IF(ISERROR(VLOOKUP(S962,'unique org names'!A:C,3,FALSE)),S962,VLOOKUP(S962,'unique org names'!A:C,3,FALSE))
</f>
        <v>Henry Ford Health System</v>
      </c>
      <c r="U962" s="1" t="s">
        <v>252</v>
      </c>
      <c r="V962" s="1" t="s">
        <v>253</v>
      </c>
      <c r="W962" s="1" t="s">
        <v>44</v>
      </c>
      <c r="X962" s="1" t="s">
        <v>45</v>
      </c>
      <c r="Y962" s="1">
        <v>4.8202345E8</v>
      </c>
      <c r="AA962" s="1" t="s">
        <v>44</v>
      </c>
      <c r="AB962" s="1" t="s">
        <v>45</v>
      </c>
      <c r="AC962" s="1">
        <v>4.8202345E8</v>
      </c>
      <c r="AD962" s="1">
        <v>7.3134603E7</v>
      </c>
      <c r="AE962" s="1" t="s">
        <v>41</v>
      </c>
      <c r="AF962" s="1">
        <v>10493.96</v>
      </c>
      <c r="AG962" s="2">
        <v>41232.0</v>
      </c>
      <c r="AH962" s="1">
        <v>7500.0</v>
      </c>
      <c r="AI962" s="1" t="s">
        <v>40</v>
      </c>
      <c r="AJ962" s="1" t="s">
        <v>2316</v>
      </c>
      <c r="AK962" s="1" t="s">
        <v>2317</v>
      </c>
      <c r="AL962" s="1">
        <v>11.0</v>
      </c>
      <c r="AM962" s="1">
        <v>2012.0</v>
      </c>
      <c r="AN962" s="1">
        <v>2013.0</v>
      </c>
      <c r="AO962" s="1" t="s">
        <v>1813</v>
      </c>
    </row>
    <row r="963">
      <c r="A963" s="5">
        <v>1.0</v>
      </c>
      <c r="B963" s="1">
        <f t="shared" si="1"/>
        <v>963</v>
      </c>
      <c r="C963" s="1" t="s">
        <v>2314</v>
      </c>
      <c r="D963" s="1" t="s">
        <v>2314</v>
      </c>
      <c r="E963" s="1" t="s">
        <v>38</v>
      </c>
      <c r="G963" s="1">
        <v>1.6975458E7</v>
      </c>
      <c r="H963" s="2">
        <v>41330.0</v>
      </c>
      <c r="I963" s="1" t="s">
        <v>2315</v>
      </c>
      <c r="K963" s="1" t="s">
        <v>2315</v>
      </c>
      <c r="N963" s="1" t="s">
        <v>40</v>
      </c>
      <c r="O963" s="1">
        <v>7500.0</v>
      </c>
      <c r="P963" s="1" t="s">
        <v>40</v>
      </c>
      <c r="Q963" s="1" t="str">
        <f>IF(ISERROR(VLOOKUP(P963,'unique fed agency names'!A:C,3,FALSE)),P963,VLOOKUP(P963,'unique fed agency names'!A:C,3,FALSE))
</f>
        <v>U.S. Department of Health and Human Services (DHHS)</v>
      </c>
      <c r="R963" s="1">
        <v>7.3134603E7</v>
      </c>
      <c r="S963" s="1" t="s">
        <v>41</v>
      </c>
      <c r="T963" s="1" t="str">
        <f>IF(ISERROR(VLOOKUP(S963,'unique org names'!A:C,3,FALSE)),S963,VLOOKUP(S963,'unique org names'!A:C,3,FALSE))
</f>
        <v>Henry Ford Health System</v>
      </c>
      <c r="U963" s="1" t="s">
        <v>252</v>
      </c>
      <c r="V963" s="1" t="s">
        <v>253</v>
      </c>
      <c r="W963" s="1" t="s">
        <v>44</v>
      </c>
      <c r="X963" s="1" t="s">
        <v>45</v>
      </c>
      <c r="Y963" s="1">
        <v>4.8202345E8</v>
      </c>
      <c r="AA963" s="1" t="s">
        <v>44</v>
      </c>
      <c r="AB963" s="1" t="s">
        <v>45</v>
      </c>
      <c r="AC963" s="1">
        <v>4.8202345E8</v>
      </c>
      <c r="AD963" s="1">
        <v>7.3134603E7</v>
      </c>
      <c r="AF963" s="1">
        <v>87791.0</v>
      </c>
      <c r="AG963" s="2">
        <v>41330.0</v>
      </c>
      <c r="AH963" s="1">
        <v>7500.0</v>
      </c>
      <c r="AI963" s="1" t="s">
        <v>40</v>
      </c>
      <c r="AJ963" s="1" t="s">
        <v>2318</v>
      </c>
      <c r="AK963" s="1" t="s">
        <v>2319</v>
      </c>
      <c r="AL963" s="1">
        <v>2.0</v>
      </c>
      <c r="AM963" s="1">
        <v>2013.0</v>
      </c>
      <c r="AN963" s="1">
        <v>2013.0</v>
      </c>
      <c r="AO963" s="1" t="s">
        <v>1813</v>
      </c>
    </row>
    <row r="964">
      <c r="A964" s="5">
        <v>1.0</v>
      </c>
      <c r="B964" s="1">
        <f t="shared" si="1"/>
        <v>964</v>
      </c>
      <c r="C964" s="1" t="s">
        <v>2320</v>
      </c>
      <c r="D964" s="1" t="s">
        <v>2320</v>
      </c>
      <c r="E964" s="1" t="s">
        <v>194</v>
      </c>
      <c r="G964" s="1">
        <v>1.1956416E7</v>
      </c>
      <c r="H964" s="2">
        <v>41233.0</v>
      </c>
      <c r="I964" s="1" t="s">
        <v>1905</v>
      </c>
      <c r="K964" s="1" t="s">
        <v>1905</v>
      </c>
      <c r="N964" s="1" t="s">
        <v>194</v>
      </c>
      <c r="O964" s="1">
        <v>9100.0</v>
      </c>
      <c r="P964" s="1" t="s">
        <v>194</v>
      </c>
      <c r="Q964" s="1" t="str">
        <f>IF(ISERROR(VLOOKUP(P964,'unique fed agency names'!A:C,3,FALSE)),P964,VLOOKUP(P964,'unique fed agency names'!A:C,3,FALSE))
</f>
        <v>U.S. Department of Education (ED)</v>
      </c>
      <c r="R964" s="1">
        <v>1962224.0</v>
      </c>
      <c r="S964" s="1" t="s">
        <v>52</v>
      </c>
      <c r="T964" s="1" t="str">
        <f>IF(ISERROR(VLOOKUP(S964,'unique org names'!A:C,3,FALSE)),S964,VLOOKUP(S964,'unique org names'!A:C,3,FALSE))
</f>
        <v>WAYNE STATE UNIVERSITY</v>
      </c>
      <c r="V964" s="1" t="s">
        <v>53</v>
      </c>
      <c r="W964" s="1" t="s">
        <v>44</v>
      </c>
      <c r="X964" s="1" t="s">
        <v>45</v>
      </c>
      <c r="Y964" s="1">
        <v>4.82023692E8</v>
      </c>
      <c r="AA964" s="1" t="s">
        <v>44</v>
      </c>
      <c r="AB964" s="1" t="s">
        <v>45</v>
      </c>
      <c r="AC964" s="1">
        <v>4.82023424E8</v>
      </c>
      <c r="AD964" s="1">
        <v>1962224.0</v>
      </c>
      <c r="AE964" s="1" t="s">
        <v>52</v>
      </c>
      <c r="AF964" s="1">
        <v>340082.0</v>
      </c>
      <c r="AG964" s="2">
        <v>41233.0</v>
      </c>
      <c r="AH964" s="1">
        <v>9100.0</v>
      </c>
      <c r="AI964" s="1" t="s">
        <v>194</v>
      </c>
      <c r="AJ964" s="1" t="s">
        <v>2321</v>
      </c>
      <c r="AK964" s="1" t="s">
        <v>1907</v>
      </c>
      <c r="AL964" s="1">
        <v>7.0</v>
      </c>
      <c r="AM964" s="1">
        <v>2014.0</v>
      </c>
      <c r="AN964" s="1">
        <v>2013.0</v>
      </c>
      <c r="AO964" s="1" t="s">
        <v>1908</v>
      </c>
    </row>
    <row r="965">
      <c r="A965" s="5">
        <v>1.0</v>
      </c>
      <c r="B965" s="1">
        <f t="shared" si="1"/>
        <v>965</v>
      </c>
      <c r="C965" s="1" t="s">
        <v>2322</v>
      </c>
      <c r="D965" s="1" t="s">
        <v>2322</v>
      </c>
      <c r="E965" s="1" t="s">
        <v>129</v>
      </c>
      <c r="G965" s="1">
        <v>4240690.0</v>
      </c>
      <c r="H965" s="2">
        <v>41815.0</v>
      </c>
      <c r="I965" s="1" t="s">
        <v>2323</v>
      </c>
      <c r="K965" s="1" t="s">
        <v>2323</v>
      </c>
      <c r="N965" s="1" t="s">
        <v>40</v>
      </c>
      <c r="O965" s="1">
        <v>7500.0</v>
      </c>
      <c r="P965" s="1" t="s">
        <v>40</v>
      </c>
      <c r="Q965" s="1" t="str">
        <f>IF(ISERROR(VLOOKUP(P965,'unique fed agency names'!A:C,3,FALSE)),P965,VLOOKUP(P965,'unique fed agency names'!A:C,3,FALSE))
</f>
        <v>U.S. Department of Health and Human Services (DHHS)</v>
      </c>
      <c r="R965" s="1">
        <v>1962224.0</v>
      </c>
      <c r="S965" s="1" t="s">
        <v>52</v>
      </c>
      <c r="T965" s="1" t="str">
        <f>IF(ISERROR(VLOOKUP(S965,'unique org names'!A:C,3,FALSE)),S965,VLOOKUP(S965,'unique org names'!A:C,3,FALSE))
</f>
        <v>WAYNE STATE UNIVERSITY</v>
      </c>
      <c r="U965" s="1" t="s">
        <v>1566</v>
      </c>
      <c r="V965" s="1" t="s">
        <v>53</v>
      </c>
      <c r="W965" s="1" t="s">
        <v>44</v>
      </c>
      <c r="X965" s="1" t="s">
        <v>45</v>
      </c>
      <c r="Y965" s="1">
        <v>4.82023692E8</v>
      </c>
      <c r="AA965" s="1" t="s">
        <v>46</v>
      </c>
      <c r="AB965" s="1" t="s">
        <v>45</v>
      </c>
      <c r="AC965" s="1">
        <v>4.82012357E8</v>
      </c>
      <c r="AD965" s="1">
        <v>1962224.0</v>
      </c>
      <c r="AE965" s="1" t="s">
        <v>52</v>
      </c>
      <c r="AF965" s="1">
        <v>147000.0</v>
      </c>
      <c r="AG965" s="2">
        <v>41815.0</v>
      </c>
      <c r="AH965" s="1">
        <v>7500.0</v>
      </c>
      <c r="AI965" s="1" t="s">
        <v>40</v>
      </c>
      <c r="AJ965" s="1" t="s">
        <v>2324</v>
      </c>
      <c r="AK965" s="1" t="s">
        <v>2325</v>
      </c>
      <c r="AL965" s="1">
        <v>6.0</v>
      </c>
      <c r="AM965" s="1">
        <v>2014.0</v>
      </c>
      <c r="AN965" s="1">
        <v>2014.0</v>
      </c>
      <c r="AO965" s="1" t="s">
        <v>2326</v>
      </c>
    </row>
    <row r="966">
      <c r="A966" s="5">
        <v>1.0</v>
      </c>
      <c r="B966" s="1">
        <f t="shared" si="1"/>
        <v>966</v>
      </c>
      <c r="C966" s="1" t="s">
        <v>2327</v>
      </c>
      <c r="D966" s="1" t="s">
        <v>2327</v>
      </c>
      <c r="E966" s="1" t="s">
        <v>50</v>
      </c>
      <c r="G966" s="1">
        <v>4200001.0</v>
      </c>
      <c r="H966" s="2">
        <v>41885.0</v>
      </c>
      <c r="I966" s="1" t="s">
        <v>2328</v>
      </c>
      <c r="K966" s="1" t="s">
        <v>2328</v>
      </c>
      <c r="N966" s="1" t="s">
        <v>50</v>
      </c>
      <c r="O966" s="1">
        <v>8900.0</v>
      </c>
      <c r="P966" s="1" t="s">
        <v>50</v>
      </c>
      <c r="Q966" s="1" t="str">
        <f>IF(ISERROR(VLOOKUP(P966,'unique fed agency names'!A:C,3,FALSE)),P966,VLOOKUP(P966,'unique fed agency names'!A:C,3,FALSE))
</f>
        <v>U.S. Department of Energy</v>
      </c>
      <c r="R966" s="1">
        <v>6957872.0</v>
      </c>
      <c r="S966" s="1" t="s">
        <v>216</v>
      </c>
      <c r="T966" s="1" t="str">
        <f>IF(ISERROR(VLOOKUP(S966,'unique org names'!A:C,3,FALSE)),S966,VLOOKUP(S966,'unique org names'!A:C,3,FALSE))
</f>
        <v>THE DETROIT EDISON COMPANY</v>
      </c>
      <c r="U966" s="1" t="s">
        <v>217</v>
      </c>
      <c r="V966" s="1" t="s">
        <v>218</v>
      </c>
      <c r="W966" s="1" t="s">
        <v>44</v>
      </c>
      <c r="X966" s="1" t="s">
        <v>45</v>
      </c>
      <c r="Y966" s="1">
        <v>4.82261203E8</v>
      </c>
      <c r="AA966" s="1" t="s">
        <v>46</v>
      </c>
      <c r="AB966" s="1" t="s">
        <v>45</v>
      </c>
      <c r="AC966" s="1">
        <v>4.82261203E8</v>
      </c>
      <c r="AD966" s="1">
        <v>8.39329158E8</v>
      </c>
      <c r="AE966" s="1" t="s">
        <v>219</v>
      </c>
      <c r="AF966" s="1">
        <v>32326.0</v>
      </c>
      <c r="AG966" s="2">
        <v>41885.0</v>
      </c>
      <c r="AH966" s="1">
        <v>8900.0</v>
      </c>
      <c r="AI966" s="1" t="s">
        <v>50</v>
      </c>
      <c r="AJ966" s="1">
        <v>1.0001146E7</v>
      </c>
      <c r="AK966" s="1" t="s">
        <v>2329</v>
      </c>
      <c r="AL966" s="1">
        <v>9.0</v>
      </c>
      <c r="AM966" s="1">
        <v>2014.0</v>
      </c>
      <c r="AN966" s="1">
        <v>2014.0</v>
      </c>
      <c r="AO966" s="1" t="s">
        <v>222</v>
      </c>
    </row>
    <row r="967">
      <c r="A967" s="5">
        <v>1.0</v>
      </c>
      <c r="B967" s="1">
        <f t="shared" si="1"/>
        <v>967</v>
      </c>
      <c r="C967" s="1" t="s">
        <v>2330</v>
      </c>
      <c r="D967" s="1" t="s">
        <v>2330</v>
      </c>
      <c r="E967" s="1" t="s">
        <v>38</v>
      </c>
      <c r="G967" s="1">
        <v>991511.0</v>
      </c>
      <c r="H967" s="2">
        <v>41879.0</v>
      </c>
      <c r="I967" s="1" t="s">
        <v>2331</v>
      </c>
      <c r="K967" s="1" t="s">
        <v>2331</v>
      </c>
      <c r="N967" s="1" t="s">
        <v>40</v>
      </c>
      <c r="O967" s="1">
        <v>7500.0</v>
      </c>
      <c r="P967" s="1" t="s">
        <v>40</v>
      </c>
      <c r="Q967" s="1" t="str">
        <f>IF(ISERROR(VLOOKUP(P967,'unique fed agency names'!A:C,3,FALSE)),P967,VLOOKUP(P967,'unique fed agency names'!A:C,3,FALSE))
</f>
        <v>U.S. Department of Health and Human Services (DHHS)</v>
      </c>
      <c r="R967" s="1">
        <v>1962224.0</v>
      </c>
      <c r="S967" s="1" t="s">
        <v>52</v>
      </c>
      <c r="T967" s="1" t="str">
        <f>IF(ISERROR(VLOOKUP(S967,'unique org names'!A:C,3,FALSE)),S967,VLOOKUP(S967,'unique org names'!A:C,3,FALSE))
</f>
        <v>WAYNE STATE UNIVERSITY</v>
      </c>
      <c r="U967" s="1" t="s">
        <v>1566</v>
      </c>
      <c r="V967" s="1" t="s">
        <v>53</v>
      </c>
      <c r="W967" s="1" t="s">
        <v>44</v>
      </c>
      <c r="X967" s="1" t="s">
        <v>45</v>
      </c>
      <c r="Y967" s="1">
        <v>4.82023692E8</v>
      </c>
      <c r="AA967" s="1" t="s">
        <v>46</v>
      </c>
      <c r="AB967" s="1" t="s">
        <v>45</v>
      </c>
      <c r="AC967" s="1">
        <v>4.8202405E8</v>
      </c>
      <c r="AD967" s="1">
        <v>1962224.0</v>
      </c>
      <c r="AE967" s="1" t="s">
        <v>52</v>
      </c>
      <c r="AF967" s="1">
        <v>92273.0</v>
      </c>
      <c r="AG967" s="2">
        <v>41879.0</v>
      </c>
      <c r="AH967" s="1">
        <v>7500.0</v>
      </c>
      <c r="AI967" s="1" t="s">
        <v>40</v>
      </c>
      <c r="AJ967" s="1">
        <v>2.001815808E9</v>
      </c>
      <c r="AK967" s="1" t="s">
        <v>2331</v>
      </c>
      <c r="AL967" s="1">
        <v>9.0</v>
      </c>
      <c r="AM967" s="1">
        <v>2014.0</v>
      </c>
      <c r="AN967" s="1">
        <v>2014.0</v>
      </c>
      <c r="AO967" s="1" t="s">
        <v>1749</v>
      </c>
    </row>
    <row r="968">
      <c r="A968" s="5">
        <v>1.0</v>
      </c>
      <c r="B968" s="1">
        <f t="shared" si="1"/>
        <v>968</v>
      </c>
      <c r="C968" s="1" t="s">
        <v>2332</v>
      </c>
      <c r="D968" s="1" t="s">
        <v>2332</v>
      </c>
      <c r="E968" s="1" t="s">
        <v>100</v>
      </c>
      <c r="G968" s="1">
        <v>2903719.0</v>
      </c>
      <c r="H968" s="2">
        <v>41287.0</v>
      </c>
      <c r="I968" s="1" t="s">
        <v>361</v>
      </c>
      <c r="K968" s="1" t="s">
        <v>361</v>
      </c>
      <c r="N968" s="1" t="s">
        <v>102</v>
      </c>
      <c r="O968" s="1">
        <v>8600.0</v>
      </c>
      <c r="P968" s="1" t="s">
        <v>102</v>
      </c>
      <c r="Q968" s="1" t="str">
        <f>IF(ISERROR(VLOOKUP(P968,'unique fed agency names'!A:C,3,FALSE)),P968,VLOOKUP(P968,'unique fed agency names'!A:C,3,FALSE))
</f>
        <v>U.S. Department of Housing and Urban Development (HUD)</v>
      </c>
      <c r="R968" s="1">
        <v>6.07778081E8</v>
      </c>
      <c r="S968" s="1" t="s">
        <v>1002</v>
      </c>
      <c r="T968" s="1" t="str">
        <f>IF(ISERROR(VLOOKUP(S968,'unique org names'!A:C,3,FALSE)),S968,VLOOKUP(S968,'unique org names'!A:C,3,FALSE))
</f>
        <v>TRAVELERS AID SOCIETY OF METROPOLITAN DETROIT</v>
      </c>
      <c r="U968" s="1" t="s">
        <v>1003</v>
      </c>
      <c r="V968" s="1" t="s">
        <v>1004</v>
      </c>
      <c r="W968" s="1" t="s">
        <v>44</v>
      </c>
      <c r="X968" s="1" t="s">
        <v>45</v>
      </c>
      <c r="Y968" s="1">
        <v>4.82261986E8</v>
      </c>
      <c r="AA968" s="1" t="s">
        <v>46</v>
      </c>
      <c r="AB968" s="1" t="s">
        <v>45</v>
      </c>
      <c r="AC968" s="1">
        <v>4.82261986E8</v>
      </c>
      <c r="AD968" s="1">
        <v>6.07778081E8</v>
      </c>
      <c r="AE968" s="1" t="s">
        <v>1002</v>
      </c>
      <c r="AF968" s="1">
        <v>38768.0</v>
      </c>
      <c r="AG968" s="2">
        <v>41287.0</v>
      </c>
      <c r="AH968" s="1">
        <v>8600.0</v>
      </c>
      <c r="AI968" s="1" t="s">
        <v>102</v>
      </c>
      <c r="AJ968" s="1">
        <v>8.0</v>
      </c>
      <c r="AK968" s="1" t="s">
        <v>2333</v>
      </c>
      <c r="AL968" s="1">
        <v>2.0</v>
      </c>
      <c r="AM968" s="1">
        <v>2013.0</v>
      </c>
      <c r="AN968" s="1">
        <v>2013.0</v>
      </c>
      <c r="AO968" s="1" t="s">
        <v>367</v>
      </c>
    </row>
    <row r="969">
      <c r="A969" s="5">
        <v>1.0</v>
      </c>
      <c r="B969" s="1">
        <f t="shared" si="1"/>
        <v>969</v>
      </c>
      <c r="C969" s="1" t="s">
        <v>2332</v>
      </c>
      <c r="D969" s="1" t="s">
        <v>2332</v>
      </c>
      <c r="E969" s="1" t="s">
        <v>100</v>
      </c>
      <c r="G969" s="1">
        <v>2903719.0</v>
      </c>
      <c r="H969" s="2">
        <v>41287.0</v>
      </c>
      <c r="I969" s="1" t="s">
        <v>361</v>
      </c>
      <c r="K969" s="1" t="s">
        <v>361</v>
      </c>
      <c r="N969" s="1" t="s">
        <v>102</v>
      </c>
      <c r="O969" s="1">
        <v>8600.0</v>
      </c>
      <c r="P969" s="1" t="s">
        <v>102</v>
      </c>
      <c r="Q969" s="1" t="str">
        <f>IF(ISERROR(VLOOKUP(P969,'unique fed agency names'!A:C,3,FALSE)),P969,VLOOKUP(P969,'unique fed agency names'!A:C,3,FALSE))
</f>
        <v>U.S. Department of Housing and Urban Development (HUD)</v>
      </c>
      <c r="R969" s="1">
        <v>1.586118E7</v>
      </c>
      <c r="S969" s="1" t="s">
        <v>2334</v>
      </c>
      <c r="T969" s="1" t="str">
        <f>IF(ISERROR(VLOOKUP(S969,'unique org names'!A:C,3,FALSE)),S969,VLOOKUP(S969,'unique org names'!A:C,3,FALSE))
</f>
        <v>The Salvation Army</v>
      </c>
      <c r="U969" s="1" t="s">
        <v>2335</v>
      </c>
      <c r="V969" s="1" t="s">
        <v>2336</v>
      </c>
      <c r="W969" s="1" t="s">
        <v>44</v>
      </c>
      <c r="X969" s="1" t="s">
        <v>45</v>
      </c>
      <c r="Y969" s="1">
        <v>4.820825E8</v>
      </c>
      <c r="AA969" s="1" t="s">
        <v>46</v>
      </c>
      <c r="AB969" s="1" t="s">
        <v>45</v>
      </c>
      <c r="AC969" s="1">
        <v>4.820825E8</v>
      </c>
      <c r="AD969" s="1">
        <v>1.25435284E8</v>
      </c>
      <c r="AF969" s="1">
        <v>100000.0</v>
      </c>
      <c r="AG969" s="2">
        <v>41287.0</v>
      </c>
      <c r="AH969" s="1">
        <v>8600.0</v>
      </c>
      <c r="AI969" s="1" t="s">
        <v>102</v>
      </c>
      <c r="AJ969" s="1">
        <v>2.0</v>
      </c>
      <c r="AK969" s="1" t="s">
        <v>2337</v>
      </c>
      <c r="AL969" s="1">
        <v>2.0</v>
      </c>
      <c r="AM969" s="1">
        <v>2013.0</v>
      </c>
      <c r="AN969" s="1">
        <v>2013.0</v>
      </c>
      <c r="AO969" s="1" t="s">
        <v>367</v>
      </c>
    </row>
    <row r="970">
      <c r="A970" s="5">
        <v>1.0</v>
      </c>
      <c r="B970" s="1">
        <f t="shared" si="1"/>
        <v>970</v>
      </c>
      <c r="C970" s="1" t="s">
        <v>2332</v>
      </c>
      <c r="D970" s="1" t="s">
        <v>2332</v>
      </c>
      <c r="E970" s="1" t="s">
        <v>100</v>
      </c>
      <c r="G970" s="1">
        <v>2903719.0</v>
      </c>
      <c r="H970" s="2">
        <v>41287.0</v>
      </c>
      <c r="I970" s="1" t="s">
        <v>361</v>
      </c>
      <c r="K970" s="1" t="s">
        <v>361</v>
      </c>
      <c r="N970" s="1" t="s">
        <v>102</v>
      </c>
      <c r="O970" s="1">
        <v>8600.0</v>
      </c>
      <c r="P970" s="1" t="s">
        <v>102</v>
      </c>
      <c r="Q970" s="1" t="str">
        <f>IF(ISERROR(VLOOKUP(P970,'unique fed agency names'!A:C,3,FALSE)),P970,VLOOKUP(P970,'unique fed agency names'!A:C,3,FALSE))
</f>
        <v>U.S. Department of Housing and Urban Development (HUD)</v>
      </c>
      <c r="R970" s="1">
        <v>9.4547247E7</v>
      </c>
      <c r="S970" s="1" t="s">
        <v>2201</v>
      </c>
      <c r="T970" s="1" t="str">
        <f>IF(ISERROR(VLOOKUP(S970,'unique org names'!A:C,3,FALSE)),S970,VLOOKUP(S970,'unique org names'!A:C,3,FALSE))
</f>
        <v>Detroit Rescue Mission Ministries</v>
      </c>
      <c r="U970" s="1" t="s">
        <v>2202</v>
      </c>
      <c r="V970" s="1" t="s">
        <v>2203</v>
      </c>
      <c r="W970" s="1" t="s">
        <v>44</v>
      </c>
      <c r="X970" s="1" t="s">
        <v>45</v>
      </c>
      <c r="Y970" s="1">
        <v>4.8201241E8</v>
      </c>
      <c r="AA970" s="1" t="s">
        <v>46</v>
      </c>
      <c r="AB970" s="1" t="s">
        <v>45</v>
      </c>
      <c r="AC970" s="1">
        <v>4.8201241E8</v>
      </c>
      <c r="AD970" s="1">
        <v>9.4547247E7</v>
      </c>
      <c r="AE970" s="1" t="s">
        <v>2201</v>
      </c>
      <c r="AF970" s="1">
        <v>263000.0</v>
      </c>
      <c r="AG970" s="2">
        <v>41287.0</v>
      </c>
      <c r="AH970" s="1">
        <v>8600.0</v>
      </c>
      <c r="AI970" s="1" t="s">
        <v>102</v>
      </c>
      <c r="AJ970" s="1">
        <v>1.0</v>
      </c>
      <c r="AK970" s="1" t="s">
        <v>2338</v>
      </c>
      <c r="AL970" s="1">
        <v>2.0</v>
      </c>
      <c r="AM970" s="1">
        <v>2013.0</v>
      </c>
      <c r="AN970" s="1">
        <v>2013.0</v>
      </c>
      <c r="AO970" s="1" t="s">
        <v>367</v>
      </c>
    </row>
    <row r="971">
      <c r="A971" s="5">
        <v>1.0</v>
      </c>
      <c r="B971" s="1">
        <f t="shared" si="1"/>
        <v>971</v>
      </c>
      <c r="C971" s="1" t="s">
        <v>2332</v>
      </c>
      <c r="D971" s="1" t="s">
        <v>2332</v>
      </c>
      <c r="E971" s="1" t="s">
        <v>100</v>
      </c>
      <c r="G971" s="1">
        <v>2903719.0</v>
      </c>
      <c r="H971" s="2">
        <v>41287.0</v>
      </c>
      <c r="I971" s="1" t="s">
        <v>361</v>
      </c>
      <c r="K971" s="1" t="s">
        <v>361</v>
      </c>
      <c r="N971" s="1" t="s">
        <v>102</v>
      </c>
      <c r="O971" s="1">
        <v>8600.0</v>
      </c>
      <c r="P971" s="1" t="s">
        <v>102</v>
      </c>
      <c r="Q971" s="1" t="str">
        <f>IF(ISERROR(VLOOKUP(P971,'unique fed agency names'!A:C,3,FALSE)),P971,VLOOKUP(P971,'unique fed agency names'!A:C,3,FALSE))
</f>
        <v>U.S. Department of Housing and Urban Development (HUD)</v>
      </c>
      <c r="R971" s="1">
        <v>1.97862014E8</v>
      </c>
      <c r="S971" s="1" t="s">
        <v>1056</v>
      </c>
      <c r="T971" s="1" t="str">
        <f>IF(ISERROR(VLOOKUP(S971,'unique org names'!A:C,3,FALSE)),S971,VLOOKUP(S971,'unique org names'!A:C,3,FALSE))
</f>
        <v>WAYNE COUNTY NEIGHBORHOOD LEGAL SERVICES</v>
      </c>
      <c r="U971" s="1" t="s">
        <v>1057</v>
      </c>
      <c r="V971" s="1" t="s">
        <v>1058</v>
      </c>
      <c r="W971" s="1" t="s">
        <v>44</v>
      </c>
      <c r="X971" s="1" t="s">
        <v>45</v>
      </c>
      <c r="Y971" s="1">
        <v>4.82023165E8</v>
      </c>
      <c r="AA971" s="1" t="s">
        <v>46</v>
      </c>
      <c r="AB971" s="1" t="s">
        <v>45</v>
      </c>
      <c r="AC971" s="1">
        <v>4.82023165E8</v>
      </c>
      <c r="AD971" s="1">
        <v>1.97862014E8</v>
      </c>
      <c r="AE971" s="1" t="s">
        <v>1056</v>
      </c>
      <c r="AF971" s="1">
        <v>691135.0</v>
      </c>
      <c r="AG971" s="2">
        <v>41287.0</v>
      </c>
      <c r="AH971" s="1">
        <v>8600.0</v>
      </c>
      <c r="AI971" s="1" t="s">
        <v>102</v>
      </c>
      <c r="AJ971" s="1">
        <v>3.0</v>
      </c>
      <c r="AK971" s="1" t="s">
        <v>2339</v>
      </c>
      <c r="AL971" s="1">
        <v>2.0</v>
      </c>
      <c r="AM971" s="1">
        <v>2013.0</v>
      </c>
      <c r="AN971" s="1">
        <v>2013.0</v>
      </c>
      <c r="AO971" s="1" t="s">
        <v>367</v>
      </c>
    </row>
    <row r="972">
      <c r="A972" s="5">
        <v>1.0</v>
      </c>
      <c r="B972" s="1">
        <f t="shared" si="1"/>
        <v>972</v>
      </c>
      <c r="C972" s="1" t="s">
        <v>2340</v>
      </c>
      <c r="D972" s="1" t="s">
        <v>2340</v>
      </c>
      <c r="E972" s="1" t="s">
        <v>389</v>
      </c>
      <c r="G972" s="1">
        <v>5000000.0</v>
      </c>
      <c r="H972" s="2">
        <v>41666.0</v>
      </c>
      <c r="I972" s="1" t="s">
        <v>2341</v>
      </c>
      <c r="K972" s="1" t="s">
        <v>2341</v>
      </c>
      <c r="N972" s="1" t="s">
        <v>391</v>
      </c>
      <c r="O972" s="1">
        <v>1600.0</v>
      </c>
      <c r="P972" s="1" t="s">
        <v>391</v>
      </c>
      <c r="Q972" s="1" t="str">
        <f>IF(ISERROR(VLOOKUP(P972,'unique fed agency names'!A:C,3,FALSE)),P972,VLOOKUP(P972,'unique fed agency names'!A:C,3,FALSE))
</f>
        <v>U.S. Department of Labor (DOL)</v>
      </c>
      <c r="R972" s="1">
        <v>3.2345709E7</v>
      </c>
      <c r="S972" s="1" t="s">
        <v>182</v>
      </c>
      <c r="T972" s="1" t="str">
        <f>IF(ISERROR(VLOOKUP(S972,'unique org names'!A:C,3,FALSE)),S972,VLOOKUP(S972,'unique org names'!A:C,3,FALSE))
</f>
        <v>Big Brothers Big Sisters of Metropolitan Detroit</v>
      </c>
      <c r="V972" s="1" t="s">
        <v>183</v>
      </c>
      <c r="W972" s="1" t="s">
        <v>44</v>
      </c>
      <c r="X972" s="1" t="s">
        <v>45</v>
      </c>
      <c r="Y972" s="1">
        <v>4.82022411E8</v>
      </c>
      <c r="AA972" s="1" t="s">
        <v>46</v>
      </c>
      <c r="AB972" s="1" t="s">
        <v>45</v>
      </c>
      <c r="AC972" s="1">
        <v>4.82022411E8</v>
      </c>
      <c r="AD972" s="1">
        <v>3.2345709E7</v>
      </c>
      <c r="AE972" s="1" t="s">
        <v>182</v>
      </c>
      <c r="AF972" s="1">
        <v>532000.0</v>
      </c>
      <c r="AG972" s="2">
        <v>41666.0</v>
      </c>
      <c r="AH972" s="1">
        <v>1600.0</v>
      </c>
      <c r="AI972" s="1" t="s">
        <v>391</v>
      </c>
      <c r="AJ972" s="1" t="s">
        <v>2342</v>
      </c>
      <c r="AK972" s="1" t="s">
        <v>2343</v>
      </c>
      <c r="AL972" s="1">
        <v>1.0</v>
      </c>
      <c r="AM972" s="1">
        <v>2014.0</v>
      </c>
      <c r="AN972" s="1">
        <v>2014.0</v>
      </c>
      <c r="AO972" s="1" t="s">
        <v>2344</v>
      </c>
    </row>
    <row r="973">
      <c r="A973" s="5">
        <v>1.0</v>
      </c>
      <c r="B973" s="1">
        <f t="shared" si="1"/>
        <v>973</v>
      </c>
      <c r="C973" s="1" t="s">
        <v>2345</v>
      </c>
      <c r="D973" s="1" t="s">
        <v>2345</v>
      </c>
      <c r="E973" s="1" t="s">
        <v>224</v>
      </c>
      <c r="G973" s="1">
        <v>59375.0</v>
      </c>
      <c r="H973" s="2">
        <v>41736.0</v>
      </c>
      <c r="I973" s="1" t="s">
        <v>2346</v>
      </c>
      <c r="K973" s="1" t="s">
        <v>2346</v>
      </c>
      <c r="N973" s="1" t="s">
        <v>151</v>
      </c>
      <c r="O973" s="1">
        <v>6900.0</v>
      </c>
      <c r="P973" s="1" t="s">
        <v>151</v>
      </c>
      <c r="Q973" s="1" t="str">
        <f>IF(ISERROR(VLOOKUP(P973,'unique fed agency names'!A:C,3,FALSE)),P973,VLOOKUP(P973,'unique fed agency names'!A:C,3,FALSE))
</f>
        <v>U.S. Department of Transportation (DOT)</v>
      </c>
      <c r="R973" s="1">
        <v>1.1855476E8</v>
      </c>
      <c r="S973" s="1" t="s">
        <v>983</v>
      </c>
      <c r="T973" s="1" t="str">
        <f>IF(ISERROR(VLOOKUP(S973,'unique org names'!A:C,3,FALSE)),S973,VLOOKUP(S973,'unique org names'!A:C,3,FALSE))
</f>
        <v>City of Detroit</v>
      </c>
      <c r="U973" s="1" t="s">
        <v>984</v>
      </c>
      <c r="V973" s="1" t="s">
        <v>227</v>
      </c>
      <c r="W973" s="1" t="s">
        <v>44</v>
      </c>
      <c r="X973" s="1" t="s">
        <v>45</v>
      </c>
      <c r="Y973" s="1">
        <v>4.82262886E8</v>
      </c>
      <c r="AA973" s="1" t="s">
        <v>46</v>
      </c>
      <c r="AB973" s="1" t="s">
        <v>45</v>
      </c>
      <c r="AC973" s="1">
        <v>4.82262886E8</v>
      </c>
      <c r="AD973" s="1">
        <v>6530661.0</v>
      </c>
      <c r="AE973" s="1" t="s">
        <v>76</v>
      </c>
      <c r="AF973" s="1">
        <v>59375.0</v>
      </c>
      <c r="AG973" s="2">
        <v>41736.0</v>
      </c>
      <c r="AH973" s="1">
        <v>6900.0</v>
      </c>
      <c r="AI973" s="1" t="s">
        <v>151</v>
      </c>
      <c r="AJ973" s="1">
        <v>1.0</v>
      </c>
      <c r="AK973" s="1" t="s">
        <v>2347</v>
      </c>
      <c r="AL973" s="1">
        <v>4.0</v>
      </c>
      <c r="AM973" s="1">
        <v>2014.0</v>
      </c>
      <c r="AN973" s="1">
        <v>2014.0</v>
      </c>
      <c r="AO973" s="1" t="s">
        <v>229</v>
      </c>
    </row>
    <row r="974">
      <c r="A974" s="5">
        <v>1.0</v>
      </c>
      <c r="B974" s="1">
        <f t="shared" si="1"/>
        <v>974</v>
      </c>
      <c r="C974" s="1" t="s">
        <v>2348</v>
      </c>
      <c r="D974" s="1" t="s">
        <v>2348</v>
      </c>
      <c r="E974" s="1" t="s">
        <v>224</v>
      </c>
      <c r="G974" s="1">
        <v>620029.0</v>
      </c>
      <c r="H974" s="2">
        <v>41736.0</v>
      </c>
      <c r="I974" s="1" t="s">
        <v>2349</v>
      </c>
      <c r="K974" s="1" t="s">
        <v>2349</v>
      </c>
      <c r="N974" s="1" t="s">
        <v>151</v>
      </c>
      <c r="O974" s="1">
        <v>6900.0</v>
      </c>
      <c r="P974" s="1" t="s">
        <v>151</v>
      </c>
      <c r="Q974" s="1" t="str">
        <f>IF(ISERROR(VLOOKUP(P974,'unique fed agency names'!A:C,3,FALSE)),P974,VLOOKUP(P974,'unique fed agency names'!A:C,3,FALSE))
</f>
        <v>U.S. Department of Transportation (DOT)</v>
      </c>
      <c r="R974" s="1">
        <v>1.1855476E8</v>
      </c>
      <c r="S974" s="1" t="s">
        <v>983</v>
      </c>
      <c r="T974" s="1" t="str">
        <f>IF(ISERROR(VLOOKUP(S974,'unique org names'!A:C,3,FALSE)),S974,VLOOKUP(S974,'unique org names'!A:C,3,FALSE))
</f>
        <v>City of Detroit</v>
      </c>
      <c r="U974" s="1" t="s">
        <v>984</v>
      </c>
      <c r="V974" s="1" t="s">
        <v>227</v>
      </c>
      <c r="W974" s="1" t="s">
        <v>44</v>
      </c>
      <c r="X974" s="1" t="s">
        <v>45</v>
      </c>
      <c r="Y974" s="1">
        <v>4.82262886E8</v>
      </c>
      <c r="AA974" s="1" t="s">
        <v>46</v>
      </c>
      <c r="AB974" s="1" t="s">
        <v>45</v>
      </c>
      <c r="AC974" s="1">
        <v>4.82262886E8</v>
      </c>
      <c r="AD974" s="1">
        <v>6530661.0</v>
      </c>
      <c r="AE974" s="1" t="s">
        <v>76</v>
      </c>
      <c r="AF974" s="1">
        <v>620029.97</v>
      </c>
      <c r="AG974" s="2">
        <v>41736.0</v>
      </c>
      <c r="AH974" s="1">
        <v>6900.0</v>
      </c>
      <c r="AI974" s="1" t="s">
        <v>151</v>
      </c>
      <c r="AJ974" s="1">
        <v>1.0</v>
      </c>
      <c r="AK974" s="1" t="s">
        <v>2350</v>
      </c>
      <c r="AL974" s="1">
        <v>4.0</v>
      </c>
      <c r="AM974" s="1">
        <v>2014.0</v>
      </c>
      <c r="AN974" s="1">
        <v>2014.0</v>
      </c>
      <c r="AO974" s="1" t="s">
        <v>229</v>
      </c>
    </row>
    <row r="975">
      <c r="A975" s="5">
        <v>1.0</v>
      </c>
      <c r="B975" s="1">
        <f t="shared" si="1"/>
        <v>975</v>
      </c>
      <c r="C975" s="1" t="s">
        <v>2351</v>
      </c>
      <c r="D975" s="1" t="s">
        <v>2351</v>
      </c>
      <c r="E975" s="1" t="s">
        <v>100</v>
      </c>
      <c r="G975" s="1">
        <v>3.3353508E7</v>
      </c>
      <c r="H975" s="2">
        <v>41288.0</v>
      </c>
      <c r="I975" s="1" t="s">
        <v>297</v>
      </c>
      <c r="K975" s="1" t="s">
        <v>297</v>
      </c>
      <c r="N975" s="1" t="s">
        <v>102</v>
      </c>
      <c r="O975" s="1">
        <v>8600.0</v>
      </c>
      <c r="P975" s="1" t="s">
        <v>102</v>
      </c>
      <c r="Q975" s="1" t="str">
        <f>IF(ISERROR(VLOOKUP(P975,'unique fed agency names'!A:C,3,FALSE)),P975,VLOOKUP(P975,'unique fed agency names'!A:C,3,FALSE))
</f>
        <v>U.S. Department of Housing and Urban Development (HUD)</v>
      </c>
      <c r="R975" s="1">
        <v>1.6752507E8</v>
      </c>
      <c r="S975" s="1" t="s">
        <v>2352</v>
      </c>
      <c r="T975" s="1" t="str">
        <f>IF(ISERROR(VLOOKUP(S975,'unique org names'!A:C,3,FALSE)),S975,VLOOKUP(S975,'unique org names'!A:C,3,FALSE))
</f>
        <v>Cass Community Social Services, Inc</v>
      </c>
      <c r="V975" s="1" t="s">
        <v>2353</v>
      </c>
      <c r="W975" s="1" t="s">
        <v>44</v>
      </c>
      <c r="X975" s="1" t="s">
        <v>45</v>
      </c>
      <c r="Y975" s="1">
        <v>4.82061351E8</v>
      </c>
      <c r="AA975" s="1" t="s">
        <v>46</v>
      </c>
      <c r="AB975" s="1" t="s">
        <v>45</v>
      </c>
      <c r="AC975" s="1">
        <v>4.82061351E8</v>
      </c>
      <c r="AD975" s="1">
        <v>1.6752507E8</v>
      </c>
      <c r="AE975" s="1" t="s">
        <v>2352</v>
      </c>
      <c r="AF975" s="1">
        <v>7748.0</v>
      </c>
      <c r="AG975" s="2">
        <v>41288.0</v>
      </c>
      <c r="AH975" s="1">
        <v>8600.0</v>
      </c>
      <c r="AI975" s="1" t="s">
        <v>102</v>
      </c>
      <c r="AJ975" s="1">
        <v>7748.0</v>
      </c>
      <c r="AK975" s="1" t="s">
        <v>2354</v>
      </c>
      <c r="AL975" s="1">
        <v>2.0</v>
      </c>
      <c r="AM975" s="1">
        <v>2013.0</v>
      </c>
      <c r="AN975" s="1">
        <v>2013.0</v>
      </c>
      <c r="AO975" s="1" t="s">
        <v>305</v>
      </c>
    </row>
    <row r="976">
      <c r="A976" s="5">
        <v>1.0</v>
      </c>
      <c r="B976" s="1">
        <f t="shared" si="1"/>
        <v>976</v>
      </c>
      <c r="C976" s="1" t="s">
        <v>2351</v>
      </c>
      <c r="D976" s="1" t="s">
        <v>2351</v>
      </c>
      <c r="E976" s="1" t="s">
        <v>100</v>
      </c>
      <c r="G976" s="1">
        <v>3.3353508E7</v>
      </c>
      <c r="H976" s="2">
        <v>41288.0</v>
      </c>
      <c r="I976" s="1" t="s">
        <v>297</v>
      </c>
      <c r="K976" s="1" t="s">
        <v>297</v>
      </c>
      <c r="N976" s="1" t="s">
        <v>102</v>
      </c>
      <c r="O976" s="1">
        <v>8600.0</v>
      </c>
      <c r="P976" s="1" t="s">
        <v>102</v>
      </c>
      <c r="Q976" s="1" t="str">
        <f>IF(ISERROR(VLOOKUP(P976,'unique fed agency names'!A:C,3,FALSE)),P976,VLOOKUP(P976,'unique fed agency names'!A:C,3,FALSE))
</f>
        <v>U.S. Department of Housing and Urban Development (HUD)</v>
      </c>
      <c r="R976" s="1">
        <v>6.2371729E8</v>
      </c>
      <c r="S976" s="1" t="s">
        <v>2355</v>
      </c>
      <c r="T976" s="1" t="str">
        <f>IF(ISERROR(VLOOKUP(S976,'unique org names'!A:C,3,FALSE)),S976,VLOOKUP(S976,'unique org names'!A:C,3,FALSE))
</f>
        <v>Community Social Services of Wayne County</v>
      </c>
      <c r="V976" s="1" t="s">
        <v>2193</v>
      </c>
      <c r="W976" s="1" t="s">
        <v>44</v>
      </c>
      <c r="X976" s="1" t="s">
        <v>45</v>
      </c>
      <c r="Y976" s="1">
        <v>4.82021424E8</v>
      </c>
      <c r="AA976" s="1" t="s">
        <v>46</v>
      </c>
      <c r="AB976" s="1" t="s">
        <v>45</v>
      </c>
      <c r="AC976" s="1">
        <v>4.82021424E8</v>
      </c>
      <c r="AF976" s="1">
        <v>88000.0</v>
      </c>
      <c r="AG976" s="2">
        <v>41288.0</v>
      </c>
      <c r="AH976" s="1">
        <v>8600.0</v>
      </c>
      <c r="AI976" s="1" t="s">
        <v>102</v>
      </c>
      <c r="AJ976" s="1">
        <v>7749.0</v>
      </c>
      <c r="AK976" s="1" t="s">
        <v>2356</v>
      </c>
      <c r="AL976" s="1">
        <v>2.0</v>
      </c>
      <c r="AM976" s="1">
        <v>2013.0</v>
      </c>
      <c r="AN976" s="1">
        <v>2013.0</v>
      </c>
      <c r="AO976" s="1" t="s">
        <v>305</v>
      </c>
    </row>
    <row r="977">
      <c r="A977" s="5">
        <v>1.0</v>
      </c>
      <c r="B977" s="1">
        <f t="shared" si="1"/>
        <v>977</v>
      </c>
      <c r="C977" s="1" t="s">
        <v>2351</v>
      </c>
      <c r="D977" s="1" t="s">
        <v>2351</v>
      </c>
      <c r="E977" s="1" t="s">
        <v>100</v>
      </c>
      <c r="G977" s="1">
        <v>3.3353508E7</v>
      </c>
      <c r="H977" s="2">
        <v>41288.0</v>
      </c>
      <c r="I977" s="1" t="s">
        <v>297</v>
      </c>
      <c r="K977" s="1" t="s">
        <v>297</v>
      </c>
      <c r="N977" s="1" t="s">
        <v>102</v>
      </c>
      <c r="O977" s="1">
        <v>8600.0</v>
      </c>
      <c r="P977" s="1" t="s">
        <v>102</v>
      </c>
      <c r="Q977" s="1" t="str">
        <f>IF(ISERROR(VLOOKUP(P977,'unique fed agency names'!A:C,3,FALSE)),P977,VLOOKUP(P977,'unique fed agency names'!A:C,3,FALSE))
</f>
        <v>U.S. Department of Housing and Urban Development (HUD)</v>
      </c>
      <c r="R977" s="1">
        <v>7.9832754E8</v>
      </c>
      <c r="S977" s="1" t="s">
        <v>2243</v>
      </c>
      <c r="T977" s="1" t="str">
        <f>IF(ISERROR(VLOOKUP(S977,'unique org names'!A:C,3,FALSE)),S977,VLOOKUP(S977,'unique org names'!A:C,3,FALSE))
</f>
        <v>Michigan Veterans Foundation</v>
      </c>
      <c r="U977" s="1" t="s">
        <v>2244</v>
      </c>
      <c r="V977" s="1" t="s">
        <v>2245</v>
      </c>
      <c r="W977" s="1" t="s">
        <v>44</v>
      </c>
      <c r="X977" s="1" t="s">
        <v>45</v>
      </c>
      <c r="Y977" s="1">
        <v>4.82013012E8</v>
      </c>
      <c r="AA977" s="1" t="s">
        <v>46</v>
      </c>
      <c r="AB977" s="1" t="s">
        <v>45</v>
      </c>
      <c r="AC977" s="1">
        <v>4.82013012E8</v>
      </c>
      <c r="AF977" s="1">
        <v>88000.0</v>
      </c>
      <c r="AG977" s="2">
        <v>41288.0</v>
      </c>
      <c r="AH977" s="1">
        <v>8600.0</v>
      </c>
      <c r="AI977" s="1" t="s">
        <v>102</v>
      </c>
      <c r="AJ977" s="1">
        <v>7763.0</v>
      </c>
      <c r="AK977" s="1" t="s">
        <v>2357</v>
      </c>
      <c r="AL977" s="1">
        <v>2.0</v>
      </c>
      <c r="AM977" s="1">
        <v>2013.0</v>
      </c>
      <c r="AN977" s="1">
        <v>2013.0</v>
      </c>
      <c r="AO977" s="1" t="s">
        <v>305</v>
      </c>
    </row>
    <row r="978">
      <c r="A978" s="5">
        <v>1.0</v>
      </c>
      <c r="B978" s="1">
        <f t="shared" si="1"/>
        <v>978</v>
      </c>
      <c r="C978" s="1" t="s">
        <v>2351</v>
      </c>
      <c r="D978" s="1" t="s">
        <v>2351</v>
      </c>
      <c r="E978" s="1" t="s">
        <v>100</v>
      </c>
      <c r="G978" s="1">
        <v>3.3353508E7</v>
      </c>
      <c r="H978" s="2">
        <v>41288.0</v>
      </c>
      <c r="I978" s="1" t="s">
        <v>297</v>
      </c>
      <c r="K978" s="1" t="s">
        <v>297</v>
      </c>
      <c r="N978" s="1" t="s">
        <v>102</v>
      </c>
      <c r="O978" s="1">
        <v>8600.0</v>
      </c>
      <c r="P978" s="1" t="s">
        <v>102</v>
      </c>
      <c r="Q978" s="1" t="str">
        <f>IF(ISERROR(VLOOKUP(P978,'unique fed agency names'!A:C,3,FALSE)),P978,VLOOKUP(P978,'unique fed agency names'!A:C,3,FALSE))
</f>
        <v>U.S. Department of Housing and Urban Development (HUD)</v>
      </c>
      <c r="R978" s="1">
        <v>8.06464913E8</v>
      </c>
      <c r="S978" s="1" t="s">
        <v>2205</v>
      </c>
      <c r="T978" s="1" t="str">
        <f>IF(ISERROR(VLOOKUP(S978,'unique org names'!A:C,3,FALSE)),S978,VLOOKUP(S978,'unique org names'!A:C,3,FALSE))
</f>
        <v>Covenant House Michigan</v>
      </c>
      <c r="U978" s="1" t="s">
        <v>2206</v>
      </c>
      <c r="V978" s="1" t="s">
        <v>2207</v>
      </c>
      <c r="W978" s="1" t="s">
        <v>44</v>
      </c>
      <c r="X978" s="1" t="s">
        <v>45</v>
      </c>
      <c r="Y978" s="1">
        <v>4.82082475E8</v>
      </c>
      <c r="AA978" s="1" t="s">
        <v>46</v>
      </c>
      <c r="AB978" s="1" t="s">
        <v>45</v>
      </c>
      <c r="AC978" s="1">
        <v>4.82082475E8</v>
      </c>
      <c r="AF978" s="1">
        <v>88000.0</v>
      </c>
      <c r="AG978" s="2">
        <v>41288.0</v>
      </c>
      <c r="AH978" s="1">
        <v>8600.0</v>
      </c>
      <c r="AI978" s="1" t="s">
        <v>102</v>
      </c>
      <c r="AJ978" s="1">
        <v>7752.0</v>
      </c>
      <c r="AK978" s="1" t="s">
        <v>2358</v>
      </c>
      <c r="AL978" s="1">
        <v>2.0</v>
      </c>
      <c r="AM978" s="1">
        <v>2013.0</v>
      </c>
      <c r="AN978" s="1">
        <v>2013.0</v>
      </c>
      <c r="AO978" s="1" t="s">
        <v>305</v>
      </c>
    </row>
    <row r="979">
      <c r="A979" s="5">
        <v>1.0</v>
      </c>
      <c r="B979" s="1">
        <f t="shared" si="1"/>
        <v>979</v>
      </c>
      <c r="C979" s="1" t="s">
        <v>2351</v>
      </c>
      <c r="D979" s="1" t="s">
        <v>2351</v>
      </c>
      <c r="E979" s="1" t="s">
        <v>100</v>
      </c>
      <c r="G979" s="1">
        <v>3.3353508E7</v>
      </c>
      <c r="H979" s="2">
        <v>41288.0</v>
      </c>
      <c r="I979" s="1" t="s">
        <v>297</v>
      </c>
      <c r="K979" s="1" t="s">
        <v>297</v>
      </c>
      <c r="N979" s="1" t="s">
        <v>102</v>
      </c>
      <c r="O979" s="1">
        <v>8600.0</v>
      </c>
      <c r="P979" s="1" t="s">
        <v>102</v>
      </c>
      <c r="Q979" s="1" t="str">
        <f>IF(ISERROR(VLOOKUP(P979,'unique fed agency names'!A:C,3,FALSE)),P979,VLOOKUP(P979,'unique fed agency names'!A:C,3,FALSE))
</f>
        <v>U.S. Department of Housing and Urban Development (HUD)</v>
      </c>
      <c r="R979" s="1">
        <v>1.97862014E8</v>
      </c>
      <c r="S979" s="1" t="s">
        <v>1056</v>
      </c>
      <c r="T979" s="1" t="str">
        <f>IF(ISERROR(VLOOKUP(S979,'unique org names'!A:C,3,FALSE)),S979,VLOOKUP(S979,'unique org names'!A:C,3,FALSE))
</f>
        <v>WAYNE COUNTY NEIGHBORHOOD LEGAL SERVICES</v>
      </c>
      <c r="U979" s="1" t="s">
        <v>1057</v>
      </c>
      <c r="V979" s="1" t="s">
        <v>1058</v>
      </c>
      <c r="W979" s="1" t="s">
        <v>44</v>
      </c>
      <c r="X979" s="1" t="s">
        <v>45</v>
      </c>
      <c r="Y979" s="1">
        <v>4.82023165E8</v>
      </c>
      <c r="AA979" s="1" t="s">
        <v>46</v>
      </c>
      <c r="AB979" s="1" t="s">
        <v>45</v>
      </c>
      <c r="AC979" s="1">
        <v>4.82023165E8</v>
      </c>
      <c r="AD979" s="1">
        <v>1.97862014E8</v>
      </c>
      <c r="AE979" s="1" t="s">
        <v>1056</v>
      </c>
      <c r="AF979" s="1">
        <v>88000.0</v>
      </c>
      <c r="AG979" s="2">
        <v>41288.0</v>
      </c>
      <c r="AH979" s="1">
        <v>8600.0</v>
      </c>
      <c r="AI979" s="1" t="s">
        <v>102</v>
      </c>
      <c r="AJ979" s="1">
        <v>7768.0</v>
      </c>
      <c r="AK979" s="1" t="s">
        <v>2359</v>
      </c>
      <c r="AL979" s="1">
        <v>2.0</v>
      </c>
      <c r="AM979" s="1">
        <v>2013.0</v>
      </c>
      <c r="AN979" s="1">
        <v>2013.0</v>
      </c>
      <c r="AO979" s="1" t="s">
        <v>305</v>
      </c>
    </row>
    <row r="980">
      <c r="A980" s="5">
        <v>1.0</v>
      </c>
      <c r="B980" s="1">
        <f t="shared" si="1"/>
        <v>980</v>
      </c>
      <c r="C980" s="1" t="s">
        <v>2351</v>
      </c>
      <c r="D980" s="1" t="s">
        <v>2351</v>
      </c>
      <c r="E980" s="1" t="s">
        <v>100</v>
      </c>
      <c r="G980" s="1">
        <v>3.3353508E7</v>
      </c>
      <c r="H980" s="2">
        <v>41288.0</v>
      </c>
      <c r="I980" s="1" t="s">
        <v>297</v>
      </c>
      <c r="K980" s="1" t="s">
        <v>297</v>
      </c>
      <c r="N980" s="1" t="s">
        <v>102</v>
      </c>
      <c r="O980" s="1">
        <v>8600.0</v>
      </c>
      <c r="P980" s="1" t="s">
        <v>102</v>
      </c>
      <c r="Q980" s="1" t="str">
        <f>IF(ISERROR(VLOOKUP(P980,'unique fed agency names'!A:C,3,FALSE)),P980,VLOOKUP(P980,'unique fed agency names'!A:C,3,FALSE))
</f>
        <v>U.S. Department of Housing and Urban Development (HUD)</v>
      </c>
      <c r="R980" s="1">
        <v>7.2761299E7</v>
      </c>
      <c r="S980" s="1" t="s">
        <v>667</v>
      </c>
      <c r="T980" s="1" t="str">
        <f>IF(ISERROR(VLOOKUP(S980,'unique org names'!A:C,3,FALSE)),S980,VLOOKUP(S980,'unique org names'!A:C,3,FALSE))
</f>
        <v>Focus: HOPE</v>
      </c>
      <c r="V980" s="1" t="s">
        <v>668</v>
      </c>
      <c r="W980" s="1" t="s">
        <v>44</v>
      </c>
      <c r="X980" s="1" t="s">
        <v>45</v>
      </c>
      <c r="Y980" s="1">
        <v>4.82382849E8</v>
      </c>
      <c r="AA980" s="1" t="s">
        <v>46</v>
      </c>
      <c r="AB980" s="1" t="s">
        <v>45</v>
      </c>
      <c r="AC980" s="1">
        <v>4.82382849E8</v>
      </c>
      <c r="AD980" s="1">
        <v>7.2761299E7</v>
      </c>
      <c r="AE980" s="1" t="s">
        <v>667</v>
      </c>
      <c r="AF980" s="1">
        <v>100000.0</v>
      </c>
      <c r="AG980" s="2">
        <v>41288.0</v>
      </c>
      <c r="AH980" s="1">
        <v>8600.0</v>
      </c>
      <c r="AI980" s="1" t="s">
        <v>102</v>
      </c>
      <c r="AJ980" s="1">
        <v>7693.0</v>
      </c>
      <c r="AK980" s="1" t="s">
        <v>2360</v>
      </c>
      <c r="AL980" s="1">
        <v>2.0</v>
      </c>
      <c r="AM980" s="1">
        <v>2013.0</v>
      </c>
      <c r="AN980" s="1">
        <v>2013.0</v>
      </c>
      <c r="AO980" s="1" t="s">
        <v>305</v>
      </c>
    </row>
    <row r="981">
      <c r="A981" s="5">
        <v>1.0</v>
      </c>
      <c r="B981" s="1">
        <f t="shared" si="1"/>
        <v>981</v>
      </c>
      <c r="C981" s="1" t="s">
        <v>2351</v>
      </c>
      <c r="D981" s="1" t="s">
        <v>2351</v>
      </c>
      <c r="E981" s="1" t="s">
        <v>100</v>
      </c>
      <c r="G981" s="1">
        <v>3.3353508E7</v>
      </c>
      <c r="H981" s="2">
        <v>41288.0</v>
      </c>
      <c r="I981" s="1" t="s">
        <v>297</v>
      </c>
      <c r="K981" s="1" t="s">
        <v>297</v>
      </c>
      <c r="N981" s="1" t="s">
        <v>102</v>
      </c>
      <c r="O981" s="1">
        <v>8600.0</v>
      </c>
      <c r="P981" s="1" t="s">
        <v>102</v>
      </c>
      <c r="Q981" s="1" t="str">
        <f>IF(ISERROR(VLOOKUP(P981,'unique fed agency names'!A:C,3,FALSE)),P981,VLOOKUP(P981,'unique fed agency names'!A:C,3,FALSE))
</f>
        <v>U.S. Department of Housing and Urban Development (HUD)</v>
      </c>
      <c r="R981" s="1">
        <v>7.8671071E8</v>
      </c>
      <c r="S981" s="1" t="s">
        <v>2154</v>
      </c>
      <c r="T981" s="1" t="str">
        <f>IF(ISERROR(VLOOKUP(S981,'unique org names'!A:C,3,FALSE)),S981,VLOOKUP(S981,'unique org names'!A:C,3,FALSE))
</f>
        <v>Joy-Southfield Community Development Corporation</v>
      </c>
      <c r="V981" s="1" t="s">
        <v>2155</v>
      </c>
      <c r="W981" s="1" t="s">
        <v>44</v>
      </c>
      <c r="X981" s="1" t="s">
        <v>45</v>
      </c>
      <c r="Y981" s="1">
        <v>4.8228305E8</v>
      </c>
      <c r="AA981" s="1" t="s">
        <v>46</v>
      </c>
      <c r="AB981" s="1" t="s">
        <v>45</v>
      </c>
      <c r="AC981" s="1">
        <v>4.8228305E8</v>
      </c>
      <c r="AF981" s="1">
        <v>129377.0</v>
      </c>
      <c r="AG981" s="2">
        <v>41288.0</v>
      </c>
      <c r="AH981" s="1">
        <v>8600.0</v>
      </c>
      <c r="AI981" s="1" t="s">
        <v>102</v>
      </c>
      <c r="AJ981" s="1">
        <v>7695.0</v>
      </c>
      <c r="AK981" s="1" t="s">
        <v>2361</v>
      </c>
      <c r="AL981" s="1">
        <v>2.0</v>
      </c>
      <c r="AM981" s="1">
        <v>2013.0</v>
      </c>
      <c r="AN981" s="1">
        <v>2013.0</v>
      </c>
      <c r="AO981" s="1" t="s">
        <v>305</v>
      </c>
    </row>
    <row r="982">
      <c r="A982" s="5">
        <v>1.0</v>
      </c>
      <c r="B982" s="1">
        <f t="shared" si="1"/>
        <v>982</v>
      </c>
      <c r="C982" s="1" t="s">
        <v>2351</v>
      </c>
      <c r="D982" s="1" t="s">
        <v>2351</v>
      </c>
      <c r="E982" s="1" t="s">
        <v>100</v>
      </c>
      <c r="G982" s="1">
        <v>3.3353508E7</v>
      </c>
      <c r="H982" s="2">
        <v>41288.0</v>
      </c>
      <c r="I982" s="1" t="s">
        <v>297</v>
      </c>
      <c r="K982" s="1" t="s">
        <v>297</v>
      </c>
      <c r="N982" s="1" t="s">
        <v>102</v>
      </c>
      <c r="O982" s="1">
        <v>8600.0</v>
      </c>
      <c r="P982" s="1" t="s">
        <v>102</v>
      </c>
      <c r="Q982" s="1" t="str">
        <f>IF(ISERROR(VLOOKUP(P982,'unique fed agency names'!A:C,3,FALSE)),P982,VLOOKUP(P982,'unique fed agency names'!A:C,3,FALSE))
</f>
        <v>U.S. Department of Housing and Urban Development (HUD)</v>
      </c>
      <c r="R982" s="1">
        <v>1.06502784E8</v>
      </c>
      <c r="S982" s="1" t="s">
        <v>2290</v>
      </c>
      <c r="T982" s="1" t="str">
        <f>IF(ISERROR(VLOOKUP(S982,'unique org names'!A:C,3,FALSE)),S982,VLOOKUP(S982,'unique org names'!A:C,3,FALSE))
</f>
        <v>St Patrick Senior Center, Inc</v>
      </c>
      <c r="V982" s="1" t="s">
        <v>2291</v>
      </c>
      <c r="W982" s="1" t="s">
        <v>44</v>
      </c>
      <c r="X982" s="1" t="s">
        <v>45</v>
      </c>
      <c r="Y982" s="1">
        <v>4.82012002E8</v>
      </c>
      <c r="AA982" s="1" t="s">
        <v>46</v>
      </c>
      <c r="AB982" s="1" t="s">
        <v>45</v>
      </c>
      <c r="AC982" s="1">
        <v>4.82012002E8</v>
      </c>
      <c r="AF982" s="1">
        <v>60000.0</v>
      </c>
      <c r="AG982" s="2">
        <v>41288.0</v>
      </c>
      <c r="AH982" s="1">
        <v>8600.0</v>
      </c>
      <c r="AI982" s="1" t="s">
        <v>102</v>
      </c>
      <c r="AJ982" s="1">
        <v>7736.0</v>
      </c>
      <c r="AK982" s="1" t="s">
        <v>2362</v>
      </c>
      <c r="AL982" s="1">
        <v>2.0</v>
      </c>
      <c r="AM982" s="1">
        <v>2013.0</v>
      </c>
      <c r="AN982" s="1">
        <v>2013.0</v>
      </c>
      <c r="AO982" s="1" t="s">
        <v>305</v>
      </c>
    </row>
    <row r="983">
      <c r="A983" s="5">
        <v>1.0</v>
      </c>
      <c r="B983" s="1">
        <f t="shared" si="1"/>
        <v>983</v>
      </c>
      <c r="C983" s="1" t="s">
        <v>2351</v>
      </c>
      <c r="D983" s="1" t="s">
        <v>2351</v>
      </c>
      <c r="E983" s="1" t="s">
        <v>100</v>
      </c>
      <c r="G983" s="1">
        <v>3.3353508E7</v>
      </c>
      <c r="H983" s="2">
        <v>41288.0</v>
      </c>
      <c r="I983" s="1" t="s">
        <v>297</v>
      </c>
      <c r="K983" s="1" t="s">
        <v>297</v>
      </c>
      <c r="N983" s="1" t="s">
        <v>102</v>
      </c>
      <c r="O983" s="1">
        <v>8600.0</v>
      </c>
      <c r="P983" s="1" t="s">
        <v>102</v>
      </c>
      <c r="Q983" s="1" t="str">
        <f>IF(ISERROR(VLOOKUP(P983,'unique fed agency names'!A:C,3,FALSE)),P983,VLOOKUP(P983,'unique fed agency names'!A:C,3,FALSE))
</f>
        <v>U.S. Department of Housing and Urban Development (HUD)</v>
      </c>
      <c r="R983" s="1">
        <v>2.2026893E7</v>
      </c>
      <c r="S983" s="1" t="s">
        <v>1428</v>
      </c>
      <c r="T983" s="1" t="str">
        <f>IF(ISERROR(VLOOKUP(S983,'unique org names'!A:C,3,FALSE)),S983,VLOOKUP(S983,'unique org names'!A:C,3,FALSE))
</f>
        <v>TEEN HYPE YOUTH DEVELOPMENT PROGRAM</v>
      </c>
      <c r="V983" s="1" t="s">
        <v>1429</v>
      </c>
      <c r="W983" s="1" t="s">
        <v>44</v>
      </c>
      <c r="X983" s="1" t="s">
        <v>45</v>
      </c>
      <c r="Y983" s="1">
        <v>4.82193941E8</v>
      </c>
      <c r="AA983" s="1" t="s">
        <v>46</v>
      </c>
      <c r="AB983" s="1" t="s">
        <v>45</v>
      </c>
      <c r="AC983" s="1">
        <v>4.82193941E8</v>
      </c>
      <c r="AF983" s="1">
        <v>60000.0</v>
      </c>
      <c r="AG983" s="2">
        <v>41288.0</v>
      </c>
      <c r="AH983" s="1">
        <v>8600.0</v>
      </c>
      <c r="AI983" s="1" t="s">
        <v>102</v>
      </c>
      <c r="AJ983" s="1">
        <v>7737.0</v>
      </c>
      <c r="AK983" s="1" t="s">
        <v>2363</v>
      </c>
      <c r="AL983" s="1">
        <v>2.0</v>
      </c>
      <c r="AM983" s="1">
        <v>2013.0</v>
      </c>
      <c r="AN983" s="1">
        <v>2013.0</v>
      </c>
      <c r="AO983" s="1" t="s">
        <v>305</v>
      </c>
    </row>
    <row r="984">
      <c r="A984" s="5">
        <v>1.0</v>
      </c>
      <c r="B984" s="1">
        <f t="shared" si="1"/>
        <v>984</v>
      </c>
      <c r="C984" s="1" t="s">
        <v>2351</v>
      </c>
      <c r="D984" s="1" t="s">
        <v>2351</v>
      </c>
      <c r="E984" s="1" t="s">
        <v>100</v>
      </c>
      <c r="G984" s="1">
        <v>3.3353508E7</v>
      </c>
      <c r="H984" s="2">
        <v>41288.0</v>
      </c>
      <c r="I984" s="1" t="s">
        <v>297</v>
      </c>
      <c r="K984" s="1" t="s">
        <v>297</v>
      </c>
      <c r="N984" s="1" t="s">
        <v>102</v>
      </c>
      <c r="O984" s="1">
        <v>8600.0</v>
      </c>
      <c r="P984" s="1" t="s">
        <v>102</v>
      </c>
      <c r="Q984" s="1" t="str">
        <f>IF(ISERROR(VLOOKUP(P984,'unique fed agency names'!A:C,3,FALSE)),P984,VLOOKUP(P984,'unique fed agency names'!A:C,3,FALSE))
</f>
        <v>U.S. Department of Housing and Urban Development (HUD)</v>
      </c>
      <c r="R984" s="1">
        <v>6.9835866E7</v>
      </c>
      <c r="S984" s="1" t="s">
        <v>2272</v>
      </c>
      <c r="T984" s="1" t="str">
        <f>IF(ISERROR(VLOOKUP(S984,'unique org names'!A:C,3,FALSE)),S984,VLOOKUP(S984,'unique org names'!A:C,3,FALSE))
</f>
        <v>World Medical Relief, Inc.</v>
      </c>
      <c r="V984" s="1" t="s">
        <v>2273</v>
      </c>
      <c r="W984" s="1" t="s">
        <v>44</v>
      </c>
      <c r="X984" s="1" t="s">
        <v>45</v>
      </c>
      <c r="Y984" s="1">
        <v>4.82061269E8</v>
      </c>
      <c r="AA984" s="1" t="s">
        <v>46</v>
      </c>
      <c r="AB984" s="1" t="s">
        <v>45</v>
      </c>
      <c r="AC984" s="1">
        <v>4.82061269E8</v>
      </c>
      <c r="AF984" s="1">
        <v>60000.0</v>
      </c>
      <c r="AG984" s="2">
        <v>41288.0</v>
      </c>
      <c r="AH984" s="1">
        <v>8600.0</v>
      </c>
      <c r="AI984" s="1" t="s">
        <v>102</v>
      </c>
      <c r="AJ984" s="1">
        <v>7744.0</v>
      </c>
      <c r="AK984" s="1" t="s">
        <v>2364</v>
      </c>
      <c r="AL984" s="1">
        <v>2.0</v>
      </c>
      <c r="AM984" s="1">
        <v>2013.0</v>
      </c>
      <c r="AN984" s="1">
        <v>2013.0</v>
      </c>
      <c r="AO984" s="1" t="s">
        <v>305</v>
      </c>
    </row>
    <row r="985">
      <c r="A985" s="5">
        <v>1.0</v>
      </c>
      <c r="B985" s="1">
        <f t="shared" si="1"/>
        <v>985</v>
      </c>
      <c r="C985" s="1" t="s">
        <v>2351</v>
      </c>
      <c r="D985" s="1" t="s">
        <v>2351</v>
      </c>
      <c r="E985" s="1" t="s">
        <v>100</v>
      </c>
      <c r="G985" s="1">
        <v>3.3353508E7</v>
      </c>
      <c r="H985" s="2">
        <v>41288.0</v>
      </c>
      <c r="I985" s="1" t="s">
        <v>297</v>
      </c>
      <c r="K985" s="1" t="s">
        <v>297</v>
      </c>
      <c r="N985" s="1" t="s">
        <v>102</v>
      </c>
      <c r="O985" s="1">
        <v>8600.0</v>
      </c>
      <c r="P985" s="1" t="s">
        <v>102</v>
      </c>
      <c r="Q985" s="1" t="str">
        <f>IF(ISERROR(VLOOKUP(P985,'unique fed agency names'!A:C,3,FALSE)),P985,VLOOKUP(P985,'unique fed agency names'!A:C,3,FALSE))
</f>
        <v>U.S. Department of Housing and Urban Development (HUD)</v>
      </c>
      <c r="R985" s="1">
        <v>4.9254014E7</v>
      </c>
      <c r="S985" s="1" t="s">
        <v>2189</v>
      </c>
      <c r="T985" s="1" t="str">
        <f>IF(ISERROR(VLOOKUP(S985,'unique org names'!A:C,3,FALSE)),S985,VLOOKUP(S985,'unique org names'!A:C,3,FALSE))
</f>
        <v>International Institute of Metropolitan Detroit, Inc</v>
      </c>
      <c r="V985" s="1" t="s">
        <v>2190</v>
      </c>
      <c r="W985" s="1" t="s">
        <v>44</v>
      </c>
      <c r="X985" s="1" t="s">
        <v>45</v>
      </c>
      <c r="Y985" s="1">
        <v>4.82024003E8</v>
      </c>
      <c r="AA985" s="1" t="s">
        <v>46</v>
      </c>
      <c r="AB985" s="1" t="s">
        <v>45</v>
      </c>
      <c r="AC985" s="1">
        <v>4.82024003E8</v>
      </c>
      <c r="AD985" s="1">
        <v>4.9254014E7</v>
      </c>
      <c r="AE985" s="1" t="s">
        <v>2189</v>
      </c>
      <c r="AF985" s="1">
        <v>129377.0</v>
      </c>
      <c r="AG985" s="2">
        <v>41288.0</v>
      </c>
      <c r="AH985" s="1">
        <v>8600.0</v>
      </c>
      <c r="AI985" s="1" t="s">
        <v>102</v>
      </c>
      <c r="AJ985" s="1">
        <v>7687.0</v>
      </c>
      <c r="AK985" s="1" t="s">
        <v>2365</v>
      </c>
      <c r="AL985" s="1">
        <v>2.0</v>
      </c>
      <c r="AM985" s="1">
        <v>2013.0</v>
      </c>
      <c r="AN985" s="1">
        <v>2013.0</v>
      </c>
      <c r="AO985" s="1" t="s">
        <v>305</v>
      </c>
    </row>
    <row r="986">
      <c r="A986" s="5">
        <v>1.0</v>
      </c>
      <c r="B986" s="1">
        <f t="shared" si="1"/>
        <v>986</v>
      </c>
      <c r="C986" s="1" t="s">
        <v>2351</v>
      </c>
      <c r="D986" s="1" t="s">
        <v>2351</v>
      </c>
      <c r="E986" s="1" t="s">
        <v>100</v>
      </c>
      <c r="G986" s="1">
        <v>3.3353508E7</v>
      </c>
      <c r="H986" s="2">
        <v>41288.0</v>
      </c>
      <c r="I986" s="1" t="s">
        <v>297</v>
      </c>
      <c r="K986" s="1" t="s">
        <v>297</v>
      </c>
      <c r="N986" s="1" t="s">
        <v>102</v>
      </c>
      <c r="O986" s="1">
        <v>8600.0</v>
      </c>
      <c r="P986" s="1" t="s">
        <v>102</v>
      </c>
      <c r="Q986" s="1" t="str">
        <f>IF(ISERROR(VLOOKUP(P986,'unique fed agency names'!A:C,3,FALSE)),P986,VLOOKUP(P986,'unique fed agency names'!A:C,3,FALSE))
</f>
        <v>U.S. Department of Housing and Urban Development (HUD)</v>
      </c>
      <c r="R986" s="1">
        <v>7.8074923E8</v>
      </c>
      <c r="S986" s="1" t="s">
        <v>419</v>
      </c>
      <c r="T986" s="1" t="str">
        <f>IF(ISERROR(VLOOKUP(S986,'unique org names'!A:C,3,FALSE)),S986,VLOOKUP(S986,'unique org names'!A:C,3,FALSE))
</f>
        <v>ALTERNATIVES FOR GIRLS</v>
      </c>
      <c r="V986" s="1" t="s">
        <v>420</v>
      </c>
      <c r="W986" s="1" t="s">
        <v>44</v>
      </c>
      <c r="X986" s="1" t="s">
        <v>45</v>
      </c>
      <c r="Y986" s="1">
        <v>4.82082365E8</v>
      </c>
      <c r="AA986" s="1" t="s">
        <v>46</v>
      </c>
      <c r="AB986" s="1" t="s">
        <v>45</v>
      </c>
      <c r="AC986" s="1">
        <v>4.82082365E8</v>
      </c>
      <c r="AF986" s="1">
        <v>88000.0</v>
      </c>
      <c r="AG986" s="2">
        <v>41288.0</v>
      </c>
      <c r="AH986" s="1">
        <v>8600.0</v>
      </c>
      <c r="AI986" s="1" t="s">
        <v>102</v>
      </c>
      <c r="AJ986" s="1">
        <v>7745.0</v>
      </c>
      <c r="AK986" s="1" t="s">
        <v>2366</v>
      </c>
      <c r="AL986" s="1">
        <v>2.0</v>
      </c>
      <c r="AM986" s="1">
        <v>2013.0</v>
      </c>
      <c r="AN986" s="1">
        <v>2013.0</v>
      </c>
      <c r="AO986" s="1" t="s">
        <v>305</v>
      </c>
    </row>
    <row r="987">
      <c r="A987" s="5">
        <v>1.0</v>
      </c>
      <c r="B987" s="1">
        <f t="shared" si="1"/>
        <v>987</v>
      </c>
      <c r="C987" s="1" t="s">
        <v>2351</v>
      </c>
      <c r="D987" s="1" t="s">
        <v>2351</v>
      </c>
      <c r="E987" s="1" t="s">
        <v>100</v>
      </c>
      <c r="G987" s="1">
        <v>3.3353508E7</v>
      </c>
      <c r="H987" s="2">
        <v>41288.0</v>
      </c>
      <c r="I987" s="1" t="s">
        <v>297</v>
      </c>
      <c r="K987" s="1" t="s">
        <v>297</v>
      </c>
      <c r="N987" s="1" t="s">
        <v>102</v>
      </c>
      <c r="O987" s="1">
        <v>8600.0</v>
      </c>
      <c r="P987" s="1" t="s">
        <v>102</v>
      </c>
      <c r="Q987" s="1" t="str">
        <f>IF(ISERROR(VLOOKUP(P987,'unique fed agency names'!A:C,3,FALSE)),P987,VLOOKUP(P987,'unique fed agency names'!A:C,3,FALSE))
</f>
        <v>U.S. Department of Housing and Urban Development (HUD)</v>
      </c>
      <c r="R987" s="1">
        <v>1.42793053E8</v>
      </c>
      <c r="S987" s="1" t="s">
        <v>994</v>
      </c>
      <c r="T987" s="1" t="str">
        <f>IF(ISERROR(VLOOKUP(S987,'unique org names'!A:C,3,FALSE)),S987,VLOOKUP(S987,'unique org names'!A:C,3,FALSE))
</f>
        <v>CARE FIRST COMMUNITY HEALTH SERVICES</v>
      </c>
      <c r="V987" s="1" t="s">
        <v>995</v>
      </c>
      <c r="W987" s="1" t="s">
        <v>44</v>
      </c>
      <c r="X987" s="1" t="s">
        <v>45</v>
      </c>
      <c r="Y987" s="1">
        <v>4.82282721E8</v>
      </c>
      <c r="AA987" s="1" t="s">
        <v>46</v>
      </c>
      <c r="AB987" s="1" t="s">
        <v>45</v>
      </c>
      <c r="AC987" s="1">
        <v>4.82282721E8</v>
      </c>
      <c r="AF987" s="1">
        <v>88000.0</v>
      </c>
      <c r="AG987" s="2">
        <v>41288.0</v>
      </c>
      <c r="AH987" s="1">
        <v>8600.0</v>
      </c>
      <c r="AI987" s="1" t="s">
        <v>102</v>
      </c>
      <c r="AJ987" s="1">
        <v>7747.0</v>
      </c>
      <c r="AK987" s="1" t="s">
        <v>2367</v>
      </c>
      <c r="AL987" s="1">
        <v>2.0</v>
      </c>
      <c r="AM987" s="1">
        <v>2013.0</v>
      </c>
      <c r="AN987" s="1">
        <v>2013.0</v>
      </c>
      <c r="AO987" s="1" t="s">
        <v>305</v>
      </c>
    </row>
    <row r="988">
      <c r="A988" s="5">
        <v>1.0</v>
      </c>
      <c r="B988" s="1">
        <f t="shared" si="1"/>
        <v>988</v>
      </c>
      <c r="C988" s="1" t="s">
        <v>2351</v>
      </c>
      <c r="D988" s="1" t="s">
        <v>2351</v>
      </c>
      <c r="E988" s="1" t="s">
        <v>100</v>
      </c>
      <c r="G988" s="1">
        <v>3.3353508E7</v>
      </c>
      <c r="H988" s="2">
        <v>41288.0</v>
      </c>
      <c r="I988" s="1" t="s">
        <v>297</v>
      </c>
      <c r="K988" s="1" t="s">
        <v>297</v>
      </c>
      <c r="N988" s="1" t="s">
        <v>102</v>
      </c>
      <c r="O988" s="1">
        <v>8600.0</v>
      </c>
      <c r="P988" s="1" t="s">
        <v>102</v>
      </c>
      <c r="Q988" s="1" t="str">
        <f>IF(ISERROR(VLOOKUP(P988,'unique fed agency names'!A:C,3,FALSE)),P988,VLOOKUP(P988,'unique fed agency names'!A:C,3,FALSE))
</f>
        <v>U.S. Department of Housing and Urban Development (HUD)</v>
      </c>
      <c r="R988" s="1">
        <v>1.24022237E8</v>
      </c>
      <c r="S988" s="1" t="s">
        <v>2157</v>
      </c>
      <c r="T988" s="1" t="str">
        <f>IF(ISERROR(VLOOKUP(S988,'unique org names'!A:C,3,FALSE)),S988,VLOOKUP(S988,'unique org names'!A:C,3,FALSE))
</f>
        <v>Sickle Cell Disease Association Of America Michigan Chapter Inc</v>
      </c>
      <c r="V988" s="1" t="s">
        <v>2158</v>
      </c>
      <c r="W988" s="1" t="s">
        <v>44</v>
      </c>
      <c r="X988" s="1" t="s">
        <v>45</v>
      </c>
      <c r="Y988" s="1">
        <v>4.82352507E8</v>
      </c>
      <c r="AA988" s="1" t="s">
        <v>46</v>
      </c>
      <c r="AB988" s="1" t="s">
        <v>45</v>
      </c>
      <c r="AC988" s="1">
        <v>4.82352507E8</v>
      </c>
      <c r="AD988" s="1">
        <v>1.24022237E8</v>
      </c>
      <c r="AF988" s="1">
        <v>60000.0</v>
      </c>
      <c r="AG988" s="2">
        <v>41288.0</v>
      </c>
      <c r="AH988" s="1">
        <v>8600.0</v>
      </c>
      <c r="AI988" s="1" t="s">
        <v>102</v>
      </c>
      <c r="AJ988" s="1">
        <v>7733.0</v>
      </c>
      <c r="AK988" s="1" t="s">
        <v>2368</v>
      </c>
      <c r="AL988" s="1">
        <v>2.0</v>
      </c>
      <c r="AM988" s="1">
        <v>2013.0</v>
      </c>
      <c r="AN988" s="1">
        <v>2013.0</v>
      </c>
      <c r="AO988" s="1" t="s">
        <v>305</v>
      </c>
    </row>
    <row r="989">
      <c r="A989" s="5">
        <v>1.0</v>
      </c>
      <c r="B989" s="1">
        <f t="shared" si="1"/>
        <v>989</v>
      </c>
      <c r="C989" s="1" t="s">
        <v>2351</v>
      </c>
      <c r="D989" s="1" t="s">
        <v>2351</v>
      </c>
      <c r="E989" s="1" t="s">
        <v>100</v>
      </c>
      <c r="G989" s="1">
        <v>3.3353508E7</v>
      </c>
      <c r="H989" s="2">
        <v>41288.0</v>
      </c>
      <c r="I989" s="1" t="s">
        <v>297</v>
      </c>
      <c r="K989" s="1" t="s">
        <v>297</v>
      </c>
      <c r="N989" s="1" t="s">
        <v>102</v>
      </c>
      <c r="O989" s="1">
        <v>8600.0</v>
      </c>
      <c r="P989" s="1" t="s">
        <v>102</v>
      </c>
      <c r="Q989" s="1" t="str">
        <f>IF(ISERROR(VLOOKUP(P989,'unique fed agency names'!A:C,3,FALSE)),P989,VLOOKUP(P989,'unique fed agency names'!A:C,3,FALSE))
</f>
        <v>U.S. Department of Housing and Urban Development (HUD)</v>
      </c>
      <c r="R989" s="1">
        <v>6.2783951E7</v>
      </c>
      <c r="S989" s="1" t="s">
        <v>2369</v>
      </c>
      <c r="T989" s="1" t="str">
        <f>IF(ISERROR(VLOOKUP(S989,'unique org names'!A:C,3,FALSE)),S989,VLOOKUP(S989,'unique org names'!A:C,3,FALSE))
</f>
        <v>EASTERN MARKET ADVANCEMENT COALITION</v>
      </c>
      <c r="V989" s="1" t="s">
        <v>2370</v>
      </c>
      <c r="W989" s="1" t="s">
        <v>44</v>
      </c>
      <c r="X989" s="1" t="s">
        <v>45</v>
      </c>
      <c r="Y989" s="1">
        <v>4.82072035E8</v>
      </c>
      <c r="AA989" s="1" t="s">
        <v>46</v>
      </c>
      <c r="AB989" s="1" t="s">
        <v>45</v>
      </c>
      <c r="AC989" s="1">
        <v>4.82074826E8</v>
      </c>
      <c r="AF989" s="1">
        <v>194067.0</v>
      </c>
      <c r="AG989" s="2">
        <v>41288.0</v>
      </c>
      <c r="AH989" s="1">
        <v>8600.0</v>
      </c>
      <c r="AI989" s="1" t="s">
        <v>102</v>
      </c>
      <c r="AJ989" s="1">
        <v>7692.0</v>
      </c>
      <c r="AK989" s="1" t="s">
        <v>2371</v>
      </c>
      <c r="AL989" s="1">
        <v>2.0</v>
      </c>
      <c r="AM989" s="1">
        <v>2013.0</v>
      </c>
      <c r="AN989" s="1">
        <v>2013.0</v>
      </c>
      <c r="AO989" s="1" t="s">
        <v>305</v>
      </c>
    </row>
    <row r="990">
      <c r="A990" s="5">
        <v>1.0</v>
      </c>
      <c r="B990" s="1">
        <f t="shared" si="1"/>
        <v>990</v>
      </c>
      <c r="C990" s="1" t="s">
        <v>2351</v>
      </c>
      <c r="D990" s="1" t="s">
        <v>2351</v>
      </c>
      <c r="E990" s="1" t="s">
        <v>100</v>
      </c>
      <c r="G990" s="1">
        <v>3.3353508E7</v>
      </c>
      <c r="H990" s="2">
        <v>41288.0</v>
      </c>
      <c r="I990" s="1" t="s">
        <v>297</v>
      </c>
      <c r="K990" s="1" t="s">
        <v>297</v>
      </c>
      <c r="N990" s="1" t="s">
        <v>102</v>
      </c>
      <c r="O990" s="1">
        <v>8600.0</v>
      </c>
      <c r="P990" s="1" t="s">
        <v>102</v>
      </c>
      <c r="Q990" s="1" t="str">
        <f>IF(ISERROR(VLOOKUP(P990,'unique fed agency names'!A:C,3,FALSE)),P990,VLOOKUP(P990,'unique fed agency names'!A:C,3,FALSE))
</f>
        <v>U.S. Department of Housing and Urban Development (HUD)</v>
      </c>
      <c r="R990" s="1">
        <v>1.9754679E7</v>
      </c>
      <c r="S990" s="1" t="s">
        <v>2372</v>
      </c>
      <c r="T990" s="1" t="str">
        <f>IF(ISERROR(VLOOKUP(S990,'unique org names'!A:C,3,FALSE)),S990,VLOOKUP(S990,'unique org names'!A:C,3,FALSE))
</f>
        <v>Effective Alternative Community Housing</v>
      </c>
      <c r="V990" s="1" t="s">
        <v>2373</v>
      </c>
      <c r="W990" s="1" t="s">
        <v>44</v>
      </c>
      <c r="X990" s="1" t="s">
        <v>45</v>
      </c>
      <c r="Y990" s="1">
        <v>4.82113042E8</v>
      </c>
      <c r="AA990" s="1" t="s">
        <v>46</v>
      </c>
      <c r="AB990" s="1" t="s">
        <v>45</v>
      </c>
      <c r="AC990" s="1">
        <v>4.82113042E8</v>
      </c>
      <c r="AF990" s="1">
        <v>88000.0</v>
      </c>
      <c r="AG990" s="2">
        <v>41288.0</v>
      </c>
      <c r="AH990" s="1">
        <v>8600.0</v>
      </c>
      <c r="AI990" s="1" t="s">
        <v>102</v>
      </c>
      <c r="AJ990" s="1">
        <v>7755.0</v>
      </c>
      <c r="AK990" s="1" t="s">
        <v>2374</v>
      </c>
      <c r="AL990" s="1">
        <v>2.0</v>
      </c>
      <c r="AM990" s="1">
        <v>2013.0</v>
      </c>
      <c r="AN990" s="1">
        <v>2013.0</v>
      </c>
      <c r="AO990" s="1" t="s">
        <v>305</v>
      </c>
    </row>
    <row r="991">
      <c r="A991" s="5">
        <v>1.0</v>
      </c>
      <c r="B991" s="1">
        <f t="shared" si="1"/>
        <v>991</v>
      </c>
      <c r="C991" s="1" t="s">
        <v>2351</v>
      </c>
      <c r="D991" s="1" t="s">
        <v>2351</v>
      </c>
      <c r="E991" s="1" t="s">
        <v>100</v>
      </c>
      <c r="G991" s="1">
        <v>3.3353508E7</v>
      </c>
      <c r="H991" s="2">
        <v>41288.0</v>
      </c>
      <c r="I991" s="1" t="s">
        <v>297</v>
      </c>
      <c r="K991" s="1" t="s">
        <v>297</v>
      </c>
      <c r="N991" s="1" t="s">
        <v>102</v>
      </c>
      <c r="O991" s="1">
        <v>8600.0</v>
      </c>
      <c r="P991" s="1" t="s">
        <v>102</v>
      </c>
      <c r="Q991" s="1" t="str">
        <f>IF(ISERROR(VLOOKUP(P991,'unique fed agency names'!A:C,3,FALSE)),P991,VLOOKUP(P991,'unique fed agency names'!A:C,3,FALSE))
</f>
        <v>U.S. Department of Housing and Urban Development (HUD)</v>
      </c>
      <c r="R991" s="1">
        <v>8.29087881E8</v>
      </c>
      <c r="S991" s="1" t="s">
        <v>2168</v>
      </c>
      <c r="T991" s="1" t="str">
        <f>IF(ISERROR(VLOOKUP(S991,'unique org names'!A:C,3,FALSE)),S991,VLOOKUP(S991,'unique org names'!A:C,3,FALSE))
</f>
        <v>Lift Women's Resource Center</v>
      </c>
      <c r="V991" s="1" t="s">
        <v>2169</v>
      </c>
      <c r="W991" s="1" t="s">
        <v>44</v>
      </c>
      <c r="X991" s="1" t="s">
        <v>45</v>
      </c>
      <c r="Y991" s="1">
        <v>4.82354107E8</v>
      </c>
      <c r="AA991" s="1" t="s">
        <v>46</v>
      </c>
      <c r="AB991" s="1" t="s">
        <v>45</v>
      </c>
      <c r="AC991" s="1">
        <v>4.82354107E8</v>
      </c>
      <c r="AF991" s="1">
        <v>88000.0</v>
      </c>
      <c r="AG991" s="2">
        <v>41288.0</v>
      </c>
      <c r="AH991" s="1">
        <v>8600.0</v>
      </c>
      <c r="AI991" s="1" t="s">
        <v>102</v>
      </c>
      <c r="AJ991" s="1">
        <v>7758.0</v>
      </c>
      <c r="AK991" s="1" t="s">
        <v>2375</v>
      </c>
      <c r="AL991" s="1">
        <v>2.0</v>
      </c>
      <c r="AM991" s="1">
        <v>2013.0</v>
      </c>
      <c r="AN991" s="1">
        <v>2013.0</v>
      </c>
      <c r="AO991" s="1" t="s">
        <v>305</v>
      </c>
    </row>
    <row r="992">
      <c r="A992" s="5">
        <v>1.0</v>
      </c>
      <c r="B992" s="1">
        <f t="shared" si="1"/>
        <v>992</v>
      </c>
      <c r="C992" s="1" t="s">
        <v>2351</v>
      </c>
      <c r="D992" s="1" t="s">
        <v>2351</v>
      </c>
      <c r="E992" s="1" t="s">
        <v>100</v>
      </c>
      <c r="G992" s="1">
        <v>3.3353508E7</v>
      </c>
      <c r="H992" s="2">
        <v>41288.0</v>
      </c>
      <c r="I992" s="1" t="s">
        <v>297</v>
      </c>
      <c r="K992" s="1" t="s">
        <v>297</v>
      </c>
      <c r="N992" s="1" t="s">
        <v>102</v>
      </c>
      <c r="O992" s="1">
        <v>8600.0</v>
      </c>
      <c r="P992" s="1" t="s">
        <v>102</v>
      </c>
      <c r="Q992" s="1" t="str">
        <f>IF(ISERROR(VLOOKUP(P992,'unique fed agency names'!A:C,3,FALSE)),P992,VLOOKUP(P992,'unique fed agency names'!A:C,3,FALSE))
</f>
        <v>U.S. Department of Housing and Urban Development (HUD)</v>
      </c>
      <c r="R992" s="1">
        <v>1.66664495E8</v>
      </c>
      <c r="S992" s="1" t="s">
        <v>289</v>
      </c>
      <c r="T992" s="1" t="str">
        <f>IF(ISERROR(VLOOKUP(S992,'unique org names'!A:C,3,FALSE)),S992,VLOOKUP(S992,'unique org names'!A:C,3,FALSE))
</f>
        <v>DETROIT YOUTH FOUNDATION</v>
      </c>
      <c r="U992" s="1" t="s">
        <v>290</v>
      </c>
      <c r="V992" s="1" t="s">
        <v>291</v>
      </c>
      <c r="W992" s="1" t="s">
        <v>44</v>
      </c>
      <c r="X992" s="1" t="s">
        <v>45</v>
      </c>
      <c r="Y992" s="1">
        <v>4.82023158E8</v>
      </c>
      <c r="AA992" s="1" t="s">
        <v>46</v>
      </c>
      <c r="AB992" s="1" t="s">
        <v>45</v>
      </c>
      <c r="AC992" s="1">
        <v>4.82023158E8</v>
      </c>
      <c r="AF992" s="1">
        <v>7712.0</v>
      </c>
      <c r="AG992" s="2">
        <v>41288.0</v>
      </c>
      <c r="AH992" s="1">
        <v>8600.0</v>
      </c>
      <c r="AI992" s="1" t="s">
        <v>102</v>
      </c>
      <c r="AJ992" s="1">
        <v>7712.0</v>
      </c>
      <c r="AK992" s="1" t="s">
        <v>2376</v>
      </c>
      <c r="AL992" s="1">
        <v>2.0</v>
      </c>
      <c r="AM992" s="1">
        <v>2013.0</v>
      </c>
      <c r="AN992" s="1">
        <v>2013.0</v>
      </c>
      <c r="AO992" s="1" t="s">
        <v>305</v>
      </c>
    </row>
    <row r="993">
      <c r="A993" s="5">
        <v>1.0</v>
      </c>
      <c r="B993" s="1">
        <f t="shared" si="1"/>
        <v>993</v>
      </c>
      <c r="C993" s="1" t="s">
        <v>2351</v>
      </c>
      <c r="D993" s="1" t="s">
        <v>2351</v>
      </c>
      <c r="E993" s="1" t="s">
        <v>100</v>
      </c>
      <c r="G993" s="1">
        <v>3.3353508E7</v>
      </c>
      <c r="H993" s="2">
        <v>41288.0</v>
      </c>
      <c r="I993" s="1" t="s">
        <v>297</v>
      </c>
      <c r="K993" s="1" t="s">
        <v>297</v>
      </c>
      <c r="N993" s="1" t="s">
        <v>102</v>
      </c>
      <c r="O993" s="1">
        <v>8600.0</v>
      </c>
      <c r="P993" s="1" t="s">
        <v>102</v>
      </c>
      <c r="Q993" s="1" t="str">
        <f>IF(ISERROR(VLOOKUP(P993,'unique fed agency names'!A:C,3,FALSE)),P993,VLOOKUP(P993,'unique fed agency names'!A:C,3,FALSE))
</f>
        <v>U.S. Department of Housing and Urban Development (HUD)</v>
      </c>
      <c r="R993" s="1">
        <v>5.53417E7</v>
      </c>
      <c r="S993" s="1" t="s">
        <v>2377</v>
      </c>
      <c r="T993" s="1" t="str">
        <f>IF(ISERROR(VLOOKUP(S993,'unique org names'!A:C,3,FALSE)),S993,VLOOKUP(S993,'unique org names'!A:C,3,FALSE))
</f>
        <v>InsideOut Literary Arts Project</v>
      </c>
      <c r="V993" s="1" t="s">
        <v>2378</v>
      </c>
      <c r="W993" s="1" t="s">
        <v>44</v>
      </c>
      <c r="X993" s="1" t="s">
        <v>45</v>
      </c>
      <c r="Y993" s="1">
        <v>4.82023929E8</v>
      </c>
      <c r="AA993" s="1" t="s">
        <v>46</v>
      </c>
      <c r="AB993" s="1" t="s">
        <v>45</v>
      </c>
      <c r="AC993" s="1">
        <v>4.82023929E8</v>
      </c>
      <c r="AF993" s="1">
        <v>60000.0</v>
      </c>
      <c r="AG993" s="2">
        <v>41288.0</v>
      </c>
      <c r="AH993" s="1">
        <v>8600.0</v>
      </c>
      <c r="AI993" s="1" t="s">
        <v>102</v>
      </c>
      <c r="AJ993" s="1">
        <v>7720.0</v>
      </c>
      <c r="AK993" s="1" t="s">
        <v>2379</v>
      </c>
      <c r="AL993" s="1">
        <v>2.0</v>
      </c>
      <c r="AM993" s="1">
        <v>2013.0</v>
      </c>
      <c r="AN993" s="1">
        <v>2013.0</v>
      </c>
      <c r="AO993" s="1" t="s">
        <v>305</v>
      </c>
    </row>
    <row r="994">
      <c r="A994" s="5">
        <v>1.0</v>
      </c>
      <c r="B994" s="1">
        <f t="shared" si="1"/>
        <v>994</v>
      </c>
      <c r="C994" s="1" t="s">
        <v>2351</v>
      </c>
      <c r="D994" s="1" t="s">
        <v>2351</v>
      </c>
      <c r="E994" s="1" t="s">
        <v>100</v>
      </c>
      <c r="G994" s="1">
        <v>3.3353508E7</v>
      </c>
      <c r="H994" s="2">
        <v>41288.0</v>
      </c>
      <c r="I994" s="1" t="s">
        <v>297</v>
      </c>
      <c r="K994" s="1" t="s">
        <v>297</v>
      </c>
      <c r="N994" s="1" t="s">
        <v>102</v>
      </c>
      <c r="O994" s="1">
        <v>8600.0</v>
      </c>
      <c r="P994" s="1" t="s">
        <v>102</v>
      </c>
      <c r="Q994" s="1" t="str">
        <f>IF(ISERROR(VLOOKUP(P994,'unique fed agency names'!A:C,3,FALSE)),P994,VLOOKUP(P994,'unique fed agency names'!A:C,3,FALSE))
</f>
        <v>U.S. Department of Housing and Urban Development (HUD)</v>
      </c>
      <c r="R994" s="1">
        <v>9.4544095E7</v>
      </c>
      <c r="S994" s="1" t="s">
        <v>2265</v>
      </c>
      <c r="T994" s="1" t="str">
        <f>IF(ISERROR(VLOOKUP(S994,'unique org names'!A:C,3,FALSE)),S994,VLOOKUP(S994,'unique org names'!A:C,3,FALSE))
</f>
        <v>Adult Well Being Services</v>
      </c>
      <c r="V994" s="1" t="s">
        <v>2266</v>
      </c>
      <c r="W994" s="1" t="s">
        <v>44</v>
      </c>
      <c r="X994" s="1" t="s">
        <v>45</v>
      </c>
      <c r="Y994" s="1">
        <v>4.82142321E8</v>
      </c>
      <c r="AA994" s="1" t="s">
        <v>46</v>
      </c>
      <c r="AB994" s="1" t="s">
        <v>45</v>
      </c>
      <c r="AC994" s="1">
        <v>4.82142321E8</v>
      </c>
      <c r="AD994" s="1">
        <v>9.4544095E7</v>
      </c>
      <c r="AE994" s="1" t="s">
        <v>2265</v>
      </c>
      <c r="AF994" s="1">
        <v>60000.0</v>
      </c>
      <c r="AG994" s="2">
        <v>41288.0</v>
      </c>
      <c r="AH994" s="1">
        <v>8600.0</v>
      </c>
      <c r="AI994" s="1" t="s">
        <v>102</v>
      </c>
      <c r="AJ994" s="1">
        <v>7702.0</v>
      </c>
      <c r="AK994" s="1" t="s">
        <v>2380</v>
      </c>
      <c r="AL994" s="1">
        <v>2.0</v>
      </c>
      <c r="AM994" s="1">
        <v>2013.0</v>
      </c>
      <c r="AN994" s="1">
        <v>2013.0</v>
      </c>
      <c r="AO994" s="1" t="s">
        <v>305</v>
      </c>
    </row>
    <row r="995">
      <c r="A995" s="5">
        <v>1.0</v>
      </c>
      <c r="B995" s="1">
        <f t="shared" si="1"/>
        <v>995</v>
      </c>
      <c r="C995" s="1" t="s">
        <v>2381</v>
      </c>
      <c r="D995" s="1" t="s">
        <v>2381</v>
      </c>
      <c r="E995" s="1" t="s">
        <v>224</v>
      </c>
      <c r="G995" s="1">
        <v>718602.0</v>
      </c>
      <c r="H995" s="2">
        <v>41731.0</v>
      </c>
      <c r="I995" s="1" t="s">
        <v>2382</v>
      </c>
      <c r="K995" s="1" t="s">
        <v>2382</v>
      </c>
      <c r="N995" s="1" t="s">
        <v>151</v>
      </c>
      <c r="O995" s="1">
        <v>6900.0</v>
      </c>
      <c r="P995" s="1" t="s">
        <v>151</v>
      </c>
      <c r="Q995" s="1" t="str">
        <f>IF(ISERROR(VLOOKUP(P995,'unique fed agency names'!A:C,3,FALSE)),P995,VLOOKUP(P995,'unique fed agency names'!A:C,3,FALSE))
</f>
        <v>U.S. Department of Transportation (DOT)</v>
      </c>
      <c r="R995" s="1">
        <v>1.1855476E8</v>
      </c>
      <c r="S995" s="1" t="s">
        <v>983</v>
      </c>
      <c r="T995" s="1" t="str">
        <f>IF(ISERROR(VLOOKUP(S995,'unique org names'!A:C,3,FALSE)),S995,VLOOKUP(S995,'unique org names'!A:C,3,FALSE))
</f>
        <v>City of Detroit</v>
      </c>
      <c r="U995" s="1" t="s">
        <v>984</v>
      </c>
      <c r="V995" s="1" t="s">
        <v>227</v>
      </c>
      <c r="W995" s="1" t="s">
        <v>44</v>
      </c>
      <c r="X995" s="1" t="s">
        <v>45</v>
      </c>
      <c r="Y995" s="1">
        <v>4.82262886E8</v>
      </c>
      <c r="AA995" s="1" t="s">
        <v>46</v>
      </c>
      <c r="AB995" s="1" t="s">
        <v>45</v>
      </c>
      <c r="AC995" s="1">
        <v>4.82262886E8</v>
      </c>
      <c r="AD995" s="1">
        <v>6530661.0</v>
      </c>
      <c r="AE995" s="1" t="s">
        <v>76</v>
      </c>
      <c r="AF995" s="1">
        <v>718602.07</v>
      </c>
      <c r="AG995" s="2">
        <v>41731.0</v>
      </c>
      <c r="AH995" s="1">
        <v>6900.0</v>
      </c>
      <c r="AI995" s="1" t="s">
        <v>151</v>
      </c>
      <c r="AJ995" s="1">
        <v>1.0</v>
      </c>
      <c r="AK995" s="1" t="s">
        <v>2383</v>
      </c>
      <c r="AL995" s="1">
        <v>4.0</v>
      </c>
      <c r="AM995" s="1">
        <v>2014.0</v>
      </c>
      <c r="AN995" s="1">
        <v>2014.0</v>
      </c>
      <c r="AO995" s="1" t="s">
        <v>229</v>
      </c>
    </row>
    <row r="996">
      <c r="A996" s="5">
        <v>1.0</v>
      </c>
      <c r="B996" s="1">
        <f t="shared" si="1"/>
        <v>996</v>
      </c>
      <c r="C996" s="1" t="s">
        <v>2384</v>
      </c>
      <c r="D996" s="1" t="s">
        <v>2384</v>
      </c>
      <c r="E996" s="1" t="s">
        <v>224</v>
      </c>
      <c r="G996" s="1">
        <v>383000.0</v>
      </c>
      <c r="H996" s="2">
        <v>41736.0</v>
      </c>
      <c r="I996" s="1" t="s">
        <v>2346</v>
      </c>
      <c r="K996" s="1" t="s">
        <v>2346</v>
      </c>
      <c r="N996" s="1" t="s">
        <v>151</v>
      </c>
      <c r="O996" s="1">
        <v>6900.0</v>
      </c>
      <c r="P996" s="1" t="s">
        <v>151</v>
      </c>
      <c r="Q996" s="1" t="str">
        <f>IF(ISERROR(VLOOKUP(P996,'unique fed agency names'!A:C,3,FALSE)),P996,VLOOKUP(P996,'unique fed agency names'!A:C,3,FALSE))
</f>
        <v>U.S. Department of Transportation (DOT)</v>
      </c>
      <c r="R996" s="1">
        <v>1.1855476E8</v>
      </c>
      <c r="S996" s="1" t="s">
        <v>983</v>
      </c>
      <c r="T996" s="1" t="str">
        <f>IF(ISERROR(VLOOKUP(S996,'unique org names'!A:C,3,FALSE)),S996,VLOOKUP(S996,'unique org names'!A:C,3,FALSE))
</f>
        <v>City of Detroit</v>
      </c>
      <c r="U996" s="1" t="s">
        <v>984</v>
      </c>
      <c r="V996" s="1" t="s">
        <v>227</v>
      </c>
      <c r="W996" s="1" t="s">
        <v>44</v>
      </c>
      <c r="X996" s="1" t="s">
        <v>45</v>
      </c>
      <c r="Y996" s="1">
        <v>4.82262886E8</v>
      </c>
      <c r="AA996" s="1" t="s">
        <v>46</v>
      </c>
      <c r="AB996" s="1" t="s">
        <v>45</v>
      </c>
      <c r="AC996" s="1">
        <v>4.82262886E8</v>
      </c>
      <c r="AD996" s="1">
        <v>6530661.0</v>
      </c>
      <c r="AE996" s="1" t="s">
        <v>76</v>
      </c>
      <c r="AF996" s="1">
        <v>383000.0</v>
      </c>
      <c r="AG996" s="2">
        <v>41736.0</v>
      </c>
      <c r="AH996" s="1">
        <v>6900.0</v>
      </c>
      <c r="AI996" s="1" t="s">
        <v>151</v>
      </c>
      <c r="AJ996" s="1">
        <v>1.0</v>
      </c>
      <c r="AK996" s="1" t="s">
        <v>2347</v>
      </c>
      <c r="AL996" s="1">
        <v>4.0</v>
      </c>
      <c r="AM996" s="1">
        <v>2014.0</v>
      </c>
      <c r="AN996" s="1">
        <v>2014.0</v>
      </c>
      <c r="AO996" s="1" t="s">
        <v>229</v>
      </c>
    </row>
    <row r="997">
      <c r="A997" s="5">
        <v>1.0</v>
      </c>
      <c r="B997" s="1">
        <f t="shared" si="1"/>
        <v>997</v>
      </c>
      <c r="C997" s="1" t="s">
        <v>2385</v>
      </c>
      <c r="D997" s="1" t="s">
        <v>2385</v>
      </c>
      <c r="E997" s="1" t="s">
        <v>224</v>
      </c>
      <c r="G997" s="1">
        <v>93271.0</v>
      </c>
      <c r="H997" s="2">
        <v>41736.0</v>
      </c>
      <c r="I997" s="1" t="s">
        <v>2349</v>
      </c>
      <c r="K997" s="1" t="s">
        <v>2349</v>
      </c>
      <c r="N997" s="1" t="s">
        <v>151</v>
      </c>
      <c r="O997" s="1">
        <v>6900.0</v>
      </c>
      <c r="P997" s="1" t="s">
        <v>151</v>
      </c>
      <c r="Q997" s="1" t="str">
        <f>IF(ISERROR(VLOOKUP(P997,'unique fed agency names'!A:C,3,FALSE)),P997,VLOOKUP(P997,'unique fed agency names'!A:C,3,FALSE))
</f>
        <v>U.S. Department of Transportation (DOT)</v>
      </c>
      <c r="R997" s="1">
        <v>1.1855476E8</v>
      </c>
      <c r="S997" s="1" t="s">
        <v>983</v>
      </c>
      <c r="T997" s="1" t="str">
        <f>IF(ISERROR(VLOOKUP(S997,'unique org names'!A:C,3,FALSE)),S997,VLOOKUP(S997,'unique org names'!A:C,3,FALSE))
</f>
        <v>City of Detroit</v>
      </c>
      <c r="U997" s="1" t="s">
        <v>984</v>
      </c>
      <c r="V997" s="1" t="s">
        <v>227</v>
      </c>
      <c r="W997" s="1" t="s">
        <v>44</v>
      </c>
      <c r="X997" s="1" t="s">
        <v>45</v>
      </c>
      <c r="Y997" s="1">
        <v>4.82262886E8</v>
      </c>
      <c r="AA997" s="1" t="s">
        <v>46</v>
      </c>
      <c r="AB997" s="1" t="s">
        <v>45</v>
      </c>
      <c r="AC997" s="1">
        <v>4.82262886E8</v>
      </c>
      <c r="AD997" s="1">
        <v>6530661.0</v>
      </c>
      <c r="AE997" s="1" t="s">
        <v>76</v>
      </c>
      <c r="AF997" s="1">
        <v>93271.03</v>
      </c>
      <c r="AG997" s="2">
        <v>41736.0</v>
      </c>
      <c r="AH997" s="1">
        <v>6900.0</v>
      </c>
      <c r="AI997" s="1" t="s">
        <v>151</v>
      </c>
      <c r="AJ997" s="1">
        <v>1.0</v>
      </c>
      <c r="AK997" s="1" t="s">
        <v>2350</v>
      </c>
      <c r="AL997" s="1">
        <v>4.0</v>
      </c>
      <c r="AM997" s="1">
        <v>2014.0</v>
      </c>
      <c r="AN997" s="1">
        <v>2014.0</v>
      </c>
      <c r="AO997" s="1" t="s">
        <v>229</v>
      </c>
    </row>
    <row r="998">
      <c r="A998" s="5">
        <v>1.0</v>
      </c>
      <c r="B998" s="1">
        <f t="shared" si="1"/>
        <v>998</v>
      </c>
      <c r="C998" s="1" t="s">
        <v>2351</v>
      </c>
      <c r="D998" s="1" t="s">
        <v>2351</v>
      </c>
      <c r="E998" s="1" t="s">
        <v>100</v>
      </c>
      <c r="G998" s="1">
        <v>3.3353508E7</v>
      </c>
      <c r="H998" s="2">
        <v>41288.0</v>
      </c>
      <c r="I998" s="1" t="s">
        <v>297</v>
      </c>
      <c r="K998" s="1" t="s">
        <v>297</v>
      </c>
      <c r="N998" s="1" t="s">
        <v>102</v>
      </c>
      <c r="O998" s="1">
        <v>8600.0</v>
      </c>
      <c r="P998" s="1" t="s">
        <v>102</v>
      </c>
      <c r="Q998" s="1" t="str">
        <f>IF(ISERROR(VLOOKUP(P998,'unique fed agency names'!A:C,3,FALSE)),P998,VLOOKUP(P998,'unique fed agency names'!A:C,3,FALSE))
</f>
        <v>U.S. Department of Housing and Urban Development (HUD)</v>
      </c>
      <c r="R998" s="1">
        <v>1.95614664E8</v>
      </c>
      <c r="S998" s="1" t="s">
        <v>1333</v>
      </c>
      <c r="T998" s="1" t="str">
        <f>IF(ISERROR(VLOOKUP(S998,'unique org names'!A:C,3,FALSE)),S998,VLOOKUP(S998,'unique org names'!A:C,3,FALSE))
</f>
        <v>Black Family Development, Inc</v>
      </c>
      <c r="V998" s="1" t="s">
        <v>1334</v>
      </c>
      <c r="W998" s="1" t="s">
        <v>44</v>
      </c>
      <c r="X998" s="1" t="s">
        <v>45</v>
      </c>
      <c r="Y998" s="1">
        <v>4.82023133E8</v>
      </c>
      <c r="AA998" s="1" t="s">
        <v>46</v>
      </c>
      <c r="AB998" s="1" t="s">
        <v>45</v>
      </c>
      <c r="AC998" s="1">
        <v>4.82033113E8</v>
      </c>
      <c r="AD998" s="1">
        <v>1.95614664E8</v>
      </c>
      <c r="AE998" s="1" t="s">
        <v>1333</v>
      </c>
      <c r="AF998" s="1">
        <v>88000.0</v>
      </c>
      <c r="AG998" s="2">
        <v>41288.0</v>
      </c>
      <c r="AH998" s="1">
        <v>8600.0</v>
      </c>
      <c r="AI998" s="1" t="s">
        <v>102</v>
      </c>
      <c r="AJ998" s="1">
        <v>7748.0</v>
      </c>
      <c r="AK998" s="1" t="s">
        <v>2386</v>
      </c>
      <c r="AL998" s="1">
        <v>2.0</v>
      </c>
      <c r="AM998" s="1">
        <v>2013.0</v>
      </c>
      <c r="AN998" s="1">
        <v>2013.0</v>
      </c>
      <c r="AO998" s="1" t="s">
        <v>305</v>
      </c>
    </row>
    <row r="999">
      <c r="A999" s="5">
        <v>1.0</v>
      </c>
      <c r="B999" s="1">
        <f t="shared" si="1"/>
        <v>999</v>
      </c>
      <c r="C999" s="1" t="s">
        <v>2351</v>
      </c>
      <c r="D999" s="1" t="s">
        <v>2351</v>
      </c>
      <c r="E999" s="1" t="s">
        <v>100</v>
      </c>
      <c r="G999" s="1">
        <v>3.3353508E7</v>
      </c>
      <c r="H999" s="2">
        <v>41288.0</v>
      </c>
      <c r="I999" s="1" t="s">
        <v>297</v>
      </c>
      <c r="K999" s="1" t="s">
        <v>297</v>
      </c>
      <c r="N999" s="1" t="s">
        <v>102</v>
      </c>
      <c r="O999" s="1">
        <v>8600.0</v>
      </c>
      <c r="P999" s="1" t="s">
        <v>102</v>
      </c>
      <c r="Q999" s="1" t="str">
        <f>IF(ISERROR(VLOOKUP(P999,'unique fed agency names'!A:C,3,FALSE)),P999,VLOOKUP(P999,'unique fed agency names'!A:C,3,FALSE))
</f>
        <v>U.S. Department of Housing and Urban Development (HUD)</v>
      </c>
      <c r="R999" s="1">
        <v>1.69757358E8</v>
      </c>
      <c r="S999" s="1" t="s">
        <v>2294</v>
      </c>
      <c r="T999" s="1" t="str">
        <f>IF(ISERROR(VLOOKUP(S999,'unique org names'!A:C,3,FALSE)),S999,VLOOKUP(S999,'unique org names'!A:C,3,FALSE))
</f>
        <v>THE DETROIT ANNUAL CONFERENCE OF THE UNITED METHODIST CHURCH</v>
      </c>
      <c r="U999" s="1" t="s">
        <v>2295</v>
      </c>
      <c r="V999" s="1" t="s">
        <v>2296</v>
      </c>
      <c r="W999" s="1" t="s">
        <v>44</v>
      </c>
      <c r="X999" s="1" t="s">
        <v>45</v>
      </c>
      <c r="Y999" s="1">
        <v>4.82261602E8</v>
      </c>
      <c r="AA999" s="1" t="s">
        <v>46</v>
      </c>
      <c r="AB999" s="1" t="s">
        <v>45</v>
      </c>
      <c r="AC999" s="1">
        <v>4.82261602E8</v>
      </c>
      <c r="AD999" s="1">
        <v>4.8774095E7</v>
      </c>
      <c r="AF999" s="1">
        <v>88000.0</v>
      </c>
      <c r="AG999" s="2">
        <v>41288.0</v>
      </c>
      <c r="AH999" s="1">
        <v>8600.0</v>
      </c>
      <c r="AI999" s="1" t="s">
        <v>102</v>
      </c>
      <c r="AJ999" s="1">
        <v>7750.0</v>
      </c>
      <c r="AK999" s="1" t="s">
        <v>2387</v>
      </c>
      <c r="AL999" s="1">
        <v>2.0</v>
      </c>
      <c r="AM999" s="1">
        <v>2013.0</v>
      </c>
      <c r="AN999" s="1">
        <v>2013.0</v>
      </c>
      <c r="AO999" s="1" t="s">
        <v>305</v>
      </c>
    </row>
    <row r="1000">
      <c r="A1000" s="5">
        <v>1.0</v>
      </c>
      <c r="B1000" s="1">
        <f t="shared" si="1"/>
        <v>1000</v>
      </c>
      <c r="C1000" s="1" t="s">
        <v>2351</v>
      </c>
      <c r="D1000" s="1" t="s">
        <v>2351</v>
      </c>
      <c r="E1000" s="1" t="s">
        <v>100</v>
      </c>
      <c r="G1000" s="1">
        <v>3.3353508E7</v>
      </c>
      <c r="H1000" s="2">
        <v>41288.0</v>
      </c>
      <c r="I1000" s="1" t="s">
        <v>297</v>
      </c>
      <c r="K1000" s="1" t="s">
        <v>297</v>
      </c>
      <c r="N1000" s="1" t="s">
        <v>102</v>
      </c>
      <c r="O1000" s="1">
        <v>8600.0</v>
      </c>
      <c r="P1000" s="1" t="s">
        <v>102</v>
      </c>
      <c r="Q1000" s="1" t="str">
        <f>IF(ISERROR(VLOOKUP(P1000,'unique fed agency names'!A:C,3,FALSE)),P1000,VLOOKUP(P1000,'unique fed agency names'!A:C,3,FALSE))
</f>
        <v>U.S. Department of Housing and Urban Development (HUD)</v>
      </c>
      <c r="R1000" s="1">
        <v>5.9136346E7</v>
      </c>
      <c r="S1000" s="1" t="s">
        <v>2388</v>
      </c>
      <c r="T1000" s="1" t="str">
        <f>IF(ISERROR(VLOOKUP(S1000,'unique org names'!A:C,3,FALSE)),S1000,VLOOKUP(S1000,'unique org names'!A:C,3,FALSE))
</f>
        <v>U-SNAP-BAC</v>
      </c>
      <c r="V1000" s="1" t="s">
        <v>2389</v>
      </c>
      <c r="W1000" s="1" t="s">
        <v>44</v>
      </c>
      <c r="X1000" s="1" t="s">
        <v>45</v>
      </c>
      <c r="Y1000" s="1">
        <v>4.82243026E8</v>
      </c>
      <c r="AA1000" s="1" t="s">
        <v>46</v>
      </c>
      <c r="AB1000" s="1" t="s">
        <v>45</v>
      </c>
      <c r="AC1000" s="1">
        <v>4.82243026E8</v>
      </c>
      <c r="AF1000" s="1">
        <v>60000.0</v>
      </c>
      <c r="AG1000" s="2">
        <v>41288.0</v>
      </c>
      <c r="AH1000" s="1">
        <v>8600.0</v>
      </c>
      <c r="AI1000" s="1" t="s">
        <v>102</v>
      </c>
      <c r="AJ1000" s="1">
        <v>7741.0</v>
      </c>
      <c r="AK1000" s="1" t="s">
        <v>2390</v>
      </c>
      <c r="AL1000" s="1">
        <v>2.0</v>
      </c>
      <c r="AM1000" s="1">
        <v>2013.0</v>
      </c>
      <c r="AN1000" s="1">
        <v>2013.0</v>
      </c>
      <c r="AO1000" s="1" t="s">
        <v>305</v>
      </c>
    </row>
    <row r="1001">
      <c r="A1001" s="5">
        <v>1.0</v>
      </c>
      <c r="B1001" s="1">
        <f t="shared" si="1"/>
        <v>1001</v>
      </c>
      <c r="C1001" s="1" t="s">
        <v>2351</v>
      </c>
      <c r="D1001" s="1" t="s">
        <v>2351</v>
      </c>
      <c r="E1001" s="1" t="s">
        <v>100</v>
      </c>
      <c r="G1001" s="1">
        <v>3.3353508E7</v>
      </c>
      <c r="H1001" s="2">
        <v>41288.0</v>
      </c>
      <c r="I1001" s="1" t="s">
        <v>297</v>
      </c>
      <c r="K1001" s="1" t="s">
        <v>297</v>
      </c>
      <c r="N1001" s="1" t="s">
        <v>102</v>
      </c>
      <c r="O1001" s="1">
        <v>8600.0</v>
      </c>
      <c r="P1001" s="1" t="s">
        <v>102</v>
      </c>
      <c r="Q1001" s="1" t="str">
        <f>IF(ISERROR(VLOOKUP(P1001,'unique fed agency names'!A:C,3,FALSE)),P1001,VLOOKUP(P1001,'unique fed agency names'!A:C,3,FALSE))
</f>
        <v>U.S. Department of Housing and Urban Development (HUD)</v>
      </c>
      <c r="R1001" s="1">
        <v>1.1861425E7</v>
      </c>
      <c r="S1001" s="1" t="s">
        <v>2391</v>
      </c>
      <c r="T1001" s="1" t="str">
        <f>IF(ISERROR(VLOOKUP(S1001,'unique org names'!A:C,3,FALSE)),S1001,VLOOKUP(S1001,'unique org names'!A:C,3,FALSE))
</f>
        <v>Courville Concert Choir</v>
      </c>
      <c r="V1001" s="1" t="s">
        <v>2392</v>
      </c>
      <c r="W1001" s="1" t="s">
        <v>44</v>
      </c>
      <c r="X1001" s="1" t="s">
        <v>45</v>
      </c>
      <c r="Y1001" s="1">
        <v>4.82212195E8</v>
      </c>
      <c r="AA1001" s="1" t="s">
        <v>46</v>
      </c>
      <c r="AB1001" s="1" t="s">
        <v>45</v>
      </c>
      <c r="AC1001" s="1">
        <v>4.82212195E8</v>
      </c>
      <c r="AF1001" s="1">
        <v>60000.0</v>
      </c>
      <c r="AG1001" s="2">
        <v>41288.0</v>
      </c>
      <c r="AH1001" s="1">
        <v>8600.0</v>
      </c>
      <c r="AI1001" s="1" t="s">
        <v>102</v>
      </c>
      <c r="AJ1001" s="1">
        <v>7709.0</v>
      </c>
      <c r="AK1001" s="1" t="s">
        <v>2393</v>
      </c>
      <c r="AL1001" s="1">
        <v>2.0</v>
      </c>
      <c r="AM1001" s="1">
        <v>2013.0</v>
      </c>
      <c r="AN1001" s="1">
        <v>2013.0</v>
      </c>
      <c r="AO1001" s="1" t="s">
        <v>305</v>
      </c>
    </row>
    <row r="1002">
      <c r="A1002" s="5">
        <v>1.0</v>
      </c>
      <c r="B1002" s="1">
        <f t="shared" si="1"/>
        <v>1002</v>
      </c>
      <c r="C1002" s="1" t="s">
        <v>2351</v>
      </c>
      <c r="D1002" s="1" t="s">
        <v>2351</v>
      </c>
      <c r="E1002" s="1" t="s">
        <v>100</v>
      </c>
      <c r="G1002" s="1">
        <v>3.3353508E7</v>
      </c>
      <c r="H1002" s="2">
        <v>41288.0</v>
      </c>
      <c r="I1002" s="1" t="s">
        <v>297</v>
      </c>
      <c r="K1002" s="1" t="s">
        <v>297</v>
      </c>
      <c r="N1002" s="1" t="s">
        <v>102</v>
      </c>
      <c r="O1002" s="1">
        <v>8600.0</v>
      </c>
      <c r="P1002" s="1" t="s">
        <v>102</v>
      </c>
      <c r="Q1002" s="1" t="str">
        <f>IF(ISERROR(VLOOKUP(P1002,'unique fed agency names'!A:C,3,FALSE)),P1002,VLOOKUP(P1002,'unique fed agency names'!A:C,3,FALSE))
</f>
        <v>U.S. Department of Housing and Urban Development (HUD)</v>
      </c>
      <c r="R1002" s="1">
        <v>1.37445396E8</v>
      </c>
      <c r="S1002" s="1" t="s">
        <v>2269</v>
      </c>
      <c r="T1002" s="1" t="str">
        <f>IF(ISERROR(VLOOKUP(S1002,'unique org names'!A:C,3,FALSE)),S1002,VLOOKUP(S1002,'unique org names'!A:C,3,FALSE))
</f>
        <v>Clark Park Coalition</v>
      </c>
      <c r="V1002" s="1" t="s">
        <v>2270</v>
      </c>
      <c r="W1002" s="1" t="s">
        <v>44</v>
      </c>
      <c r="X1002" s="1" t="s">
        <v>45</v>
      </c>
      <c r="Y1002" s="1">
        <v>4.820942E8</v>
      </c>
      <c r="AA1002" s="1" t="s">
        <v>46</v>
      </c>
      <c r="AB1002" s="1" t="s">
        <v>45</v>
      </c>
      <c r="AC1002" s="1">
        <v>4.820942E8</v>
      </c>
      <c r="AF1002" s="1">
        <v>60000.0</v>
      </c>
      <c r="AG1002" s="2">
        <v>41288.0</v>
      </c>
      <c r="AH1002" s="1">
        <v>8600.0</v>
      </c>
      <c r="AI1002" s="1" t="s">
        <v>102</v>
      </c>
      <c r="AJ1002" s="1">
        <v>7707.0</v>
      </c>
      <c r="AK1002" s="1" t="s">
        <v>2394</v>
      </c>
      <c r="AL1002" s="1">
        <v>2.0</v>
      </c>
      <c r="AM1002" s="1">
        <v>2013.0</v>
      </c>
      <c r="AN1002" s="1">
        <v>2013.0</v>
      </c>
      <c r="AO1002" s="1" t="s">
        <v>305</v>
      </c>
    </row>
    <row r="1003">
      <c r="A1003" s="5">
        <v>1.0</v>
      </c>
      <c r="B1003" s="1">
        <f t="shared" si="1"/>
        <v>1003</v>
      </c>
      <c r="C1003" s="1" t="s">
        <v>2351</v>
      </c>
      <c r="D1003" s="1" t="s">
        <v>2351</v>
      </c>
      <c r="E1003" s="1" t="s">
        <v>100</v>
      </c>
      <c r="G1003" s="1">
        <v>3.3353508E7</v>
      </c>
      <c r="H1003" s="2">
        <v>41288.0</v>
      </c>
      <c r="I1003" s="1" t="s">
        <v>297</v>
      </c>
      <c r="K1003" s="1" t="s">
        <v>297</v>
      </c>
      <c r="N1003" s="1" t="s">
        <v>102</v>
      </c>
      <c r="O1003" s="1">
        <v>8600.0</v>
      </c>
      <c r="P1003" s="1" t="s">
        <v>102</v>
      </c>
      <c r="Q1003" s="1" t="str">
        <f>IF(ISERROR(VLOOKUP(P1003,'unique fed agency names'!A:C,3,FALSE)),P1003,VLOOKUP(P1003,'unique fed agency names'!A:C,3,FALSE))
</f>
        <v>U.S. Department of Housing and Urban Development (HUD)</v>
      </c>
      <c r="R1003" s="1">
        <v>8.38496925E8</v>
      </c>
      <c r="S1003" s="1" t="s">
        <v>2395</v>
      </c>
      <c r="T1003" s="1" t="str">
        <f>IF(ISERROR(VLOOKUP(S1003,'unique org names'!A:C,3,FALSE)),S1003,VLOOKUP(S1003,'unique org names'!A:C,3,FALSE))
</f>
        <v>Fort Street Presbyterian Church</v>
      </c>
      <c r="V1003" s="1" t="s">
        <v>2396</v>
      </c>
      <c r="W1003" s="1" t="s">
        <v>44</v>
      </c>
      <c r="X1003" s="1" t="s">
        <v>45</v>
      </c>
      <c r="Y1003" s="1">
        <v>4.82263106E8</v>
      </c>
      <c r="AA1003" s="1" t="s">
        <v>46</v>
      </c>
      <c r="AB1003" s="1" t="s">
        <v>45</v>
      </c>
      <c r="AC1003" s="1">
        <v>4.82263106E8</v>
      </c>
      <c r="AF1003" s="1">
        <v>60000.0</v>
      </c>
      <c r="AG1003" s="2">
        <v>41288.0</v>
      </c>
      <c r="AH1003" s="1">
        <v>8600.0</v>
      </c>
      <c r="AI1003" s="1" t="s">
        <v>102</v>
      </c>
      <c r="AJ1003" s="1">
        <v>7717.0</v>
      </c>
      <c r="AK1003" s="1" t="s">
        <v>2397</v>
      </c>
      <c r="AL1003" s="1">
        <v>2.0</v>
      </c>
      <c r="AM1003" s="1">
        <v>2013.0</v>
      </c>
      <c r="AN1003" s="1">
        <v>2013.0</v>
      </c>
      <c r="AO1003" s="1" t="s">
        <v>305</v>
      </c>
    </row>
    <row r="1004">
      <c r="A1004" s="5">
        <v>1.0</v>
      </c>
      <c r="B1004" s="1">
        <f t="shared" si="1"/>
        <v>1004</v>
      </c>
      <c r="C1004" s="1" t="s">
        <v>2351</v>
      </c>
      <c r="D1004" s="1" t="s">
        <v>2351</v>
      </c>
      <c r="E1004" s="1" t="s">
        <v>100</v>
      </c>
      <c r="G1004" s="1">
        <v>3.3353508E7</v>
      </c>
      <c r="H1004" s="2">
        <v>41288.0</v>
      </c>
      <c r="I1004" s="1" t="s">
        <v>297</v>
      </c>
      <c r="K1004" s="1" t="s">
        <v>297</v>
      </c>
      <c r="N1004" s="1" t="s">
        <v>102</v>
      </c>
      <c r="O1004" s="1">
        <v>8600.0</v>
      </c>
      <c r="P1004" s="1" t="s">
        <v>102</v>
      </c>
      <c r="Q1004" s="1" t="str">
        <f>IF(ISERROR(VLOOKUP(P1004,'unique fed agency names'!A:C,3,FALSE)),P1004,VLOOKUP(P1004,'unique fed agency names'!A:C,3,FALSE))
</f>
        <v>U.S. Department of Housing and Urban Development (HUD)</v>
      </c>
      <c r="R1004" s="1">
        <v>1.12914697E8</v>
      </c>
      <c r="S1004" s="1" t="s">
        <v>2172</v>
      </c>
      <c r="T1004" s="1" t="str">
        <f>IF(ISERROR(VLOOKUP(S1004,'unique org names'!A:C,3,FALSE)),S1004,VLOOKUP(S1004,'unique org names'!A:C,3,FALSE))
</f>
        <v>L &amp; L Adult Day Care, Inc</v>
      </c>
      <c r="U1004" s="1" t="s">
        <v>2173</v>
      </c>
      <c r="V1004" s="1" t="s">
        <v>2174</v>
      </c>
      <c r="W1004" s="1" t="s">
        <v>44</v>
      </c>
      <c r="X1004" s="1" t="s">
        <v>45</v>
      </c>
      <c r="Y1004" s="1">
        <v>4.82341265E8</v>
      </c>
      <c r="AA1004" s="1" t="s">
        <v>46</v>
      </c>
      <c r="AB1004" s="1" t="s">
        <v>45</v>
      </c>
      <c r="AC1004" s="1">
        <v>4.82341265E8</v>
      </c>
      <c r="AF1004" s="1">
        <v>60000.0</v>
      </c>
      <c r="AG1004" s="2">
        <v>41288.0</v>
      </c>
      <c r="AH1004" s="1">
        <v>8600.0</v>
      </c>
      <c r="AI1004" s="1" t="s">
        <v>102</v>
      </c>
      <c r="AJ1004" s="1">
        <v>7723.0</v>
      </c>
      <c r="AK1004" s="1" t="s">
        <v>2398</v>
      </c>
      <c r="AL1004" s="1">
        <v>2.0</v>
      </c>
      <c r="AM1004" s="1">
        <v>2013.0</v>
      </c>
      <c r="AN1004" s="1">
        <v>2013.0</v>
      </c>
      <c r="AO1004" s="1" t="s">
        <v>305</v>
      </c>
    </row>
    <row r="1005">
      <c r="A1005" s="5">
        <v>1.0</v>
      </c>
      <c r="B1005" s="1">
        <f t="shared" si="1"/>
        <v>1005</v>
      </c>
      <c r="C1005" s="1" t="s">
        <v>2351</v>
      </c>
      <c r="D1005" s="1" t="s">
        <v>2351</v>
      </c>
      <c r="E1005" s="1" t="s">
        <v>100</v>
      </c>
      <c r="G1005" s="1">
        <v>3.3353508E7</v>
      </c>
      <c r="H1005" s="2">
        <v>41288.0</v>
      </c>
      <c r="I1005" s="1" t="s">
        <v>297</v>
      </c>
      <c r="K1005" s="1" t="s">
        <v>297</v>
      </c>
      <c r="N1005" s="1" t="s">
        <v>102</v>
      </c>
      <c r="O1005" s="1">
        <v>8600.0</v>
      </c>
      <c r="P1005" s="1" t="s">
        <v>102</v>
      </c>
      <c r="Q1005" s="1" t="str">
        <f>IF(ISERROR(VLOOKUP(P1005,'unique fed agency names'!A:C,3,FALSE)),P1005,VLOOKUP(P1005,'unique fed agency names'!A:C,3,FALSE))
</f>
        <v>U.S. Department of Housing and Urban Development (HUD)</v>
      </c>
      <c r="R1005" s="1">
        <v>6.07770427E8</v>
      </c>
      <c r="S1005" s="1" t="s">
        <v>1249</v>
      </c>
      <c r="T1005" s="1" t="str">
        <f>IF(ISERROR(VLOOKUP(S1005,'unique org names'!A:C,3,FALSE)),S1005,VLOOKUP(S1005,'unique org names'!A:C,3,FALSE))
</f>
        <v>Dominican Literacy Center</v>
      </c>
      <c r="V1005" s="1" t="s">
        <v>1250</v>
      </c>
      <c r="W1005" s="1" t="s">
        <v>44</v>
      </c>
      <c r="X1005" s="1" t="s">
        <v>45</v>
      </c>
      <c r="Y1005" s="1">
        <v>4.82133364E8</v>
      </c>
      <c r="AA1005" s="1" t="s">
        <v>46</v>
      </c>
      <c r="AB1005" s="1" t="s">
        <v>45</v>
      </c>
      <c r="AC1005" s="1">
        <v>4.82133364E8</v>
      </c>
      <c r="AF1005" s="1">
        <v>60000.0</v>
      </c>
      <c r="AG1005" s="2">
        <v>41288.0</v>
      </c>
      <c r="AH1005" s="1">
        <v>8600.0</v>
      </c>
      <c r="AI1005" s="1" t="s">
        <v>102</v>
      </c>
      <c r="AJ1005" s="1">
        <v>7714.0</v>
      </c>
      <c r="AK1005" s="1" t="s">
        <v>2399</v>
      </c>
      <c r="AL1005" s="1">
        <v>2.0</v>
      </c>
      <c r="AM1005" s="1">
        <v>2013.0</v>
      </c>
      <c r="AN1005" s="1">
        <v>2013.0</v>
      </c>
      <c r="AO1005" s="1" t="s">
        <v>305</v>
      </c>
    </row>
    <row r="1006">
      <c r="A1006" s="5">
        <v>1.0</v>
      </c>
      <c r="B1006" s="1">
        <f t="shared" si="1"/>
        <v>1006</v>
      </c>
      <c r="C1006" s="1" t="s">
        <v>2351</v>
      </c>
      <c r="D1006" s="1" t="s">
        <v>2351</v>
      </c>
      <c r="E1006" s="1" t="s">
        <v>100</v>
      </c>
      <c r="G1006" s="1">
        <v>3.3353508E7</v>
      </c>
      <c r="H1006" s="2">
        <v>41288.0</v>
      </c>
      <c r="I1006" s="1" t="s">
        <v>297</v>
      </c>
      <c r="K1006" s="1" t="s">
        <v>297</v>
      </c>
      <c r="N1006" s="1" t="s">
        <v>102</v>
      </c>
      <c r="O1006" s="1">
        <v>8600.0</v>
      </c>
      <c r="P1006" s="1" t="s">
        <v>102</v>
      </c>
      <c r="Q1006" s="1" t="str">
        <f>IF(ISERROR(VLOOKUP(P1006,'unique fed agency names'!A:C,3,FALSE)),P1006,VLOOKUP(P1006,'unique fed agency names'!A:C,3,FALSE))
</f>
        <v>U.S. Department of Housing and Urban Development (HUD)</v>
      </c>
      <c r="R1006" s="1">
        <v>1.43199672E8</v>
      </c>
      <c r="S1006" s="1" t="s">
        <v>116</v>
      </c>
      <c r="T1006" s="1" t="str">
        <f>IF(ISERROR(VLOOKUP(S1006,'unique org names'!A:C,3,FALSE)),S1006,VLOOKUP(S1006,'unique org names'!A:C,3,FALSE))
</f>
        <v>Sphinx Organization, Inc</v>
      </c>
      <c r="V1006" s="1" t="s">
        <v>117</v>
      </c>
      <c r="W1006" s="1" t="s">
        <v>44</v>
      </c>
      <c r="X1006" s="1" t="s">
        <v>45</v>
      </c>
      <c r="Y1006" s="1">
        <v>4.82431607E8</v>
      </c>
      <c r="AA1006" s="1" t="s">
        <v>46</v>
      </c>
      <c r="AB1006" s="1" t="s">
        <v>45</v>
      </c>
      <c r="AC1006" s="1">
        <v>4.82431607E8</v>
      </c>
      <c r="AF1006" s="1">
        <v>60000.0</v>
      </c>
      <c r="AG1006" s="2">
        <v>41288.0</v>
      </c>
      <c r="AH1006" s="1">
        <v>8600.0</v>
      </c>
      <c r="AI1006" s="1" t="s">
        <v>102</v>
      </c>
      <c r="AJ1006" s="1">
        <v>7734.0</v>
      </c>
      <c r="AK1006" s="1" t="s">
        <v>2400</v>
      </c>
      <c r="AL1006" s="1">
        <v>2.0</v>
      </c>
      <c r="AM1006" s="1">
        <v>2013.0</v>
      </c>
      <c r="AN1006" s="1">
        <v>2013.0</v>
      </c>
      <c r="AO1006" s="1" t="s">
        <v>305</v>
      </c>
    </row>
    <row r="1007">
      <c r="A1007" s="5">
        <v>1.0</v>
      </c>
      <c r="B1007" s="1">
        <f t="shared" si="1"/>
        <v>1007</v>
      </c>
      <c r="C1007" s="1" t="s">
        <v>2351</v>
      </c>
      <c r="D1007" s="1" t="s">
        <v>2351</v>
      </c>
      <c r="E1007" s="1" t="s">
        <v>100</v>
      </c>
      <c r="G1007" s="1">
        <v>3.3353508E7</v>
      </c>
      <c r="H1007" s="2">
        <v>41288.0</v>
      </c>
      <c r="I1007" s="1" t="s">
        <v>297</v>
      </c>
      <c r="K1007" s="1" t="s">
        <v>297</v>
      </c>
      <c r="N1007" s="1" t="s">
        <v>102</v>
      </c>
      <c r="O1007" s="1">
        <v>8600.0</v>
      </c>
      <c r="P1007" s="1" t="s">
        <v>102</v>
      </c>
      <c r="Q1007" s="1" t="str">
        <f>IF(ISERROR(VLOOKUP(P1007,'unique fed agency names'!A:C,3,FALSE)),P1007,VLOOKUP(P1007,'unique fed agency names'!A:C,3,FALSE))
</f>
        <v>U.S. Department of Housing and Urban Development (HUD)</v>
      </c>
      <c r="R1007" s="1">
        <v>1.43186E8</v>
      </c>
      <c r="S1007" s="1" t="s">
        <v>2401</v>
      </c>
      <c r="T1007" s="1" t="str">
        <f>IF(ISERROR(VLOOKUP(S1007,'unique org names'!A:C,3,FALSE)),S1007,VLOOKUP(S1007,'unique org names'!A:C,3,FALSE))
</f>
        <v>Moore Community Council</v>
      </c>
      <c r="V1007" s="1" t="s">
        <v>2402</v>
      </c>
      <c r="W1007" s="1" t="s">
        <v>44</v>
      </c>
      <c r="X1007" s="1" t="s">
        <v>45</v>
      </c>
      <c r="Y1007" s="1">
        <v>4.82023041E8</v>
      </c>
      <c r="AA1007" s="1" t="s">
        <v>46</v>
      </c>
      <c r="AB1007" s="1" t="s">
        <v>45</v>
      </c>
      <c r="AC1007" s="1">
        <v>4.82023041E8</v>
      </c>
      <c r="AF1007" s="1">
        <v>60000.0</v>
      </c>
      <c r="AG1007" s="2">
        <v>41288.0</v>
      </c>
      <c r="AH1007" s="1">
        <v>8600.0</v>
      </c>
      <c r="AI1007" s="1" t="s">
        <v>102</v>
      </c>
      <c r="AJ1007" s="1">
        <v>7726.0</v>
      </c>
      <c r="AK1007" s="1" t="s">
        <v>2403</v>
      </c>
      <c r="AL1007" s="1">
        <v>2.0</v>
      </c>
      <c r="AM1007" s="1">
        <v>2013.0</v>
      </c>
      <c r="AN1007" s="1">
        <v>2013.0</v>
      </c>
      <c r="AO1007" s="1" t="s">
        <v>305</v>
      </c>
    </row>
    <row r="1008">
      <c r="A1008" s="5">
        <v>1.0</v>
      </c>
      <c r="B1008" s="1">
        <f t="shared" si="1"/>
        <v>1008</v>
      </c>
      <c r="C1008" s="1" t="s">
        <v>2351</v>
      </c>
      <c r="D1008" s="1" t="s">
        <v>2351</v>
      </c>
      <c r="E1008" s="1" t="s">
        <v>100</v>
      </c>
      <c r="G1008" s="1">
        <v>3.3353508E7</v>
      </c>
      <c r="H1008" s="2">
        <v>41288.0</v>
      </c>
      <c r="I1008" s="1" t="s">
        <v>297</v>
      </c>
      <c r="K1008" s="1" t="s">
        <v>297</v>
      </c>
      <c r="N1008" s="1" t="s">
        <v>102</v>
      </c>
      <c r="O1008" s="1">
        <v>8600.0</v>
      </c>
      <c r="P1008" s="1" t="s">
        <v>102</v>
      </c>
      <c r="Q1008" s="1" t="str">
        <f>IF(ISERROR(VLOOKUP(P1008,'unique fed agency names'!A:C,3,FALSE)),P1008,VLOOKUP(P1008,'unique fed agency names'!A:C,3,FALSE))
</f>
        <v>U.S. Department of Housing and Urban Development (HUD)</v>
      </c>
      <c r="R1008" s="1">
        <v>8.840899E8</v>
      </c>
      <c r="S1008" s="1" t="s">
        <v>2254</v>
      </c>
      <c r="T1008" s="1" t="str">
        <f>IF(ISERROR(VLOOKUP(S1008,'unique org names'!A:C,3,FALSE)),S1008,VLOOKUP(S1008,'unique org names'!A:C,3,FALSE))
</f>
        <v>Wellspring</v>
      </c>
      <c r="V1008" s="1" t="s">
        <v>2255</v>
      </c>
      <c r="W1008" s="1" t="s">
        <v>44</v>
      </c>
      <c r="X1008" s="1" t="s">
        <v>45</v>
      </c>
      <c r="Y1008" s="1">
        <v>4.82193761E8</v>
      </c>
      <c r="AA1008" s="1" t="s">
        <v>46</v>
      </c>
      <c r="AB1008" s="1" t="s">
        <v>45</v>
      </c>
      <c r="AC1008" s="1">
        <v>4.82193761E8</v>
      </c>
      <c r="AF1008" s="1">
        <v>60000.0</v>
      </c>
      <c r="AG1008" s="2">
        <v>41288.0</v>
      </c>
      <c r="AH1008" s="1">
        <v>8600.0</v>
      </c>
      <c r="AI1008" s="1" t="s">
        <v>102</v>
      </c>
      <c r="AJ1008" s="1">
        <v>7743.0</v>
      </c>
      <c r="AK1008" s="1" t="s">
        <v>2404</v>
      </c>
      <c r="AL1008" s="1">
        <v>2.0</v>
      </c>
      <c r="AM1008" s="1">
        <v>2013.0</v>
      </c>
      <c r="AN1008" s="1">
        <v>2013.0</v>
      </c>
      <c r="AO1008" s="1" t="s">
        <v>305</v>
      </c>
    </row>
    <row r="1009">
      <c r="A1009" s="5">
        <v>1.0</v>
      </c>
      <c r="B1009" s="1">
        <f t="shared" si="1"/>
        <v>1009</v>
      </c>
      <c r="C1009" s="1" t="s">
        <v>2351</v>
      </c>
      <c r="D1009" s="1" t="s">
        <v>2351</v>
      </c>
      <c r="E1009" s="1" t="s">
        <v>100</v>
      </c>
      <c r="G1009" s="1">
        <v>3.3353508E7</v>
      </c>
      <c r="H1009" s="2">
        <v>41288.0</v>
      </c>
      <c r="I1009" s="1" t="s">
        <v>297</v>
      </c>
      <c r="K1009" s="1" t="s">
        <v>297</v>
      </c>
      <c r="N1009" s="1" t="s">
        <v>102</v>
      </c>
      <c r="O1009" s="1">
        <v>8600.0</v>
      </c>
      <c r="P1009" s="1" t="s">
        <v>102</v>
      </c>
      <c r="Q1009" s="1" t="str">
        <f>IF(ISERROR(VLOOKUP(P1009,'unique fed agency names'!A:C,3,FALSE)),P1009,VLOOKUP(P1009,'unique fed agency names'!A:C,3,FALSE))
</f>
        <v>U.S. Department of Housing and Urban Development (HUD)</v>
      </c>
      <c r="R1009" s="1">
        <v>1.06504459E8</v>
      </c>
      <c r="S1009" s="1" t="s">
        <v>2240</v>
      </c>
      <c r="T1009" s="1" t="str">
        <f>IF(ISERROR(VLOOKUP(S1009,'unique org names'!A:C,3,FALSE)),S1009,VLOOKUP(S1009,'unique org names'!A:C,3,FALSE))
</f>
        <v>Operation Get Down</v>
      </c>
      <c r="V1009" s="1" t="s">
        <v>2241</v>
      </c>
      <c r="W1009" s="1" t="s">
        <v>44</v>
      </c>
      <c r="X1009" s="1" t="s">
        <v>45</v>
      </c>
      <c r="Y1009" s="1">
        <v>4.82133112E8</v>
      </c>
      <c r="AA1009" s="1" t="s">
        <v>46</v>
      </c>
      <c r="AB1009" s="1" t="s">
        <v>45</v>
      </c>
      <c r="AC1009" s="1">
        <v>4.82133112E8</v>
      </c>
      <c r="AF1009" s="1">
        <v>88000.0</v>
      </c>
      <c r="AG1009" s="2">
        <v>41288.0</v>
      </c>
      <c r="AH1009" s="1">
        <v>8600.0</v>
      </c>
      <c r="AI1009" s="1" t="s">
        <v>102</v>
      </c>
      <c r="AJ1009" s="1">
        <v>7765.0</v>
      </c>
      <c r="AK1009" s="1" t="s">
        <v>2405</v>
      </c>
      <c r="AL1009" s="1">
        <v>2.0</v>
      </c>
      <c r="AM1009" s="1">
        <v>2013.0</v>
      </c>
      <c r="AN1009" s="1">
        <v>2013.0</v>
      </c>
      <c r="AO1009" s="1" t="s">
        <v>305</v>
      </c>
    </row>
    <row r="1010">
      <c r="A1010" s="5">
        <v>1.0</v>
      </c>
      <c r="B1010" s="1">
        <f t="shared" si="1"/>
        <v>1010</v>
      </c>
      <c r="C1010" s="1" t="s">
        <v>2351</v>
      </c>
      <c r="D1010" s="1" t="s">
        <v>2351</v>
      </c>
      <c r="E1010" s="1" t="s">
        <v>100</v>
      </c>
      <c r="G1010" s="1">
        <v>3.3353508E7</v>
      </c>
      <c r="H1010" s="2">
        <v>41288.0</v>
      </c>
      <c r="I1010" s="1" t="s">
        <v>297</v>
      </c>
      <c r="K1010" s="1" t="s">
        <v>297</v>
      </c>
      <c r="N1010" s="1" t="s">
        <v>102</v>
      </c>
      <c r="O1010" s="1">
        <v>8600.0</v>
      </c>
      <c r="P1010" s="1" t="s">
        <v>102</v>
      </c>
      <c r="Q1010" s="1" t="str">
        <f>IF(ISERROR(VLOOKUP(P1010,'unique fed agency names'!A:C,3,FALSE)),P1010,VLOOKUP(P1010,'unique fed agency names'!A:C,3,FALSE))
</f>
        <v>U.S. Department of Housing and Urban Development (HUD)</v>
      </c>
      <c r="R1010" s="1">
        <v>6.7314435E7</v>
      </c>
      <c r="S1010" s="1" t="s">
        <v>2406</v>
      </c>
      <c r="T1010" s="1" t="str">
        <f>IF(ISERROR(VLOOKUP(S1010,'unique org names'!A:C,3,FALSE)),S1010,VLOOKUP(S1010,'unique org names'!A:C,3,FALSE))
</f>
        <v>National Council on Alcoholism and Drug Dependence Greater Detroit Area</v>
      </c>
      <c r="V1010" s="1" t="s">
        <v>2407</v>
      </c>
      <c r="W1010" s="1" t="s">
        <v>44</v>
      </c>
      <c r="X1010" s="1" t="s">
        <v>45</v>
      </c>
      <c r="Y1010" s="1">
        <v>4.82212848E8</v>
      </c>
      <c r="AA1010" s="1" t="s">
        <v>46</v>
      </c>
      <c r="AB1010" s="1" t="s">
        <v>45</v>
      </c>
      <c r="AC1010" s="1">
        <v>4.82212848E8</v>
      </c>
      <c r="AD1010" s="1">
        <v>6.7314435E7</v>
      </c>
      <c r="AE1010" s="1" t="s">
        <v>2406</v>
      </c>
      <c r="AF1010" s="1">
        <v>60000.0</v>
      </c>
      <c r="AG1010" s="2">
        <v>41288.0</v>
      </c>
      <c r="AH1010" s="1">
        <v>8600.0</v>
      </c>
      <c r="AI1010" s="1" t="s">
        <v>102</v>
      </c>
      <c r="AJ1010" s="1">
        <v>7730.0</v>
      </c>
      <c r="AK1010" s="1" t="s">
        <v>2408</v>
      </c>
      <c r="AL1010" s="1">
        <v>2.0</v>
      </c>
      <c r="AM1010" s="1">
        <v>2013.0</v>
      </c>
      <c r="AN1010" s="1">
        <v>2013.0</v>
      </c>
      <c r="AO1010" s="1" t="s">
        <v>305</v>
      </c>
    </row>
    <row r="1011">
      <c r="A1011" s="5">
        <v>1.0</v>
      </c>
      <c r="B1011" s="1">
        <f t="shared" si="1"/>
        <v>1011</v>
      </c>
      <c r="C1011" s="1" t="s">
        <v>2351</v>
      </c>
      <c r="D1011" s="1" t="s">
        <v>2351</v>
      </c>
      <c r="E1011" s="1" t="s">
        <v>100</v>
      </c>
      <c r="G1011" s="1">
        <v>3.3353508E7</v>
      </c>
      <c r="H1011" s="2">
        <v>41288.0</v>
      </c>
      <c r="I1011" s="1" t="s">
        <v>297</v>
      </c>
      <c r="K1011" s="1" t="s">
        <v>297</v>
      </c>
      <c r="N1011" s="1" t="s">
        <v>102</v>
      </c>
      <c r="O1011" s="1">
        <v>8600.0</v>
      </c>
      <c r="P1011" s="1" t="s">
        <v>102</v>
      </c>
      <c r="Q1011" s="1" t="str">
        <f>IF(ISERROR(VLOOKUP(P1011,'unique fed agency names'!A:C,3,FALSE)),P1011,VLOOKUP(P1011,'unique fed agency names'!A:C,3,FALSE))
</f>
        <v>U.S. Department of Housing and Urban Development (HUD)</v>
      </c>
      <c r="R1011" s="1">
        <v>6.23610313E8</v>
      </c>
      <c r="S1011" s="1" t="s">
        <v>2198</v>
      </c>
      <c r="T1011" s="1" t="str">
        <f>IF(ISERROR(VLOOKUP(S1011,'unique org names'!A:C,3,FALSE)),S1011,VLOOKUP(S1011,'unique org names'!A:C,3,FALSE))
</f>
        <v>Samaritan Center</v>
      </c>
      <c r="V1011" s="1" t="s">
        <v>2199</v>
      </c>
      <c r="W1011" s="1" t="s">
        <v>44</v>
      </c>
      <c r="X1011" s="1" t="s">
        <v>45</v>
      </c>
      <c r="Y1011" s="1">
        <v>4.82133487E8</v>
      </c>
      <c r="AA1011" s="1" t="s">
        <v>46</v>
      </c>
      <c r="AB1011" s="1" t="s">
        <v>45</v>
      </c>
      <c r="AC1011" s="1">
        <v>4.82133487E8</v>
      </c>
      <c r="AF1011" s="1">
        <v>129377.0</v>
      </c>
      <c r="AG1011" s="2">
        <v>41288.0</v>
      </c>
      <c r="AH1011" s="1">
        <v>8600.0</v>
      </c>
      <c r="AI1011" s="1" t="s">
        <v>102</v>
      </c>
      <c r="AJ1011" s="1">
        <v>7690.0</v>
      </c>
      <c r="AK1011" s="1" t="s">
        <v>2409</v>
      </c>
      <c r="AL1011" s="1">
        <v>2.0</v>
      </c>
      <c r="AM1011" s="1">
        <v>2013.0</v>
      </c>
      <c r="AN1011" s="1">
        <v>2013.0</v>
      </c>
      <c r="AO1011" s="1" t="s">
        <v>305</v>
      </c>
    </row>
    <row r="1012">
      <c r="A1012" s="5">
        <v>1.0</v>
      </c>
      <c r="B1012" s="1">
        <f t="shared" si="1"/>
        <v>1012</v>
      </c>
      <c r="C1012" s="1" t="s">
        <v>2351</v>
      </c>
      <c r="D1012" s="1" t="s">
        <v>2351</v>
      </c>
      <c r="E1012" s="1" t="s">
        <v>100</v>
      </c>
      <c r="G1012" s="1">
        <v>3.3353508E7</v>
      </c>
      <c r="H1012" s="2">
        <v>41288.0</v>
      </c>
      <c r="I1012" s="1" t="s">
        <v>297</v>
      </c>
      <c r="K1012" s="1" t="s">
        <v>297</v>
      </c>
      <c r="N1012" s="1" t="s">
        <v>102</v>
      </c>
      <c r="O1012" s="1">
        <v>8600.0</v>
      </c>
      <c r="P1012" s="1" t="s">
        <v>102</v>
      </c>
      <c r="Q1012" s="1" t="str">
        <f>IF(ISERROR(VLOOKUP(P1012,'unique fed agency names'!A:C,3,FALSE)),P1012,VLOOKUP(P1012,'unique fed agency names'!A:C,3,FALSE))
</f>
        <v>U.S. Department of Housing and Urban Development (HUD)</v>
      </c>
      <c r="R1012" s="1">
        <v>9.33501314E8</v>
      </c>
      <c r="S1012" s="1" t="s">
        <v>2209</v>
      </c>
      <c r="T1012" s="1" t="str">
        <f>IF(ISERROR(VLOOKUP(S1012,'unique org names'!A:C,3,FALSE)),S1012,VLOOKUP(S1012,'unique org names'!A:C,3,FALSE))
</f>
        <v>Jefferson East, Inc</v>
      </c>
      <c r="U1012" s="1" t="s">
        <v>2210</v>
      </c>
      <c r="V1012" s="1" t="s">
        <v>2211</v>
      </c>
      <c r="W1012" s="1" t="s">
        <v>44</v>
      </c>
      <c r="X1012" s="1" t="s">
        <v>45</v>
      </c>
      <c r="Y1012" s="1">
        <v>4.82152967E8</v>
      </c>
      <c r="AA1012" s="1" t="s">
        <v>46</v>
      </c>
      <c r="AB1012" s="1" t="s">
        <v>45</v>
      </c>
      <c r="AC1012" s="1">
        <v>4.82152967E8</v>
      </c>
      <c r="AF1012" s="1">
        <v>100000.0</v>
      </c>
      <c r="AG1012" s="2">
        <v>41288.0</v>
      </c>
      <c r="AH1012" s="1">
        <v>8600.0</v>
      </c>
      <c r="AI1012" s="1" t="s">
        <v>102</v>
      </c>
      <c r="AJ1012" s="1">
        <v>7694.0</v>
      </c>
      <c r="AK1012" s="1" t="s">
        <v>2410</v>
      </c>
      <c r="AL1012" s="1">
        <v>2.0</v>
      </c>
      <c r="AM1012" s="1">
        <v>2013.0</v>
      </c>
      <c r="AN1012" s="1">
        <v>2013.0</v>
      </c>
      <c r="AO1012" s="1" t="s">
        <v>305</v>
      </c>
    </row>
    <row r="1013">
      <c r="A1013" s="5">
        <v>1.0</v>
      </c>
      <c r="B1013" s="1">
        <f t="shared" si="1"/>
        <v>1013</v>
      </c>
      <c r="C1013" s="1" t="s">
        <v>2351</v>
      </c>
      <c r="D1013" s="1" t="s">
        <v>2351</v>
      </c>
      <c r="E1013" s="1" t="s">
        <v>100</v>
      </c>
      <c r="G1013" s="1">
        <v>3.3353508E7</v>
      </c>
      <c r="H1013" s="2">
        <v>41288.0</v>
      </c>
      <c r="I1013" s="1" t="s">
        <v>297</v>
      </c>
      <c r="K1013" s="1" t="s">
        <v>297</v>
      </c>
      <c r="N1013" s="1" t="s">
        <v>102</v>
      </c>
      <c r="O1013" s="1">
        <v>8600.0</v>
      </c>
      <c r="P1013" s="1" t="s">
        <v>102</v>
      </c>
      <c r="Q1013" s="1" t="str">
        <f>IF(ISERROR(VLOOKUP(P1013,'unique fed agency names'!A:C,3,FALSE)),P1013,VLOOKUP(P1013,'unique fed agency names'!A:C,3,FALSE))
</f>
        <v>U.S. Department of Housing and Urban Development (HUD)</v>
      </c>
      <c r="R1013" s="1">
        <v>1.83562255E8</v>
      </c>
      <c r="S1013" s="1" t="s">
        <v>2411</v>
      </c>
      <c r="T1013" s="1" t="str">
        <f>IF(ISERROR(VLOOKUP(S1013,'unique org names'!A:C,3,FALSE)),S1013,VLOOKUP(S1013,'unique org names'!A:C,3,FALSE))
</f>
        <v>Warren-Connor Development Coalition, Inc</v>
      </c>
      <c r="V1013" s="1" t="s">
        <v>1250</v>
      </c>
      <c r="W1013" s="1" t="s">
        <v>44</v>
      </c>
      <c r="X1013" s="1" t="s">
        <v>45</v>
      </c>
      <c r="Y1013" s="1">
        <v>4.8213E8</v>
      </c>
      <c r="AA1013" s="1" t="s">
        <v>46</v>
      </c>
      <c r="AB1013" s="1" t="s">
        <v>45</v>
      </c>
      <c r="AC1013" s="1">
        <v>4.82133346E8</v>
      </c>
      <c r="AF1013" s="1">
        <v>129337.0</v>
      </c>
      <c r="AG1013" s="2">
        <v>41288.0</v>
      </c>
      <c r="AH1013" s="1">
        <v>8600.0</v>
      </c>
      <c r="AI1013" s="1" t="s">
        <v>102</v>
      </c>
      <c r="AJ1013" s="1">
        <v>7697.0</v>
      </c>
      <c r="AK1013" s="1" t="s">
        <v>2412</v>
      </c>
      <c r="AL1013" s="1">
        <v>2.0</v>
      </c>
      <c r="AM1013" s="1">
        <v>2013.0</v>
      </c>
      <c r="AN1013" s="1">
        <v>2013.0</v>
      </c>
      <c r="AO1013" s="1" t="s">
        <v>305</v>
      </c>
    </row>
    <row r="1014">
      <c r="A1014" s="5">
        <v>1.0</v>
      </c>
      <c r="B1014" s="1">
        <f t="shared" si="1"/>
        <v>1014</v>
      </c>
      <c r="C1014" s="1" t="s">
        <v>2351</v>
      </c>
      <c r="D1014" s="1" t="s">
        <v>2351</v>
      </c>
      <c r="E1014" s="1" t="s">
        <v>100</v>
      </c>
      <c r="G1014" s="1">
        <v>3.3353508E7</v>
      </c>
      <c r="H1014" s="2">
        <v>41288.0</v>
      </c>
      <c r="I1014" s="1" t="s">
        <v>297</v>
      </c>
      <c r="K1014" s="1" t="s">
        <v>297</v>
      </c>
      <c r="N1014" s="1" t="s">
        <v>102</v>
      </c>
      <c r="O1014" s="1">
        <v>8600.0</v>
      </c>
      <c r="P1014" s="1" t="s">
        <v>102</v>
      </c>
      <c r="Q1014" s="1" t="str">
        <f>IF(ISERROR(VLOOKUP(P1014,'unique fed agency names'!A:C,3,FALSE)),P1014,VLOOKUP(P1014,'unique fed agency names'!A:C,3,FALSE))
</f>
        <v>U.S. Department of Housing and Urban Development (HUD)</v>
      </c>
      <c r="R1014" s="1">
        <v>9.4547247E7</v>
      </c>
      <c r="S1014" s="1" t="s">
        <v>2201</v>
      </c>
      <c r="T1014" s="1" t="str">
        <f>IF(ISERROR(VLOOKUP(S1014,'unique org names'!A:C,3,FALSE)),S1014,VLOOKUP(S1014,'unique org names'!A:C,3,FALSE))
</f>
        <v>Detroit Rescue Mission Ministries</v>
      </c>
      <c r="U1014" s="1" t="s">
        <v>2202</v>
      </c>
      <c r="V1014" s="1" t="s">
        <v>2203</v>
      </c>
      <c r="W1014" s="1" t="s">
        <v>44</v>
      </c>
      <c r="X1014" s="1" t="s">
        <v>45</v>
      </c>
      <c r="Y1014" s="1">
        <v>4.8201241E8</v>
      </c>
      <c r="AA1014" s="1" t="s">
        <v>46</v>
      </c>
      <c r="AB1014" s="1" t="s">
        <v>45</v>
      </c>
      <c r="AC1014" s="1">
        <v>4.8201241E8</v>
      </c>
      <c r="AD1014" s="1">
        <v>9.4547247E7</v>
      </c>
      <c r="AE1014" s="1" t="s">
        <v>2201</v>
      </c>
      <c r="AF1014" s="1">
        <v>88000.0</v>
      </c>
      <c r="AG1014" s="2">
        <v>41288.0</v>
      </c>
      <c r="AH1014" s="1">
        <v>8600.0</v>
      </c>
      <c r="AI1014" s="1" t="s">
        <v>102</v>
      </c>
      <c r="AJ1014" s="1">
        <v>7754.0</v>
      </c>
      <c r="AK1014" s="1" t="s">
        <v>2413</v>
      </c>
      <c r="AL1014" s="1">
        <v>2.0</v>
      </c>
      <c r="AM1014" s="1">
        <v>2013.0</v>
      </c>
      <c r="AN1014" s="1">
        <v>2013.0</v>
      </c>
      <c r="AO1014" s="1" t="s">
        <v>305</v>
      </c>
    </row>
    <row r="1015">
      <c r="A1015" s="5">
        <v>1.0</v>
      </c>
      <c r="B1015" s="1">
        <f t="shared" si="1"/>
        <v>1015</v>
      </c>
      <c r="C1015" s="1" t="s">
        <v>2351</v>
      </c>
      <c r="D1015" s="1" t="s">
        <v>2351</v>
      </c>
      <c r="E1015" s="1" t="s">
        <v>100</v>
      </c>
      <c r="G1015" s="1">
        <v>3.3353508E7</v>
      </c>
      <c r="H1015" s="2">
        <v>41288.0</v>
      </c>
      <c r="I1015" s="1" t="s">
        <v>297</v>
      </c>
      <c r="K1015" s="1" t="s">
        <v>297</v>
      </c>
      <c r="N1015" s="1" t="s">
        <v>102</v>
      </c>
      <c r="O1015" s="1">
        <v>8600.0</v>
      </c>
      <c r="P1015" s="1" t="s">
        <v>102</v>
      </c>
      <c r="Q1015" s="1" t="str">
        <f>IF(ISERROR(VLOOKUP(P1015,'unique fed agency names'!A:C,3,FALSE)),P1015,VLOOKUP(P1015,'unique fed agency names'!A:C,3,FALSE))
</f>
        <v>U.S. Department of Housing and Urban Development (HUD)</v>
      </c>
      <c r="R1015" s="1">
        <v>1.80097268E8</v>
      </c>
      <c r="S1015" s="1" t="s">
        <v>2414</v>
      </c>
      <c r="T1015" s="1" t="str">
        <f>IF(ISERROR(VLOOKUP(S1015,'unique org names'!A:C,3,FALSE)),S1015,VLOOKUP(S1015,'unique org names'!A:C,3,FALSE))
</f>
        <v>Saint Christine Christian Services</v>
      </c>
      <c r="V1015" s="1" t="s">
        <v>2415</v>
      </c>
      <c r="W1015" s="1" t="s">
        <v>44</v>
      </c>
      <c r="X1015" s="1" t="s">
        <v>45</v>
      </c>
      <c r="Y1015" s="1">
        <v>4.82231542E8</v>
      </c>
      <c r="AA1015" s="1" t="s">
        <v>46</v>
      </c>
      <c r="AB1015" s="1" t="s">
        <v>45</v>
      </c>
      <c r="AC1015" s="1">
        <v>4.82231542E8</v>
      </c>
      <c r="AF1015" s="1">
        <v>60000.0</v>
      </c>
      <c r="AG1015" s="2">
        <v>41288.0</v>
      </c>
      <c r="AH1015" s="1">
        <v>8600.0</v>
      </c>
      <c r="AI1015" s="1" t="s">
        <v>102</v>
      </c>
      <c r="AJ1015" s="1">
        <v>7735.0</v>
      </c>
      <c r="AK1015" s="1" t="s">
        <v>2416</v>
      </c>
      <c r="AL1015" s="1">
        <v>2.0</v>
      </c>
      <c r="AM1015" s="1">
        <v>2013.0</v>
      </c>
      <c r="AN1015" s="1">
        <v>2013.0</v>
      </c>
      <c r="AO1015" s="1" t="s">
        <v>305</v>
      </c>
    </row>
    <row r="1016">
      <c r="A1016" s="5">
        <v>1.0</v>
      </c>
      <c r="B1016" s="1">
        <f t="shared" si="1"/>
        <v>1016</v>
      </c>
      <c r="C1016" s="1" t="s">
        <v>1385</v>
      </c>
      <c r="D1016" s="1" t="s">
        <v>1385</v>
      </c>
      <c r="E1016" s="1" t="s">
        <v>1386</v>
      </c>
      <c r="G1016" s="1">
        <v>6905203.0</v>
      </c>
      <c r="H1016" s="2">
        <v>41789.0</v>
      </c>
      <c r="I1016" s="1" t="s">
        <v>2417</v>
      </c>
      <c r="K1016" s="1" t="s">
        <v>2417</v>
      </c>
      <c r="N1016" s="1" t="s">
        <v>40</v>
      </c>
      <c r="O1016" s="1">
        <v>7500.0</v>
      </c>
      <c r="P1016" s="1" t="s">
        <v>40</v>
      </c>
      <c r="Q1016" s="1" t="str">
        <f>IF(ISERROR(VLOOKUP(P1016,'unique fed agency names'!A:C,3,FALSE)),P1016,VLOOKUP(P1016,'unique fed agency names'!A:C,3,FALSE))
</f>
        <v>U.S. Department of Health and Human Services (DHHS)</v>
      </c>
      <c r="R1016" s="1">
        <v>1962224.0</v>
      </c>
      <c r="S1016" s="1" t="s">
        <v>52</v>
      </c>
      <c r="T1016" s="1" t="str">
        <f>IF(ISERROR(VLOOKUP(S1016,'unique org names'!A:C,3,FALSE)),S1016,VLOOKUP(S1016,'unique org names'!A:C,3,FALSE))
</f>
        <v>WAYNE STATE UNIVERSITY</v>
      </c>
      <c r="U1016" s="1" t="s">
        <v>1566</v>
      </c>
      <c r="V1016" s="1" t="s">
        <v>53</v>
      </c>
      <c r="W1016" s="1" t="s">
        <v>44</v>
      </c>
      <c r="X1016" s="1" t="s">
        <v>45</v>
      </c>
      <c r="Y1016" s="1">
        <v>4.82023692E8</v>
      </c>
      <c r="AA1016" s="1" t="s">
        <v>46</v>
      </c>
      <c r="AB1016" s="1" t="s">
        <v>45</v>
      </c>
      <c r="AC1016" s="1">
        <v>4.8202405E8</v>
      </c>
      <c r="AD1016" s="1">
        <v>1962224.0</v>
      </c>
      <c r="AE1016" s="1" t="s">
        <v>52</v>
      </c>
      <c r="AF1016" s="1">
        <v>28000.0</v>
      </c>
      <c r="AG1016" s="2">
        <v>41789.0</v>
      </c>
      <c r="AH1016" s="1">
        <v>7500.0</v>
      </c>
      <c r="AI1016" s="1" t="s">
        <v>40</v>
      </c>
      <c r="AJ1016" s="1">
        <v>3.003021214E9</v>
      </c>
      <c r="AK1016" s="1" t="s">
        <v>2418</v>
      </c>
      <c r="AL1016" s="1">
        <v>5.0</v>
      </c>
      <c r="AM1016" s="1">
        <v>2014.0</v>
      </c>
      <c r="AN1016" s="1">
        <v>2014.0</v>
      </c>
      <c r="AO1016" s="1" t="s">
        <v>1389</v>
      </c>
    </row>
    <row r="1017">
      <c r="A1017" s="5">
        <v>1.0</v>
      </c>
      <c r="B1017" s="1">
        <f t="shared" si="1"/>
        <v>1017</v>
      </c>
      <c r="C1017" s="1" t="s">
        <v>2351</v>
      </c>
      <c r="D1017" s="1" t="s">
        <v>2351</v>
      </c>
      <c r="E1017" s="1" t="s">
        <v>100</v>
      </c>
      <c r="G1017" s="1">
        <v>3.3353508E7</v>
      </c>
      <c r="H1017" s="2">
        <v>41288.0</v>
      </c>
      <c r="I1017" s="1" t="s">
        <v>297</v>
      </c>
      <c r="K1017" s="1" t="s">
        <v>297</v>
      </c>
      <c r="N1017" s="1" t="s">
        <v>102</v>
      </c>
      <c r="O1017" s="1">
        <v>8600.0</v>
      </c>
      <c r="P1017" s="1" t="s">
        <v>102</v>
      </c>
      <c r="Q1017" s="1" t="str">
        <f>IF(ISERROR(VLOOKUP(P1017,'unique fed agency names'!A:C,3,FALSE)),P1017,VLOOKUP(P1017,'unique fed agency names'!A:C,3,FALSE))
</f>
        <v>U.S. Department of Housing and Urban Development (HUD)</v>
      </c>
      <c r="R1017" s="1">
        <v>9.65680176E8</v>
      </c>
      <c r="S1017" s="1" t="s">
        <v>353</v>
      </c>
      <c r="T1017" s="1" t="str">
        <f>IF(ISERROR(VLOOKUP(S1017,'unique org names'!A:C,3,FALSE)),S1017,VLOOKUP(S1017,'unique org names'!A:C,3,FALSE))
</f>
        <v>Urban Neighborhood Initiatives, Inc</v>
      </c>
      <c r="U1017" s="1" t="s">
        <v>354</v>
      </c>
      <c r="V1017" s="1" t="s">
        <v>355</v>
      </c>
      <c r="W1017" s="1" t="s">
        <v>44</v>
      </c>
      <c r="X1017" s="1" t="s">
        <v>45</v>
      </c>
      <c r="Y1017" s="1">
        <v>4.8209344E8</v>
      </c>
      <c r="AA1017" s="1" t="s">
        <v>46</v>
      </c>
      <c r="AB1017" s="1" t="s">
        <v>45</v>
      </c>
      <c r="AC1017" s="1">
        <v>4.8209344E8</v>
      </c>
      <c r="AF1017" s="1">
        <v>129377.0</v>
      </c>
      <c r="AG1017" s="2">
        <v>41288.0</v>
      </c>
      <c r="AH1017" s="1">
        <v>8600.0</v>
      </c>
      <c r="AI1017" s="1" t="s">
        <v>102</v>
      </c>
      <c r="AJ1017" s="1">
        <v>7700.0</v>
      </c>
      <c r="AK1017" s="1" t="s">
        <v>2419</v>
      </c>
      <c r="AL1017" s="1">
        <v>2.0</v>
      </c>
      <c r="AM1017" s="1">
        <v>2013.0</v>
      </c>
      <c r="AN1017" s="1">
        <v>2013.0</v>
      </c>
      <c r="AO1017" s="1" t="s">
        <v>305</v>
      </c>
    </row>
    <row r="1018">
      <c r="A1018" s="5">
        <v>1.0</v>
      </c>
      <c r="B1018" s="1">
        <f t="shared" si="1"/>
        <v>1018</v>
      </c>
      <c r="C1018" s="1" t="s">
        <v>2351</v>
      </c>
      <c r="D1018" s="1" t="s">
        <v>2351</v>
      </c>
      <c r="E1018" s="1" t="s">
        <v>100</v>
      </c>
      <c r="G1018" s="1">
        <v>3.3353508E7</v>
      </c>
      <c r="H1018" s="2">
        <v>41288.0</v>
      </c>
      <c r="I1018" s="1" t="s">
        <v>297</v>
      </c>
      <c r="K1018" s="1" t="s">
        <v>297</v>
      </c>
      <c r="N1018" s="1" t="s">
        <v>102</v>
      </c>
      <c r="O1018" s="1">
        <v>8600.0</v>
      </c>
      <c r="P1018" s="1" t="s">
        <v>102</v>
      </c>
      <c r="Q1018" s="1" t="str">
        <f>IF(ISERROR(VLOOKUP(P1018,'unique fed agency names'!A:C,3,FALSE)),P1018,VLOOKUP(P1018,'unique fed agency names'!A:C,3,FALSE))
</f>
        <v>U.S. Department of Housing and Urban Development (HUD)</v>
      </c>
      <c r="R1018" s="1">
        <v>9.4670435E8</v>
      </c>
      <c r="S1018" s="1" t="s">
        <v>2420</v>
      </c>
      <c r="T1018" s="1" t="str">
        <f>IF(ISERROR(VLOOKUP(S1018,'unique org names'!A:C,3,FALSE)),S1018,VLOOKUP(S1018,'unique org names'!A:C,3,FALSE))
</f>
        <v>Young Detroit Builders</v>
      </c>
      <c r="U1018" s="1" t="s">
        <v>2421</v>
      </c>
      <c r="V1018" s="1" t="s">
        <v>2422</v>
      </c>
      <c r="W1018" s="1" t="s">
        <v>44</v>
      </c>
      <c r="X1018" s="1" t="s">
        <v>45</v>
      </c>
      <c r="Y1018" s="1">
        <v>4.82161927E8</v>
      </c>
      <c r="AA1018" s="1" t="s">
        <v>46</v>
      </c>
      <c r="AB1018" s="1" t="s">
        <v>45</v>
      </c>
      <c r="AC1018" s="1">
        <v>4.82161927E8</v>
      </c>
      <c r="AF1018" s="1">
        <v>100000.0</v>
      </c>
      <c r="AG1018" s="2">
        <v>41288.0</v>
      </c>
      <c r="AH1018" s="1">
        <v>8600.0</v>
      </c>
      <c r="AI1018" s="1" t="s">
        <v>102</v>
      </c>
      <c r="AJ1018" s="1">
        <v>7698.0</v>
      </c>
      <c r="AK1018" s="1" t="s">
        <v>2423</v>
      </c>
      <c r="AL1018" s="1">
        <v>2.0</v>
      </c>
      <c r="AM1018" s="1">
        <v>2013.0</v>
      </c>
      <c r="AN1018" s="1">
        <v>2013.0</v>
      </c>
      <c r="AO1018" s="1" t="s">
        <v>305</v>
      </c>
    </row>
    <row r="1019">
      <c r="A1019" s="5">
        <v>1.0</v>
      </c>
      <c r="B1019" s="1">
        <f t="shared" si="1"/>
        <v>1019</v>
      </c>
      <c r="C1019" s="1" t="s">
        <v>2351</v>
      </c>
      <c r="D1019" s="1" t="s">
        <v>2351</v>
      </c>
      <c r="E1019" s="1" t="s">
        <v>100</v>
      </c>
      <c r="G1019" s="1">
        <v>3.3353508E7</v>
      </c>
      <c r="H1019" s="2">
        <v>41288.0</v>
      </c>
      <c r="I1019" s="1" t="s">
        <v>297</v>
      </c>
      <c r="K1019" s="1" t="s">
        <v>297</v>
      </c>
      <c r="N1019" s="1" t="s">
        <v>102</v>
      </c>
      <c r="O1019" s="1">
        <v>8600.0</v>
      </c>
      <c r="P1019" s="1" t="s">
        <v>102</v>
      </c>
      <c r="Q1019" s="1" t="str">
        <f>IF(ISERROR(VLOOKUP(P1019,'unique fed agency names'!A:C,3,FALSE)),P1019,VLOOKUP(P1019,'unique fed agency names'!A:C,3,FALSE))
</f>
        <v>U.S. Department of Housing and Urban Development (HUD)</v>
      </c>
      <c r="R1019" s="1">
        <v>2.183979E7</v>
      </c>
      <c r="S1019" s="1" t="s">
        <v>2220</v>
      </c>
      <c r="T1019" s="1" t="str">
        <f>IF(ISERROR(VLOOKUP(S1019,'unique org names'!A:C,3,FALSE)),S1019,VLOOKUP(S1019,'unique org names'!A:C,3,FALSE))
</f>
        <v>Society of St Vincent de Paul (SVDP) - Detroit</v>
      </c>
      <c r="V1019" s="1" t="s">
        <v>2221</v>
      </c>
      <c r="W1019" s="1" t="s">
        <v>44</v>
      </c>
      <c r="X1019" s="1" t="s">
        <v>45</v>
      </c>
      <c r="Y1019" s="1">
        <v>4.82072372E8</v>
      </c>
      <c r="AA1019" s="1" t="s">
        <v>46</v>
      </c>
      <c r="AB1019" s="1" t="s">
        <v>45</v>
      </c>
      <c r="AC1019" s="1">
        <v>4.82072372E8</v>
      </c>
      <c r="AD1019" s="1">
        <v>2.183979E7</v>
      </c>
      <c r="AE1019" s="1" t="s">
        <v>2220</v>
      </c>
      <c r="AF1019" s="1">
        <v>60000.0</v>
      </c>
      <c r="AG1019" s="2">
        <v>41288.0</v>
      </c>
      <c r="AH1019" s="1">
        <v>8600.0</v>
      </c>
      <c r="AI1019" s="1" t="s">
        <v>102</v>
      </c>
      <c r="AJ1019" s="1">
        <v>7738.0</v>
      </c>
      <c r="AK1019" s="1" t="s">
        <v>2424</v>
      </c>
      <c r="AL1019" s="1">
        <v>2.0</v>
      </c>
      <c r="AM1019" s="1">
        <v>2013.0</v>
      </c>
      <c r="AN1019" s="1">
        <v>2013.0</v>
      </c>
      <c r="AO1019" s="1" t="s">
        <v>305</v>
      </c>
    </row>
    <row r="1020">
      <c r="A1020" s="5">
        <v>1.0</v>
      </c>
      <c r="B1020" s="1">
        <f t="shared" si="1"/>
        <v>1020</v>
      </c>
      <c r="C1020" s="1" t="s">
        <v>2351</v>
      </c>
      <c r="D1020" s="1" t="s">
        <v>2351</v>
      </c>
      <c r="E1020" s="1" t="s">
        <v>100</v>
      </c>
      <c r="G1020" s="1">
        <v>3.3353508E7</v>
      </c>
      <c r="H1020" s="2">
        <v>41288.0</v>
      </c>
      <c r="I1020" s="1" t="s">
        <v>297</v>
      </c>
      <c r="K1020" s="1" t="s">
        <v>297</v>
      </c>
      <c r="N1020" s="1" t="s">
        <v>102</v>
      </c>
      <c r="O1020" s="1">
        <v>8600.0</v>
      </c>
      <c r="P1020" s="1" t="s">
        <v>102</v>
      </c>
      <c r="Q1020" s="1" t="str">
        <f>IF(ISERROR(VLOOKUP(P1020,'unique fed agency names'!A:C,3,FALSE)),P1020,VLOOKUP(P1020,'unique fed agency names'!A:C,3,FALSE))
</f>
        <v>U.S. Department of Housing and Urban Development (HUD)</v>
      </c>
      <c r="R1020" s="1">
        <v>7.8671071E8</v>
      </c>
      <c r="S1020" s="1" t="s">
        <v>2154</v>
      </c>
      <c r="T1020" s="1" t="str">
        <f>IF(ISERROR(VLOOKUP(S1020,'unique org names'!A:C,3,FALSE)),S1020,VLOOKUP(S1020,'unique org names'!A:C,3,FALSE))
</f>
        <v>Joy-Southfield Community Development Corporation</v>
      </c>
      <c r="V1020" s="1" t="s">
        <v>2155</v>
      </c>
      <c r="W1020" s="1" t="s">
        <v>44</v>
      </c>
      <c r="X1020" s="1" t="s">
        <v>45</v>
      </c>
      <c r="Y1020" s="1">
        <v>4.8228305E8</v>
      </c>
      <c r="AA1020" s="1" t="s">
        <v>46</v>
      </c>
      <c r="AB1020" s="1" t="s">
        <v>45</v>
      </c>
      <c r="AC1020" s="1">
        <v>4.8228305E8</v>
      </c>
      <c r="AF1020" s="1">
        <v>60000.0</v>
      </c>
      <c r="AG1020" s="2">
        <v>41288.0</v>
      </c>
      <c r="AH1020" s="1">
        <v>8600.0</v>
      </c>
      <c r="AI1020" s="1" t="s">
        <v>102</v>
      </c>
      <c r="AJ1020" s="1">
        <v>7721.0</v>
      </c>
      <c r="AK1020" s="1" t="s">
        <v>2425</v>
      </c>
      <c r="AL1020" s="1">
        <v>2.0</v>
      </c>
      <c r="AM1020" s="1">
        <v>2013.0</v>
      </c>
      <c r="AN1020" s="1">
        <v>2013.0</v>
      </c>
      <c r="AO1020" s="1" t="s">
        <v>305</v>
      </c>
    </row>
    <row r="1021">
      <c r="A1021" s="5">
        <v>1.0</v>
      </c>
      <c r="B1021" s="1">
        <f t="shared" si="1"/>
        <v>1021</v>
      </c>
      <c r="C1021" s="1" t="s">
        <v>2351</v>
      </c>
      <c r="D1021" s="1" t="s">
        <v>2351</v>
      </c>
      <c r="E1021" s="1" t="s">
        <v>100</v>
      </c>
      <c r="G1021" s="1">
        <v>3.3353508E7</v>
      </c>
      <c r="H1021" s="2">
        <v>41288.0</v>
      </c>
      <c r="I1021" s="1" t="s">
        <v>297</v>
      </c>
      <c r="K1021" s="1" t="s">
        <v>297</v>
      </c>
      <c r="N1021" s="1" t="s">
        <v>102</v>
      </c>
      <c r="O1021" s="1">
        <v>8600.0</v>
      </c>
      <c r="P1021" s="1" t="s">
        <v>102</v>
      </c>
      <c r="Q1021" s="1" t="str">
        <f>IF(ISERROR(VLOOKUP(P1021,'unique fed agency names'!A:C,3,FALSE)),P1021,VLOOKUP(P1021,'unique fed agency names'!A:C,3,FALSE))
</f>
        <v>U.S. Department of Housing and Urban Development (HUD)</v>
      </c>
      <c r="R1021" s="1">
        <v>8.37073782E8</v>
      </c>
      <c r="S1021" s="1" t="s">
        <v>2224</v>
      </c>
      <c r="T1021" s="1" t="str">
        <f>IF(ISERROR(VLOOKUP(S1021,'unique org names'!A:C,3,FALSE)),S1021,VLOOKUP(S1021,'unique org names'!A:C,3,FALSE))
</f>
        <v>Greening of Detroit</v>
      </c>
      <c r="V1021" s="1" t="s">
        <v>2225</v>
      </c>
      <c r="W1021" s="1" t="s">
        <v>44</v>
      </c>
      <c r="X1021" s="1" t="s">
        <v>45</v>
      </c>
      <c r="Y1021" s="1">
        <v>4.82161324E8</v>
      </c>
      <c r="AA1021" s="1" t="s">
        <v>46</v>
      </c>
      <c r="AB1021" s="1" t="s">
        <v>45</v>
      </c>
      <c r="AC1021" s="1">
        <v>4.82161324E8</v>
      </c>
      <c r="AF1021" s="1">
        <v>60000.0</v>
      </c>
      <c r="AG1021" s="2">
        <v>41288.0</v>
      </c>
      <c r="AH1021" s="1">
        <v>8600.0</v>
      </c>
      <c r="AI1021" s="1" t="s">
        <v>102</v>
      </c>
      <c r="AJ1021" s="1">
        <v>7719.0</v>
      </c>
      <c r="AK1021" s="1" t="s">
        <v>2426</v>
      </c>
      <c r="AL1021" s="1">
        <v>2.0</v>
      </c>
      <c r="AM1021" s="1">
        <v>2013.0</v>
      </c>
      <c r="AN1021" s="1">
        <v>2013.0</v>
      </c>
      <c r="AO1021" s="1" t="s">
        <v>305</v>
      </c>
    </row>
    <row r="1022">
      <c r="A1022" s="5">
        <v>1.0</v>
      </c>
      <c r="B1022" s="1">
        <f t="shared" si="1"/>
        <v>1022</v>
      </c>
      <c r="C1022" s="1" t="s">
        <v>2351</v>
      </c>
      <c r="D1022" s="1" t="s">
        <v>2351</v>
      </c>
      <c r="E1022" s="1" t="s">
        <v>100</v>
      </c>
      <c r="G1022" s="1">
        <v>3.3353508E7</v>
      </c>
      <c r="H1022" s="2">
        <v>41288.0</v>
      </c>
      <c r="I1022" s="1" t="s">
        <v>297</v>
      </c>
      <c r="K1022" s="1" t="s">
        <v>297</v>
      </c>
      <c r="N1022" s="1" t="s">
        <v>102</v>
      </c>
      <c r="O1022" s="1">
        <v>8600.0</v>
      </c>
      <c r="P1022" s="1" t="s">
        <v>102</v>
      </c>
      <c r="Q1022" s="1" t="str">
        <f>IF(ISERROR(VLOOKUP(P1022,'unique fed agency names'!A:C,3,FALSE)),P1022,VLOOKUP(P1022,'unique fed agency names'!A:C,3,FALSE))
</f>
        <v>U.S. Department of Housing and Urban Development (HUD)</v>
      </c>
      <c r="R1022" s="1">
        <v>3.4101593E7</v>
      </c>
      <c r="S1022" s="1" t="s">
        <v>2427</v>
      </c>
      <c r="T1022" s="1" t="str">
        <f>IF(ISERROR(VLOOKUP(S1022,'unique org names'!A:C,3,FALSE)),S1022,VLOOKUP(S1022,'unique org names'!A:C,3,FALSE))
</f>
        <v>A &amp; H Financial Solutions L.L.C.</v>
      </c>
      <c r="V1022" s="1" t="s">
        <v>2428</v>
      </c>
      <c r="W1022" s="1" t="s">
        <v>44</v>
      </c>
      <c r="X1022" s="1" t="s">
        <v>45</v>
      </c>
      <c r="Y1022" s="1">
        <v>4.82262982E8</v>
      </c>
      <c r="AA1022" s="1" t="s">
        <v>46</v>
      </c>
      <c r="AB1022" s="1" t="s">
        <v>45</v>
      </c>
      <c r="AC1022" s="1">
        <v>4.82262982E8</v>
      </c>
      <c r="AF1022" s="1">
        <v>60000.0</v>
      </c>
      <c r="AG1022" s="2">
        <v>41288.0</v>
      </c>
      <c r="AH1022" s="1">
        <v>8600.0</v>
      </c>
      <c r="AI1022" s="1" t="s">
        <v>102</v>
      </c>
      <c r="AJ1022" s="1">
        <v>7726.0</v>
      </c>
      <c r="AK1022" s="1" t="s">
        <v>2429</v>
      </c>
      <c r="AL1022" s="1">
        <v>2.0</v>
      </c>
      <c r="AM1022" s="1">
        <v>2013.0</v>
      </c>
      <c r="AN1022" s="1">
        <v>2013.0</v>
      </c>
      <c r="AO1022" s="1" t="s">
        <v>305</v>
      </c>
    </row>
    <row r="1023">
      <c r="A1023" s="5">
        <v>1.0</v>
      </c>
      <c r="B1023" s="1">
        <f t="shared" si="1"/>
        <v>1023</v>
      </c>
      <c r="C1023" s="1" t="s">
        <v>2351</v>
      </c>
      <c r="D1023" s="1" t="s">
        <v>2351</v>
      </c>
      <c r="E1023" s="1" t="s">
        <v>100</v>
      </c>
      <c r="G1023" s="1">
        <v>3.3353508E7</v>
      </c>
      <c r="H1023" s="2">
        <v>41288.0</v>
      </c>
      <c r="I1023" s="1" t="s">
        <v>297</v>
      </c>
      <c r="K1023" s="1" t="s">
        <v>297</v>
      </c>
      <c r="N1023" s="1" t="s">
        <v>102</v>
      </c>
      <c r="O1023" s="1">
        <v>8600.0</v>
      </c>
      <c r="P1023" s="1" t="s">
        <v>102</v>
      </c>
      <c r="Q1023" s="1" t="str">
        <f>IF(ISERROR(VLOOKUP(P1023,'unique fed agency names'!A:C,3,FALSE)),P1023,VLOOKUP(P1023,'unique fed agency names'!A:C,3,FALSE))
</f>
        <v>U.S. Department of Housing and Urban Development (HUD)</v>
      </c>
      <c r="R1023" s="1">
        <v>1.21516199E8</v>
      </c>
      <c r="S1023" s="1" t="s">
        <v>380</v>
      </c>
      <c r="T1023" s="1" t="str">
        <f>IF(ISERROR(VLOOKUP(S1023,'unique org names'!A:C,3,FALSE)),S1023,VLOOKUP(S1023,'unique org names'!A:C,3,FALSE))
</f>
        <v>YWCA of Metropolitan Detroit</v>
      </c>
      <c r="U1023" s="1" t="s">
        <v>381</v>
      </c>
      <c r="V1023" s="1" t="s">
        <v>382</v>
      </c>
      <c r="W1023" s="1" t="s">
        <v>44</v>
      </c>
      <c r="X1023" s="1" t="s">
        <v>45</v>
      </c>
      <c r="Y1023" s="1">
        <v>4.82073156E8</v>
      </c>
      <c r="AA1023" s="1" t="s">
        <v>46</v>
      </c>
      <c r="AB1023" s="1" t="s">
        <v>45</v>
      </c>
      <c r="AC1023" s="1">
        <v>4.82073156E8</v>
      </c>
      <c r="AD1023" s="1">
        <v>1.21516199E8</v>
      </c>
      <c r="AE1023" s="1" t="s">
        <v>380</v>
      </c>
      <c r="AF1023" s="1">
        <v>88000.0</v>
      </c>
      <c r="AG1023" s="2">
        <v>41288.0</v>
      </c>
      <c r="AH1023" s="1">
        <v>8600.0</v>
      </c>
      <c r="AI1023" s="1" t="s">
        <v>102</v>
      </c>
      <c r="AJ1023" s="1">
        <v>7769.0</v>
      </c>
      <c r="AK1023" s="1" t="s">
        <v>2430</v>
      </c>
      <c r="AL1023" s="1">
        <v>2.0</v>
      </c>
      <c r="AM1023" s="1">
        <v>2013.0</v>
      </c>
      <c r="AN1023" s="1">
        <v>2013.0</v>
      </c>
      <c r="AO1023" s="1" t="s">
        <v>305</v>
      </c>
    </row>
    <row r="1024">
      <c r="A1024" s="5">
        <v>1.0</v>
      </c>
      <c r="B1024" s="1">
        <f t="shared" si="1"/>
        <v>1024</v>
      </c>
      <c r="C1024" s="1" t="s">
        <v>2351</v>
      </c>
      <c r="D1024" s="1" t="s">
        <v>2351</v>
      </c>
      <c r="E1024" s="1" t="s">
        <v>100</v>
      </c>
      <c r="G1024" s="1">
        <v>3.3353508E7</v>
      </c>
      <c r="H1024" s="2">
        <v>41288.0</v>
      </c>
      <c r="I1024" s="1" t="s">
        <v>297</v>
      </c>
      <c r="K1024" s="1" t="s">
        <v>297</v>
      </c>
      <c r="N1024" s="1" t="s">
        <v>102</v>
      </c>
      <c r="O1024" s="1">
        <v>8600.0</v>
      </c>
      <c r="P1024" s="1" t="s">
        <v>102</v>
      </c>
      <c r="Q1024" s="1" t="str">
        <f>IF(ISERROR(VLOOKUP(P1024,'unique fed agency names'!A:C,3,FALSE)),P1024,VLOOKUP(P1024,'unique fed agency names'!A:C,3,FALSE))
</f>
        <v>U.S. Department of Housing and Urban Development (HUD)</v>
      </c>
      <c r="R1024" s="1">
        <v>5.1034718E7</v>
      </c>
      <c r="S1024" s="1" t="s">
        <v>2162</v>
      </c>
      <c r="T1024" s="1" t="str">
        <f>IF(ISERROR(VLOOKUP(S1024,'unique org names'!A:C,3,FALSE)),S1024,VLOOKUP(S1024,'unique org names'!A:C,3,FALSE))
</f>
        <v>Sickle Cell Disease Association of America Michigan Chapter, Inc</v>
      </c>
      <c r="V1024" s="1" t="s">
        <v>2163</v>
      </c>
      <c r="W1024" s="1" t="s">
        <v>44</v>
      </c>
      <c r="X1024" s="1" t="s">
        <v>45</v>
      </c>
      <c r="Y1024" s="1">
        <v>4.82261472E8</v>
      </c>
      <c r="AA1024" s="1" t="s">
        <v>46</v>
      </c>
      <c r="AB1024" s="1" t="s">
        <v>45</v>
      </c>
      <c r="AC1024" s="1">
        <v>4.82261472E8</v>
      </c>
      <c r="AF1024" s="1">
        <v>88000.0</v>
      </c>
      <c r="AG1024" s="2">
        <v>41288.0</v>
      </c>
      <c r="AH1024" s="1">
        <v>8600.0</v>
      </c>
      <c r="AI1024" s="1" t="s">
        <v>102</v>
      </c>
      <c r="AJ1024" s="1">
        <v>7767.0</v>
      </c>
      <c r="AK1024" s="1" t="s">
        <v>2431</v>
      </c>
      <c r="AL1024" s="1">
        <v>2.0</v>
      </c>
      <c r="AM1024" s="1">
        <v>2013.0</v>
      </c>
      <c r="AN1024" s="1">
        <v>2013.0</v>
      </c>
      <c r="AO1024" s="1" t="s">
        <v>305</v>
      </c>
    </row>
    <row r="1025">
      <c r="A1025" s="5">
        <v>1.0</v>
      </c>
      <c r="B1025" s="1">
        <f t="shared" si="1"/>
        <v>1025</v>
      </c>
      <c r="C1025" s="1" t="s">
        <v>2351</v>
      </c>
      <c r="D1025" s="1" t="s">
        <v>2351</v>
      </c>
      <c r="E1025" s="1" t="s">
        <v>100</v>
      </c>
      <c r="G1025" s="1">
        <v>3.3353508E7</v>
      </c>
      <c r="H1025" s="2">
        <v>41288.0</v>
      </c>
      <c r="I1025" s="1" t="s">
        <v>297</v>
      </c>
      <c r="K1025" s="1" t="s">
        <v>297</v>
      </c>
      <c r="N1025" s="1" t="s">
        <v>102</v>
      </c>
      <c r="O1025" s="1">
        <v>8600.0</v>
      </c>
      <c r="P1025" s="1" t="s">
        <v>102</v>
      </c>
      <c r="Q1025" s="1" t="str">
        <f>IF(ISERROR(VLOOKUP(P1025,'unique fed agency names'!A:C,3,FALSE)),P1025,VLOOKUP(P1025,'unique fed agency names'!A:C,3,FALSE))
</f>
        <v>U.S. Department of Housing and Urban Development (HUD)</v>
      </c>
      <c r="R1025" s="1">
        <v>1.06504459E8</v>
      </c>
      <c r="S1025" s="1" t="s">
        <v>2240</v>
      </c>
      <c r="T1025" s="1" t="str">
        <f>IF(ISERROR(VLOOKUP(S1025,'unique org names'!A:C,3,FALSE)),S1025,VLOOKUP(S1025,'unique org names'!A:C,3,FALSE))
</f>
        <v>Operation Get Down</v>
      </c>
      <c r="V1025" s="1" t="s">
        <v>2241</v>
      </c>
      <c r="W1025" s="1" t="s">
        <v>44</v>
      </c>
      <c r="X1025" s="1" t="s">
        <v>45</v>
      </c>
      <c r="Y1025" s="1">
        <v>4.82133112E8</v>
      </c>
      <c r="AA1025" s="1" t="s">
        <v>46</v>
      </c>
      <c r="AB1025" s="1" t="s">
        <v>45</v>
      </c>
      <c r="AC1025" s="1">
        <v>4.82133112E8</v>
      </c>
      <c r="AF1025" s="1">
        <v>129377.0</v>
      </c>
      <c r="AG1025" s="2">
        <v>41288.0</v>
      </c>
      <c r="AH1025" s="1">
        <v>8600.0</v>
      </c>
      <c r="AI1025" s="1" t="s">
        <v>102</v>
      </c>
      <c r="AJ1025" s="1">
        <v>7688.0</v>
      </c>
      <c r="AK1025" s="1" t="s">
        <v>2432</v>
      </c>
      <c r="AL1025" s="1">
        <v>2.0</v>
      </c>
      <c r="AM1025" s="1">
        <v>2013.0</v>
      </c>
      <c r="AN1025" s="1">
        <v>2013.0</v>
      </c>
      <c r="AO1025" s="1" t="s">
        <v>305</v>
      </c>
    </row>
    <row r="1026">
      <c r="A1026" s="5">
        <v>1.0</v>
      </c>
      <c r="B1026" s="1">
        <f t="shared" si="1"/>
        <v>1026</v>
      </c>
      <c r="C1026" s="1" t="s">
        <v>2351</v>
      </c>
      <c r="D1026" s="1" t="s">
        <v>2351</v>
      </c>
      <c r="E1026" s="1" t="s">
        <v>100</v>
      </c>
      <c r="G1026" s="1">
        <v>3.3353508E7</v>
      </c>
      <c r="H1026" s="2">
        <v>41288.0</v>
      </c>
      <c r="I1026" s="1" t="s">
        <v>297</v>
      </c>
      <c r="K1026" s="1" t="s">
        <v>297</v>
      </c>
      <c r="N1026" s="1" t="s">
        <v>102</v>
      </c>
      <c r="O1026" s="1">
        <v>8600.0</v>
      </c>
      <c r="P1026" s="1" t="s">
        <v>102</v>
      </c>
      <c r="Q1026" s="1" t="str">
        <f>IF(ISERROR(VLOOKUP(P1026,'unique fed agency names'!A:C,3,FALSE)),P1026,VLOOKUP(P1026,'unique fed agency names'!A:C,3,FALSE))
</f>
        <v>U.S. Department of Housing and Urban Development (HUD)</v>
      </c>
      <c r="R1026" s="1">
        <v>6.2962068E7</v>
      </c>
      <c r="S1026" s="1" t="s">
        <v>1252</v>
      </c>
      <c r="T1026" s="1" t="str">
        <f>IF(ISERROR(VLOOKUP(S1026,'unique org names'!A:C,3,FALSE)),S1026,VLOOKUP(S1026,'unique org names'!A:C,3,FALSE))
</f>
        <v>MERCY EDUCATION PROJECT</v>
      </c>
      <c r="V1026" s="1" t="s">
        <v>1253</v>
      </c>
      <c r="W1026" s="1" t="s">
        <v>44</v>
      </c>
      <c r="X1026" s="1" t="s">
        <v>45</v>
      </c>
      <c r="Y1026" s="1">
        <v>4.82161917E8</v>
      </c>
      <c r="AA1026" s="1" t="s">
        <v>46</v>
      </c>
      <c r="AB1026" s="1" t="s">
        <v>45</v>
      </c>
      <c r="AC1026" s="1">
        <v>4.82161917E8</v>
      </c>
      <c r="AF1026" s="1">
        <v>60000.0</v>
      </c>
      <c r="AG1026" s="2">
        <v>41288.0</v>
      </c>
      <c r="AH1026" s="1">
        <v>8600.0</v>
      </c>
      <c r="AI1026" s="1" t="s">
        <v>102</v>
      </c>
      <c r="AJ1026" s="1">
        <v>7728.0</v>
      </c>
      <c r="AK1026" s="1" t="s">
        <v>2433</v>
      </c>
      <c r="AL1026" s="1">
        <v>2.0</v>
      </c>
      <c r="AM1026" s="1">
        <v>2013.0</v>
      </c>
      <c r="AN1026" s="1">
        <v>2013.0</v>
      </c>
      <c r="AO1026" s="1" t="s">
        <v>305</v>
      </c>
    </row>
    <row r="1027">
      <c r="A1027" s="5">
        <v>1.0</v>
      </c>
      <c r="B1027" s="1">
        <f t="shared" si="1"/>
        <v>1027</v>
      </c>
      <c r="C1027" s="1" t="s">
        <v>2351</v>
      </c>
      <c r="D1027" s="1" t="s">
        <v>2351</v>
      </c>
      <c r="E1027" s="1" t="s">
        <v>100</v>
      </c>
      <c r="G1027" s="1">
        <v>3.3353508E7</v>
      </c>
      <c r="H1027" s="2">
        <v>41288.0</v>
      </c>
      <c r="I1027" s="1" t="s">
        <v>297</v>
      </c>
      <c r="K1027" s="1" t="s">
        <v>297</v>
      </c>
      <c r="N1027" s="1" t="s">
        <v>102</v>
      </c>
      <c r="O1027" s="1">
        <v>8600.0</v>
      </c>
      <c r="P1027" s="1" t="s">
        <v>102</v>
      </c>
      <c r="Q1027" s="1" t="str">
        <f>IF(ISERROR(VLOOKUP(P1027,'unique fed agency names'!A:C,3,FALSE)),P1027,VLOOKUP(P1027,'unique fed agency names'!A:C,3,FALSE))
</f>
        <v>U.S. Department of Housing and Urban Development (HUD)</v>
      </c>
      <c r="R1027" s="1">
        <v>1.5141952E8</v>
      </c>
      <c r="S1027" s="1" t="s">
        <v>2298</v>
      </c>
      <c r="T1027" s="1" t="str">
        <f>IF(ISERROR(VLOOKUP(S1027,'unique org names'!A:C,3,FALSE)),S1027,VLOOKUP(S1027,'unique org names'!A:C,3,FALSE))
</f>
        <v>Latin Americans for Social and Economic Development, Inc</v>
      </c>
      <c r="U1027" s="1" t="s">
        <v>2299</v>
      </c>
      <c r="V1027" s="1" t="s">
        <v>2300</v>
      </c>
      <c r="W1027" s="1" t="s">
        <v>44</v>
      </c>
      <c r="X1027" s="1" t="s">
        <v>45</v>
      </c>
      <c r="Y1027" s="1">
        <v>4.82092145E8</v>
      </c>
      <c r="AA1027" s="1" t="s">
        <v>46</v>
      </c>
      <c r="AB1027" s="1" t="s">
        <v>45</v>
      </c>
      <c r="AC1027" s="1">
        <v>4.82092145E8</v>
      </c>
      <c r="AF1027" s="1">
        <v>60000.0</v>
      </c>
      <c r="AG1027" s="2">
        <v>41288.0</v>
      </c>
      <c r="AH1027" s="1">
        <v>8600.0</v>
      </c>
      <c r="AI1027" s="1" t="s">
        <v>102</v>
      </c>
      <c r="AJ1027" s="1">
        <v>7724.0</v>
      </c>
      <c r="AK1027" s="1" t="s">
        <v>2434</v>
      </c>
      <c r="AL1027" s="1">
        <v>2.0</v>
      </c>
      <c r="AM1027" s="1">
        <v>2013.0</v>
      </c>
      <c r="AN1027" s="1">
        <v>2013.0</v>
      </c>
      <c r="AO1027" s="1" t="s">
        <v>305</v>
      </c>
    </row>
    <row r="1028">
      <c r="A1028" s="5">
        <v>1.0</v>
      </c>
      <c r="B1028" s="1">
        <f t="shared" si="1"/>
        <v>1028</v>
      </c>
      <c r="C1028" s="1" t="s">
        <v>2351</v>
      </c>
      <c r="D1028" s="1" t="s">
        <v>2351</v>
      </c>
      <c r="E1028" s="1" t="s">
        <v>100</v>
      </c>
      <c r="G1028" s="1">
        <v>3.3353508E7</v>
      </c>
      <c r="H1028" s="2">
        <v>41288.0</v>
      </c>
      <c r="I1028" s="1" t="s">
        <v>297</v>
      </c>
      <c r="K1028" s="1" t="s">
        <v>297</v>
      </c>
      <c r="N1028" s="1" t="s">
        <v>102</v>
      </c>
      <c r="O1028" s="1">
        <v>8600.0</v>
      </c>
      <c r="P1028" s="1" t="s">
        <v>102</v>
      </c>
      <c r="Q1028" s="1" t="str">
        <f>IF(ISERROR(VLOOKUP(P1028,'unique fed agency names'!A:C,3,FALSE)),P1028,VLOOKUP(P1028,'unique fed agency names'!A:C,3,FALSE))
</f>
        <v>U.S. Department of Housing and Urban Development (HUD)</v>
      </c>
      <c r="R1028" s="1">
        <v>6.07778081E8</v>
      </c>
      <c r="S1028" s="1" t="s">
        <v>1002</v>
      </c>
      <c r="T1028" s="1" t="str">
        <f>IF(ISERROR(VLOOKUP(S1028,'unique org names'!A:C,3,FALSE)),S1028,VLOOKUP(S1028,'unique org names'!A:C,3,FALSE))
</f>
        <v>TRAVELERS AID SOCIETY OF METROPOLITAN DETROIT</v>
      </c>
      <c r="U1028" s="1" t="s">
        <v>1003</v>
      </c>
      <c r="V1028" s="1" t="s">
        <v>1004</v>
      </c>
      <c r="W1028" s="1" t="s">
        <v>44</v>
      </c>
      <c r="X1028" s="1" t="s">
        <v>45</v>
      </c>
      <c r="Y1028" s="1">
        <v>4.82261986E8</v>
      </c>
      <c r="AA1028" s="1" t="s">
        <v>46</v>
      </c>
      <c r="AB1028" s="1" t="s">
        <v>45</v>
      </c>
      <c r="AC1028" s="1">
        <v>4.82261986E8</v>
      </c>
      <c r="AD1028" s="1">
        <v>6.07778081E8</v>
      </c>
      <c r="AE1028" s="1" t="s">
        <v>1002</v>
      </c>
      <c r="AF1028" s="1">
        <v>88000.0</v>
      </c>
      <c r="AG1028" s="2">
        <v>41288.0</v>
      </c>
      <c r="AH1028" s="1">
        <v>8600.0</v>
      </c>
      <c r="AI1028" s="1" t="s">
        <v>102</v>
      </c>
      <c r="AJ1028" s="1">
        <v>7766.0</v>
      </c>
      <c r="AK1028" s="1" t="s">
        <v>2435</v>
      </c>
      <c r="AL1028" s="1">
        <v>2.0</v>
      </c>
      <c r="AM1028" s="1">
        <v>2013.0</v>
      </c>
      <c r="AN1028" s="1">
        <v>2013.0</v>
      </c>
      <c r="AO1028" s="1" t="s">
        <v>305</v>
      </c>
    </row>
    <row r="1029">
      <c r="A1029" s="5">
        <v>1.0</v>
      </c>
      <c r="B1029" s="1">
        <f t="shared" si="1"/>
        <v>1029</v>
      </c>
      <c r="C1029" s="1" t="s">
        <v>2351</v>
      </c>
      <c r="D1029" s="1" t="s">
        <v>2351</v>
      </c>
      <c r="E1029" s="1" t="s">
        <v>100</v>
      </c>
      <c r="G1029" s="1">
        <v>3.3353508E7</v>
      </c>
      <c r="H1029" s="2">
        <v>41288.0</v>
      </c>
      <c r="I1029" s="1" t="s">
        <v>297</v>
      </c>
      <c r="K1029" s="1" t="s">
        <v>297</v>
      </c>
      <c r="N1029" s="1" t="s">
        <v>102</v>
      </c>
      <c r="O1029" s="1">
        <v>8600.0</v>
      </c>
      <c r="P1029" s="1" t="s">
        <v>102</v>
      </c>
      <c r="Q1029" s="1" t="str">
        <f>IF(ISERROR(VLOOKUP(P1029,'unique fed agency names'!A:C,3,FALSE)),P1029,VLOOKUP(P1029,'unique fed agency names'!A:C,3,FALSE))
</f>
        <v>U.S. Department of Housing and Urban Development (HUD)</v>
      </c>
      <c r="R1029" s="1">
        <v>9.9654048E7</v>
      </c>
      <c r="S1029" s="1" t="s">
        <v>2436</v>
      </c>
      <c r="T1029" s="1" t="str">
        <f>IF(ISERROR(VLOOKUP(S1029,'unique org names'!A:C,3,FALSE)),S1029,VLOOKUP(S1029,'unique org names'!A:C,3,FALSE))
</f>
        <v>Detroit Central City Community Mental Health, Inc</v>
      </c>
      <c r="V1029" s="1" t="s">
        <v>2437</v>
      </c>
      <c r="W1029" s="1" t="s">
        <v>44</v>
      </c>
      <c r="X1029" s="1" t="s">
        <v>45</v>
      </c>
      <c r="Y1029" s="1">
        <v>4.82012722E8</v>
      </c>
      <c r="AA1029" s="1" t="s">
        <v>46</v>
      </c>
      <c r="AB1029" s="1" t="s">
        <v>45</v>
      </c>
      <c r="AC1029" s="1">
        <v>4.82012722E8</v>
      </c>
      <c r="AF1029" s="1">
        <v>88000.0</v>
      </c>
      <c r="AG1029" s="2">
        <v>41288.0</v>
      </c>
      <c r="AH1029" s="1">
        <v>8600.0</v>
      </c>
      <c r="AI1029" s="1" t="s">
        <v>102</v>
      </c>
      <c r="AJ1029" s="1">
        <v>7753.0</v>
      </c>
      <c r="AK1029" s="1" t="s">
        <v>2438</v>
      </c>
      <c r="AL1029" s="1">
        <v>2.0</v>
      </c>
      <c r="AM1029" s="1">
        <v>2013.0</v>
      </c>
      <c r="AN1029" s="1">
        <v>2013.0</v>
      </c>
      <c r="AO1029" s="1" t="s">
        <v>305</v>
      </c>
    </row>
    <row r="1030">
      <c r="A1030" s="5">
        <v>1.0</v>
      </c>
      <c r="B1030" s="1">
        <f t="shared" si="1"/>
        <v>1030</v>
      </c>
      <c r="C1030" s="1" t="s">
        <v>2351</v>
      </c>
      <c r="D1030" s="1" t="s">
        <v>2351</v>
      </c>
      <c r="E1030" s="1" t="s">
        <v>100</v>
      </c>
      <c r="G1030" s="1">
        <v>3.3353508E7</v>
      </c>
      <c r="H1030" s="2">
        <v>41288.0</v>
      </c>
      <c r="I1030" s="1" t="s">
        <v>297</v>
      </c>
      <c r="K1030" s="1" t="s">
        <v>297</v>
      </c>
      <c r="N1030" s="1" t="s">
        <v>102</v>
      </c>
      <c r="O1030" s="1">
        <v>8600.0</v>
      </c>
      <c r="P1030" s="1" t="s">
        <v>102</v>
      </c>
      <c r="Q1030" s="1" t="str">
        <f>IF(ISERROR(VLOOKUP(P1030,'unique fed agency names'!A:C,3,FALSE)),P1030,VLOOKUP(P1030,'unique fed agency names'!A:C,3,FALSE))
</f>
        <v>U.S. Department of Housing and Urban Development (HUD)</v>
      </c>
      <c r="R1030" s="1">
        <v>1.6862067E7</v>
      </c>
      <c r="S1030" s="1" t="s">
        <v>2439</v>
      </c>
      <c r="T1030" s="1" t="str">
        <f>IF(ISERROR(VLOOKUP(S1030,'unique org names'!A:C,3,FALSE)),S1030,VLOOKUP(S1030,'unique org names'!A:C,3,FALSE))
</f>
        <v>Argnl Windsr Dance</v>
      </c>
      <c r="V1030" s="1" t="s">
        <v>2440</v>
      </c>
      <c r="W1030" s="1" t="s">
        <v>44</v>
      </c>
      <c r="X1030" s="1" t="s">
        <v>45</v>
      </c>
      <c r="Y1030" s="1">
        <v>4.82023194E8</v>
      </c>
      <c r="AA1030" s="1" t="s">
        <v>46</v>
      </c>
      <c r="AB1030" s="1" t="s">
        <v>45</v>
      </c>
      <c r="AC1030" s="1">
        <v>4.82023194E8</v>
      </c>
      <c r="AF1030" s="1">
        <v>60000.0</v>
      </c>
      <c r="AG1030" s="2">
        <v>41288.0</v>
      </c>
      <c r="AH1030" s="1">
        <v>8600.0</v>
      </c>
      <c r="AI1030" s="1" t="s">
        <v>102</v>
      </c>
      <c r="AJ1030" s="1">
        <v>7713.0</v>
      </c>
      <c r="AK1030" s="1" t="s">
        <v>2441</v>
      </c>
      <c r="AL1030" s="1">
        <v>2.0</v>
      </c>
      <c r="AM1030" s="1">
        <v>2013.0</v>
      </c>
      <c r="AN1030" s="1">
        <v>2013.0</v>
      </c>
      <c r="AO1030" s="1" t="s">
        <v>305</v>
      </c>
    </row>
    <row r="1031">
      <c r="A1031" s="5">
        <v>1.0</v>
      </c>
      <c r="B1031" s="1">
        <f t="shared" si="1"/>
        <v>1031</v>
      </c>
      <c r="C1031" s="1" t="s">
        <v>2351</v>
      </c>
      <c r="D1031" s="1" t="s">
        <v>2351</v>
      </c>
      <c r="E1031" s="1" t="s">
        <v>100</v>
      </c>
      <c r="G1031" s="1">
        <v>3.3353508E7</v>
      </c>
      <c r="H1031" s="2">
        <v>41288.0</v>
      </c>
      <c r="I1031" s="1" t="s">
        <v>297</v>
      </c>
      <c r="K1031" s="1" t="s">
        <v>297</v>
      </c>
      <c r="N1031" s="1" t="s">
        <v>102</v>
      </c>
      <c r="O1031" s="1">
        <v>8600.0</v>
      </c>
      <c r="P1031" s="1" t="s">
        <v>102</v>
      </c>
      <c r="Q1031" s="1" t="str">
        <f>IF(ISERROR(VLOOKUP(P1031,'unique fed agency names'!A:C,3,FALSE)),P1031,VLOOKUP(P1031,'unique fed agency names'!A:C,3,FALSE))
</f>
        <v>U.S. Department of Housing and Urban Development (HUD)</v>
      </c>
      <c r="R1031" s="1">
        <v>1.66664495E8</v>
      </c>
      <c r="S1031" s="1" t="s">
        <v>289</v>
      </c>
      <c r="T1031" s="1" t="str">
        <f>IF(ISERROR(VLOOKUP(S1031,'unique org names'!A:C,3,FALSE)),S1031,VLOOKUP(S1031,'unique org names'!A:C,3,FALSE))
</f>
        <v>DETROIT YOUTH FOUNDATION</v>
      </c>
      <c r="U1031" s="1" t="s">
        <v>290</v>
      </c>
      <c r="V1031" s="1" t="s">
        <v>291</v>
      </c>
      <c r="W1031" s="1" t="s">
        <v>44</v>
      </c>
      <c r="X1031" s="1" t="s">
        <v>45</v>
      </c>
      <c r="Y1031" s="1">
        <v>4.82023158E8</v>
      </c>
      <c r="AA1031" s="1" t="s">
        <v>46</v>
      </c>
      <c r="AB1031" s="1" t="s">
        <v>45</v>
      </c>
      <c r="AC1031" s="1">
        <v>4.82023158E8</v>
      </c>
      <c r="AF1031" s="1">
        <v>600000.0</v>
      </c>
      <c r="AG1031" s="2">
        <v>41288.0</v>
      </c>
      <c r="AH1031" s="1">
        <v>8600.0</v>
      </c>
      <c r="AI1031" s="1" t="s">
        <v>102</v>
      </c>
      <c r="AJ1031" s="1">
        <v>7725.0</v>
      </c>
      <c r="AK1031" s="1" t="s">
        <v>2442</v>
      </c>
      <c r="AL1031" s="1">
        <v>2.0</v>
      </c>
      <c r="AM1031" s="1">
        <v>2013.0</v>
      </c>
      <c r="AN1031" s="1">
        <v>2013.0</v>
      </c>
      <c r="AO1031" s="1" t="s">
        <v>305</v>
      </c>
    </row>
    <row r="1032">
      <c r="A1032" s="5">
        <v>1.0</v>
      </c>
      <c r="B1032" s="1">
        <f t="shared" si="1"/>
        <v>1032</v>
      </c>
      <c r="C1032" s="1" t="s">
        <v>2351</v>
      </c>
      <c r="D1032" s="1" t="s">
        <v>2351</v>
      </c>
      <c r="E1032" s="1" t="s">
        <v>100</v>
      </c>
      <c r="G1032" s="1">
        <v>3.3353508E7</v>
      </c>
      <c r="H1032" s="2">
        <v>41288.0</v>
      </c>
      <c r="I1032" s="1" t="s">
        <v>297</v>
      </c>
      <c r="K1032" s="1" t="s">
        <v>297</v>
      </c>
      <c r="N1032" s="1" t="s">
        <v>102</v>
      </c>
      <c r="O1032" s="1">
        <v>8600.0</v>
      </c>
      <c r="P1032" s="1" t="s">
        <v>102</v>
      </c>
      <c r="Q1032" s="1" t="str">
        <f>IF(ISERROR(VLOOKUP(P1032,'unique fed agency names'!A:C,3,FALSE)),P1032,VLOOKUP(P1032,'unique fed agency names'!A:C,3,FALSE))
</f>
        <v>U.S. Department of Housing and Urban Development (HUD)</v>
      </c>
      <c r="R1032" s="1">
        <v>8.34085698E8</v>
      </c>
      <c r="S1032" s="1" t="s">
        <v>2443</v>
      </c>
      <c r="T1032" s="1" t="str">
        <f>IF(ISERROR(VLOOKUP(S1032,'unique org names'!A:C,3,FALSE)),S1032,VLOOKUP(S1032,'unique org names'!A:C,3,FALSE))
</f>
        <v>Detroit Catholic Pastoral Alliance</v>
      </c>
      <c r="V1032" s="1" t="s">
        <v>2444</v>
      </c>
      <c r="W1032" s="1" t="s">
        <v>44</v>
      </c>
      <c r="X1032" s="1" t="s">
        <v>45</v>
      </c>
      <c r="Y1032" s="1">
        <v>4.82133858E8</v>
      </c>
      <c r="AA1032" s="1" t="s">
        <v>46</v>
      </c>
      <c r="AB1032" s="1" t="s">
        <v>45</v>
      </c>
      <c r="AC1032" s="1">
        <v>4.82133858E8</v>
      </c>
      <c r="AF1032" s="1">
        <v>60000.0</v>
      </c>
      <c r="AG1032" s="2">
        <v>41288.0</v>
      </c>
      <c r="AH1032" s="1">
        <v>8600.0</v>
      </c>
      <c r="AI1032" s="1" t="s">
        <v>102</v>
      </c>
      <c r="AJ1032" s="1">
        <v>7712.0</v>
      </c>
      <c r="AK1032" s="1" t="s">
        <v>2445</v>
      </c>
      <c r="AL1032" s="1">
        <v>2.0</v>
      </c>
      <c r="AM1032" s="1">
        <v>2013.0</v>
      </c>
      <c r="AN1032" s="1">
        <v>2013.0</v>
      </c>
      <c r="AO1032" s="1" t="s">
        <v>305</v>
      </c>
    </row>
    <row r="1033">
      <c r="A1033" s="5">
        <v>1.0</v>
      </c>
      <c r="B1033" s="1">
        <f t="shared" si="1"/>
        <v>1033</v>
      </c>
      <c r="C1033" s="1" t="s">
        <v>2351</v>
      </c>
      <c r="D1033" s="1" t="s">
        <v>2351</v>
      </c>
      <c r="E1033" s="1" t="s">
        <v>100</v>
      </c>
      <c r="G1033" s="1">
        <v>3.3353508E7</v>
      </c>
      <c r="H1033" s="2">
        <v>41288.0</v>
      </c>
      <c r="I1033" s="1" t="s">
        <v>297</v>
      </c>
      <c r="K1033" s="1" t="s">
        <v>297</v>
      </c>
      <c r="N1033" s="1" t="s">
        <v>102</v>
      </c>
      <c r="O1033" s="1">
        <v>8600.0</v>
      </c>
      <c r="P1033" s="1" t="s">
        <v>102</v>
      </c>
      <c r="Q1033" s="1" t="str">
        <f>IF(ISERROR(VLOOKUP(P1033,'unique fed agency names'!A:C,3,FALSE)),P1033,VLOOKUP(P1033,'unique fed agency names'!A:C,3,FALSE))
</f>
        <v>U.S. Department of Housing and Urban Development (HUD)</v>
      </c>
      <c r="R1033" s="1">
        <v>7.8274513E7</v>
      </c>
      <c r="S1033" s="1" t="s">
        <v>2217</v>
      </c>
      <c r="T1033" s="1" t="str">
        <f>IF(ISERROR(VLOOKUP(S1033,'unique org names'!A:C,3,FALSE)),S1033,VLOOKUP(S1033,'unique org names'!A:C,3,FALSE))
</f>
        <v>E MICHIGAN CCDA</v>
      </c>
      <c r="V1033" s="1" t="s">
        <v>2218</v>
      </c>
      <c r="W1033" s="1" t="s">
        <v>44</v>
      </c>
      <c r="X1033" s="1" t="s">
        <v>45</v>
      </c>
      <c r="Y1033" s="1">
        <v>4.82211964E8</v>
      </c>
      <c r="AA1033" s="1" t="s">
        <v>46</v>
      </c>
      <c r="AB1033" s="1" t="s">
        <v>45</v>
      </c>
      <c r="AC1033" s="1">
        <v>4.82211964E8</v>
      </c>
      <c r="AF1033" s="1">
        <v>60000.0</v>
      </c>
      <c r="AG1033" s="2">
        <v>41288.0</v>
      </c>
      <c r="AH1033" s="1">
        <v>8600.0</v>
      </c>
      <c r="AI1033" s="1" t="s">
        <v>102</v>
      </c>
      <c r="AJ1033" s="1">
        <v>7715.0</v>
      </c>
      <c r="AK1033" s="1" t="s">
        <v>2446</v>
      </c>
      <c r="AL1033" s="1">
        <v>2.0</v>
      </c>
      <c r="AM1033" s="1">
        <v>2013.0</v>
      </c>
      <c r="AN1033" s="1">
        <v>2013.0</v>
      </c>
      <c r="AO1033" s="1" t="s">
        <v>305</v>
      </c>
    </row>
    <row r="1034">
      <c r="A1034" s="5">
        <v>1.0</v>
      </c>
      <c r="B1034" s="1">
        <f t="shared" si="1"/>
        <v>1034</v>
      </c>
      <c r="C1034" s="1" t="s">
        <v>2351</v>
      </c>
      <c r="D1034" s="1" t="s">
        <v>2351</v>
      </c>
      <c r="E1034" s="1" t="s">
        <v>100</v>
      </c>
      <c r="G1034" s="1">
        <v>3.3353508E7</v>
      </c>
      <c r="H1034" s="2">
        <v>41288.0</v>
      </c>
      <c r="I1034" s="1" t="s">
        <v>297</v>
      </c>
      <c r="K1034" s="1" t="s">
        <v>297</v>
      </c>
      <c r="N1034" s="1" t="s">
        <v>102</v>
      </c>
      <c r="O1034" s="1">
        <v>8600.0</v>
      </c>
      <c r="P1034" s="1" t="s">
        <v>102</v>
      </c>
      <c r="Q1034" s="1" t="str">
        <f>IF(ISERROR(VLOOKUP(P1034,'unique fed agency names'!A:C,3,FALSE)),P1034,VLOOKUP(P1034,'unique fed agency names'!A:C,3,FALSE))
</f>
        <v>U.S. Department of Housing and Urban Development (HUD)</v>
      </c>
      <c r="R1034" s="1">
        <v>4.4686553E7</v>
      </c>
      <c r="S1034" s="1" t="s">
        <v>2447</v>
      </c>
      <c r="T1034" s="1" t="str">
        <f>IF(ISERROR(VLOOKUP(S1034,'unique org names'!A:C,3,FALSE)),S1034,VLOOKUP(S1034,'unique org names'!A:C,3,FALSE))
</f>
        <v>Detroiters Working for Environmental Justice</v>
      </c>
      <c r="V1034" s="1" t="s">
        <v>2448</v>
      </c>
      <c r="W1034" s="1" t="s">
        <v>44</v>
      </c>
      <c r="X1034" s="1" t="s">
        <v>45</v>
      </c>
      <c r="Y1034" s="1">
        <v>4.820113E8</v>
      </c>
      <c r="AA1034" s="1" t="s">
        <v>46</v>
      </c>
      <c r="AB1034" s="1" t="s">
        <v>45</v>
      </c>
      <c r="AC1034" s="1">
        <v>4.820113E8</v>
      </c>
      <c r="AF1034" s="1">
        <v>600000.0</v>
      </c>
      <c r="AG1034" s="2">
        <v>41288.0</v>
      </c>
      <c r="AH1034" s="1">
        <v>8600.0</v>
      </c>
      <c r="AI1034" s="1" t="s">
        <v>102</v>
      </c>
      <c r="AJ1034" s="1">
        <v>7718.0</v>
      </c>
      <c r="AK1034" s="1" t="s">
        <v>2449</v>
      </c>
      <c r="AL1034" s="1">
        <v>2.0</v>
      </c>
      <c r="AM1034" s="1">
        <v>2013.0</v>
      </c>
      <c r="AN1034" s="1">
        <v>2013.0</v>
      </c>
      <c r="AO1034" s="1" t="s">
        <v>305</v>
      </c>
    </row>
    <row r="1035">
      <c r="A1035" s="5">
        <v>1.0</v>
      </c>
      <c r="B1035" s="1">
        <f t="shared" si="1"/>
        <v>1035</v>
      </c>
      <c r="C1035" s="1" t="s">
        <v>1432</v>
      </c>
      <c r="D1035" s="1" t="s">
        <v>1432</v>
      </c>
      <c r="E1035" s="1" t="s">
        <v>100</v>
      </c>
      <c r="G1035" s="1">
        <v>3820532.0</v>
      </c>
      <c r="H1035" s="2">
        <v>41556.0</v>
      </c>
      <c r="I1035" s="1" t="s">
        <v>1433</v>
      </c>
      <c r="K1035" s="1" t="s">
        <v>1433</v>
      </c>
      <c r="N1035" s="1" t="s">
        <v>102</v>
      </c>
      <c r="O1035" s="1">
        <v>8600.0</v>
      </c>
      <c r="P1035" s="1" t="s">
        <v>102</v>
      </c>
      <c r="Q1035" s="1" t="str">
        <f>IF(ISERROR(VLOOKUP(P1035,'unique fed agency names'!A:C,3,FALSE)),P1035,VLOOKUP(P1035,'unique fed agency names'!A:C,3,FALSE))
</f>
        <v>U.S. Department of Housing and Urban Development (HUD)</v>
      </c>
      <c r="R1035" s="1">
        <v>1.54693043E8</v>
      </c>
      <c r="S1035" s="1" t="s">
        <v>362</v>
      </c>
      <c r="T1035" s="1" t="str">
        <f>IF(ISERROR(VLOOKUP(S1035,'unique org names'!A:C,3,FALSE)),S1035,VLOOKUP(S1035,'unique org names'!A:C,3,FALSE))
</f>
        <v>Homeless Action Network of Detroit (HAND)</v>
      </c>
      <c r="U1035" s="1" t="s">
        <v>363</v>
      </c>
      <c r="V1035" s="1" t="s">
        <v>364</v>
      </c>
      <c r="W1035" s="1" t="s">
        <v>44</v>
      </c>
      <c r="X1035" s="1" t="s">
        <v>45</v>
      </c>
      <c r="Y1035" s="1">
        <v>4.82161936E8</v>
      </c>
      <c r="AA1035" s="1" t="s">
        <v>46</v>
      </c>
      <c r="AB1035" s="1" t="s">
        <v>45</v>
      </c>
      <c r="AC1035" s="1">
        <v>4.82161936E8</v>
      </c>
      <c r="AF1035" s="1">
        <v>426169.0</v>
      </c>
      <c r="AG1035" s="2">
        <v>41556.0</v>
      </c>
      <c r="AH1035" s="1">
        <v>8600.0</v>
      </c>
      <c r="AI1035" s="1" t="s">
        <v>102</v>
      </c>
      <c r="AJ1035" s="1" t="s">
        <v>1434</v>
      </c>
      <c r="AK1035" s="1" t="s">
        <v>1435</v>
      </c>
      <c r="AL1035" s="1">
        <v>6.0</v>
      </c>
      <c r="AM1035" s="1">
        <v>2014.0</v>
      </c>
      <c r="AN1035" s="1">
        <v>2014.0</v>
      </c>
      <c r="AO1035" s="1" t="s">
        <v>367</v>
      </c>
    </row>
    <row r="1036">
      <c r="A1036" s="5">
        <v>1.0</v>
      </c>
      <c r="B1036" s="1">
        <f t="shared" si="1"/>
        <v>1036</v>
      </c>
      <c r="C1036" s="1" t="s">
        <v>2450</v>
      </c>
      <c r="D1036" s="1" t="s">
        <v>2450</v>
      </c>
      <c r="E1036" s="1" t="s">
        <v>224</v>
      </c>
      <c r="G1036" s="1">
        <v>109365.0</v>
      </c>
      <c r="H1036" s="2">
        <v>41731.0</v>
      </c>
      <c r="I1036" s="1" t="s">
        <v>2382</v>
      </c>
      <c r="K1036" s="1" t="s">
        <v>2382</v>
      </c>
      <c r="N1036" s="1" t="s">
        <v>151</v>
      </c>
      <c r="O1036" s="1">
        <v>6900.0</v>
      </c>
      <c r="P1036" s="1" t="s">
        <v>151</v>
      </c>
      <c r="Q1036" s="1" t="str">
        <f>IF(ISERROR(VLOOKUP(P1036,'unique fed agency names'!A:C,3,FALSE)),P1036,VLOOKUP(P1036,'unique fed agency names'!A:C,3,FALSE))
</f>
        <v>U.S. Department of Transportation (DOT)</v>
      </c>
      <c r="R1036" s="1">
        <v>1.1855476E8</v>
      </c>
      <c r="S1036" s="1" t="s">
        <v>983</v>
      </c>
      <c r="T1036" s="1" t="str">
        <f>IF(ISERROR(VLOOKUP(S1036,'unique org names'!A:C,3,FALSE)),S1036,VLOOKUP(S1036,'unique org names'!A:C,3,FALSE))
</f>
        <v>City of Detroit</v>
      </c>
      <c r="U1036" s="1" t="s">
        <v>984</v>
      </c>
      <c r="V1036" s="1" t="s">
        <v>227</v>
      </c>
      <c r="W1036" s="1" t="s">
        <v>44</v>
      </c>
      <c r="X1036" s="1" t="s">
        <v>45</v>
      </c>
      <c r="Y1036" s="1">
        <v>4.82262886E8</v>
      </c>
      <c r="AA1036" s="1" t="s">
        <v>46</v>
      </c>
      <c r="AB1036" s="1" t="s">
        <v>45</v>
      </c>
      <c r="AC1036" s="1">
        <v>4.82262886E8</v>
      </c>
      <c r="AD1036" s="1">
        <v>6530661.0</v>
      </c>
      <c r="AE1036" s="1" t="s">
        <v>76</v>
      </c>
      <c r="AF1036" s="1">
        <v>109365.92</v>
      </c>
      <c r="AG1036" s="2">
        <v>41731.0</v>
      </c>
      <c r="AH1036" s="1">
        <v>6900.0</v>
      </c>
      <c r="AI1036" s="1" t="s">
        <v>151</v>
      </c>
      <c r="AJ1036" s="1">
        <v>1.0</v>
      </c>
      <c r="AK1036" s="1" t="s">
        <v>2451</v>
      </c>
      <c r="AL1036" s="1">
        <v>4.0</v>
      </c>
      <c r="AM1036" s="1">
        <v>2014.0</v>
      </c>
      <c r="AN1036" s="1">
        <v>2014.0</v>
      </c>
      <c r="AO1036" s="1" t="s">
        <v>229</v>
      </c>
    </row>
    <row r="1037">
      <c r="A1037" s="5">
        <v>1.0</v>
      </c>
      <c r="B1037" s="1">
        <f t="shared" si="1"/>
        <v>1037</v>
      </c>
      <c r="C1037" s="1" t="s">
        <v>2351</v>
      </c>
      <c r="D1037" s="1" t="s">
        <v>2351</v>
      </c>
      <c r="E1037" s="1" t="s">
        <v>100</v>
      </c>
      <c r="G1037" s="1">
        <v>3.3353508E7</v>
      </c>
      <c r="H1037" s="2">
        <v>41288.0</v>
      </c>
      <c r="I1037" s="1" t="s">
        <v>297</v>
      </c>
      <c r="K1037" s="1" t="s">
        <v>297</v>
      </c>
      <c r="N1037" s="1" t="s">
        <v>102</v>
      </c>
      <c r="O1037" s="1">
        <v>8600.0</v>
      </c>
      <c r="P1037" s="1" t="s">
        <v>102</v>
      </c>
      <c r="Q1037" s="1" t="str">
        <f>IF(ISERROR(VLOOKUP(P1037,'unique fed agency names'!A:C,3,FALSE)),P1037,VLOOKUP(P1037,'unique fed agency names'!A:C,3,FALSE))
</f>
        <v>U.S. Department of Housing and Urban Development (HUD)</v>
      </c>
      <c r="R1037" s="1">
        <v>6.0974268E7</v>
      </c>
      <c r="S1037" s="1" t="s">
        <v>2146</v>
      </c>
      <c r="T1037" s="1" t="str">
        <f>IF(ISERROR(VLOOKUP(S1037,'unique org names'!A:C,3,FALSE)),S1037,VLOOKUP(S1037,'unique org names'!A:C,3,FALSE))
</f>
        <v>Michigan Legal Services</v>
      </c>
      <c r="V1037" s="1" t="s">
        <v>2147</v>
      </c>
      <c r="W1037" s="1" t="s">
        <v>44</v>
      </c>
      <c r="X1037" s="1" t="s">
        <v>45</v>
      </c>
      <c r="Y1037" s="1">
        <v>4.82261417E8</v>
      </c>
      <c r="AA1037" s="1" t="s">
        <v>46</v>
      </c>
      <c r="AB1037" s="1" t="s">
        <v>45</v>
      </c>
      <c r="AC1037" s="1">
        <v>4.82261417E8</v>
      </c>
      <c r="AF1037" s="1">
        <v>88000.0</v>
      </c>
      <c r="AG1037" s="2">
        <v>41288.0</v>
      </c>
      <c r="AH1037" s="1">
        <v>8600.0</v>
      </c>
      <c r="AI1037" s="1" t="s">
        <v>102</v>
      </c>
      <c r="AJ1037" s="1">
        <v>7762.0</v>
      </c>
      <c r="AK1037" s="1" t="s">
        <v>2452</v>
      </c>
      <c r="AL1037" s="1">
        <v>2.0</v>
      </c>
      <c r="AM1037" s="1">
        <v>2013.0</v>
      </c>
      <c r="AN1037" s="1">
        <v>2013.0</v>
      </c>
      <c r="AO1037" s="1" t="s">
        <v>305</v>
      </c>
    </row>
    <row r="1038">
      <c r="A1038" s="5">
        <v>1.0</v>
      </c>
      <c r="B1038" s="1">
        <f t="shared" si="1"/>
        <v>1038</v>
      </c>
      <c r="C1038" s="1" t="s">
        <v>2351</v>
      </c>
      <c r="D1038" s="1" t="s">
        <v>2351</v>
      </c>
      <c r="E1038" s="1" t="s">
        <v>100</v>
      </c>
      <c r="G1038" s="1">
        <v>3.3353508E7</v>
      </c>
      <c r="H1038" s="2">
        <v>41288.0</v>
      </c>
      <c r="I1038" s="1" t="s">
        <v>297</v>
      </c>
      <c r="K1038" s="1" t="s">
        <v>297</v>
      </c>
      <c r="N1038" s="1" t="s">
        <v>102</v>
      </c>
      <c r="O1038" s="1">
        <v>8600.0</v>
      </c>
      <c r="P1038" s="1" t="s">
        <v>102</v>
      </c>
      <c r="Q1038" s="1" t="str">
        <f>IF(ISERROR(VLOOKUP(P1038,'unique fed agency names'!A:C,3,FALSE)),P1038,VLOOKUP(P1038,'unique fed agency names'!A:C,3,FALSE))
</f>
        <v>U.S. Department of Housing and Urban Development (HUD)</v>
      </c>
      <c r="R1038" s="1">
        <v>1.43949258E8</v>
      </c>
      <c r="S1038" s="1" t="s">
        <v>2143</v>
      </c>
      <c r="T1038" s="1" t="str">
        <f>IF(ISERROR(VLOOKUP(S1038,'unique org names'!A:C,3,FALSE)),S1038,VLOOKUP(S1038,'unique org names'!A:C,3,FALSE))
</f>
        <v>Alkebu-Lan Village</v>
      </c>
      <c r="V1038" s="1" t="s">
        <v>2144</v>
      </c>
      <c r="W1038" s="1" t="s">
        <v>44</v>
      </c>
      <c r="X1038" s="1" t="s">
        <v>45</v>
      </c>
      <c r="Y1038" s="1">
        <v>4.82132411E8</v>
      </c>
      <c r="AA1038" s="1" t="s">
        <v>46</v>
      </c>
      <c r="AB1038" s="1" t="s">
        <v>45</v>
      </c>
      <c r="AC1038" s="1">
        <v>4.82132411E8</v>
      </c>
      <c r="AF1038" s="1">
        <v>60000.0</v>
      </c>
      <c r="AG1038" s="2">
        <v>41288.0</v>
      </c>
      <c r="AH1038" s="1">
        <v>8600.0</v>
      </c>
      <c r="AI1038" s="1" t="s">
        <v>102</v>
      </c>
      <c r="AJ1038" s="1">
        <v>7703.0</v>
      </c>
      <c r="AK1038" s="1" t="s">
        <v>2453</v>
      </c>
      <c r="AL1038" s="1">
        <v>2.0</v>
      </c>
      <c r="AM1038" s="1">
        <v>2013.0</v>
      </c>
      <c r="AN1038" s="1">
        <v>2013.0</v>
      </c>
      <c r="AO1038" s="1" t="s">
        <v>305</v>
      </c>
    </row>
    <row r="1039">
      <c r="A1039" s="5">
        <v>1.0</v>
      </c>
      <c r="B1039" s="1">
        <f t="shared" si="1"/>
        <v>1039</v>
      </c>
      <c r="C1039" s="1" t="s">
        <v>2351</v>
      </c>
      <c r="D1039" s="1" t="s">
        <v>2351</v>
      </c>
      <c r="E1039" s="1" t="s">
        <v>100</v>
      </c>
      <c r="G1039" s="1">
        <v>3.3353508E7</v>
      </c>
      <c r="H1039" s="2">
        <v>41288.0</v>
      </c>
      <c r="I1039" s="1" t="s">
        <v>297</v>
      </c>
      <c r="K1039" s="1" t="s">
        <v>297</v>
      </c>
      <c r="N1039" s="1" t="s">
        <v>102</v>
      </c>
      <c r="O1039" s="1">
        <v>8600.0</v>
      </c>
      <c r="P1039" s="1" t="s">
        <v>102</v>
      </c>
      <c r="Q1039" s="1" t="str">
        <f>IF(ISERROR(VLOOKUP(P1039,'unique fed agency names'!A:C,3,FALSE)),P1039,VLOOKUP(P1039,'unique fed agency names'!A:C,3,FALSE))
</f>
        <v>U.S. Department of Housing and Urban Development (HUD)</v>
      </c>
      <c r="R1039" s="1">
        <v>9.68670828E8</v>
      </c>
      <c r="S1039" s="1" t="s">
        <v>2213</v>
      </c>
      <c r="T1039" s="1" t="str">
        <f>IF(ISERROR(VLOOKUP(S1039,'unique org names'!A:C,3,FALSE)),S1039,VLOOKUP(S1039,'unique org names'!A:C,3,FALSE))
</f>
        <v>St Johns Congregational Church</v>
      </c>
      <c r="U1039" s="1" t="s">
        <v>2214</v>
      </c>
      <c r="V1039" s="1" t="s">
        <v>2215</v>
      </c>
      <c r="W1039" s="1" t="s">
        <v>44</v>
      </c>
      <c r="X1039" s="1" t="s">
        <v>45</v>
      </c>
      <c r="Y1039" s="1">
        <v>4.82152804E8</v>
      </c>
      <c r="AA1039" s="1" t="s">
        <v>46</v>
      </c>
      <c r="AB1039" s="1" t="s">
        <v>45</v>
      </c>
      <c r="AC1039" s="1">
        <v>4.82152804E8</v>
      </c>
      <c r="AF1039" s="1">
        <v>129377.0</v>
      </c>
      <c r="AG1039" s="2">
        <v>41288.0</v>
      </c>
      <c r="AH1039" s="1">
        <v>8600.0</v>
      </c>
      <c r="AI1039" s="1" t="s">
        <v>102</v>
      </c>
      <c r="AJ1039" s="1">
        <v>7691.0</v>
      </c>
      <c r="AK1039" s="1" t="s">
        <v>2454</v>
      </c>
      <c r="AL1039" s="1">
        <v>2.0</v>
      </c>
      <c r="AM1039" s="1">
        <v>2013.0</v>
      </c>
      <c r="AN1039" s="1">
        <v>2013.0</v>
      </c>
      <c r="AO1039" s="1" t="s">
        <v>305</v>
      </c>
    </row>
    <row r="1040">
      <c r="A1040" s="5">
        <v>1.0</v>
      </c>
      <c r="B1040" s="1">
        <f t="shared" si="1"/>
        <v>1040</v>
      </c>
      <c r="C1040" s="1" t="s">
        <v>2351</v>
      </c>
      <c r="D1040" s="1" t="s">
        <v>2351</v>
      </c>
      <c r="E1040" s="1" t="s">
        <v>100</v>
      </c>
      <c r="G1040" s="1">
        <v>3.3353508E7</v>
      </c>
      <c r="H1040" s="2">
        <v>41288.0</v>
      </c>
      <c r="I1040" s="1" t="s">
        <v>297</v>
      </c>
      <c r="K1040" s="1" t="s">
        <v>297</v>
      </c>
      <c r="N1040" s="1" t="s">
        <v>102</v>
      </c>
      <c r="O1040" s="1">
        <v>8600.0</v>
      </c>
      <c r="P1040" s="1" t="s">
        <v>102</v>
      </c>
      <c r="Q1040" s="1" t="str">
        <f>IF(ISERROR(VLOOKUP(P1040,'unique fed agency names'!A:C,3,FALSE)),P1040,VLOOKUP(P1040,'unique fed agency names'!A:C,3,FALSE))
</f>
        <v>U.S. Department of Housing and Urban Development (HUD)</v>
      </c>
      <c r="R1040" s="1">
        <v>7.2761299E7</v>
      </c>
      <c r="S1040" s="1" t="s">
        <v>667</v>
      </c>
      <c r="T1040" s="1" t="str">
        <f>IF(ISERROR(VLOOKUP(S1040,'unique org names'!A:C,3,FALSE)),S1040,VLOOKUP(S1040,'unique org names'!A:C,3,FALSE))
</f>
        <v>Focus: HOPE</v>
      </c>
      <c r="V1040" s="1" t="s">
        <v>668</v>
      </c>
      <c r="W1040" s="1" t="s">
        <v>44</v>
      </c>
      <c r="X1040" s="1" t="s">
        <v>45</v>
      </c>
      <c r="Y1040" s="1">
        <v>4.82382849E8</v>
      </c>
      <c r="AA1040" s="1" t="s">
        <v>46</v>
      </c>
      <c r="AB1040" s="1" t="s">
        <v>45</v>
      </c>
      <c r="AC1040" s="1">
        <v>4.82382849E8</v>
      </c>
      <c r="AD1040" s="1">
        <v>7.2761299E7</v>
      </c>
      <c r="AE1040" s="1" t="s">
        <v>667</v>
      </c>
      <c r="AF1040" s="1">
        <v>129377.0</v>
      </c>
      <c r="AG1040" s="2">
        <v>41288.0</v>
      </c>
      <c r="AH1040" s="1">
        <v>8600.0</v>
      </c>
      <c r="AI1040" s="1" t="s">
        <v>102</v>
      </c>
      <c r="AJ1040" s="1">
        <v>7686.0</v>
      </c>
      <c r="AK1040" s="1" t="s">
        <v>2455</v>
      </c>
      <c r="AL1040" s="1">
        <v>2.0</v>
      </c>
      <c r="AM1040" s="1">
        <v>2013.0</v>
      </c>
      <c r="AN1040" s="1">
        <v>2013.0</v>
      </c>
      <c r="AO1040" s="1" t="s">
        <v>305</v>
      </c>
    </row>
    <row r="1041">
      <c r="A1041" s="5">
        <v>1.0</v>
      </c>
      <c r="B1041" s="1">
        <f t="shared" si="1"/>
        <v>1041</v>
      </c>
      <c r="C1041" s="1" t="s">
        <v>2351</v>
      </c>
      <c r="D1041" s="1" t="s">
        <v>2351</v>
      </c>
      <c r="E1041" s="1" t="s">
        <v>100</v>
      </c>
      <c r="G1041" s="1">
        <v>3.3353508E7</v>
      </c>
      <c r="H1041" s="2">
        <v>41288.0</v>
      </c>
      <c r="I1041" s="1" t="s">
        <v>297</v>
      </c>
      <c r="K1041" s="1" t="s">
        <v>297</v>
      </c>
      <c r="N1041" s="1" t="s">
        <v>102</v>
      </c>
      <c r="O1041" s="1">
        <v>8600.0</v>
      </c>
      <c r="P1041" s="1" t="s">
        <v>102</v>
      </c>
      <c r="Q1041" s="1" t="str">
        <f>IF(ISERROR(VLOOKUP(P1041,'unique fed agency names'!A:C,3,FALSE)),P1041,VLOOKUP(P1041,'unique fed agency names'!A:C,3,FALSE))
</f>
        <v>U.S. Department of Housing and Urban Development (HUD)</v>
      </c>
      <c r="R1041" s="1">
        <v>1.36195737E8</v>
      </c>
      <c r="S1041" s="1" t="s">
        <v>2456</v>
      </c>
      <c r="T1041" s="1" t="str">
        <f>IF(ISERROR(VLOOKUP(S1041,'unique org names'!A:C,3,FALSE)),S1041,VLOOKUP(S1041,'unique org names'!A:C,3,FALSE))
</f>
        <v>MAYOR'S TIME</v>
      </c>
      <c r="U1041" s="1" t="s">
        <v>2457</v>
      </c>
      <c r="V1041" s="1" t="s">
        <v>2458</v>
      </c>
      <c r="W1041" s="1" t="s">
        <v>44</v>
      </c>
      <c r="X1041" s="1" t="s">
        <v>45</v>
      </c>
      <c r="Y1041" s="1">
        <v>4.82343241E8</v>
      </c>
      <c r="AA1041" s="1" t="s">
        <v>46</v>
      </c>
      <c r="AB1041" s="1" t="s">
        <v>45</v>
      </c>
      <c r="AC1041" s="1">
        <v>4.82343241E8</v>
      </c>
      <c r="AF1041" s="1">
        <v>60000.0</v>
      </c>
      <c r="AG1041" s="2">
        <v>41288.0</v>
      </c>
      <c r="AH1041" s="1">
        <v>8600.0</v>
      </c>
      <c r="AI1041" s="1" t="s">
        <v>102</v>
      </c>
      <c r="AJ1041" s="1">
        <v>7739.0</v>
      </c>
      <c r="AK1041" s="1" t="s">
        <v>2459</v>
      </c>
      <c r="AL1041" s="1">
        <v>2.0</v>
      </c>
      <c r="AM1041" s="1">
        <v>2013.0</v>
      </c>
      <c r="AN1041" s="1">
        <v>2013.0</v>
      </c>
      <c r="AO1041" s="1" t="s">
        <v>305</v>
      </c>
    </row>
    <row r="1042">
      <c r="A1042" s="5">
        <v>1.0</v>
      </c>
      <c r="B1042" s="1">
        <f t="shared" si="1"/>
        <v>1042</v>
      </c>
      <c r="C1042" s="1" t="s">
        <v>2351</v>
      </c>
      <c r="D1042" s="1" t="s">
        <v>2351</v>
      </c>
      <c r="E1042" s="1" t="s">
        <v>100</v>
      </c>
      <c r="G1042" s="1">
        <v>3.3353508E7</v>
      </c>
      <c r="H1042" s="2">
        <v>41288.0</v>
      </c>
      <c r="I1042" s="1" t="s">
        <v>297</v>
      </c>
      <c r="K1042" s="1" t="s">
        <v>297</v>
      </c>
      <c r="N1042" s="1" t="s">
        <v>102</v>
      </c>
      <c r="O1042" s="1">
        <v>8600.0</v>
      </c>
      <c r="P1042" s="1" t="s">
        <v>102</v>
      </c>
      <c r="Q1042" s="1" t="str">
        <f>IF(ISERROR(VLOOKUP(P1042,'unique fed agency names'!A:C,3,FALSE)),P1042,VLOOKUP(P1042,'unique fed agency names'!A:C,3,FALSE))
</f>
        <v>U.S. Department of Housing and Urban Development (HUD)</v>
      </c>
      <c r="R1042" s="1">
        <v>6.12930482E8</v>
      </c>
      <c r="S1042" s="1" t="s">
        <v>2460</v>
      </c>
      <c r="T1042" s="1" t="str">
        <f>IF(ISERROR(VLOOKUP(S1042,'unique org names'!A:C,3,FALSE)),S1042,VLOOKUP(S1042,'unique org names'!A:C,3,FALSE))
</f>
        <v>Love N Kindness CDC</v>
      </c>
      <c r="U1042" s="1" t="s">
        <v>2461</v>
      </c>
      <c r="V1042" s="1" t="s">
        <v>2462</v>
      </c>
      <c r="W1042" s="1" t="s">
        <v>44</v>
      </c>
      <c r="X1042" s="1" t="s">
        <v>45</v>
      </c>
      <c r="Y1042" s="1">
        <v>4.82131755E8</v>
      </c>
      <c r="AA1042" s="1" t="s">
        <v>46</v>
      </c>
      <c r="AB1042" s="1" t="s">
        <v>45</v>
      </c>
      <c r="AC1042" s="1">
        <v>4.82131755E8</v>
      </c>
      <c r="AF1042" s="1">
        <v>88000.0</v>
      </c>
      <c r="AG1042" s="2">
        <v>41288.0</v>
      </c>
      <c r="AH1042" s="1">
        <v>8600.0</v>
      </c>
      <c r="AI1042" s="1" t="s">
        <v>102</v>
      </c>
      <c r="AJ1042" s="1">
        <v>7760.0</v>
      </c>
      <c r="AK1042" s="1" t="s">
        <v>2463</v>
      </c>
      <c r="AL1042" s="1">
        <v>2.0</v>
      </c>
      <c r="AM1042" s="1">
        <v>2013.0</v>
      </c>
      <c r="AN1042" s="1">
        <v>2013.0</v>
      </c>
      <c r="AO1042" s="1" t="s">
        <v>305</v>
      </c>
    </row>
    <row r="1043">
      <c r="A1043" s="5">
        <v>1.0</v>
      </c>
      <c r="B1043" s="1">
        <f t="shared" si="1"/>
        <v>1043</v>
      </c>
      <c r="C1043" s="1" t="s">
        <v>2351</v>
      </c>
      <c r="D1043" s="1" t="s">
        <v>2351</v>
      </c>
      <c r="E1043" s="1" t="s">
        <v>100</v>
      </c>
      <c r="G1043" s="1">
        <v>3.3353508E7</v>
      </c>
      <c r="H1043" s="2">
        <v>41288.0</v>
      </c>
      <c r="I1043" s="1" t="s">
        <v>297</v>
      </c>
      <c r="K1043" s="1" t="s">
        <v>297</v>
      </c>
      <c r="N1043" s="1" t="s">
        <v>102</v>
      </c>
      <c r="O1043" s="1">
        <v>8600.0</v>
      </c>
      <c r="P1043" s="1" t="s">
        <v>102</v>
      </c>
      <c r="Q1043" s="1" t="str">
        <f>IF(ISERROR(VLOOKUP(P1043,'unique fed agency names'!A:C,3,FALSE)),P1043,VLOOKUP(P1043,'unique fed agency names'!A:C,3,FALSE))
</f>
        <v>U.S. Department of Housing and Urban Development (HUD)</v>
      </c>
      <c r="R1043" s="1">
        <v>1.98999146E8</v>
      </c>
      <c r="S1043" s="1" t="s">
        <v>999</v>
      </c>
      <c r="T1043" s="1" t="str">
        <f>IF(ISERROR(VLOOKUP(S1043,'unique org names'!A:C,3,FALSE)),S1043,VLOOKUP(S1043,'unique org names'!A:C,3,FALSE))
</f>
        <v>COMMUNITY HEALTH AWARENESS GROUP</v>
      </c>
      <c r="V1043" s="1" t="s">
        <v>1000</v>
      </c>
      <c r="W1043" s="1" t="s">
        <v>44</v>
      </c>
      <c r="X1043" s="1" t="s">
        <v>45</v>
      </c>
      <c r="Y1043" s="1">
        <v>4.82263007E8</v>
      </c>
      <c r="AA1043" s="1" t="s">
        <v>46</v>
      </c>
      <c r="AB1043" s="1" t="s">
        <v>45</v>
      </c>
      <c r="AC1043" s="1">
        <v>4.82263007E8</v>
      </c>
      <c r="AF1043" s="1">
        <v>60000.0</v>
      </c>
      <c r="AG1043" s="2">
        <v>41288.0</v>
      </c>
      <c r="AH1043" s="1">
        <v>8600.0</v>
      </c>
      <c r="AI1043" s="1" t="s">
        <v>102</v>
      </c>
      <c r="AJ1043" s="1">
        <v>7708.0</v>
      </c>
      <c r="AK1043" s="1" t="s">
        <v>2464</v>
      </c>
      <c r="AL1043" s="1">
        <v>2.0</v>
      </c>
      <c r="AM1043" s="1">
        <v>2013.0</v>
      </c>
      <c r="AN1043" s="1">
        <v>2013.0</v>
      </c>
      <c r="AO1043" s="1" t="s">
        <v>305</v>
      </c>
    </row>
    <row r="1044">
      <c r="A1044" s="5">
        <v>1.0</v>
      </c>
      <c r="B1044" s="1">
        <f t="shared" si="1"/>
        <v>1044</v>
      </c>
      <c r="C1044" s="1" t="s">
        <v>2351</v>
      </c>
      <c r="D1044" s="1" t="s">
        <v>2351</v>
      </c>
      <c r="E1044" s="1" t="s">
        <v>100</v>
      </c>
      <c r="G1044" s="1">
        <v>3.3353508E7</v>
      </c>
      <c r="H1044" s="2">
        <v>41288.0</v>
      </c>
      <c r="I1044" s="1" t="s">
        <v>297</v>
      </c>
      <c r="K1044" s="1" t="s">
        <v>297</v>
      </c>
      <c r="N1044" s="1" t="s">
        <v>102</v>
      </c>
      <c r="O1044" s="1">
        <v>8600.0</v>
      </c>
      <c r="P1044" s="1" t="s">
        <v>102</v>
      </c>
      <c r="Q1044" s="1" t="str">
        <f>IF(ISERROR(VLOOKUP(P1044,'unique fed agency names'!A:C,3,FALSE)),P1044,VLOOKUP(P1044,'unique fed agency names'!A:C,3,FALSE))
</f>
        <v>U.S. Department of Housing and Urban Development (HUD)</v>
      </c>
      <c r="R1044" s="1">
        <v>1.63884885E8</v>
      </c>
      <c r="S1044" s="1" t="s">
        <v>2465</v>
      </c>
      <c r="T1044" s="1" t="str">
        <f>IF(ISERROR(VLOOKUP(S1044,'unique org names'!A:C,3,FALSE)),S1044,VLOOKUP(S1044,'unique org names'!A:C,3,FALSE))
</f>
        <v>Caring Together Inc</v>
      </c>
      <c r="U1044" s="1" t="s">
        <v>2466</v>
      </c>
      <c r="V1044" s="1" t="s">
        <v>2178</v>
      </c>
      <c r="W1044" s="1" t="s">
        <v>44</v>
      </c>
      <c r="X1044" s="1" t="s">
        <v>45</v>
      </c>
      <c r="Y1044" s="1">
        <v>4.82101936E8</v>
      </c>
      <c r="AA1044" s="1" t="s">
        <v>46</v>
      </c>
      <c r="AB1044" s="1" t="s">
        <v>45</v>
      </c>
      <c r="AC1044" s="1">
        <v>4.82101936E8</v>
      </c>
      <c r="AD1044" s="1">
        <v>9.37900736E8</v>
      </c>
      <c r="AF1044" s="1">
        <v>60000.0</v>
      </c>
      <c r="AG1044" s="2">
        <v>41288.0</v>
      </c>
      <c r="AH1044" s="1">
        <v>8600.0</v>
      </c>
      <c r="AI1044" s="1" t="s">
        <v>102</v>
      </c>
      <c r="AJ1044" s="1">
        <v>7705.0</v>
      </c>
      <c r="AK1044" s="1" t="s">
        <v>2467</v>
      </c>
      <c r="AL1044" s="1">
        <v>2.0</v>
      </c>
      <c r="AM1044" s="1">
        <v>2013.0</v>
      </c>
      <c r="AN1044" s="1">
        <v>2013.0</v>
      </c>
      <c r="AO1044" s="1" t="s">
        <v>305</v>
      </c>
    </row>
    <row r="1045">
      <c r="A1045" s="5">
        <v>1.0</v>
      </c>
      <c r="B1045" s="1">
        <f t="shared" si="1"/>
        <v>1045</v>
      </c>
      <c r="C1045" s="1" t="s">
        <v>2351</v>
      </c>
      <c r="D1045" s="1" t="s">
        <v>2351</v>
      </c>
      <c r="E1045" s="1" t="s">
        <v>100</v>
      </c>
      <c r="G1045" s="1">
        <v>3.3353508E7</v>
      </c>
      <c r="H1045" s="2">
        <v>41288.0</v>
      </c>
      <c r="I1045" s="1" t="s">
        <v>297</v>
      </c>
      <c r="K1045" s="1" t="s">
        <v>297</v>
      </c>
      <c r="N1045" s="1" t="s">
        <v>102</v>
      </c>
      <c r="O1045" s="1">
        <v>8600.0</v>
      </c>
      <c r="P1045" s="1" t="s">
        <v>102</v>
      </c>
      <c r="Q1045" s="1" t="str">
        <f>IF(ISERROR(VLOOKUP(P1045,'unique fed agency names'!A:C,3,FALSE)),P1045,VLOOKUP(P1045,'unique fed agency names'!A:C,3,FALSE))
</f>
        <v>U.S. Department of Housing and Urban Development (HUD)</v>
      </c>
      <c r="R1045" s="1">
        <v>1.50789019E8</v>
      </c>
      <c r="S1045" s="1" t="s">
        <v>2468</v>
      </c>
      <c r="T1045" s="1" t="str">
        <f>IF(ISERROR(VLOOKUP(S1045,'unique org names'!A:C,3,FALSE)),S1045,VLOOKUP(S1045,'unique org names'!A:C,3,FALSE))
</f>
        <v>Abayomi Community Development Corporation</v>
      </c>
      <c r="V1045" s="1" t="s">
        <v>2469</v>
      </c>
      <c r="W1045" s="1" t="s">
        <v>44</v>
      </c>
      <c r="X1045" s="1" t="s">
        <v>45</v>
      </c>
      <c r="Y1045" s="1">
        <v>4.82191028E8</v>
      </c>
      <c r="AA1045" s="1" t="s">
        <v>46</v>
      </c>
      <c r="AB1045" s="1" t="s">
        <v>45</v>
      </c>
      <c r="AC1045" s="1">
        <v>4.82191208E8</v>
      </c>
      <c r="AF1045" s="1">
        <v>100000.0</v>
      </c>
      <c r="AG1045" s="2">
        <v>41288.0</v>
      </c>
      <c r="AH1045" s="1">
        <v>8600.0</v>
      </c>
      <c r="AI1045" s="1" t="s">
        <v>102</v>
      </c>
      <c r="AJ1045" s="1">
        <v>7685.0</v>
      </c>
      <c r="AK1045" s="1" t="s">
        <v>2470</v>
      </c>
      <c r="AL1045" s="1">
        <v>2.0</v>
      </c>
      <c r="AM1045" s="1">
        <v>2013.0</v>
      </c>
      <c r="AN1045" s="1">
        <v>2013.0</v>
      </c>
      <c r="AO1045" s="1" t="s">
        <v>305</v>
      </c>
    </row>
    <row r="1046">
      <c r="A1046" s="5">
        <v>1.0</v>
      </c>
      <c r="B1046" s="1">
        <f t="shared" si="1"/>
        <v>1046</v>
      </c>
      <c r="C1046" s="1" t="s">
        <v>2351</v>
      </c>
      <c r="D1046" s="1" t="s">
        <v>2351</v>
      </c>
      <c r="E1046" s="1" t="s">
        <v>100</v>
      </c>
      <c r="G1046" s="1">
        <v>3.3353508E7</v>
      </c>
      <c r="H1046" s="2">
        <v>41288.0</v>
      </c>
      <c r="I1046" s="1" t="s">
        <v>297</v>
      </c>
      <c r="K1046" s="1" t="s">
        <v>297</v>
      </c>
      <c r="N1046" s="1" t="s">
        <v>102</v>
      </c>
      <c r="O1046" s="1">
        <v>8600.0</v>
      </c>
      <c r="P1046" s="1" t="s">
        <v>102</v>
      </c>
      <c r="Q1046" s="1" t="str">
        <f>IF(ISERROR(VLOOKUP(P1046,'unique fed agency names'!A:C,3,FALSE)),P1046,VLOOKUP(P1046,'unique fed agency names'!A:C,3,FALSE))
</f>
        <v>U.S. Department of Housing and Urban Development (HUD)</v>
      </c>
      <c r="R1046" s="1">
        <v>2.0830303E7</v>
      </c>
      <c r="S1046" s="1" t="s">
        <v>424</v>
      </c>
      <c r="T1046" s="1" t="str">
        <f>IF(ISERROR(VLOOKUP(S1046,'unique org names'!A:C,3,FALSE)),S1046,VLOOKUP(S1046,'unique org names'!A:C,3,FALSE))
</f>
        <v>MATRIX HUMAN SERVICES</v>
      </c>
      <c r="U1046" s="1" t="s">
        <v>425</v>
      </c>
      <c r="V1046" s="1" t="s">
        <v>426</v>
      </c>
      <c r="W1046" s="1" t="s">
        <v>44</v>
      </c>
      <c r="X1046" s="1" t="s">
        <v>45</v>
      </c>
      <c r="Y1046" s="1">
        <v>4.82012002E8</v>
      </c>
      <c r="AA1046" s="1" t="s">
        <v>46</v>
      </c>
      <c r="AB1046" s="1" t="s">
        <v>45</v>
      </c>
      <c r="AC1046" s="1">
        <v>4.82012002E8</v>
      </c>
      <c r="AD1046" s="1">
        <v>2.0830303E7</v>
      </c>
      <c r="AE1046" s="1" t="s">
        <v>424</v>
      </c>
      <c r="AF1046" s="1">
        <v>60000.0</v>
      </c>
      <c r="AG1046" s="2">
        <v>41288.0</v>
      </c>
      <c r="AH1046" s="1">
        <v>8600.0</v>
      </c>
      <c r="AI1046" s="1" t="s">
        <v>102</v>
      </c>
      <c r="AJ1046" s="1">
        <v>7727.0</v>
      </c>
      <c r="AK1046" s="1" t="s">
        <v>2471</v>
      </c>
      <c r="AL1046" s="1">
        <v>2.0</v>
      </c>
      <c r="AM1046" s="1">
        <v>2013.0</v>
      </c>
      <c r="AN1046" s="1">
        <v>2013.0</v>
      </c>
      <c r="AO1046" s="1" t="s">
        <v>305</v>
      </c>
    </row>
    <row r="1047">
      <c r="A1047" s="5">
        <v>1.0</v>
      </c>
      <c r="B1047" s="1">
        <f t="shared" si="1"/>
        <v>1047</v>
      </c>
      <c r="C1047" s="1" t="s">
        <v>2351</v>
      </c>
      <c r="D1047" s="1" t="s">
        <v>2351</v>
      </c>
      <c r="E1047" s="1" t="s">
        <v>100</v>
      </c>
      <c r="G1047" s="1">
        <v>3.3353508E7</v>
      </c>
      <c r="H1047" s="2">
        <v>41288.0</v>
      </c>
      <c r="I1047" s="1" t="s">
        <v>297</v>
      </c>
      <c r="K1047" s="1" t="s">
        <v>297</v>
      </c>
      <c r="N1047" s="1" t="s">
        <v>102</v>
      </c>
      <c r="O1047" s="1">
        <v>8600.0</v>
      </c>
      <c r="P1047" s="1" t="s">
        <v>102</v>
      </c>
      <c r="Q1047" s="1" t="str">
        <f>IF(ISERROR(VLOOKUP(P1047,'unique fed agency names'!A:C,3,FALSE)),P1047,VLOOKUP(P1047,'unique fed agency names'!A:C,3,FALSE))
</f>
        <v>U.S. Department of Housing and Urban Development (HUD)</v>
      </c>
      <c r="R1047" s="1">
        <v>1.27458909E8</v>
      </c>
      <c r="S1047" s="1" t="s">
        <v>2195</v>
      </c>
      <c r="T1047" s="1" t="str">
        <f>IF(ISERROR(VLOOKUP(S1047,'unique org names'!A:C,3,FALSE)),S1047,VLOOKUP(S1047,'unique org names'!A:C,3,FALSE))
</f>
        <v>Mariners Inn</v>
      </c>
      <c r="V1047" s="1" t="s">
        <v>2196</v>
      </c>
      <c r="W1047" s="1" t="s">
        <v>44</v>
      </c>
      <c r="X1047" s="1" t="s">
        <v>45</v>
      </c>
      <c r="Y1047" s="1">
        <v>4.82012641E8</v>
      </c>
      <c r="AA1047" s="1" t="s">
        <v>46</v>
      </c>
      <c r="AB1047" s="1" t="s">
        <v>45</v>
      </c>
      <c r="AC1047" s="1">
        <v>4.82132641E8</v>
      </c>
      <c r="AF1047" s="1">
        <v>88000.0</v>
      </c>
      <c r="AG1047" s="2">
        <v>41288.0</v>
      </c>
      <c r="AH1047" s="1">
        <v>8600.0</v>
      </c>
      <c r="AI1047" s="1" t="s">
        <v>102</v>
      </c>
      <c r="AJ1047" s="1">
        <v>7761.0</v>
      </c>
      <c r="AK1047" s="1" t="s">
        <v>2472</v>
      </c>
      <c r="AL1047" s="1">
        <v>2.0</v>
      </c>
      <c r="AM1047" s="1">
        <v>2013.0</v>
      </c>
      <c r="AN1047" s="1">
        <v>2013.0</v>
      </c>
      <c r="AO1047" s="1" t="s">
        <v>305</v>
      </c>
    </row>
    <row r="1048">
      <c r="A1048" s="5">
        <v>1.0</v>
      </c>
      <c r="B1048" s="1">
        <f t="shared" si="1"/>
        <v>1048</v>
      </c>
      <c r="C1048" s="1" t="s">
        <v>2351</v>
      </c>
      <c r="D1048" s="1" t="s">
        <v>2351</v>
      </c>
      <c r="E1048" s="1" t="s">
        <v>100</v>
      </c>
      <c r="G1048" s="1">
        <v>3.3353508E7</v>
      </c>
      <c r="H1048" s="2">
        <v>41288.0</v>
      </c>
      <c r="I1048" s="1" t="s">
        <v>297</v>
      </c>
      <c r="K1048" s="1" t="s">
        <v>297</v>
      </c>
      <c r="N1048" s="1" t="s">
        <v>102</v>
      </c>
      <c r="O1048" s="1">
        <v>8600.0</v>
      </c>
      <c r="P1048" s="1" t="s">
        <v>102</v>
      </c>
      <c r="Q1048" s="1" t="str">
        <f>IF(ISERROR(VLOOKUP(P1048,'unique fed agency names'!A:C,3,FALSE)),P1048,VLOOKUP(P1048,'unique fed agency names'!A:C,3,FALSE))
</f>
        <v>U.S. Department of Housing and Urban Development (HUD)</v>
      </c>
      <c r="R1048" s="1">
        <v>1.61078902E8</v>
      </c>
      <c r="S1048" s="1" t="s">
        <v>1010</v>
      </c>
      <c r="T1048" s="1" t="str">
        <f>IF(ISERROR(VLOOKUP(S1048,'unique org names'!A:C,3,FALSE)),S1048,VLOOKUP(S1048,'unique org names'!A:C,3,FALSE))
</f>
        <v>COALITION ON TEMPORARY SHELTER</v>
      </c>
      <c r="U1048" s="1" t="s">
        <v>1011</v>
      </c>
      <c r="V1048" s="1" t="s">
        <v>1012</v>
      </c>
      <c r="W1048" s="1" t="s">
        <v>44</v>
      </c>
      <c r="X1048" s="1" t="s">
        <v>45</v>
      </c>
      <c r="Y1048" s="1">
        <v>4.82012722E8</v>
      </c>
      <c r="AA1048" s="1" t="s">
        <v>46</v>
      </c>
      <c r="AB1048" s="1" t="s">
        <v>45</v>
      </c>
      <c r="AC1048" s="1">
        <v>4.82012722E8</v>
      </c>
      <c r="AD1048" s="1">
        <v>1.61078902E8</v>
      </c>
      <c r="AE1048" s="1" t="s">
        <v>1010</v>
      </c>
      <c r="AF1048" s="1">
        <v>88000.0</v>
      </c>
      <c r="AG1048" s="2">
        <v>41288.0</v>
      </c>
      <c r="AH1048" s="1">
        <v>8600.0</v>
      </c>
      <c r="AI1048" s="1" t="s">
        <v>102</v>
      </c>
      <c r="AJ1048" s="1">
        <v>7751.0</v>
      </c>
      <c r="AK1048" s="1" t="s">
        <v>2473</v>
      </c>
      <c r="AL1048" s="1">
        <v>2.0</v>
      </c>
      <c r="AM1048" s="1">
        <v>2013.0</v>
      </c>
      <c r="AN1048" s="1">
        <v>2013.0</v>
      </c>
      <c r="AO1048" s="1" t="s">
        <v>305</v>
      </c>
    </row>
    <row r="1049">
      <c r="A1049" s="5">
        <v>1.0</v>
      </c>
      <c r="B1049" s="1">
        <f t="shared" si="1"/>
        <v>1049</v>
      </c>
      <c r="C1049" s="1" t="s">
        <v>2351</v>
      </c>
      <c r="D1049" s="1" t="s">
        <v>2351</v>
      </c>
      <c r="E1049" s="1" t="s">
        <v>100</v>
      </c>
      <c r="G1049" s="1">
        <v>3.3353508E7</v>
      </c>
      <c r="H1049" s="2">
        <v>41288.0</v>
      </c>
      <c r="I1049" s="1" t="s">
        <v>297</v>
      </c>
      <c r="K1049" s="1" t="s">
        <v>297</v>
      </c>
      <c r="N1049" s="1" t="s">
        <v>102</v>
      </c>
      <c r="O1049" s="1">
        <v>8600.0</v>
      </c>
      <c r="P1049" s="1" t="s">
        <v>102</v>
      </c>
      <c r="Q1049" s="1" t="str">
        <f>IF(ISERROR(VLOOKUP(P1049,'unique fed agency names'!A:C,3,FALSE)),P1049,VLOOKUP(P1049,'unique fed agency names'!A:C,3,FALSE))
</f>
        <v>U.S. Department of Housing and Urban Development (HUD)</v>
      </c>
      <c r="R1049" s="1">
        <v>7.4230996E7</v>
      </c>
      <c r="S1049" s="1" t="s">
        <v>2474</v>
      </c>
      <c r="T1049" s="1" t="str">
        <f>IF(ISERROR(VLOOKUP(S1049,'unique org names'!A:C,3,FALSE)),S1049,VLOOKUP(S1049,'unique org names'!A:C,3,FALSE))
</f>
        <v>People's Community Services of Metropolitan Detroit</v>
      </c>
      <c r="V1049" s="1" t="s">
        <v>2475</v>
      </c>
      <c r="W1049" s="1" t="s">
        <v>44</v>
      </c>
      <c r="X1049" s="1" t="s">
        <v>45</v>
      </c>
      <c r="Y1049" s="1">
        <v>4.82092614E8</v>
      </c>
      <c r="AA1049" s="1" t="s">
        <v>46</v>
      </c>
      <c r="AB1049" s="1" t="s">
        <v>45</v>
      </c>
      <c r="AC1049" s="1">
        <v>4.82092614E8</v>
      </c>
      <c r="AD1049" s="1">
        <v>7.4230996E7</v>
      </c>
      <c r="AE1049" s="1" t="s">
        <v>2474</v>
      </c>
      <c r="AF1049" s="1">
        <v>60000.0</v>
      </c>
      <c r="AG1049" s="2">
        <v>41288.0</v>
      </c>
      <c r="AH1049" s="1">
        <v>8600.0</v>
      </c>
      <c r="AI1049" s="1" t="s">
        <v>102</v>
      </c>
      <c r="AJ1049" s="1">
        <v>7731.0</v>
      </c>
      <c r="AK1049" s="1" t="s">
        <v>2476</v>
      </c>
      <c r="AL1049" s="1">
        <v>2.0</v>
      </c>
      <c r="AM1049" s="1">
        <v>2013.0</v>
      </c>
      <c r="AN1049" s="1">
        <v>2013.0</v>
      </c>
      <c r="AO1049" s="1" t="s">
        <v>305</v>
      </c>
    </row>
    <row r="1050">
      <c r="A1050" s="5">
        <v>1.0</v>
      </c>
      <c r="B1050" s="1">
        <f t="shared" si="1"/>
        <v>1050</v>
      </c>
      <c r="C1050" s="1" t="s">
        <v>2351</v>
      </c>
      <c r="D1050" s="1" t="s">
        <v>2351</v>
      </c>
      <c r="E1050" s="1" t="s">
        <v>100</v>
      </c>
      <c r="G1050" s="1">
        <v>3.3353508E7</v>
      </c>
      <c r="H1050" s="2">
        <v>41288.0</v>
      </c>
      <c r="I1050" s="1" t="s">
        <v>297</v>
      </c>
      <c r="K1050" s="1" t="s">
        <v>297</v>
      </c>
      <c r="N1050" s="1" t="s">
        <v>102</v>
      </c>
      <c r="O1050" s="1">
        <v>8600.0</v>
      </c>
      <c r="P1050" s="1" t="s">
        <v>102</v>
      </c>
      <c r="Q1050" s="1" t="str">
        <f>IF(ISERROR(VLOOKUP(P1050,'unique fed agency names'!A:C,3,FALSE)),P1050,VLOOKUP(P1050,'unique fed agency names'!A:C,3,FALSE))
</f>
        <v>U.S. Department of Housing and Urban Development (HUD)</v>
      </c>
      <c r="R1050" s="1">
        <v>8.76583006E8</v>
      </c>
      <c r="S1050" s="1" t="s">
        <v>2276</v>
      </c>
      <c r="T1050" s="1" t="str">
        <f>IF(ISERROR(VLOOKUP(S1050,'unique org names'!A:C,3,FALSE)),S1050,VLOOKUP(S1050,'unique org names'!A:C,3,FALSE))
</f>
        <v>Mosaic Youth Theatre of Detroit</v>
      </c>
      <c r="V1050" s="1" t="s">
        <v>2277</v>
      </c>
      <c r="W1050" s="1" t="s">
        <v>44</v>
      </c>
      <c r="X1050" s="1" t="s">
        <v>45</v>
      </c>
      <c r="Y1050" s="1">
        <v>4.82073879E8</v>
      </c>
      <c r="AA1050" s="1" t="s">
        <v>46</v>
      </c>
      <c r="AB1050" s="1" t="s">
        <v>45</v>
      </c>
      <c r="AC1050" s="1">
        <v>4.82073879E8</v>
      </c>
      <c r="AF1050" s="1">
        <v>60000.0</v>
      </c>
      <c r="AG1050" s="2">
        <v>41288.0</v>
      </c>
      <c r="AH1050" s="1">
        <v>8600.0</v>
      </c>
      <c r="AI1050" s="1" t="s">
        <v>102</v>
      </c>
      <c r="AJ1050" s="1">
        <v>7729.0</v>
      </c>
      <c r="AK1050" s="1" t="s">
        <v>2477</v>
      </c>
      <c r="AL1050" s="1">
        <v>2.0</v>
      </c>
      <c r="AM1050" s="1">
        <v>2013.0</v>
      </c>
      <c r="AN1050" s="1">
        <v>2013.0</v>
      </c>
      <c r="AO1050" s="1" t="s">
        <v>305</v>
      </c>
    </row>
    <row r="1051">
      <c r="A1051" s="5">
        <v>1.0</v>
      </c>
      <c r="B1051" s="1">
        <f t="shared" si="1"/>
        <v>1051</v>
      </c>
      <c r="C1051" s="1" t="s">
        <v>2351</v>
      </c>
      <c r="D1051" s="1" t="s">
        <v>2351</v>
      </c>
      <c r="E1051" s="1" t="s">
        <v>100</v>
      </c>
      <c r="G1051" s="1">
        <v>3.3353508E7</v>
      </c>
      <c r="H1051" s="2">
        <v>41288.0</v>
      </c>
      <c r="I1051" s="1" t="s">
        <v>297</v>
      </c>
      <c r="K1051" s="1" t="s">
        <v>297</v>
      </c>
      <c r="N1051" s="1" t="s">
        <v>102</v>
      </c>
      <c r="O1051" s="1">
        <v>8600.0</v>
      </c>
      <c r="P1051" s="1" t="s">
        <v>102</v>
      </c>
      <c r="Q1051" s="1" t="str">
        <f>IF(ISERROR(VLOOKUP(P1051,'unique fed agency names'!A:C,3,FALSE)),P1051,VLOOKUP(P1051,'unique fed agency names'!A:C,3,FALSE))
</f>
        <v>U.S. Department of Housing and Urban Development (HUD)</v>
      </c>
      <c r="R1051" s="1">
        <v>4.3419399E7</v>
      </c>
      <c r="S1051" s="1" t="s">
        <v>979</v>
      </c>
      <c r="T1051" s="1" t="str">
        <f>IF(ISERROR(VLOOKUP(S1051,'unique org names'!A:C,3,FALSE)),S1051,VLOOKUP(S1051,'unique org names'!A:C,3,FALSE))
</f>
        <v>NEIGHBORHOOD SERVICE ORGANIZATION</v>
      </c>
      <c r="V1051" s="1" t="s">
        <v>980</v>
      </c>
      <c r="W1051" s="1" t="s">
        <v>44</v>
      </c>
      <c r="X1051" s="1" t="s">
        <v>45</v>
      </c>
      <c r="Y1051" s="1">
        <v>4.82261412E8</v>
      </c>
      <c r="AA1051" s="1" t="s">
        <v>46</v>
      </c>
      <c r="AB1051" s="1" t="s">
        <v>45</v>
      </c>
      <c r="AC1051" s="1">
        <v>4.82261412E8</v>
      </c>
      <c r="AD1051" s="1">
        <v>4.3419399E7</v>
      </c>
      <c r="AE1051" s="1" t="s">
        <v>979</v>
      </c>
      <c r="AF1051" s="1">
        <v>88000.0</v>
      </c>
      <c r="AG1051" s="2">
        <v>41288.0</v>
      </c>
      <c r="AH1051" s="1">
        <v>8600.0</v>
      </c>
      <c r="AI1051" s="1" t="s">
        <v>102</v>
      </c>
      <c r="AJ1051" s="1">
        <v>7764.0</v>
      </c>
      <c r="AK1051" s="1" t="s">
        <v>2478</v>
      </c>
      <c r="AL1051" s="1">
        <v>2.0</v>
      </c>
      <c r="AM1051" s="1">
        <v>2013.0</v>
      </c>
      <c r="AN1051" s="1">
        <v>2013.0</v>
      </c>
      <c r="AO1051" s="1" t="s">
        <v>305</v>
      </c>
    </row>
    <row r="1052">
      <c r="A1052" s="5">
        <v>1.0</v>
      </c>
      <c r="B1052" s="1">
        <f t="shared" si="1"/>
        <v>1052</v>
      </c>
      <c r="C1052" s="1" t="s">
        <v>2351</v>
      </c>
      <c r="D1052" s="1" t="s">
        <v>2351</v>
      </c>
      <c r="E1052" s="1" t="s">
        <v>100</v>
      </c>
      <c r="G1052" s="1">
        <v>3.3353508E7</v>
      </c>
      <c r="H1052" s="2">
        <v>41288.0</v>
      </c>
      <c r="I1052" s="1" t="s">
        <v>297</v>
      </c>
      <c r="K1052" s="1" t="s">
        <v>297</v>
      </c>
      <c r="N1052" s="1" t="s">
        <v>102</v>
      </c>
      <c r="O1052" s="1">
        <v>8600.0</v>
      </c>
      <c r="P1052" s="1" t="s">
        <v>102</v>
      </c>
      <c r="Q1052" s="1" t="str">
        <f>IF(ISERROR(VLOOKUP(P1052,'unique fed agency names'!A:C,3,FALSE)),P1052,VLOOKUP(P1052,'unique fed agency names'!A:C,3,FALSE))
</f>
        <v>U.S. Department of Housing and Urban Development (HUD)</v>
      </c>
      <c r="R1052" s="1">
        <v>1.75587161E8</v>
      </c>
      <c r="S1052" s="1" t="s">
        <v>2233</v>
      </c>
      <c r="T1052" s="1" t="str">
        <f>IF(ISERROR(VLOOKUP(S1052,'unique org names'!A:C,3,FALSE)),S1052,VLOOKUP(S1052,'unique org names'!A:C,3,FALSE))
</f>
        <v>Accounting Aid Society</v>
      </c>
      <c r="U1052" s="1" t="s">
        <v>2234</v>
      </c>
      <c r="V1052" s="1" t="s">
        <v>2235</v>
      </c>
      <c r="W1052" s="1" t="s">
        <v>44</v>
      </c>
      <c r="X1052" s="1" t="s">
        <v>45</v>
      </c>
      <c r="Y1052" s="1">
        <v>4.82022411E8</v>
      </c>
      <c r="AA1052" s="1" t="s">
        <v>46</v>
      </c>
      <c r="AB1052" s="1" t="s">
        <v>45</v>
      </c>
      <c r="AC1052" s="1">
        <v>4.82022411E8</v>
      </c>
      <c r="AD1052" s="1">
        <v>1.75587161E8</v>
      </c>
      <c r="AE1052" s="1" t="s">
        <v>2236</v>
      </c>
      <c r="AF1052" s="1">
        <v>60000.0</v>
      </c>
      <c r="AG1052" s="2">
        <v>41288.0</v>
      </c>
      <c r="AH1052" s="1">
        <v>8600.0</v>
      </c>
      <c r="AI1052" s="1" t="s">
        <v>102</v>
      </c>
      <c r="AJ1052" s="1">
        <v>7701.0</v>
      </c>
      <c r="AK1052" s="1" t="s">
        <v>2479</v>
      </c>
      <c r="AL1052" s="1">
        <v>2.0</v>
      </c>
      <c r="AM1052" s="1">
        <v>2013.0</v>
      </c>
      <c r="AN1052" s="1">
        <v>2013.0</v>
      </c>
      <c r="AO1052" s="1" t="s">
        <v>305</v>
      </c>
    </row>
    <row r="1053">
      <c r="A1053" s="5">
        <v>1.0</v>
      </c>
      <c r="B1053" s="1">
        <f t="shared" si="1"/>
        <v>1053</v>
      </c>
      <c r="C1053" s="1" t="s">
        <v>2351</v>
      </c>
      <c r="D1053" s="1" t="s">
        <v>2351</v>
      </c>
      <c r="E1053" s="1" t="s">
        <v>100</v>
      </c>
      <c r="G1053" s="1">
        <v>3.3353508E7</v>
      </c>
      <c r="H1053" s="2">
        <v>41288.0</v>
      </c>
      <c r="I1053" s="1" t="s">
        <v>297</v>
      </c>
      <c r="K1053" s="1" t="s">
        <v>297</v>
      </c>
      <c r="N1053" s="1" t="s">
        <v>102</v>
      </c>
      <c r="O1053" s="1">
        <v>8600.0</v>
      </c>
      <c r="P1053" s="1" t="s">
        <v>102</v>
      </c>
      <c r="Q1053" s="1" t="str">
        <f>IF(ISERROR(VLOOKUP(P1053,'unique fed agency names'!A:C,3,FALSE)),P1053,VLOOKUP(P1053,'unique fed agency names'!A:C,3,FALSE))
</f>
        <v>U.S. Department of Housing and Urban Development (HUD)</v>
      </c>
      <c r="R1053" s="1">
        <v>4.0560898E7</v>
      </c>
      <c r="S1053" s="1" t="s">
        <v>2304</v>
      </c>
      <c r="T1053" s="1" t="str">
        <f>IF(ISERROR(VLOOKUP(S1053,'unique org names'!A:C,3,FALSE)),S1053,VLOOKUP(S1053,'unique org names'!A:C,3,FALSE))
</f>
        <v>Legal Aid and Defender Association</v>
      </c>
      <c r="V1053" s="1" t="s">
        <v>2305</v>
      </c>
      <c r="W1053" s="1" t="s">
        <v>44</v>
      </c>
      <c r="X1053" s="1" t="s">
        <v>45</v>
      </c>
      <c r="Y1053" s="1">
        <v>4.82261348E8</v>
      </c>
      <c r="AA1053" s="1" t="s">
        <v>46</v>
      </c>
      <c r="AB1053" s="1" t="s">
        <v>45</v>
      </c>
      <c r="AC1053" s="1">
        <v>4.82261348E8</v>
      </c>
      <c r="AD1053" s="1">
        <v>4.0560898E7</v>
      </c>
      <c r="AE1053" s="1" t="s">
        <v>2304</v>
      </c>
      <c r="AF1053" s="1">
        <v>88000.0</v>
      </c>
      <c r="AG1053" s="2">
        <v>41288.0</v>
      </c>
      <c r="AH1053" s="1">
        <v>8600.0</v>
      </c>
      <c r="AI1053" s="1" t="s">
        <v>102</v>
      </c>
      <c r="AJ1053" s="1">
        <v>7759.0</v>
      </c>
      <c r="AK1053" s="1" t="s">
        <v>2480</v>
      </c>
      <c r="AL1053" s="1">
        <v>2.0</v>
      </c>
      <c r="AM1053" s="1">
        <v>2013.0</v>
      </c>
      <c r="AN1053" s="1">
        <v>2013.0</v>
      </c>
      <c r="AO1053" s="1" t="s">
        <v>305</v>
      </c>
    </row>
    <row r="1054">
      <c r="A1054" s="5">
        <v>1.0</v>
      </c>
      <c r="B1054" s="1">
        <f t="shared" si="1"/>
        <v>1054</v>
      </c>
      <c r="C1054" s="1" t="s">
        <v>2351</v>
      </c>
      <c r="D1054" s="1" t="s">
        <v>2351</v>
      </c>
      <c r="E1054" s="1" t="s">
        <v>100</v>
      </c>
      <c r="G1054" s="1">
        <v>3.3353508E7</v>
      </c>
      <c r="H1054" s="2">
        <v>41288.0</v>
      </c>
      <c r="I1054" s="1" t="s">
        <v>297</v>
      </c>
      <c r="K1054" s="1" t="s">
        <v>297</v>
      </c>
      <c r="N1054" s="1" t="s">
        <v>102</v>
      </c>
      <c r="O1054" s="1">
        <v>8600.0</v>
      </c>
      <c r="P1054" s="1" t="s">
        <v>102</v>
      </c>
      <c r="Q1054" s="1" t="str">
        <f>IF(ISERROR(VLOOKUP(P1054,'unique fed agency names'!A:C,3,FALSE)),P1054,VLOOKUP(P1054,'unique fed agency names'!A:C,3,FALSE))
</f>
        <v>U.S. Department of Housing and Urban Development (HUD)</v>
      </c>
      <c r="R1054" s="1">
        <v>1.44744369E8</v>
      </c>
      <c r="S1054" s="1" t="s">
        <v>2230</v>
      </c>
      <c r="T1054" s="1" t="str">
        <f>IF(ISERROR(VLOOKUP(S1054,'unique org names'!A:C,3,FALSE)),S1054,VLOOKUP(S1054,'unique org names'!A:C,3,FALSE))
</f>
        <v>Senior Delray Housing</v>
      </c>
      <c r="V1054" s="1" t="s">
        <v>2231</v>
      </c>
      <c r="W1054" s="1" t="s">
        <v>44</v>
      </c>
      <c r="X1054" s="1" t="s">
        <v>45</v>
      </c>
      <c r="Y1054" s="1">
        <v>4.82161595E8</v>
      </c>
      <c r="AA1054" s="1" t="s">
        <v>46</v>
      </c>
      <c r="AB1054" s="1" t="s">
        <v>45</v>
      </c>
      <c r="AC1054" s="1">
        <v>4.82161595E8</v>
      </c>
      <c r="AF1054" s="1">
        <v>60000.0</v>
      </c>
      <c r="AG1054" s="2">
        <v>41288.0</v>
      </c>
      <c r="AH1054" s="1">
        <v>8600.0</v>
      </c>
      <c r="AI1054" s="1" t="s">
        <v>102</v>
      </c>
      <c r="AJ1054" s="1">
        <v>7710.0</v>
      </c>
      <c r="AK1054" s="1" t="s">
        <v>2481</v>
      </c>
      <c r="AL1054" s="1">
        <v>2.0</v>
      </c>
      <c r="AM1054" s="1">
        <v>2013.0</v>
      </c>
      <c r="AN1054" s="1">
        <v>2013.0</v>
      </c>
      <c r="AO1054" s="1" t="s">
        <v>305</v>
      </c>
    </row>
    <row r="1055">
      <c r="A1055" s="5">
        <v>1.0</v>
      </c>
      <c r="B1055" s="1">
        <f t="shared" si="1"/>
        <v>1055</v>
      </c>
      <c r="C1055" s="1" t="s">
        <v>2482</v>
      </c>
      <c r="D1055" s="1" t="s">
        <v>2482</v>
      </c>
      <c r="E1055" s="1" t="s">
        <v>224</v>
      </c>
      <c r="G1055" s="1">
        <v>96215.0</v>
      </c>
      <c r="H1055" s="2">
        <v>41751.0</v>
      </c>
      <c r="I1055" s="1" t="s">
        <v>2483</v>
      </c>
      <c r="K1055" s="1" t="s">
        <v>2483</v>
      </c>
      <c r="N1055" s="1" t="s">
        <v>151</v>
      </c>
      <c r="O1055" s="1">
        <v>6900.0</v>
      </c>
      <c r="P1055" s="1" t="s">
        <v>151</v>
      </c>
      <c r="Q1055" s="1" t="str">
        <f>IF(ISERROR(VLOOKUP(P1055,'unique fed agency names'!A:C,3,FALSE)),P1055,VLOOKUP(P1055,'unique fed agency names'!A:C,3,FALSE))
</f>
        <v>U.S. Department of Transportation (DOT)</v>
      </c>
      <c r="R1055" s="1">
        <v>9.63886101E8</v>
      </c>
      <c r="S1055" s="1" t="s">
        <v>259</v>
      </c>
      <c r="T1055" s="1" t="str">
        <f>IF(ISERROR(VLOOKUP(S1055,'unique org names'!A:C,3,FALSE)),S1055,VLOOKUP(S1055,'unique org names'!A:C,3,FALSE))
</f>
        <v>Wayne County</v>
      </c>
      <c r="U1055" s="1" t="s">
        <v>1795</v>
      </c>
      <c r="V1055" s="1" t="s">
        <v>260</v>
      </c>
      <c r="W1055" s="1" t="s">
        <v>44</v>
      </c>
      <c r="X1055" s="1" t="s">
        <v>45</v>
      </c>
      <c r="Y1055" s="1">
        <v>4.8226348E8</v>
      </c>
      <c r="AA1055" s="1" t="s">
        <v>46</v>
      </c>
      <c r="AB1055" s="1" t="s">
        <v>45</v>
      </c>
      <c r="AC1055" s="1">
        <v>4.8226348E8</v>
      </c>
      <c r="AD1055" s="1">
        <v>7.3134884E7</v>
      </c>
      <c r="AE1055" s="1" t="s">
        <v>1796</v>
      </c>
      <c r="AF1055" s="1">
        <v>96215.49</v>
      </c>
      <c r="AG1055" s="2">
        <v>41751.0</v>
      </c>
      <c r="AH1055" s="1">
        <v>6900.0</v>
      </c>
      <c r="AI1055" s="1" t="s">
        <v>151</v>
      </c>
      <c r="AJ1055" s="1">
        <v>1.0</v>
      </c>
      <c r="AK1055" s="1" t="s">
        <v>2484</v>
      </c>
      <c r="AL1055" s="1">
        <v>4.0</v>
      </c>
      <c r="AM1055" s="1">
        <v>2014.0</v>
      </c>
      <c r="AN1055" s="1">
        <v>2014.0</v>
      </c>
      <c r="AO1055" s="1" t="s">
        <v>229</v>
      </c>
    </row>
    <row r="1056">
      <c r="A1056" s="5">
        <v>1.0</v>
      </c>
      <c r="B1056" s="1">
        <f t="shared" si="1"/>
        <v>1056</v>
      </c>
      <c r="C1056" s="1" t="s">
        <v>2485</v>
      </c>
      <c r="D1056" s="1" t="s">
        <v>2485</v>
      </c>
      <c r="E1056" s="1" t="s">
        <v>100</v>
      </c>
      <c r="G1056" s="1">
        <v>1.9577122E7</v>
      </c>
      <c r="H1056" s="2">
        <v>41241.0</v>
      </c>
      <c r="I1056" s="1" t="s">
        <v>332</v>
      </c>
      <c r="K1056" s="1" t="s">
        <v>332</v>
      </c>
      <c r="N1056" s="1" t="s">
        <v>102</v>
      </c>
      <c r="O1056" s="1">
        <v>8600.0</v>
      </c>
      <c r="P1056" s="1" t="s">
        <v>102</v>
      </c>
      <c r="Q1056" s="1" t="str">
        <f>IF(ISERROR(VLOOKUP(P1056,'unique fed agency names'!A:C,3,FALSE)),P1056,VLOOKUP(P1056,'unique fed agency names'!A:C,3,FALSE))
</f>
        <v>U.S. Department of Housing and Urban Development (HUD)</v>
      </c>
      <c r="R1056" s="1">
        <v>7.6385699E7</v>
      </c>
      <c r="S1056" s="1" t="s">
        <v>106</v>
      </c>
      <c r="T1056" s="1" t="str">
        <f>IF(ISERROR(VLOOKUP(S1056,'unique org names'!A:C,3,FALSE)),S1056,VLOOKUP(S1056,'unique org names'!A:C,3,FALSE))
</f>
        <v>Southwest Counseling Solutions, Inc</v>
      </c>
      <c r="U1056" s="1" t="s">
        <v>1005</v>
      </c>
      <c r="V1056" s="1" t="s">
        <v>1006</v>
      </c>
      <c r="W1056" s="1" t="s">
        <v>44</v>
      </c>
      <c r="X1056" s="1" t="s">
        <v>45</v>
      </c>
      <c r="Y1056" s="1">
        <v>4.82092022E8</v>
      </c>
      <c r="AA1056" s="1" t="s">
        <v>46</v>
      </c>
      <c r="AB1056" s="1" t="s">
        <v>45</v>
      </c>
      <c r="AC1056" s="1">
        <v>4.82092022E8</v>
      </c>
      <c r="AD1056" s="1">
        <v>7.6385699E7</v>
      </c>
      <c r="AE1056" s="1" t="s">
        <v>106</v>
      </c>
      <c r="AF1056" s="1">
        <v>38587.0</v>
      </c>
      <c r="AG1056" s="2">
        <v>41241.0</v>
      </c>
      <c r="AH1056" s="1">
        <v>8600.0</v>
      </c>
      <c r="AI1056" s="1" t="s">
        <v>102</v>
      </c>
      <c r="AJ1056" s="1" t="s">
        <v>2486</v>
      </c>
      <c r="AK1056" s="1" t="s">
        <v>2487</v>
      </c>
      <c r="AL1056" s="1">
        <v>11.0</v>
      </c>
      <c r="AM1056" s="1">
        <v>2012.0</v>
      </c>
      <c r="AN1056" s="1">
        <v>2013.0</v>
      </c>
      <c r="AO1056" s="1" t="s">
        <v>334</v>
      </c>
    </row>
    <row r="1057">
      <c r="A1057" s="5">
        <v>1.0</v>
      </c>
      <c r="B1057" s="1">
        <f t="shared" si="1"/>
        <v>1057</v>
      </c>
      <c r="C1057" s="1" t="s">
        <v>2485</v>
      </c>
      <c r="D1057" s="1" t="s">
        <v>2485</v>
      </c>
      <c r="E1057" s="1" t="s">
        <v>100</v>
      </c>
      <c r="G1057" s="1">
        <v>1.9577122E7</v>
      </c>
      <c r="H1057" s="2">
        <v>41221.0</v>
      </c>
      <c r="I1057" s="1" t="s">
        <v>332</v>
      </c>
      <c r="K1057" s="1" t="s">
        <v>332</v>
      </c>
      <c r="N1057" s="1" t="s">
        <v>102</v>
      </c>
      <c r="O1057" s="1">
        <v>8600.0</v>
      </c>
      <c r="P1057" s="1" t="s">
        <v>102</v>
      </c>
      <c r="Q1057" s="1" t="str">
        <f>IF(ISERROR(VLOOKUP(P1057,'unique fed agency names'!A:C,3,FALSE)),P1057,VLOOKUP(P1057,'unique fed agency names'!A:C,3,FALSE))
</f>
        <v>U.S. Department of Housing and Urban Development (HUD)</v>
      </c>
      <c r="R1057" s="1">
        <v>7.6385699E7</v>
      </c>
      <c r="S1057" s="1" t="s">
        <v>106</v>
      </c>
      <c r="T1057" s="1" t="str">
        <f>IF(ISERROR(VLOOKUP(S1057,'unique org names'!A:C,3,FALSE)),S1057,VLOOKUP(S1057,'unique org names'!A:C,3,FALSE))
</f>
        <v>Southwest Counseling Solutions, Inc</v>
      </c>
      <c r="U1057" s="1" t="s">
        <v>1005</v>
      </c>
      <c r="V1057" s="1" t="s">
        <v>1006</v>
      </c>
      <c r="W1057" s="1" t="s">
        <v>44</v>
      </c>
      <c r="X1057" s="1" t="s">
        <v>45</v>
      </c>
      <c r="Y1057" s="1">
        <v>4.82092022E8</v>
      </c>
      <c r="AA1057" s="1" t="s">
        <v>46</v>
      </c>
      <c r="AB1057" s="1" t="s">
        <v>45</v>
      </c>
      <c r="AC1057" s="1">
        <v>4.82092022E8</v>
      </c>
      <c r="AD1057" s="1">
        <v>7.6385699E7</v>
      </c>
      <c r="AE1057" s="1" t="s">
        <v>106</v>
      </c>
      <c r="AF1057" s="1">
        <v>56769.0</v>
      </c>
      <c r="AG1057" s="2">
        <v>41221.0</v>
      </c>
      <c r="AH1057" s="1">
        <v>8600.0</v>
      </c>
      <c r="AI1057" s="1" t="s">
        <v>102</v>
      </c>
      <c r="AJ1057" s="1" t="s">
        <v>2488</v>
      </c>
      <c r="AK1057" s="1" t="s">
        <v>2489</v>
      </c>
      <c r="AL1057" s="1">
        <v>11.0</v>
      </c>
      <c r="AM1057" s="1">
        <v>2012.0</v>
      </c>
      <c r="AN1057" s="1">
        <v>2013.0</v>
      </c>
      <c r="AO1057" s="1" t="s">
        <v>334</v>
      </c>
    </row>
    <row r="1058">
      <c r="A1058" s="5">
        <v>1.0</v>
      </c>
      <c r="B1058" s="1">
        <f t="shared" si="1"/>
        <v>1058</v>
      </c>
      <c r="C1058" s="1" t="s">
        <v>654</v>
      </c>
      <c r="D1058" s="1" t="s">
        <v>654</v>
      </c>
      <c r="E1058" s="1" t="s">
        <v>38</v>
      </c>
      <c r="G1058" s="1">
        <v>1411200.0</v>
      </c>
      <c r="H1058" s="2">
        <v>41834.0</v>
      </c>
      <c r="I1058" s="1" t="s">
        <v>2490</v>
      </c>
      <c r="K1058" s="1" t="s">
        <v>2490</v>
      </c>
      <c r="N1058" s="1" t="s">
        <v>40</v>
      </c>
      <c r="O1058" s="1">
        <v>7500.0</v>
      </c>
      <c r="P1058" s="1" t="s">
        <v>40</v>
      </c>
      <c r="Q1058" s="1" t="str">
        <f>IF(ISERROR(VLOOKUP(P1058,'unique fed agency names'!A:C,3,FALSE)),P1058,VLOOKUP(P1058,'unique fed agency names'!A:C,3,FALSE))
</f>
        <v>U.S. Department of Health and Human Services (DHHS)</v>
      </c>
      <c r="R1058" s="1">
        <v>7.3134603E7</v>
      </c>
      <c r="S1058" s="1" t="s">
        <v>41</v>
      </c>
      <c r="T1058" s="1" t="str">
        <f>IF(ISERROR(VLOOKUP(S1058,'unique org names'!A:C,3,FALSE)),S1058,VLOOKUP(S1058,'unique org names'!A:C,3,FALSE))
</f>
        <v>Henry Ford Health System</v>
      </c>
      <c r="U1058" s="1" t="s">
        <v>252</v>
      </c>
      <c r="V1058" s="1" t="s">
        <v>253</v>
      </c>
      <c r="W1058" s="1" t="s">
        <v>44</v>
      </c>
      <c r="X1058" s="1" t="s">
        <v>45</v>
      </c>
      <c r="Y1058" s="1">
        <v>4.8202345E8</v>
      </c>
      <c r="AA1058" s="1" t="s">
        <v>46</v>
      </c>
      <c r="AB1058" s="1" t="s">
        <v>45</v>
      </c>
      <c r="AC1058" s="1">
        <v>4.82022689E8</v>
      </c>
      <c r="AD1058" s="1">
        <v>7.3134603E7</v>
      </c>
      <c r="AE1058" s="1" t="s">
        <v>41</v>
      </c>
      <c r="AF1058" s="1">
        <v>25000.0</v>
      </c>
      <c r="AG1058" s="2">
        <v>41834.0</v>
      </c>
      <c r="AH1058" s="1">
        <v>7500.0</v>
      </c>
      <c r="AI1058" s="1" t="s">
        <v>40</v>
      </c>
      <c r="AJ1058" s="1">
        <v>3.002735317E9</v>
      </c>
      <c r="AK1058" s="1" t="s">
        <v>1291</v>
      </c>
      <c r="AL1058" s="1">
        <v>7.0</v>
      </c>
      <c r="AM1058" s="1">
        <v>2014.0</v>
      </c>
      <c r="AN1058" s="1">
        <v>2014.0</v>
      </c>
      <c r="AO1058" s="1" t="s">
        <v>415</v>
      </c>
    </row>
    <row r="1059">
      <c r="A1059" s="5">
        <v>1.0</v>
      </c>
      <c r="B1059" s="1">
        <f t="shared" si="1"/>
        <v>1059</v>
      </c>
      <c r="C1059" s="1" t="s">
        <v>2485</v>
      </c>
      <c r="D1059" s="1" t="s">
        <v>2485</v>
      </c>
      <c r="E1059" s="1" t="s">
        <v>100</v>
      </c>
      <c r="G1059" s="1">
        <v>1.9577122E7</v>
      </c>
      <c r="H1059" s="2">
        <v>41185.0</v>
      </c>
      <c r="I1059" s="1" t="s">
        <v>332</v>
      </c>
      <c r="K1059" s="1" t="s">
        <v>332</v>
      </c>
      <c r="N1059" s="1" t="s">
        <v>102</v>
      </c>
      <c r="O1059" s="1">
        <v>8600.0</v>
      </c>
      <c r="P1059" s="1" t="s">
        <v>102</v>
      </c>
      <c r="Q1059" s="1" t="str">
        <f>IF(ISERROR(VLOOKUP(P1059,'unique fed agency names'!A:C,3,FALSE)),P1059,VLOOKUP(P1059,'unique fed agency names'!A:C,3,FALSE))
</f>
        <v>U.S. Department of Housing and Urban Development (HUD)</v>
      </c>
      <c r="R1059" s="1">
        <v>6.03181835E8</v>
      </c>
      <c r="S1059" s="1" t="s">
        <v>2035</v>
      </c>
      <c r="T1059" s="1" t="str">
        <f>IF(ISERROR(VLOOKUP(S1059,'unique org names'!A:C,3,FALSE)),S1059,VLOOKUP(S1059,'unique org names'!A:C,3,FALSE))
</f>
        <v>Habitat for Humanity Metro Detroit</v>
      </c>
      <c r="V1059" s="1" t="s">
        <v>2036</v>
      </c>
      <c r="W1059" s="1" t="s">
        <v>44</v>
      </c>
      <c r="X1059" s="1" t="s">
        <v>45</v>
      </c>
      <c r="Y1059" s="1">
        <v>4.82054059E8</v>
      </c>
      <c r="AA1059" s="1" t="s">
        <v>46</v>
      </c>
      <c r="AB1059" s="1" t="s">
        <v>45</v>
      </c>
      <c r="AC1059" s="1">
        <v>4.82054059E8</v>
      </c>
      <c r="AF1059" s="1">
        <v>436302.0</v>
      </c>
      <c r="AG1059" s="2">
        <v>41185.0</v>
      </c>
      <c r="AH1059" s="1">
        <v>8600.0</v>
      </c>
      <c r="AI1059" s="1" t="s">
        <v>102</v>
      </c>
      <c r="AJ1059" s="1" t="s">
        <v>2491</v>
      </c>
      <c r="AK1059" s="1" t="s">
        <v>2492</v>
      </c>
      <c r="AL1059" s="1">
        <v>11.0</v>
      </c>
      <c r="AM1059" s="1">
        <v>2012.0</v>
      </c>
      <c r="AN1059" s="1">
        <v>2013.0</v>
      </c>
      <c r="AO1059" s="1" t="s">
        <v>334</v>
      </c>
    </row>
    <row r="1060">
      <c r="A1060" s="5">
        <v>1.0</v>
      </c>
      <c r="B1060" s="1">
        <f t="shared" si="1"/>
        <v>1060</v>
      </c>
      <c r="C1060" s="1" t="s">
        <v>2485</v>
      </c>
      <c r="D1060" s="1" t="s">
        <v>2485</v>
      </c>
      <c r="E1060" s="1" t="s">
        <v>100</v>
      </c>
      <c r="G1060" s="1">
        <v>1.9577122E7</v>
      </c>
      <c r="H1060" s="2">
        <v>41226.0</v>
      </c>
      <c r="I1060" s="1" t="s">
        <v>332</v>
      </c>
      <c r="K1060" s="1" t="s">
        <v>332</v>
      </c>
      <c r="N1060" s="1" t="s">
        <v>102</v>
      </c>
      <c r="O1060" s="1">
        <v>8600.0</v>
      </c>
      <c r="P1060" s="1" t="s">
        <v>102</v>
      </c>
      <c r="Q1060" s="1" t="str">
        <f>IF(ISERROR(VLOOKUP(P1060,'unique fed agency names'!A:C,3,FALSE)),P1060,VLOOKUP(P1060,'unique fed agency names'!A:C,3,FALSE))
</f>
        <v>U.S. Department of Housing and Urban Development (HUD)</v>
      </c>
      <c r="R1060" s="1">
        <v>9.64523815E8</v>
      </c>
      <c r="S1060" s="1" t="s">
        <v>123</v>
      </c>
      <c r="T1060" s="1" t="str">
        <f>IF(ISERROR(VLOOKUP(S1060,'unique org names'!A:C,3,FALSE)),S1060,VLOOKUP(S1060,'unique org names'!A:C,3,FALSE))
</f>
        <v>GRANDMONT ROSEDALE DEVELOPMENT CORPORATION</v>
      </c>
      <c r="U1060" s="1" t="s">
        <v>124</v>
      </c>
      <c r="V1060" s="1" t="s">
        <v>125</v>
      </c>
      <c r="W1060" s="1" t="s">
        <v>44</v>
      </c>
      <c r="X1060" s="1" t="s">
        <v>45</v>
      </c>
      <c r="Y1060" s="1">
        <v>4.82231227E8</v>
      </c>
      <c r="AA1060" s="1" t="s">
        <v>46</v>
      </c>
      <c r="AB1060" s="1" t="s">
        <v>45</v>
      </c>
      <c r="AC1060" s="1">
        <v>4.82231227E8</v>
      </c>
      <c r="AF1060" s="1">
        <v>119295.0</v>
      </c>
      <c r="AG1060" s="2">
        <v>41226.0</v>
      </c>
      <c r="AH1060" s="1">
        <v>8600.0</v>
      </c>
      <c r="AI1060" s="1" t="s">
        <v>102</v>
      </c>
      <c r="AJ1060" s="1" t="s">
        <v>2493</v>
      </c>
      <c r="AK1060" s="1" t="s">
        <v>2494</v>
      </c>
      <c r="AL1060" s="1">
        <v>11.0</v>
      </c>
      <c r="AM1060" s="1">
        <v>2012.0</v>
      </c>
      <c r="AN1060" s="1">
        <v>2013.0</v>
      </c>
      <c r="AO1060" s="1" t="s">
        <v>334</v>
      </c>
    </row>
    <row r="1061">
      <c r="A1061" s="5">
        <v>1.0</v>
      </c>
      <c r="B1061" s="1">
        <f t="shared" si="1"/>
        <v>1061</v>
      </c>
      <c r="C1061" s="1" t="s">
        <v>2495</v>
      </c>
      <c r="D1061" s="1" t="s">
        <v>2495</v>
      </c>
      <c r="E1061" s="1" t="s">
        <v>129</v>
      </c>
      <c r="G1061" s="1">
        <v>1.415E7</v>
      </c>
      <c r="H1061" s="2">
        <v>41548.0</v>
      </c>
      <c r="I1061" s="1" t="s">
        <v>2496</v>
      </c>
      <c r="K1061" s="1" t="s">
        <v>2496</v>
      </c>
      <c r="N1061" s="1" t="s">
        <v>40</v>
      </c>
      <c r="O1061" s="1">
        <v>7500.0</v>
      </c>
      <c r="P1061" s="1" t="s">
        <v>40</v>
      </c>
      <c r="Q1061" s="1" t="str">
        <f>IF(ISERROR(VLOOKUP(P1061,'unique fed agency names'!A:C,3,FALSE)),P1061,VLOOKUP(P1061,'unique fed agency names'!A:C,3,FALSE))
</f>
        <v>U.S. Department of Health and Human Services (DHHS)</v>
      </c>
      <c r="R1061" s="1">
        <v>6.9840817E7</v>
      </c>
      <c r="S1061" s="1" t="s">
        <v>131</v>
      </c>
      <c r="T1061" s="1" t="str">
        <f>IF(ISERROR(VLOOKUP(S1061,'unique org names'!A:C,3,FALSE)),S1061,VLOOKUP(S1061,'unique org names'!A:C,3,FALSE))
</f>
        <v>LUTHERAN SOCIAL SERVICES OF MICHIGAN</v>
      </c>
      <c r="V1061" s="1" t="s">
        <v>132</v>
      </c>
      <c r="W1061" s="1" t="s">
        <v>44</v>
      </c>
      <c r="X1061" s="1" t="s">
        <v>45</v>
      </c>
      <c r="Y1061" s="1">
        <v>4.8214261E8</v>
      </c>
      <c r="AA1061" s="1" t="s">
        <v>46</v>
      </c>
      <c r="AB1061" s="1" t="s">
        <v>45</v>
      </c>
      <c r="AC1061" s="1">
        <v>4.8214261E8</v>
      </c>
      <c r="AD1061" s="1">
        <v>6.9840817E7</v>
      </c>
      <c r="AE1061" s="1" t="s">
        <v>131</v>
      </c>
      <c r="AF1061" s="1">
        <v>4666666.67</v>
      </c>
      <c r="AG1061" s="2">
        <v>41548.0</v>
      </c>
      <c r="AH1061" s="1">
        <v>7500.0</v>
      </c>
      <c r="AI1061" s="1" t="s">
        <v>40</v>
      </c>
      <c r="AJ1061" s="1" t="s">
        <v>2497</v>
      </c>
      <c r="AK1061" s="1" t="s">
        <v>2498</v>
      </c>
      <c r="AL1061" s="1">
        <v>10.0</v>
      </c>
      <c r="AM1061" s="1">
        <v>2013.0</v>
      </c>
      <c r="AN1061" s="1">
        <v>2014.0</v>
      </c>
      <c r="AO1061" s="1" t="s">
        <v>398</v>
      </c>
    </row>
    <row r="1062">
      <c r="A1062" s="5">
        <v>1.0</v>
      </c>
      <c r="B1062" s="1">
        <f t="shared" si="1"/>
        <v>1062</v>
      </c>
      <c r="C1062" s="1" t="s">
        <v>368</v>
      </c>
      <c r="D1062" s="1" t="s">
        <v>368</v>
      </c>
      <c r="E1062" s="1" t="s">
        <v>38</v>
      </c>
      <c r="G1062" s="1">
        <v>979880.0</v>
      </c>
      <c r="H1062" s="2">
        <v>41586.0</v>
      </c>
      <c r="I1062" s="1" t="s">
        <v>369</v>
      </c>
      <c r="K1062" s="1" t="s">
        <v>369</v>
      </c>
      <c r="N1062" s="1" t="s">
        <v>40</v>
      </c>
      <c r="O1062" s="1">
        <v>7500.0</v>
      </c>
      <c r="P1062" s="1" t="s">
        <v>40</v>
      </c>
      <c r="Q1062" s="1" t="str">
        <f>IF(ISERROR(VLOOKUP(P1062,'unique fed agency names'!A:C,3,FALSE)),P1062,VLOOKUP(P1062,'unique fed agency names'!A:C,3,FALSE))
</f>
        <v>U.S. Department of Health and Human Services (DHHS)</v>
      </c>
      <c r="R1062" s="1">
        <v>7.3134603E7</v>
      </c>
      <c r="S1062" s="1" t="s">
        <v>41</v>
      </c>
      <c r="T1062" s="1" t="str">
        <f>IF(ISERROR(VLOOKUP(S1062,'unique org names'!A:C,3,FALSE)),S1062,VLOOKUP(S1062,'unique org names'!A:C,3,FALSE))
</f>
        <v>Henry Ford Health System</v>
      </c>
      <c r="U1062" s="1" t="s">
        <v>252</v>
      </c>
      <c r="V1062" s="1" t="s">
        <v>253</v>
      </c>
      <c r="W1062" s="1" t="s">
        <v>44</v>
      </c>
      <c r="X1062" s="1" t="s">
        <v>45</v>
      </c>
      <c r="Y1062" s="1">
        <v>4.8202345E8</v>
      </c>
      <c r="AA1062" s="1" t="s">
        <v>46</v>
      </c>
      <c r="AB1062" s="1" t="s">
        <v>45</v>
      </c>
      <c r="AC1062" s="1">
        <v>4.8202345E8</v>
      </c>
      <c r="AD1062" s="1">
        <v>7.3134603E7</v>
      </c>
      <c r="AE1062" s="1" t="s">
        <v>41</v>
      </c>
      <c r="AF1062" s="1">
        <v>46792.0</v>
      </c>
      <c r="AG1062" s="2">
        <v>41586.0</v>
      </c>
      <c r="AH1062" s="1">
        <v>7500.0</v>
      </c>
      <c r="AI1062" s="1" t="s">
        <v>40</v>
      </c>
      <c r="AJ1062" s="1" t="s">
        <v>370</v>
      </c>
      <c r="AK1062" s="1" t="s">
        <v>2499</v>
      </c>
      <c r="AL1062" s="1">
        <v>12.0</v>
      </c>
      <c r="AM1062" s="1">
        <v>2013.0</v>
      </c>
      <c r="AN1062" s="1">
        <v>2014.0</v>
      </c>
      <c r="AO1062" s="1" t="s">
        <v>372</v>
      </c>
    </row>
    <row r="1063">
      <c r="A1063" s="5">
        <v>1.0</v>
      </c>
      <c r="B1063" s="1">
        <f t="shared" si="1"/>
        <v>1063</v>
      </c>
      <c r="C1063" s="1" t="s">
        <v>1890</v>
      </c>
      <c r="D1063" s="1" t="s">
        <v>1890</v>
      </c>
      <c r="E1063" s="1" t="s">
        <v>38</v>
      </c>
      <c r="G1063" s="1">
        <v>2357551.0</v>
      </c>
      <c r="H1063" s="2">
        <v>41706.0</v>
      </c>
      <c r="I1063" s="1" t="s">
        <v>1891</v>
      </c>
      <c r="K1063" s="1" t="s">
        <v>1891</v>
      </c>
      <c r="N1063" s="1" t="s">
        <v>40</v>
      </c>
      <c r="O1063" s="1">
        <v>7500.0</v>
      </c>
      <c r="P1063" s="1" t="s">
        <v>40</v>
      </c>
      <c r="Q1063" s="1" t="str">
        <f>IF(ISERROR(VLOOKUP(P1063,'unique fed agency names'!A:C,3,FALSE)),P1063,VLOOKUP(P1063,'unique fed agency names'!A:C,3,FALSE))
</f>
        <v>U.S. Department of Health and Human Services (DHHS)</v>
      </c>
      <c r="R1063" s="1">
        <v>7.3134603E7</v>
      </c>
      <c r="S1063" s="1" t="s">
        <v>41</v>
      </c>
      <c r="T1063" s="1" t="str">
        <f>IF(ISERROR(VLOOKUP(S1063,'unique org names'!A:C,3,FALSE)),S1063,VLOOKUP(S1063,'unique org names'!A:C,3,FALSE))
</f>
        <v>Henry Ford Health System</v>
      </c>
      <c r="U1063" s="1" t="s">
        <v>252</v>
      </c>
      <c r="V1063" s="1" t="s">
        <v>253</v>
      </c>
      <c r="W1063" s="1" t="s">
        <v>44</v>
      </c>
      <c r="X1063" s="1" t="s">
        <v>45</v>
      </c>
      <c r="Y1063" s="1">
        <v>4.8202345E8</v>
      </c>
      <c r="AA1063" s="1" t="s">
        <v>46</v>
      </c>
      <c r="AB1063" s="1" t="s">
        <v>45</v>
      </c>
      <c r="AC1063" s="1">
        <v>4.8202345E8</v>
      </c>
      <c r="AD1063" s="1">
        <v>7.3134603E7</v>
      </c>
      <c r="AE1063" s="1" t="s">
        <v>41</v>
      </c>
      <c r="AF1063" s="1">
        <v>26342.0</v>
      </c>
      <c r="AG1063" s="2">
        <v>41706.0</v>
      </c>
      <c r="AH1063" s="1">
        <v>7500.0</v>
      </c>
      <c r="AI1063" s="1" t="s">
        <v>40</v>
      </c>
      <c r="AJ1063" s="1" t="s">
        <v>1892</v>
      </c>
      <c r="AK1063" s="1" t="s">
        <v>2500</v>
      </c>
      <c r="AL1063" s="1">
        <v>4.0</v>
      </c>
      <c r="AM1063" s="1">
        <v>2014.0</v>
      </c>
      <c r="AN1063" s="1">
        <v>2014.0</v>
      </c>
      <c r="AO1063" s="1" t="s">
        <v>1813</v>
      </c>
    </row>
    <row r="1064">
      <c r="A1064" s="5">
        <v>1.0</v>
      </c>
      <c r="B1064" s="1">
        <f t="shared" si="1"/>
        <v>1064</v>
      </c>
      <c r="C1064" s="1" t="s">
        <v>2501</v>
      </c>
      <c r="D1064" s="1" t="s">
        <v>2501</v>
      </c>
      <c r="E1064" s="1" t="s">
        <v>38</v>
      </c>
      <c r="G1064" s="1">
        <v>676256.0</v>
      </c>
      <c r="H1064" s="2">
        <v>41260.0</v>
      </c>
      <c r="I1064" s="1" t="s">
        <v>2502</v>
      </c>
      <c r="K1064" s="1" t="s">
        <v>2502</v>
      </c>
      <c r="N1064" s="1" t="s">
        <v>40</v>
      </c>
      <c r="O1064" s="1">
        <v>7500.0</v>
      </c>
      <c r="P1064" s="1" t="s">
        <v>40</v>
      </c>
      <c r="Q1064" s="1" t="str">
        <f>IF(ISERROR(VLOOKUP(P1064,'unique fed agency names'!A:C,3,FALSE)),P1064,VLOOKUP(P1064,'unique fed agency names'!A:C,3,FALSE))
</f>
        <v>U.S. Department of Health and Human Services (DHHS)</v>
      </c>
      <c r="R1064" s="1">
        <v>1962224.0</v>
      </c>
      <c r="S1064" s="1" t="s">
        <v>52</v>
      </c>
      <c r="T1064" s="1" t="str">
        <f>IF(ISERROR(VLOOKUP(S1064,'unique org names'!A:C,3,FALSE)),S1064,VLOOKUP(S1064,'unique org names'!A:C,3,FALSE))
</f>
        <v>WAYNE STATE UNIVERSITY</v>
      </c>
      <c r="V1064" s="1" t="s">
        <v>53</v>
      </c>
      <c r="W1064" s="1" t="s">
        <v>44</v>
      </c>
      <c r="X1064" s="1" t="s">
        <v>45</v>
      </c>
      <c r="Y1064" s="1">
        <v>4.82023692E8</v>
      </c>
      <c r="AA1064" s="1" t="s">
        <v>46</v>
      </c>
      <c r="AB1064" s="1" t="s">
        <v>45</v>
      </c>
      <c r="AC1064" s="1">
        <v>4.82012119E8</v>
      </c>
      <c r="AD1064" s="1">
        <v>1962224.0</v>
      </c>
      <c r="AE1064" s="1" t="s">
        <v>52</v>
      </c>
      <c r="AF1064" s="1">
        <v>153240.0</v>
      </c>
      <c r="AG1064" s="2">
        <v>41260.0</v>
      </c>
      <c r="AH1064" s="1">
        <v>7500.0</v>
      </c>
      <c r="AI1064" s="1" t="s">
        <v>40</v>
      </c>
      <c r="AJ1064" s="1" t="s">
        <v>2503</v>
      </c>
      <c r="AK1064" s="1" t="s">
        <v>2504</v>
      </c>
      <c r="AL1064" s="1">
        <v>8.0</v>
      </c>
      <c r="AM1064" s="1">
        <v>2013.0</v>
      </c>
      <c r="AN1064" s="1">
        <v>2013.0</v>
      </c>
      <c r="AO1064" s="1" t="s">
        <v>1558</v>
      </c>
    </row>
    <row r="1065">
      <c r="A1065" s="5">
        <v>1.0</v>
      </c>
      <c r="B1065" s="1">
        <f t="shared" si="1"/>
        <v>1065</v>
      </c>
      <c r="C1065" s="1" t="s">
        <v>2505</v>
      </c>
      <c r="D1065" s="1" t="s">
        <v>2505</v>
      </c>
      <c r="E1065" s="1" t="s">
        <v>38</v>
      </c>
      <c r="G1065" s="1">
        <v>2076024.0</v>
      </c>
      <c r="H1065" s="2">
        <v>41771.0</v>
      </c>
      <c r="I1065" s="1" t="s">
        <v>2506</v>
      </c>
      <c r="K1065" s="1" t="s">
        <v>2506</v>
      </c>
      <c r="N1065" s="1" t="s">
        <v>40</v>
      </c>
      <c r="O1065" s="1">
        <v>7500.0</v>
      </c>
      <c r="P1065" s="1" t="s">
        <v>40</v>
      </c>
      <c r="Q1065" s="1" t="str">
        <f>IF(ISERROR(VLOOKUP(P1065,'unique fed agency names'!A:C,3,FALSE)),P1065,VLOOKUP(P1065,'unique fed agency names'!A:C,3,FALSE))
</f>
        <v>U.S. Department of Health and Human Services (DHHS)</v>
      </c>
      <c r="R1065" s="1">
        <v>1962224.0</v>
      </c>
      <c r="S1065" s="1" t="s">
        <v>52</v>
      </c>
      <c r="T1065" s="1" t="str">
        <f>IF(ISERROR(VLOOKUP(S1065,'unique org names'!A:C,3,FALSE)),S1065,VLOOKUP(S1065,'unique org names'!A:C,3,FALSE))
</f>
        <v>WAYNE STATE UNIVERSITY</v>
      </c>
      <c r="U1065" s="1" t="s">
        <v>1566</v>
      </c>
      <c r="V1065" s="1" t="s">
        <v>53</v>
      </c>
      <c r="W1065" s="1" t="s">
        <v>44</v>
      </c>
      <c r="X1065" s="1" t="s">
        <v>45</v>
      </c>
      <c r="Y1065" s="1">
        <v>4.82023692E8</v>
      </c>
      <c r="AA1065" s="1" t="s">
        <v>46</v>
      </c>
      <c r="AB1065" s="1" t="s">
        <v>45</v>
      </c>
      <c r="AC1065" s="1">
        <v>4.82023692E8</v>
      </c>
      <c r="AD1065" s="1">
        <v>1962224.0</v>
      </c>
      <c r="AE1065" s="1" t="s">
        <v>52</v>
      </c>
      <c r="AF1065" s="1">
        <v>49452.0</v>
      </c>
      <c r="AG1065" s="2">
        <v>41771.0</v>
      </c>
      <c r="AH1065" s="1">
        <v>7500.0</v>
      </c>
      <c r="AI1065" s="1" t="s">
        <v>40</v>
      </c>
      <c r="AJ1065" s="1" t="s">
        <v>2507</v>
      </c>
      <c r="AK1065" s="1" t="s">
        <v>2506</v>
      </c>
      <c r="AL1065" s="1">
        <v>6.0</v>
      </c>
      <c r="AM1065" s="1">
        <v>2014.0</v>
      </c>
      <c r="AN1065" s="1">
        <v>2014.0</v>
      </c>
      <c r="AO1065" s="1" t="s">
        <v>1558</v>
      </c>
    </row>
    <row r="1066">
      <c r="A1066" s="5">
        <v>1.0</v>
      </c>
      <c r="B1066" s="1">
        <f t="shared" si="1"/>
        <v>1066</v>
      </c>
      <c r="C1066" s="1" t="s">
        <v>2508</v>
      </c>
      <c r="D1066" s="1" t="s">
        <v>2508</v>
      </c>
      <c r="E1066" s="1" t="s">
        <v>100</v>
      </c>
      <c r="G1066" s="1">
        <v>3.2877084E7</v>
      </c>
      <c r="H1066" s="2">
        <v>41598.0</v>
      </c>
      <c r="I1066" s="1" t="s">
        <v>297</v>
      </c>
      <c r="K1066" s="1" t="s">
        <v>297</v>
      </c>
      <c r="N1066" s="1" t="s">
        <v>102</v>
      </c>
      <c r="O1066" s="1">
        <v>8600.0</v>
      </c>
      <c r="P1066" s="1" t="s">
        <v>102</v>
      </c>
      <c r="Q1066" s="1" t="str">
        <f>IF(ISERROR(VLOOKUP(P1066,'unique fed agency names'!A:C,3,FALSE)),P1066,VLOOKUP(P1066,'unique fed agency names'!A:C,3,FALSE))
</f>
        <v>U.S. Department of Housing and Urban Development (HUD)</v>
      </c>
      <c r="R1066" s="1">
        <v>6.2783951E7</v>
      </c>
      <c r="S1066" s="1" t="s">
        <v>2369</v>
      </c>
      <c r="T1066" s="1" t="str">
        <f>IF(ISERROR(VLOOKUP(S1066,'unique org names'!A:C,3,FALSE)),S1066,VLOOKUP(S1066,'unique org names'!A:C,3,FALSE))
</f>
        <v>EASTERN MARKET ADVANCEMENT COALITION</v>
      </c>
      <c r="V1066" s="1" t="s">
        <v>2370</v>
      </c>
      <c r="W1066" s="1" t="s">
        <v>44</v>
      </c>
      <c r="X1066" s="1" t="s">
        <v>45</v>
      </c>
      <c r="Y1066" s="1">
        <v>4.82072035E8</v>
      </c>
      <c r="AA1066" s="1" t="s">
        <v>46</v>
      </c>
      <c r="AB1066" s="1" t="s">
        <v>45</v>
      </c>
      <c r="AC1066" s="1">
        <v>4.82072035E8</v>
      </c>
      <c r="AF1066" s="1">
        <v>835027.0</v>
      </c>
      <c r="AG1066" s="2">
        <v>41598.0</v>
      </c>
      <c r="AH1066" s="1">
        <v>8600.0</v>
      </c>
      <c r="AI1066" s="1" t="s">
        <v>102</v>
      </c>
      <c r="AJ1066" s="1">
        <v>2.0</v>
      </c>
      <c r="AK1066" s="1" t="s">
        <v>2509</v>
      </c>
      <c r="AL1066" s="1">
        <v>6.0</v>
      </c>
      <c r="AM1066" s="1">
        <v>2014.0</v>
      </c>
      <c r="AN1066" s="1">
        <v>2014.0</v>
      </c>
      <c r="AO1066" s="1" t="s">
        <v>305</v>
      </c>
    </row>
    <row r="1067">
      <c r="A1067" s="5">
        <v>1.0</v>
      </c>
      <c r="B1067" s="1">
        <f t="shared" si="1"/>
        <v>1067</v>
      </c>
      <c r="C1067" s="1" t="s">
        <v>2508</v>
      </c>
      <c r="D1067" s="1" t="s">
        <v>2508</v>
      </c>
      <c r="E1067" s="1" t="s">
        <v>100</v>
      </c>
      <c r="G1067" s="1">
        <v>3.2877084E7</v>
      </c>
      <c r="H1067" s="2">
        <v>41598.0</v>
      </c>
      <c r="I1067" s="1" t="s">
        <v>297</v>
      </c>
      <c r="K1067" s="1" t="s">
        <v>297</v>
      </c>
      <c r="N1067" s="1" t="s">
        <v>102</v>
      </c>
      <c r="O1067" s="1">
        <v>8600.0</v>
      </c>
      <c r="P1067" s="1" t="s">
        <v>102</v>
      </c>
      <c r="Q1067" s="1" t="str">
        <f>IF(ISERROR(VLOOKUP(P1067,'unique fed agency names'!A:C,3,FALSE)),P1067,VLOOKUP(P1067,'unique fed agency names'!A:C,3,FALSE))
</f>
        <v>U.S. Department of Housing and Urban Development (HUD)</v>
      </c>
      <c r="R1067" s="1">
        <v>1.586118E7</v>
      </c>
      <c r="S1067" s="1" t="s">
        <v>2334</v>
      </c>
      <c r="T1067" s="1" t="str">
        <f>IF(ISERROR(VLOOKUP(S1067,'unique org names'!A:C,3,FALSE)),S1067,VLOOKUP(S1067,'unique org names'!A:C,3,FALSE))
</f>
        <v>The Salvation Army</v>
      </c>
      <c r="U1067" s="1" t="s">
        <v>2335</v>
      </c>
      <c r="V1067" s="1" t="s">
        <v>2336</v>
      </c>
      <c r="W1067" s="1" t="s">
        <v>44</v>
      </c>
      <c r="X1067" s="1" t="s">
        <v>45</v>
      </c>
      <c r="Y1067" s="1">
        <v>4.820825E8</v>
      </c>
      <c r="AA1067" s="1" t="s">
        <v>46</v>
      </c>
      <c r="AB1067" s="1" t="s">
        <v>45</v>
      </c>
      <c r="AC1067" s="1">
        <v>4.820825E8</v>
      </c>
      <c r="AD1067" s="1">
        <v>1.25435284E8</v>
      </c>
      <c r="AF1067" s="1">
        <v>140723.0</v>
      </c>
      <c r="AG1067" s="2">
        <v>41598.0</v>
      </c>
      <c r="AH1067" s="1">
        <v>8600.0</v>
      </c>
      <c r="AI1067" s="1" t="s">
        <v>102</v>
      </c>
      <c r="AJ1067" s="1">
        <v>35.0</v>
      </c>
      <c r="AK1067" s="1" t="s">
        <v>2510</v>
      </c>
      <c r="AL1067" s="1">
        <v>6.0</v>
      </c>
      <c r="AM1067" s="1">
        <v>2014.0</v>
      </c>
      <c r="AN1067" s="1">
        <v>2014.0</v>
      </c>
      <c r="AO1067" s="1" t="s">
        <v>305</v>
      </c>
    </row>
    <row r="1068">
      <c r="A1068" s="5">
        <v>1.0</v>
      </c>
      <c r="B1068" s="1">
        <f t="shared" si="1"/>
        <v>1068</v>
      </c>
      <c r="C1068" s="1" t="s">
        <v>2508</v>
      </c>
      <c r="D1068" s="1" t="s">
        <v>2508</v>
      </c>
      <c r="E1068" s="1" t="s">
        <v>100</v>
      </c>
      <c r="G1068" s="1">
        <v>3.2877084E7</v>
      </c>
      <c r="H1068" s="2">
        <v>41598.0</v>
      </c>
      <c r="I1068" s="1" t="s">
        <v>297</v>
      </c>
      <c r="K1068" s="1" t="s">
        <v>297</v>
      </c>
      <c r="N1068" s="1" t="s">
        <v>102</v>
      </c>
      <c r="O1068" s="1">
        <v>8600.0</v>
      </c>
      <c r="P1068" s="1" t="s">
        <v>102</v>
      </c>
      <c r="Q1068" s="1" t="str">
        <f>IF(ISERROR(VLOOKUP(P1068,'unique fed agency names'!A:C,3,FALSE)),P1068,VLOOKUP(P1068,'unique fed agency names'!A:C,3,FALSE))
</f>
        <v>U.S. Department of Housing and Urban Development (HUD)</v>
      </c>
      <c r="R1068" s="1">
        <v>5.1034718E7</v>
      </c>
      <c r="S1068" s="1" t="s">
        <v>2162</v>
      </c>
      <c r="T1068" s="1" t="str">
        <f>IF(ISERROR(VLOOKUP(S1068,'unique org names'!A:C,3,FALSE)),S1068,VLOOKUP(S1068,'unique org names'!A:C,3,FALSE))
</f>
        <v>Sickle Cell Disease Association of America Michigan Chapter, Inc</v>
      </c>
      <c r="V1068" s="1" t="s">
        <v>2163</v>
      </c>
      <c r="W1068" s="1" t="s">
        <v>44</v>
      </c>
      <c r="X1068" s="1" t="s">
        <v>45</v>
      </c>
      <c r="Y1068" s="1">
        <v>4.82261472E8</v>
      </c>
      <c r="AA1068" s="1" t="s">
        <v>46</v>
      </c>
      <c r="AB1068" s="1" t="s">
        <v>45</v>
      </c>
      <c r="AC1068" s="1">
        <v>4.82261472E8</v>
      </c>
      <c r="AF1068" s="1">
        <v>170000.0</v>
      </c>
      <c r="AG1068" s="2">
        <v>41598.0</v>
      </c>
      <c r="AH1068" s="1">
        <v>8600.0</v>
      </c>
      <c r="AI1068" s="1" t="s">
        <v>102</v>
      </c>
      <c r="AJ1068" s="1">
        <v>36.0</v>
      </c>
      <c r="AK1068" s="1" t="s">
        <v>2511</v>
      </c>
      <c r="AL1068" s="1">
        <v>6.0</v>
      </c>
      <c r="AM1068" s="1">
        <v>2014.0</v>
      </c>
      <c r="AN1068" s="1">
        <v>2014.0</v>
      </c>
      <c r="AO1068" s="1" t="s">
        <v>305</v>
      </c>
    </row>
    <row r="1069">
      <c r="A1069" s="5">
        <v>1.0</v>
      </c>
      <c r="B1069" s="1">
        <f t="shared" si="1"/>
        <v>1069</v>
      </c>
      <c r="C1069" s="1" t="s">
        <v>2505</v>
      </c>
      <c r="D1069" s="1" t="s">
        <v>2505</v>
      </c>
      <c r="E1069" s="1" t="s">
        <v>38</v>
      </c>
      <c r="G1069" s="1">
        <v>2076024.0</v>
      </c>
      <c r="H1069" s="2">
        <v>41771.0</v>
      </c>
      <c r="I1069" s="1" t="s">
        <v>2506</v>
      </c>
      <c r="K1069" s="1" t="s">
        <v>2506</v>
      </c>
      <c r="N1069" s="1" t="s">
        <v>40</v>
      </c>
      <c r="O1069" s="1">
        <v>7500.0</v>
      </c>
      <c r="P1069" s="1" t="s">
        <v>40</v>
      </c>
      <c r="Q1069" s="1" t="str">
        <f>IF(ISERROR(VLOOKUP(P1069,'unique fed agency names'!A:C,3,FALSE)),P1069,VLOOKUP(P1069,'unique fed agency names'!A:C,3,FALSE))
</f>
        <v>U.S. Department of Health and Human Services (DHHS)</v>
      </c>
      <c r="R1069" s="1">
        <v>7.3134603E7</v>
      </c>
      <c r="S1069" s="1" t="s">
        <v>41</v>
      </c>
      <c r="T1069" s="1" t="str">
        <f>IF(ISERROR(VLOOKUP(S1069,'unique org names'!A:C,3,FALSE)),S1069,VLOOKUP(S1069,'unique org names'!A:C,3,FALSE))
</f>
        <v>Henry Ford Health System</v>
      </c>
      <c r="U1069" s="1" t="s">
        <v>252</v>
      </c>
      <c r="V1069" s="1" t="s">
        <v>253</v>
      </c>
      <c r="W1069" s="1" t="s">
        <v>44</v>
      </c>
      <c r="X1069" s="1" t="s">
        <v>45</v>
      </c>
      <c r="Y1069" s="1">
        <v>4.8202345E8</v>
      </c>
      <c r="AA1069" s="1" t="s">
        <v>46</v>
      </c>
      <c r="AB1069" s="1" t="s">
        <v>45</v>
      </c>
      <c r="AC1069" s="1">
        <v>4.8202345E8</v>
      </c>
      <c r="AD1069" s="1">
        <v>7.3134603E7</v>
      </c>
      <c r="AE1069" s="1" t="s">
        <v>41</v>
      </c>
      <c r="AF1069" s="1">
        <v>206914.0</v>
      </c>
      <c r="AG1069" s="2">
        <v>41771.0</v>
      </c>
      <c r="AH1069" s="1">
        <v>7500.0</v>
      </c>
      <c r="AI1069" s="1" t="s">
        <v>40</v>
      </c>
      <c r="AJ1069" s="1" t="s">
        <v>2507</v>
      </c>
      <c r="AK1069" s="1" t="s">
        <v>2506</v>
      </c>
      <c r="AL1069" s="1">
        <v>5.0</v>
      </c>
      <c r="AM1069" s="1">
        <v>2014.0</v>
      </c>
      <c r="AN1069" s="1">
        <v>2014.0</v>
      </c>
      <c r="AO1069" s="1" t="s">
        <v>1558</v>
      </c>
    </row>
    <row r="1070">
      <c r="A1070" s="5">
        <v>1.0</v>
      </c>
      <c r="B1070" s="1">
        <f t="shared" si="1"/>
        <v>1070</v>
      </c>
      <c r="C1070" s="1" t="s">
        <v>2508</v>
      </c>
      <c r="D1070" s="1" t="s">
        <v>2508</v>
      </c>
      <c r="E1070" s="1" t="s">
        <v>100</v>
      </c>
      <c r="G1070" s="1">
        <v>3.2877084E7</v>
      </c>
      <c r="H1070" s="2">
        <v>41598.0</v>
      </c>
      <c r="I1070" s="1" t="s">
        <v>297</v>
      </c>
      <c r="K1070" s="1" t="s">
        <v>297</v>
      </c>
      <c r="N1070" s="1" t="s">
        <v>102</v>
      </c>
      <c r="O1070" s="1">
        <v>8600.0</v>
      </c>
      <c r="P1070" s="1" t="s">
        <v>102</v>
      </c>
      <c r="Q1070" s="1" t="str">
        <f>IF(ISERROR(VLOOKUP(P1070,'unique fed agency names'!A:C,3,FALSE)),P1070,VLOOKUP(P1070,'unique fed agency names'!A:C,3,FALSE))
</f>
        <v>U.S. Department of Housing and Urban Development (HUD)</v>
      </c>
      <c r="R1070" s="1">
        <v>6.9835866E7</v>
      </c>
      <c r="S1070" s="1" t="s">
        <v>2272</v>
      </c>
      <c r="T1070" s="1" t="str">
        <f>IF(ISERROR(VLOOKUP(S1070,'unique org names'!A:C,3,FALSE)),S1070,VLOOKUP(S1070,'unique org names'!A:C,3,FALSE))
</f>
        <v>World Medical Relief, Inc.</v>
      </c>
      <c r="V1070" s="1" t="s">
        <v>2273</v>
      </c>
      <c r="W1070" s="1" t="s">
        <v>44</v>
      </c>
      <c r="X1070" s="1" t="s">
        <v>45</v>
      </c>
      <c r="Y1070" s="1">
        <v>4.82061269E8</v>
      </c>
      <c r="AA1070" s="1" t="s">
        <v>46</v>
      </c>
      <c r="AB1070" s="1" t="s">
        <v>45</v>
      </c>
      <c r="AC1070" s="1">
        <v>4.82061609E8</v>
      </c>
      <c r="AF1070" s="1">
        <v>103838.0</v>
      </c>
      <c r="AG1070" s="2">
        <v>41598.0</v>
      </c>
      <c r="AH1070" s="1">
        <v>8600.0</v>
      </c>
      <c r="AI1070" s="1" t="s">
        <v>102</v>
      </c>
      <c r="AJ1070" s="1">
        <v>20.0</v>
      </c>
      <c r="AK1070" s="1" t="s">
        <v>2512</v>
      </c>
      <c r="AL1070" s="1">
        <v>6.0</v>
      </c>
      <c r="AM1070" s="1">
        <v>2014.0</v>
      </c>
      <c r="AN1070" s="1">
        <v>2014.0</v>
      </c>
      <c r="AO1070" s="1" t="s">
        <v>305</v>
      </c>
    </row>
    <row r="1071">
      <c r="A1071" s="5">
        <v>1.0</v>
      </c>
      <c r="B1071" s="1">
        <f t="shared" si="1"/>
        <v>1071</v>
      </c>
      <c r="C1071" s="1" t="s">
        <v>2508</v>
      </c>
      <c r="D1071" s="1" t="s">
        <v>2508</v>
      </c>
      <c r="E1071" s="1" t="s">
        <v>100</v>
      </c>
      <c r="G1071" s="1">
        <v>3.2877084E7</v>
      </c>
      <c r="H1071" s="2">
        <v>41598.0</v>
      </c>
      <c r="I1071" s="1" t="s">
        <v>297</v>
      </c>
      <c r="K1071" s="1" t="s">
        <v>297</v>
      </c>
      <c r="N1071" s="1" t="s">
        <v>102</v>
      </c>
      <c r="O1071" s="1">
        <v>8600.0</v>
      </c>
      <c r="P1071" s="1" t="s">
        <v>102</v>
      </c>
      <c r="Q1071" s="1" t="str">
        <f>IF(ISERROR(VLOOKUP(P1071,'unique fed agency names'!A:C,3,FALSE)),P1071,VLOOKUP(P1071,'unique fed agency names'!A:C,3,FALSE))
</f>
        <v>U.S. Department of Housing and Urban Development (HUD)</v>
      </c>
      <c r="R1071" s="1">
        <v>1.27458909E8</v>
      </c>
      <c r="S1071" s="1" t="s">
        <v>2195</v>
      </c>
      <c r="T1071" s="1" t="str">
        <f>IF(ISERROR(VLOOKUP(S1071,'unique org names'!A:C,3,FALSE)),S1071,VLOOKUP(S1071,'unique org names'!A:C,3,FALSE))
</f>
        <v>Mariners Inn</v>
      </c>
      <c r="V1071" s="1" t="s">
        <v>2196</v>
      </c>
      <c r="W1071" s="1" t="s">
        <v>44</v>
      </c>
      <c r="X1071" s="1" t="s">
        <v>45</v>
      </c>
      <c r="Y1071" s="1">
        <v>4.82012641E8</v>
      </c>
      <c r="AA1071" s="1" t="s">
        <v>46</v>
      </c>
      <c r="AB1071" s="1" t="s">
        <v>45</v>
      </c>
      <c r="AC1071" s="1">
        <v>4.82012641E8</v>
      </c>
      <c r="AF1071" s="1">
        <v>250000.0</v>
      </c>
      <c r="AG1071" s="2">
        <v>41598.0</v>
      </c>
      <c r="AH1071" s="1">
        <v>8600.0</v>
      </c>
      <c r="AI1071" s="1" t="s">
        <v>102</v>
      </c>
      <c r="AJ1071" s="1">
        <v>31.0</v>
      </c>
      <c r="AK1071" s="1" t="s">
        <v>2513</v>
      </c>
      <c r="AL1071" s="1">
        <v>6.0</v>
      </c>
      <c r="AM1071" s="1">
        <v>2014.0</v>
      </c>
      <c r="AN1071" s="1">
        <v>2014.0</v>
      </c>
      <c r="AO1071" s="1" t="s">
        <v>305</v>
      </c>
    </row>
    <row r="1072">
      <c r="A1072" s="5">
        <v>1.0</v>
      </c>
      <c r="B1072" s="1">
        <f t="shared" si="1"/>
        <v>1072</v>
      </c>
      <c r="C1072" s="1" t="s">
        <v>2508</v>
      </c>
      <c r="D1072" s="1" t="s">
        <v>2508</v>
      </c>
      <c r="E1072" s="1" t="s">
        <v>100</v>
      </c>
      <c r="G1072" s="1">
        <v>3.2877084E7</v>
      </c>
      <c r="H1072" s="2">
        <v>41598.0</v>
      </c>
      <c r="I1072" s="1" t="s">
        <v>297</v>
      </c>
      <c r="K1072" s="1" t="s">
        <v>297</v>
      </c>
      <c r="N1072" s="1" t="s">
        <v>102</v>
      </c>
      <c r="O1072" s="1">
        <v>8600.0</v>
      </c>
      <c r="P1072" s="1" t="s">
        <v>102</v>
      </c>
      <c r="Q1072" s="1" t="str">
        <f>IF(ISERROR(VLOOKUP(P1072,'unique fed agency names'!A:C,3,FALSE)),P1072,VLOOKUP(P1072,'unique fed agency names'!A:C,3,FALSE))
</f>
        <v>U.S. Department of Housing and Urban Development (HUD)</v>
      </c>
      <c r="R1072" s="1">
        <v>4.9254014E7</v>
      </c>
      <c r="S1072" s="1" t="s">
        <v>2189</v>
      </c>
      <c r="T1072" s="1" t="str">
        <f>IF(ISERROR(VLOOKUP(S1072,'unique org names'!A:C,3,FALSE)),S1072,VLOOKUP(S1072,'unique org names'!A:C,3,FALSE))
</f>
        <v>International Institute of Metropolitan Detroit, Inc</v>
      </c>
      <c r="V1072" s="1" t="s">
        <v>2190</v>
      </c>
      <c r="W1072" s="1" t="s">
        <v>44</v>
      </c>
      <c r="X1072" s="1" t="s">
        <v>45</v>
      </c>
      <c r="Y1072" s="1">
        <v>4.82024003E8</v>
      </c>
      <c r="AA1072" s="1" t="s">
        <v>46</v>
      </c>
      <c r="AB1072" s="1" t="s">
        <v>45</v>
      </c>
      <c r="AC1072" s="1">
        <v>4.82024003E8</v>
      </c>
      <c r="AD1072" s="1">
        <v>4.9254014E7</v>
      </c>
      <c r="AE1072" s="1" t="s">
        <v>2189</v>
      </c>
      <c r="AF1072" s="1">
        <v>127060.0</v>
      </c>
      <c r="AG1072" s="2">
        <v>41598.0</v>
      </c>
      <c r="AH1072" s="1">
        <v>8600.0</v>
      </c>
      <c r="AI1072" s="1" t="s">
        <v>102</v>
      </c>
      <c r="AJ1072" s="1">
        <v>9.0</v>
      </c>
      <c r="AK1072" s="1" t="s">
        <v>2514</v>
      </c>
      <c r="AL1072" s="1">
        <v>6.0</v>
      </c>
      <c r="AM1072" s="1">
        <v>2014.0</v>
      </c>
      <c r="AN1072" s="1">
        <v>2014.0</v>
      </c>
      <c r="AO1072" s="1" t="s">
        <v>305</v>
      </c>
    </row>
    <row r="1073">
      <c r="A1073" s="5">
        <v>1.0</v>
      </c>
      <c r="B1073" s="1">
        <f t="shared" si="1"/>
        <v>1073</v>
      </c>
      <c r="C1073" s="1" t="s">
        <v>2508</v>
      </c>
      <c r="D1073" s="1" t="s">
        <v>2508</v>
      </c>
      <c r="E1073" s="1" t="s">
        <v>100</v>
      </c>
      <c r="G1073" s="1">
        <v>3.2877084E7</v>
      </c>
      <c r="H1073" s="2">
        <v>41598.0</v>
      </c>
      <c r="I1073" s="1" t="s">
        <v>297</v>
      </c>
      <c r="K1073" s="1" t="s">
        <v>297</v>
      </c>
      <c r="N1073" s="1" t="s">
        <v>102</v>
      </c>
      <c r="O1073" s="1">
        <v>8600.0</v>
      </c>
      <c r="P1073" s="1" t="s">
        <v>102</v>
      </c>
      <c r="Q1073" s="1" t="str">
        <f>IF(ISERROR(VLOOKUP(P1073,'unique fed agency names'!A:C,3,FALSE)),P1073,VLOOKUP(P1073,'unique fed agency names'!A:C,3,FALSE))
</f>
        <v>U.S. Department of Housing and Urban Development (HUD)</v>
      </c>
      <c r="R1073" s="1">
        <v>1.2380762E8</v>
      </c>
      <c r="S1073" s="1" t="s">
        <v>2181</v>
      </c>
      <c r="T1073" s="1" t="str">
        <f>IF(ISERROR(VLOOKUP(S1073,'unique org names'!A:C,3,FALSE)),S1073,VLOOKUP(S1073,'unique org names'!A:C,3,FALSE))
</f>
        <v>Detroit Area Pre-College Engineering Program, Inc</v>
      </c>
      <c r="U1073" s="1" t="s">
        <v>2182</v>
      </c>
      <c r="V1073" s="1" t="s">
        <v>2183</v>
      </c>
      <c r="W1073" s="1" t="s">
        <v>44</v>
      </c>
      <c r="X1073" s="1" t="s">
        <v>45</v>
      </c>
      <c r="Y1073" s="1">
        <v>4.82013473E8</v>
      </c>
      <c r="AA1073" s="1" t="s">
        <v>46</v>
      </c>
      <c r="AB1073" s="1" t="s">
        <v>45</v>
      </c>
      <c r="AC1073" s="1">
        <v>4.82013473E8</v>
      </c>
      <c r="AF1073" s="1">
        <v>100000.0</v>
      </c>
      <c r="AG1073" s="2">
        <v>41598.0</v>
      </c>
      <c r="AH1073" s="1">
        <v>8600.0</v>
      </c>
      <c r="AI1073" s="1" t="s">
        <v>102</v>
      </c>
      <c r="AJ1073" s="1">
        <v>7.0</v>
      </c>
      <c r="AK1073" s="1" t="s">
        <v>2515</v>
      </c>
      <c r="AL1073" s="1">
        <v>6.0</v>
      </c>
      <c r="AM1073" s="1">
        <v>2014.0</v>
      </c>
      <c r="AN1073" s="1">
        <v>2014.0</v>
      </c>
      <c r="AO1073" s="1" t="s">
        <v>305</v>
      </c>
    </row>
    <row r="1074">
      <c r="A1074" s="5">
        <v>1.0</v>
      </c>
      <c r="B1074" s="1">
        <f t="shared" si="1"/>
        <v>1074</v>
      </c>
      <c r="C1074" s="1" t="s">
        <v>2508</v>
      </c>
      <c r="D1074" s="1" t="s">
        <v>2508</v>
      </c>
      <c r="E1074" s="1" t="s">
        <v>100</v>
      </c>
      <c r="G1074" s="1">
        <v>3.2877084E7</v>
      </c>
      <c r="H1074" s="2">
        <v>41598.0</v>
      </c>
      <c r="I1074" s="1" t="s">
        <v>297</v>
      </c>
      <c r="K1074" s="1" t="s">
        <v>297</v>
      </c>
      <c r="N1074" s="1" t="s">
        <v>102</v>
      </c>
      <c r="O1074" s="1">
        <v>8600.0</v>
      </c>
      <c r="P1074" s="1" t="s">
        <v>102</v>
      </c>
      <c r="Q1074" s="1" t="str">
        <f>IF(ISERROR(VLOOKUP(P1074,'unique fed agency names'!A:C,3,FALSE)),P1074,VLOOKUP(P1074,'unique fed agency names'!A:C,3,FALSE))
</f>
        <v>U.S. Department of Housing and Urban Development (HUD)</v>
      </c>
      <c r="R1074" s="1">
        <v>1.75587161E8</v>
      </c>
      <c r="S1074" s="1" t="s">
        <v>2233</v>
      </c>
      <c r="T1074" s="1" t="str">
        <f>IF(ISERROR(VLOOKUP(S1074,'unique org names'!A:C,3,FALSE)),S1074,VLOOKUP(S1074,'unique org names'!A:C,3,FALSE))
</f>
        <v>Accounting Aid Society</v>
      </c>
      <c r="U1074" s="1" t="s">
        <v>2234</v>
      </c>
      <c r="V1074" s="1" t="s">
        <v>2235</v>
      </c>
      <c r="W1074" s="1" t="s">
        <v>44</v>
      </c>
      <c r="X1074" s="1" t="s">
        <v>45</v>
      </c>
      <c r="Y1074" s="1">
        <v>4.82022411E8</v>
      </c>
      <c r="AA1074" s="1" t="s">
        <v>46</v>
      </c>
      <c r="AB1074" s="1" t="s">
        <v>45</v>
      </c>
      <c r="AC1074" s="1">
        <v>4.82022411E8</v>
      </c>
      <c r="AD1074" s="1">
        <v>1.75587161E8</v>
      </c>
      <c r="AE1074" s="1" t="s">
        <v>2236</v>
      </c>
      <c r="AF1074" s="1">
        <v>193662.0</v>
      </c>
      <c r="AG1074" s="2">
        <v>41598.0</v>
      </c>
      <c r="AH1074" s="1">
        <v>8600.0</v>
      </c>
      <c r="AI1074" s="1" t="s">
        <v>102</v>
      </c>
      <c r="AJ1074" s="1">
        <v>4.0</v>
      </c>
      <c r="AK1074" s="1" t="s">
        <v>2516</v>
      </c>
      <c r="AL1074" s="1">
        <v>6.0</v>
      </c>
      <c r="AM1074" s="1">
        <v>2014.0</v>
      </c>
      <c r="AN1074" s="1">
        <v>2014.0</v>
      </c>
      <c r="AO1074" s="1" t="s">
        <v>305</v>
      </c>
    </row>
    <row r="1075">
      <c r="A1075" s="5">
        <v>1.0</v>
      </c>
      <c r="B1075" s="1">
        <f t="shared" si="1"/>
        <v>1075</v>
      </c>
      <c r="C1075" s="1" t="s">
        <v>2508</v>
      </c>
      <c r="D1075" s="1" t="s">
        <v>2508</v>
      </c>
      <c r="E1075" s="1" t="s">
        <v>100</v>
      </c>
      <c r="G1075" s="1">
        <v>3.2877084E7</v>
      </c>
      <c r="H1075" s="2">
        <v>41598.0</v>
      </c>
      <c r="I1075" s="1" t="s">
        <v>297</v>
      </c>
      <c r="K1075" s="1" t="s">
        <v>297</v>
      </c>
      <c r="N1075" s="1" t="s">
        <v>102</v>
      </c>
      <c r="O1075" s="1">
        <v>8600.0</v>
      </c>
      <c r="P1075" s="1" t="s">
        <v>102</v>
      </c>
      <c r="Q1075" s="1" t="str">
        <f>IF(ISERROR(VLOOKUP(P1075,'unique fed agency names'!A:C,3,FALSE)),P1075,VLOOKUP(P1075,'unique fed agency names'!A:C,3,FALSE))
</f>
        <v>U.S. Department of Housing and Urban Development (HUD)</v>
      </c>
      <c r="R1075" s="1">
        <v>1.06502784E8</v>
      </c>
      <c r="S1075" s="1" t="s">
        <v>2290</v>
      </c>
      <c r="T1075" s="1" t="str">
        <f>IF(ISERROR(VLOOKUP(S1075,'unique org names'!A:C,3,FALSE)),S1075,VLOOKUP(S1075,'unique org names'!A:C,3,FALSE))
</f>
        <v>St Patrick Senior Center, Inc</v>
      </c>
      <c r="V1075" s="1" t="s">
        <v>2291</v>
      </c>
      <c r="W1075" s="1" t="s">
        <v>44</v>
      </c>
      <c r="X1075" s="1" t="s">
        <v>45</v>
      </c>
      <c r="Y1075" s="1">
        <v>4.82012002E8</v>
      </c>
      <c r="AA1075" s="1" t="s">
        <v>46</v>
      </c>
      <c r="AB1075" s="1" t="s">
        <v>45</v>
      </c>
      <c r="AC1075" s="1">
        <v>4.82012002E8</v>
      </c>
      <c r="AF1075" s="1">
        <v>161652.0</v>
      </c>
      <c r="AG1075" s="2">
        <v>41598.0</v>
      </c>
      <c r="AH1075" s="1">
        <v>8600.0</v>
      </c>
      <c r="AI1075" s="1" t="s">
        <v>102</v>
      </c>
      <c r="AJ1075" s="1">
        <v>18.0</v>
      </c>
      <c r="AK1075" s="1" t="s">
        <v>2517</v>
      </c>
      <c r="AL1075" s="1">
        <v>6.0</v>
      </c>
      <c r="AM1075" s="1">
        <v>2014.0</v>
      </c>
      <c r="AN1075" s="1">
        <v>2014.0</v>
      </c>
      <c r="AO1075" s="1" t="s">
        <v>305</v>
      </c>
    </row>
    <row r="1076">
      <c r="A1076" s="5">
        <v>1.0</v>
      </c>
      <c r="B1076" s="1">
        <f t="shared" si="1"/>
        <v>1076</v>
      </c>
      <c r="C1076" s="1" t="s">
        <v>2508</v>
      </c>
      <c r="D1076" s="1" t="s">
        <v>2508</v>
      </c>
      <c r="E1076" s="1" t="s">
        <v>100</v>
      </c>
      <c r="G1076" s="1">
        <v>3.2877084E7</v>
      </c>
      <c r="H1076" s="2">
        <v>41598.0</v>
      </c>
      <c r="I1076" s="1" t="s">
        <v>297</v>
      </c>
      <c r="K1076" s="1" t="s">
        <v>297</v>
      </c>
      <c r="N1076" s="1" t="s">
        <v>102</v>
      </c>
      <c r="O1076" s="1">
        <v>8600.0</v>
      </c>
      <c r="P1076" s="1" t="s">
        <v>102</v>
      </c>
      <c r="Q1076" s="1" t="str">
        <f>IF(ISERROR(VLOOKUP(P1076,'unique fed agency names'!A:C,3,FALSE)),P1076,VLOOKUP(P1076,'unique fed agency names'!A:C,3,FALSE))
</f>
        <v>U.S. Department of Housing and Urban Development (HUD)</v>
      </c>
      <c r="R1076" s="1">
        <v>7.4230996E7</v>
      </c>
      <c r="S1076" s="1" t="s">
        <v>2474</v>
      </c>
      <c r="T1076" s="1" t="str">
        <f>IF(ISERROR(VLOOKUP(S1076,'unique org names'!A:C,3,FALSE)),S1076,VLOOKUP(S1076,'unique org names'!A:C,3,FALSE))
</f>
        <v>People's Community Services of Metropolitan Detroit</v>
      </c>
      <c r="V1076" s="1" t="s">
        <v>2475</v>
      </c>
      <c r="W1076" s="1" t="s">
        <v>44</v>
      </c>
      <c r="X1076" s="1" t="s">
        <v>45</v>
      </c>
      <c r="Y1076" s="1">
        <v>4.82092614E8</v>
      </c>
      <c r="AA1076" s="1" t="s">
        <v>46</v>
      </c>
      <c r="AB1076" s="1" t="s">
        <v>45</v>
      </c>
      <c r="AC1076" s="1">
        <v>4.82092614E8</v>
      </c>
      <c r="AD1076" s="1">
        <v>7.4230996E7</v>
      </c>
      <c r="AE1076" s="1" t="s">
        <v>2474</v>
      </c>
      <c r="AF1076" s="1">
        <v>104994.0</v>
      </c>
      <c r="AG1076" s="2">
        <v>41598.0</v>
      </c>
      <c r="AH1076" s="1">
        <v>8600.0</v>
      </c>
      <c r="AI1076" s="1" t="s">
        <v>102</v>
      </c>
      <c r="AJ1076" s="1">
        <v>16.0</v>
      </c>
      <c r="AK1076" s="1" t="s">
        <v>2518</v>
      </c>
      <c r="AL1076" s="1">
        <v>6.0</v>
      </c>
      <c r="AM1076" s="1">
        <v>2014.0</v>
      </c>
      <c r="AN1076" s="1">
        <v>2014.0</v>
      </c>
      <c r="AO1076" s="1" t="s">
        <v>305</v>
      </c>
    </row>
    <row r="1077">
      <c r="A1077" s="5">
        <v>1.0</v>
      </c>
      <c r="B1077" s="1">
        <f t="shared" si="1"/>
        <v>1077</v>
      </c>
      <c r="C1077" s="1" t="s">
        <v>2508</v>
      </c>
      <c r="D1077" s="1" t="s">
        <v>2508</v>
      </c>
      <c r="E1077" s="1" t="s">
        <v>100</v>
      </c>
      <c r="G1077" s="1">
        <v>3.2877084E7</v>
      </c>
      <c r="H1077" s="2">
        <v>41598.0</v>
      </c>
      <c r="I1077" s="1" t="s">
        <v>297</v>
      </c>
      <c r="K1077" s="1" t="s">
        <v>297</v>
      </c>
      <c r="N1077" s="1" t="s">
        <v>102</v>
      </c>
      <c r="O1077" s="1">
        <v>8600.0</v>
      </c>
      <c r="P1077" s="1" t="s">
        <v>102</v>
      </c>
      <c r="Q1077" s="1" t="str">
        <f>IF(ISERROR(VLOOKUP(P1077,'unique fed agency names'!A:C,3,FALSE)),P1077,VLOOKUP(P1077,'unique fed agency names'!A:C,3,FALSE))
</f>
        <v>U.S. Department of Housing and Urban Development (HUD)</v>
      </c>
      <c r="R1077" s="1">
        <v>8.06464913E8</v>
      </c>
      <c r="S1077" s="1" t="s">
        <v>2205</v>
      </c>
      <c r="T1077" s="1" t="str">
        <f>IF(ISERROR(VLOOKUP(S1077,'unique org names'!A:C,3,FALSE)),S1077,VLOOKUP(S1077,'unique org names'!A:C,3,FALSE))
</f>
        <v>Covenant House Michigan</v>
      </c>
      <c r="U1077" s="1" t="s">
        <v>2206</v>
      </c>
      <c r="V1077" s="1" t="s">
        <v>2207</v>
      </c>
      <c r="W1077" s="1" t="s">
        <v>44</v>
      </c>
      <c r="X1077" s="1" t="s">
        <v>45</v>
      </c>
      <c r="Y1077" s="1">
        <v>4.82082475E8</v>
      </c>
      <c r="AA1077" s="1" t="s">
        <v>46</v>
      </c>
      <c r="AB1077" s="1" t="s">
        <v>45</v>
      </c>
      <c r="AC1077" s="1">
        <v>4.82082475E8</v>
      </c>
      <c r="AF1077" s="1">
        <v>100000.0</v>
      </c>
      <c r="AG1077" s="2">
        <v>41598.0</v>
      </c>
      <c r="AH1077" s="1">
        <v>8600.0</v>
      </c>
      <c r="AI1077" s="1" t="s">
        <v>102</v>
      </c>
      <c r="AJ1077" s="1">
        <v>26.0</v>
      </c>
      <c r="AK1077" s="1" t="s">
        <v>2519</v>
      </c>
      <c r="AL1077" s="1">
        <v>6.0</v>
      </c>
      <c r="AM1077" s="1">
        <v>2014.0</v>
      </c>
      <c r="AN1077" s="1">
        <v>2014.0</v>
      </c>
      <c r="AO1077" s="1" t="s">
        <v>305</v>
      </c>
    </row>
    <row r="1078">
      <c r="A1078" s="5">
        <v>1.0</v>
      </c>
      <c r="B1078" s="1">
        <f t="shared" si="1"/>
        <v>1078</v>
      </c>
      <c r="C1078" s="1" t="s">
        <v>2508</v>
      </c>
      <c r="D1078" s="1" t="s">
        <v>2508</v>
      </c>
      <c r="E1078" s="1" t="s">
        <v>100</v>
      </c>
      <c r="G1078" s="1">
        <v>3.2877084E7</v>
      </c>
      <c r="H1078" s="2">
        <v>41598.0</v>
      </c>
      <c r="I1078" s="1" t="s">
        <v>297</v>
      </c>
      <c r="K1078" s="1" t="s">
        <v>297</v>
      </c>
      <c r="N1078" s="1" t="s">
        <v>102</v>
      </c>
      <c r="O1078" s="1">
        <v>8600.0</v>
      </c>
      <c r="P1078" s="1" t="s">
        <v>102</v>
      </c>
      <c r="Q1078" s="1" t="str">
        <f>IF(ISERROR(VLOOKUP(P1078,'unique fed agency names'!A:C,3,FALSE)),P1078,VLOOKUP(P1078,'unique fed agency names'!A:C,3,FALSE))
</f>
        <v>U.S. Department of Housing and Urban Development (HUD)</v>
      </c>
      <c r="R1078" s="1">
        <v>1.97862014E8</v>
      </c>
      <c r="S1078" s="1" t="s">
        <v>1056</v>
      </c>
      <c r="T1078" s="1" t="str">
        <f>IF(ISERROR(VLOOKUP(S1078,'unique org names'!A:C,3,FALSE)),S1078,VLOOKUP(S1078,'unique org names'!A:C,3,FALSE))
</f>
        <v>WAYNE COUNTY NEIGHBORHOOD LEGAL SERVICES</v>
      </c>
      <c r="U1078" s="1" t="s">
        <v>1057</v>
      </c>
      <c r="V1078" s="1" t="s">
        <v>1058</v>
      </c>
      <c r="W1078" s="1" t="s">
        <v>44</v>
      </c>
      <c r="X1078" s="1" t="s">
        <v>45</v>
      </c>
      <c r="Y1078" s="1">
        <v>4.82023165E8</v>
      </c>
      <c r="AA1078" s="1" t="s">
        <v>46</v>
      </c>
      <c r="AB1078" s="1" t="s">
        <v>45</v>
      </c>
      <c r="AC1078" s="1">
        <v>4.82023165E8</v>
      </c>
      <c r="AD1078" s="1">
        <v>1.97862014E8</v>
      </c>
      <c r="AE1078" s="1" t="s">
        <v>1056</v>
      </c>
      <c r="AF1078" s="1">
        <v>100000.0</v>
      </c>
      <c r="AG1078" s="2">
        <v>41598.0</v>
      </c>
      <c r="AH1078" s="1">
        <v>8600.0</v>
      </c>
      <c r="AI1078" s="1" t="s">
        <v>102</v>
      </c>
      <c r="AJ1078" s="1">
        <v>37.0</v>
      </c>
      <c r="AK1078" s="1" t="s">
        <v>2520</v>
      </c>
      <c r="AL1078" s="1">
        <v>6.0</v>
      </c>
      <c r="AM1078" s="1">
        <v>2014.0</v>
      </c>
      <c r="AN1078" s="1">
        <v>2014.0</v>
      </c>
      <c r="AO1078" s="1" t="s">
        <v>305</v>
      </c>
    </row>
    <row r="1079">
      <c r="A1079" s="5">
        <v>1.0</v>
      </c>
      <c r="B1079" s="1">
        <f t="shared" si="1"/>
        <v>1079</v>
      </c>
      <c r="C1079" s="1" t="s">
        <v>2508</v>
      </c>
      <c r="D1079" s="1" t="s">
        <v>2508</v>
      </c>
      <c r="E1079" s="1" t="s">
        <v>100</v>
      </c>
      <c r="G1079" s="1">
        <v>3.2877084E7</v>
      </c>
      <c r="H1079" s="2">
        <v>41598.0</v>
      </c>
      <c r="I1079" s="1" t="s">
        <v>297</v>
      </c>
      <c r="K1079" s="1" t="s">
        <v>297</v>
      </c>
      <c r="N1079" s="1" t="s">
        <v>102</v>
      </c>
      <c r="O1079" s="1">
        <v>8600.0</v>
      </c>
      <c r="P1079" s="1" t="s">
        <v>102</v>
      </c>
      <c r="Q1079" s="1" t="str">
        <f>IF(ISERROR(VLOOKUP(P1079,'unique fed agency names'!A:C,3,FALSE)),P1079,VLOOKUP(P1079,'unique fed agency names'!A:C,3,FALSE))
</f>
        <v>U.S. Department of Housing and Urban Development (HUD)</v>
      </c>
      <c r="R1079" s="1">
        <v>1.37445396E8</v>
      </c>
      <c r="S1079" s="1" t="s">
        <v>2269</v>
      </c>
      <c r="T1079" s="1" t="str">
        <f>IF(ISERROR(VLOOKUP(S1079,'unique org names'!A:C,3,FALSE)),S1079,VLOOKUP(S1079,'unique org names'!A:C,3,FALSE))
</f>
        <v>Clark Park Coalition</v>
      </c>
      <c r="V1079" s="1" t="s">
        <v>2270</v>
      </c>
      <c r="W1079" s="1" t="s">
        <v>44</v>
      </c>
      <c r="X1079" s="1" t="s">
        <v>45</v>
      </c>
      <c r="Y1079" s="1">
        <v>4.820942E8</v>
      </c>
      <c r="AA1079" s="1" t="s">
        <v>46</v>
      </c>
      <c r="AB1079" s="1" t="s">
        <v>45</v>
      </c>
      <c r="AC1079" s="1">
        <v>4.820942E8</v>
      </c>
      <c r="AF1079" s="1">
        <v>150000.0</v>
      </c>
      <c r="AG1079" s="2">
        <v>41598.0</v>
      </c>
      <c r="AH1079" s="1">
        <v>8600.0</v>
      </c>
      <c r="AI1079" s="1" t="s">
        <v>102</v>
      </c>
      <c r="AJ1079" s="1">
        <v>5.0</v>
      </c>
      <c r="AK1079" s="1" t="s">
        <v>2521</v>
      </c>
      <c r="AL1079" s="1">
        <v>6.0</v>
      </c>
      <c r="AM1079" s="1">
        <v>2014.0</v>
      </c>
      <c r="AN1079" s="1">
        <v>2014.0</v>
      </c>
      <c r="AO1079" s="1" t="s">
        <v>305</v>
      </c>
    </row>
    <row r="1080">
      <c r="A1080" s="5">
        <v>1.0</v>
      </c>
      <c r="B1080" s="1">
        <f t="shared" si="1"/>
        <v>1080</v>
      </c>
      <c r="C1080" s="1" t="s">
        <v>2508</v>
      </c>
      <c r="D1080" s="1" t="s">
        <v>2508</v>
      </c>
      <c r="E1080" s="1" t="s">
        <v>100</v>
      </c>
      <c r="G1080" s="1">
        <v>3.2877084E7</v>
      </c>
      <c r="H1080" s="2">
        <v>41598.0</v>
      </c>
      <c r="I1080" s="1" t="s">
        <v>297</v>
      </c>
      <c r="K1080" s="1" t="s">
        <v>297</v>
      </c>
      <c r="N1080" s="1" t="s">
        <v>102</v>
      </c>
      <c r="O1080" s="1">
        <v>8600.0</v>
      </c>
      <c r="P1080" s="1" t="s">
        <v>102</v>
      </c>
      <c r="Q1080" s="1" t="str">
        <f>IF(ISERROR(VLOOKUP(P1080,'unique fed agency names'!A:C,3,FALSE)),P1080,VLOOKUP(P1080,'unique fed agency names'!A:C,3,FALSE))
</f>
        <v>U.S. Department of Housing and Urban Development (HUD)</v>
      </c>
      <c r="R1080" s="1">
        <v>1.12914697E8</v>
      </c>
      <c r="S1080" s="1" t="s">
        <v>2172</v>
      </c>
      <c r="T1080" s="1" t="str">
        <f>IF(ISERROR(VLOOKUP(S1080,'unique org names'!A:C,3,FALSE)),S1080,VLOOKUP(S1080,'unique org names'!A:C,3,FALSE))
</f>
        <v>L &amp; L Adult Day Care, Inc</v>
      </c>
      <c r="U1080" s="1" t="s">
        <v>2173</v>
      </c>
      <c r="V1080" s="1" t="s">
        <v>2174</v>
      </c>
      <c r="W1080" s="1" t="s">
        <v>44</v>
      </c>
      <c r="X1080" s="1" t="s">
        <v>45</v>
      </c>
      <c r="Y1080" s="1">
        <v>4.82341265E8</v>
      </c>
      <c r="AA1080" s="1" t="s">
        <v>46</v>
      </c>
      <c r="AB1080" s="1" t="s">
        <v>45</v>
      </c>
      <c r="AC1080" s="1">
        <v>4.82341265E8</v>
      </c>
      <c r="AF1080" s="1">
        <v>105000.0</v>
      </c>
      <c r="AG1080" s="2">
        <v>41598.0</v>
      </c>
      <c r="AH1080" s="1">
        <v>8600.0</v>
      </c>
      <c r="AI1080" s="1" t="s">
        <v>102</v>
      </c>
      <c r="AJ1080" s="1">
        <v>11.0</v>
      </c>
      <c r="AK1080" s="1" t="s">
        <v>2522</v>
      </c>
      <c r="AL1080" s="1">
        <v>6.0</v>
      </c>
      <c r="AM1080" s="1">
        <v>2014.0</v>
      </c>
      <c r="AN1080" s="1">
        <v>2014.0</v>
      </c>
      <c r="AO1080" s="1" t="s">
        <v>305</v>
      </c>
    </row>
    <row r="1081">
      <c r="A1081" s="5">
        <v>1.0</v>
      </c>
      <c r="B1081" s="1">
        <f t="shared" si="1"/>
        <v>1081</v>
      </c>
      <c r="C1081" s="1" t="s">
        <v>2508</v>
      </c>
      <c r="D1081" s="1" t="s">
        <v>2508</v>
      </c>
      <c r="E1081" s="1" t="s">
        <v>100</v>
      </c>
      <c r="G1081" s="1">
        <v>3.2877084E7</v>
      </c>
      <c r="H1081" s="2">
        <v>41598.0</v>
      </c>
      <c r="I1081" s="1" t="s">
        <v>297</v>
      </c>
      <c r="K1081" s="1" t="s">
        <v>297</v>
      </c>
      <c r="N1081" s="1" t="s">
        <v>102</v>
      </c>
      <c r="O1081" s="1">
        <v>8600.0</v>
      </c>
      <c r="P1081" s="1" t="s">
        <v>102</v>
      </c>
      <c r="Q1081" s="1" t="str">
        <f>IF(ISERROR(VLOOKUP(P1081,'unique fed agency names'!A:C,3,FALSE)),P1081,VLOOKUP(P1081,'unique fed agency names'!A:C,3,FALSE))
</f>
        <v>U.S. Department of Housing and Urban Development (HUD)</v>
      </c>
      <c r="R1081" s="1">
        <v>7.8074923E8</v>
      </c>
      <c r="S1081" s="1" t="s">
        <v>419</v>
      </c>
      <c r="T1081" s="1" t="str">
        <f>IF(ISERROR(VLOOKUP(S1081,'unique org names'!A:C,3,FALSE)),S1081,VLOOKUP(S1081,'unique org names'!A:C,3,FALSE))
</f>
        <v>ALTERNATIVES FOR GIRLS</v>
      </c>
      <c r="V1081" s="1" t="s">
        <v>420</v>
      </c>
      <c r="W1081" s="1" t="s">
        <v>44</v>
      </c>
      <c r="X1081" s="1" t="s">
        <v>45</v>
      </c>
      <c r="Y1081" s="1">
        <v>4.82082365E8</v>
      </c>
      <c r="AA1081" s="1" t="s">
        <v>46</v>
      </c>
      <c r="AB1081" s="1" t="s">
        <v>45</v>
      </c>
      <c r="AC1081" s="1">
        <v>4.82082365E8</v>
      </c>
      <c r="AF1081" s="1">
        <v>150000.0</v>
      </c>
      <c r="AG1081" s="2">
        <v>41598.0</v>
      </c>
      <c r="AH1081" s="1">
        <v>8600.0</v>
      </c>
      <c r="AI1081" s="1" t="s">
        <v>102</v>
      </c>
      <c r="AJ1081" s="1">
        <v>21.0</v>
      </c>
      <c r="AK1081" s="1" t="s">
        <v>2523</v>
      </c>
      <c r="AL1081" s="1">
        <v>6.0</v>
      </c>
      <c r="AM1081" s="1">
        <v>2014.0</v>
      </c>
      <c r="AN1081" s="1">
        <v>2014.0</v>
      </c>
      <c r="AO1081" s="1" t="s">
        <v>305</v>
      </c>
    </row>
    <row r="1082">
      <c r="A1082" s="5">
        <v>1.0</v>
      </c>
      <c r="B1082" s="1">
        <f t="shared" si="1"/>
        <v>1082</v>
      </c>
      <c r="C1082" s="1" t="s">
        <v>2508</v>
      </c>
      <c r="D1082" s="1" t="s">
        <v>2508</v>
      </c>
      <c r="E1082" s="1" t="s">
        <v>100</v>
      </c>
      <c r="G1082" s="1">
        <v>3.2877084E7</v>
      </c>
      <c r="H1082" s="2">
        <v>41598.0</v>
      </c>
      <c r="I1082" s="1" t="s">
        <v>297</v>
      </c>
      <c r="K1082" s="1" t="s">
        <v>297</v>
      </c>
      <c r="N1082" s="1" t="s">
        <v>102</v>
      </c>
      <c r="O1082" s="1">
        <v>8600.0</v>
      </c>
      <c r="P1082" s="1" t="s">
        <v>102</v>
      </c>
      <c r="Q1082" s="1" t="str">
        <f>IF(ISERROR(VLOOKUP(P1082,'unique fed agency names'!A:C,3,FALSE)),P1082,VLOOKUP(P1082,'unique fed agency names'!A:C,3,FALSE))
</f>
        <v>U.S. Department of Housing and Urban Development (HUD)</v>
      </c>
      <c r="R1082" s="1">
        <v>6.07532215E8</v>
      </c>
      <c r="S1082" s="1" t="s">
        <v>2282</v>
      </c>
      <c r="T1082" s="1" t="str">
        <f>IF(ISERROR(VLOOKUP(S1082,'unique org names'!A:C,3,FALSE)),S1082,VLOOKUP(S1082,'unique org names'!A:C,3,FALSE))
</f>
        <v>Freedom House Detroit</v>
      </c>
      <c r="V1082" s="1" t="s">
        <v>2283</v>
      </c>
      <c r="W1082" s="1" t="s">
        <v>44</v>
      </c>
      <c r="X1082" s="1" t="s">
        <v>45</v>
      </c>
      <c r="Y1082" s="1">
        <v>4.82162019E8</v>
      </c>
      <c r="AA1082" s="1" t="s">
        <v>46</v>
      </c>
      <c r="AB1082" s="1" t="s">
        <v>45</v>
      </c>
      <c r="AC1082" s="1">
        <v>4.82162019E8</v>
      </c>
      <c r="AF1082" s="1">
        <v>100000.0</v>
      </c>
      <c r="AG1082" s="2">
        <v>41598.0</v>
      </c>
      <c r="AH1082" s="1">
        <v>8600.0</v>
      </c>
      <c r="AI1082" s="1" t="s">
        <v>102</v>
      </c>
      <c r="AJ1082" s="1">
        <v>29.0</v>
      </c>
      <c r="AK1082" s="1" t="s">
        <v>2524</v>
      </c>
      <c r="AL1082" s="1">
        <v>6.0</v>
      </c>
      <c r="AM1082" s="1">
        <v>2014.0</v>
      </c>
      <c r="AN1082" s="1">
        <v>2014.0</v>
      </c>
      <c r="AO1082" s="1" t="s">
        <v>305</v>
      </c>
    </row>
    <row r="1083">
      <c r="A1083" s="5">
        <v>1.0</v>
      </c>
      <c r="B1083" s="1">
        <f t="shared" si="1"/>
        <v>1083</v>
      </c>
      <c r="C1083" s="1" t="s">
        <v>2508</v>
      </c>
      <c r="D1083" s="1" t="s">
        <v>2508</v>
      </c>
      <c r="E1083" s="1" t="s">
        <v>100</v>
      </c>
      <c r="G1083" s="1">
        <v>3.2877084E7</v>
      </c>
      <c r="H1083" s="2">
        <v>41598.0</v>
      </c>
      <c r="I1083" s="1" t="s">
        <v>297</v>
      </c>
      <c r="K1083" s="1" t="s">
        <v>297</v>
      </c>
      <c r="N1083" s="1" t="s">
        <v>102</v>
      </c>
      <c r="O1083" s="1">
        <v>8600.0</v>
      </c>
      <c r="P1083" s="1" t="s">
        <v>102</v>
      </c>
      <c r="Q1083" s="1" t="str">
        <f>IF(ISERROR(VLOOKUP(P1083,'unique fed agency names'!A:C,3,FALSE)),P1083,VLOOKUP(P1083,'unique fed agency names'!A:C,3,FALSE))
</f>
        <v>U.S. Department of Housing and Urban Development (HUD)</v>
      </c>
      <c r="R1083" s="1">
        <v>4.0560898E7</v>
      </c>
      <c r="S1083" s="1" t="s">
        <v>2304</v>
      </c>
      <c r="T1083" s="1" t="str">
        <f>IF(ISERROR(VLOOKUP(S1083,'unique org names'!A:C,3,FALSE)),S1083,VLOOKUP(S1083,'unique org names'!A:C,3,FALSE))
</f>
        <v>Legal Aid and Defender Association</v>
      </c>
      <c r="V1083" s="1" t="s">
        <v>2305</v>
      </c>
      <c r="W1083" s="1" t="s">
        <v>44</v>
      </c>
      <c r="X1083" s="1" t="s">
        <v>45</v>
      </c>
      <c r="Y1083" s="1">
        <v>4.82261348E8</v>
      </c>
      <c r="AA1083" s="1" t="s">
        <v>46</v>
      </c>
      <c r="AB1083" s="1" t="s">
        <v>45</v>
      </c>
      <c r="AC1083" s="1">
        <v>4.82261348E8</v>
      </c>
      <c r="AD1083" s="1">
        <v>4.0560898E7</v>
      </c>
      <c r="AE1083" s="1" t="s">
        <v>2304</v>
      </c>
      <c r="AF1083" s="1">
        <v>150000.0</v>
      </c>
      <c r="AG1083" s="2">
        <v>41598.0</v>
      </c>
      <c r="AH1083" s="1">
        <v>8600.0</v>
      </c>
      <c r="AI1083" s="1" t="s">
        <v>102</v>
      </c>
      <c r="AJ1083" s="1">
        <v>30.0</v>
      </c>
      <c r="AK1083" s="1" t="s">
        <v>2525</v>
      </c>
      <c r="AL1083" s="1">
        <v>6.0</v>
      </c>
      <c r="AM1083" s="1">
        <v>2014.0</v>
      </c>
      <c r="AN1083" s="1">
        <v>2014.0</v>
      </c>
      <c r="AO1083" s="1" t="s">
        <v>305</v>
      </c>
    </row>
    <row r="1084">
      <c r="A1084" s="5">
        <v>1.0</v>
      </c>
      <c r="B1084" s="1">
        <f t="shared" si="1"/>
        <v>1084</v>
      </c>
      <c r="C1084" s="1" t="s">
        <v>2508</v>
      </c>
      <c r="D1084" s="1" t="s">
        <v>2508</v>
      </c>
      <c r="E1084" s="1" t="s">
        <v>100</v>
      </c>
      <c r="G1084" s="1">
        <v>3.2877084E7</v>
      </c>
      <c r="H1084" s="2">
        <v>41598.0</v>
      </c>
      <c r="I1084" s="1" t="s">
        <v>297</v>
      </c>
      <c r="K1084" s="1" t="s">
        <v>297</v>
      </c>
      <c r="N1084" s="1" t="s">
        <v>102</v>
      </c>
      <c r="O1084" s="1">
        <v>8600.0</v>
      </c>
      <c r="P1084" s="1" t="s">
        <v>102</v>
      </c>
      <c r="Q1084" s="1" t="str">
        <f>IF(ISERROR(VLOOKUP(P1084,'unique fed agency names'!A:C,3,FALSE)),P1084,VLOOKUP(P1084,'unique fed agency names'!A:C,3,FALSE))
</f>
        <v>U.S. Department of Housing and Urban Development (HUD)</v>
      </c>
      <c r="R1084" s="1">
        <v>7.9832754E8</v>
      </c>
      <c r="S1084" s="1" t="s">
        <v>2243</v>
      </c>
      <c r="T1084" s="1" t="str">
        <f>IF(ISERROR(VLOOKUP(S1084,'unique org names'!A:C,3,FALSE)),S1084,VLOOKUP(S1084,'unique org names'!A:C,3,FALSE))
</f>
        <v>Michigan Veterans Foundation</v>
      </c>
      <c r="U1084" s="1" t="s">
        <v>2244</v>
      </c>
      <c r="V1084" s="1" t="s">
        <v>2245</v>
      </c>
      <c r="W1084" s="1" t="s">
        <v>44</v>
      </c>
      <c r="X1084" s="1" t="s">
        <v>45</v>
      </c>
      <c r="Y1084" s="1">
        <v>4.82013012E8</v>
      </c>
      <c r="AA1084" s="1" t="s">
        <v>46</v>
      </c>
      <c r="AB1084" s="1" t="s">
        <v>45</v>
      </c>
      <c r="AC1084" s="1">
        <v>4.82013012E8</v>
      </c>
      <c r="AF1084" s="1">
        <v>125000.0</v>
      </c>
      <c r="AG1084" s="2">
        <v>41598.0</v>
      </c>
      <c r="AH1084" s="1">
        <v>8600.0</v>
      </c>
      <c r="AI1084" s="1" t="s">
        <v>102</v>
      </c>
      <c r="AJ1084" s="1">
        <v>32.0</v>
      </c>
      <c r="AK1084" s="1" t="s">
        <v>2526</v>
      </c>
      <c r="AL1084" s="1">
        <v>6.0</v>
      </c>
      <c r="AM1084" s="1">
        <v>2014.0</v>
      </c>
      <c r="AN1084" s="1">
        <v>2014.0</v>
      </c>
      <c r="AO1084" s="1" t="s">
        <v>305</v>
      </c>
    </row>
    <row r="1085">
      <c r="A1085" s="5">
        <v>1.0</v>
      </c>
      <c r="B1085" s="1">
        <f t="shared" si="1"/>
        <v>1085</v>
      </c>
      <c r="C1085" s="1" t="s">
        <v>2508</v>
      </c>
      <c r="D1085" s="1" t="s">
        <v>2508</v>
      </c>
      <c r="E1085" s="1" t="s">
        <v>100</v>
      </c>
      <c r="G1085" s="1">
        <v>3.2877084E7</v>
      </c>
      <c r="H1085" s="2">
        <v>41598.0</v>
      </c>
      <c r="I1085" s="1" t="s">
        <v>297</v>
      </c>
      <c r="K1085" s="1" t="s">
        <v>297</v>
      </c>
      <c r="N1085" s="1" t="s">
        <v>102</v>
      </c>
      <c r="O1085" s="1">
        <v>8600.0</v>
      </c>
      <c r="P1085" s="1" t="s">
        <v>102</v>
      </c>
      <c r="Q1085" s="1" t="str">
        <f>IF(ISERROR(VLOOKUP(P1085,'unique fed agency names'!A:C,3,FALSE)),P1085,VLOOKUP(P1085,'unique fed agency names'!A:C,3,FALSE))
</f>
        <v>U.S. Department of Housing and Urban Development (HUD)</v>
      </c>
      <c r="R1085" s="1">
        <v>6.7314435E7</v>
      </c>
      <c r="S1085" s="1" t="s">
        <v>2406</v>
      </c>
      <c r="T1085" s="1" t="str">
        <f>IF(ISERROR(VLOOKUP(S1085,'unique org names'!A:C,3,FALSE)),S1085,VLOOKUP(S1085,'unique org names'!A:C,3,FALSE))
</f>
        <v>National Council on Alcoholism and Drug Dependence Greater Detroit Area</v>
      </c>
      <c r="V1085" s="1" t="s">
        <v>2407</v>
      </c>
      <c r="W1085" s="1" t="s">
        <v>44</v>
      </c>
      <c r="X1085" s="1" t="s">
        <v>45</v>
      </c>
      <c r="Y1085" s="1">
        <v>4.82212848E8</v>
      </c>
      <c r="AA1085" s="1" t="s">
        <v>46</v>
      </c>
      <c r="AB1085" s="1" t="s">
        <v>45</v>
      </c>
      <c r="AC1085" s="1">
        <v>4.82212848E8</v>
      </c>
      <c r="AD1085" s="1">
        <v>6.7314435E7</v>
      </c>
      <c r="AE1085" s="1" t="s">
        <v>2406</v>
      </c>
      <c r="AF1085" s="1">
        <v>100000.0</v>
      </c>
      <c r="AG1085" s="2">
        <v>41598.0</v>
      </c>
      <c r="AH1085" s="1">
        <v>8600.0</v>
      </c>
      <c r="AI1085" s="1" t="s">
        <v>102</v>
      </c>
      <c r="AJ1085" s="1">
        <v>15.0</v>
      </c>
      <c r="AK1085" s="1" t="s">
        <v>2527</v>
      </c>
      <c r="AL1085" s="1">
        <v>6.0</v>
      </c>
      <c r="AM1085" s="1">
        <v>2014.0</v>
      </c>
      <c r="AN1085" s="1">
        <v>2014.0</v>
      </c>
      <c r="AO1085" s="1" t="s">
        <v>305</v>
      </c>
    </row>
    <row r="1086">
      <c r="A1086" s="5">
        <v>1.0</v>
      </c>
      <c r="B1086" s="1">
        <f t="shared" si="1"/>
        <v>1086</v>
      </c>
      <c r="C1086" s="1" t="s">
        <v>2508</v>
      </c>
      <c r="D1086" s="1" t="s">
        <v>2508</v>
      </c>
      <c r="E1086" s="1" t="s">
        <v>100</v>
      </c>
      <c r="G1086" s="1">
        <v>3.2877084E7</v>
      </c>
      <c r="H1086" s="2">
        <v>41598.0</v>
      </c>
      <c r="I1086" s="1" t="s">
        <v>297</v>
      </c>
      <c r="K1086" s="1" t="s">
        <v>297</v>
      </c>
      <c r="N1086" s="1" t="s">
        <v>102</v>
      </c>
      <c r="O1086" s="1">
        <v>8600.0</v>
      </c>
      <c r="P1086" s="1" t="s">
        <v>102</v>
      </c>
      <c r="Q1086" s="1" t="str">
        <f>IF(ISERROR(VLOOKUP(P1086,'unique fed agency names'!A:C,3,FALSE)),P1086,VLOOKUP(P1086,'unique fed agency names'!A:C,3,FALSE))
</f>
        <v>U.S. Department of Housing and Urban Development (HUD)</v>
      </c>
      <c r="R1086" s="1">
        <v>1.69757358E8</v>
      </c>
      <c r="S1086" s="1" t="s">
        <v>2294</v>
      </c>
      <c r="T1086" s="1" t="str">
        <f>IF(ISERROR(VLOOKUP(S1086,'unique org names'!A:C,3,FALSE)),S1086,VLOOKUP(S1086,'unique org names'!A:C,3,FALSE))
</f>
        <v>THE DETROIT ANNUAL CONFERENCE OF THE UNITED METHODIST CHURCH</v>
      </c>
      <c r="U1086" s="1" t="s">
        <v>2295</v>
      </c>
      <c r="V1086" s="1" t="s">
        <v>2296</v>
      </c>
      <c r="W1086" s="1" t="s">
        <v>44</v>
      </c>
      <c r="X1086" s="1" t="s">
        <v>45</v>
      </c>
      <c r="Y1086" s="1">
        <v>4.82261602E8</v>
      </c>
      <c r="AA1086" s="1" t="s">
        <v>46</v>
      </c>
      <c r="AB1086" s="1" t="s">
        <v>45</v>
      </c>
      <c r="AC1086" s="1">
        <v>4.82261602E8</v>
      </c>
      <c r="AD1086" s="1">
        <v>4.8774095E7</v>
      </c>
      <c r="AF1086" s="1">
        <v>130000.0</v>
      </c>
      <c r="AG1086" s="2">
        <v>41598.0</v>
      </c>
      <c r="AH1086" s="1">
        <v>8600.0</v>
      </c>
      <c r="AI1086" s="1" t="s">
        <v>102</v>
      </c>
      <c r="AJ1086" s="1">
        <v>25.0</v>
      </c>
      <c r="AK1086" s="1" t="s">
        <v>2528</v>
      </c>
      <c r="AL1086" s="1">
        <v>6.0</v>
      </c>
      <c r="AM1086" s="1">
        <v>2014.0</v>
      </c>
      <c r="AN1086" s="1">
        <v>2014.0</v>
      </c>
      <c r="AO1086" s="1" t="s">
        <v>305</v>
      </c>
    </row>
    <row r="1087">
      <c r="A1087" s="5">
        <v>1.0</v>
      </c>
      <c r="B1087" s="1">
        <f t="shared" si="1"/>
        <v>1087</v>
      </c>
      <c r="C1087" s="1" t="s">
        <v>2508</v>
      </c>
      <c r="D1087" s="1" t="s">
        <v>2508</v>
      </c>
      <c r="E1087" s="1" t="s">
        <v>100</v>
      </c>
      <c r="G1087" s="1">
        <v>3.2877084E7</v>
      </c>
      <c r="H1087" s="2">
        <v>41598.0</v>
      </c>
      <c r="I1087" s="1" t="s">
        <v>297</v>
      </c>
      <c r="K1087" s="1" t="s">
        <v>297</v>
      </c>
      <c r="N1087" s="1" t="s">
        <v>102</v>
      </c>
      <c r="O1087" s="1">
        <v>8600.0</v>
      </c>
      <c r="P1087" s="1" t="s">
        <v>102</v>
      </c>
      <c r="Q1087" s="1" t="str">
        <f>IF(ISERROR(VLOOKUP(P1087,'unique fed agency names'!A:C,3,FALSE)),P1087,VLOOKUP(P1087,'unique fed agency names'!A:C,3,FALSE))
</f>
        <v>U.S. Department of Housing and Urban Development (HUD)</v>
      </c>
      <c r="R1087" s="1">
        <v>1.69757358E8</v>
      </c>
      <c r="S1087" s="1" t="s">
        <v>2294</v>
      </c>
      <c r="T1087" s="1" t="str">
        <f>IF(ISERROR(VLOOKUP(S1087,'unique org names'!A:C,3,FALSE)),S1087,VLOOKUP(S1087,'unique org names'!A:C,3,FALSE))
</f>
        <v>THE DETROIT ANNUAL CONFERENCE OF THE UNITED METHODIST CHURCH</v>
      </c>
      <c r="U1087" s="1" t="s">
        <v>2295</v>
      </c>
      <c r="V1087" s="1" t="s">
        <v>2296</v>
      </c>
      <c r="W1087" s="1" t="s">
        <v>44</v>
      </c>
      <c r="X1087" s="1" t="s">
        <v>45</v>
      </c>
      <c r="Y1087" s="1">
        <v>4.82261602E8</v>
      </c>
      <c r="AA1087" s="1" t="s">
        <v>46</v>
      </c>
      <c r="AB1087" s="1" t="s">
        <v>45</v>
      </c>
      <c r="AC1087" s="1">
        <v>4.82261602E8</v>
      </c>
      <c r="AD1087" s="1">
        <v>4.8774095E7</v>
      </c>
      <c r="AF1087" s="1">
        <v>100000.0</v>
      </c>
      <c r="AG1087" s="2">
        <v>41598.0</v>
      </c>
      <c r="AH1087" s="1">
        <v>8600.0</v>
      </c>
      <c r="AI1087" s="1" t="s">
        <v>102</v>
      </c>
      <c r="AJ1087" s="1">
        <v>24.0</v>
      </c>
      <c r="AK1087" s="1" t="s">
        <v>2529</v>
      </c>
      <c r="AL1087" s="1">
        <v>6.0</v>
      </c>
      <c r="AM1087" s="1">
        <v>2014.0</v>
      </c>
      <c r="AN1087" s="1">
        <v>2014.0</v>
      </c>
      <c r="AO1087" s="1" t="s">
        <v>305</v>
      </c>
    </row>
    <row r="1088">
      <c r="A1088" s="5">
        <v>1.0</v>
      </c>
      <c r="B1088" s="1">
        <f t="shared" si="1"/>
        <v>1088</v>
      </c>
      <c r="C1088" s="1" t="s">
        <v>2508</v>
      </c>
      <c r="D1088" s="1" t="s">
        <v>2508</v>
      </c>
      <c r="E1088" s="1" t="s">
        <v>100</v>
      </c>
      <c r="G1088" s="1">
        <v>3.2877084E7</v>
      </c>
      <c r="H1088" s="2">
        <v>41598.0</v>
      </c>
      <c r="I1088" s="1" t="s">
        <v>297</v>
      </c>
      <c r="K1088" s="1" t="s">
        <v>297</v>
      </c>
      <c r="N1088" s="1" t="s">
        <v>102</v>
      </c>
      <c r="O1088" s="1">
        <v>8600.0</v>
      </c>
      <c r="P1088" s="1" t="s">
        <v>102</v>
      </c>
      <c r="Q1088" s="1" t="str">
        <f>IF(ISERROR(VLOOKUP(P1088,'unique fed agency names'!A:C,3,FALSE)),P1088,VLOOKUP(P1088,'unique fed agency names'!A:C,3,FALSE))
</f>
        <v>U.S. Department of Housing and Urban Development (HUD)</v>
      </c>
      <c r="R1088" s="1">
        <v>7.2761299E7</v>
      </c>
      <c r="S1088" s="1" t="s">
        <v>667</v>
      </c>
      <c r="T1088" s="1" t="str">
        <f>IF(ISERROR(VLOOKUP(S1088,'unique org names'!A:C,3,FALSE)),S1088,VLOOKUP(S1088,'unique org names'!A:C,3,FALSE))
</f>
        <v>Focus: HOPE</v>
      </c>
      <c r="V1088" s="1" t="s">
        <v>668</v>
      </c>
      <c r="W1088" s="1" t="s">
        <v>44</v>
      </c>
      <c r="X1088" s="1" t="s">
        <v>45</v>
      </c>
      <c r="Y1088" s="1">
        <v>4.82382849E8</v>
      </c>
      <c r="AA1088" s="1" t="s">
        <v>46</v>
      </c>
      <c r="AB1088" s="1" t="s">
        <v>45</v>
      </c>
      <c r="AC1088" s="1">
        <v>4.82382849E8</v>
      </c>
      <c r="AD1088" s="1">
        <v>7.2761299E7</v>
      </c>
      <c r="AE1088" s="1" t="s">
        <v>667</v>
      </c>
      <c r="AF1088" s="1">
        <v>393628.0</v>
      </c>
      <c r="AG1088" s="2">
        <v>41598.0</v>
      </c>
      <c r="AH1088" s="1">
        <v>8600.0</v>
      </c>
      <c r="AI1088" s="1" t="s">
        <v>102</v>
      </c>
      <c r="AJ1088" s="1">
        <v>3.0</v>
      </c>
      <c r="AK1088" s="1" t="s">
        <v>2530</v>
      </c>
      <c r="AL1088" s="1">
        <v>6.0</v>
      </c>
      <c r="AM1088" s="1">
        <v>2014.0</v>
      </c>
      <c r="AN1088" s="1">
        <v>2014.0</v>
      </c>
      <c r="AO1088" s="1" t="s">
        <v>305</v>
      </c>
    </row>
    <row r="1089">
      <c r="A1089" s="5">
        <v>1.0</v>
      </c>
      <c r="B1089" s="1">
        <f t="shared" si="1"/>
        <v>1089</v>
      </c>
      <c r="C1089" s="1" t="s">
        <v>2508</v>
      </c>
      <c r="D1089" s="1" t="s">
        <v>2508</v>
      </c>
      <c r="E1089" s="1" t="s">
        <v>100</v>
      </c>
      <c r="G1089" s="1">
        <v>3.2877084E7</v>
      </c>
      <c r="H1089" s="2">
        <v>41598.0</v>
      </c>
      <c r="I1089" s="1" t="s">
        <v>297</v>
      </c>
      <c r="K1089" s="1" t="s">
        <v>297</v>
      </c>
      <c r="N1089" s="1" t="s">
        <v>102</v>
      </c>
      <c r="O1089" s="1">
        <v>8600.0</v>
      </c>
      <c r="P1089" s="1" t="s">
        <v>102</v>
      </c>
      <c r="Q1089" s="1" t="str">
        <f>IF(ISERROR(VLOOKUP(P1089,'unique fed agency names'!A:C,3,FALSE)),P1089,VLOOKUP(P1089,'unique fed agency names'!A:C,3,FALSE))
</f>
        <v>U.S. Department of Housing and Urban Development (HUD)</v>
      </c>
      <c r="R1089" s="1">
        <v>1.21516199E8</v>
      </c>
      <c r="S1089" s="1" t="s">
        <v>380</v>
      </c>
      <c r="T1089" s="1" t="str">
        <f>IF(ISERROR(VLOOKUP(S1089,'unique org names'!A:C,3,FALSE)),S1089,VLOOKUP(S1089,'unique org names'!A:C,3,FALSE))
</f>
        <v>YWCA of Metropolitan Detroit</v>
      </c>
      <c r="U1089" s="1" t="s">
        <v>381</v>
      </c>
      <c r="V1089" s="1" t="s">
        <v>382</v>
      </c>
      <c r="W1089" s="1" t="s">
        <v>44</v>
      </c>
      <c r="X1089" s="1" t="s">
        <v>45</v>
      </c>
      <c r="Y1089" s="1">
        <v>4.82073156E8</v>
      </c>
      <c r="AA1089" s="1" t="s">
        <v>46</v>
      </c>
      <c r="AB1089" s="1" t="s">
        <v>45</v>
      </c>
      <c r="AC1089" s="1">
        <v>4.82073156E8</v>
      </c>
      <c r="AD1089" s="1">
        <v>1.21516199E8</v>
      </c>
      <c r="AE1089" s="1" t="s">
        <v>380</v>
      </c>
      <c r="AF1089" s="1">
        <v>125000.0</v>
      </c>
      <c r="AG1089" s="2">
        <v>41598.0</v>
      </c>
      <c r="AH1089" s="1">
        <v>8600.0</v>
      </c>
      <c r="AI1089" s="1" t="s">
        <v>102</v>
      </c>
      <c r="AJ1089" s="1">
        <v>38.0</v>
      </c>
      <c r="AK1089" s="1" t="s">
        <v>2531</v>
      </c>
      <c r="AL1089" s="1">
        <v>6.0</v>
      </c>
      <c r="AM1089" s="1">
        <v>2014.0</v>
      </c>
      <c r="AN1089" s="1">
        <v>2014.0</v>
      </c>
      <c r="AO1089" s="1" t="s">
        <v>305</v>
      </c>
    </row>
    <row r="1090">
      <c r="A1090" s="5">
        <v>1.0</v>
      </c>
      <c r="B1090" s="1">
        <f t="shared" si="1"/>
        <v>1090</v>
      </c>
      <c r="C1090" s="1" t="s">
        <v>2508</v>
      </c>
      <c r="D1090" s="1" t="s">
        <v>2508</v>
      </c>
      <c r="E1090" s="1" t="s">
        <v>100</v>
      </c>
      <c r="G1090" s="1">
        <v>3.2877084E7</v>
      </c>
      <c r="H1090" s="2">
        <v>41598.0</v>
      </c>
      <c r="I1090" s="1" t="s">
        <v>297</v>
      </c>
      <c r="K1090" s="1" t="s">
        <v>297</v>
      </c>
      <c r="N1090" s="1" t="s">
        <v>102</v>
      </c>
      <c r="O1090" s="1">
        <v>8600.0</v>
      </c>
      <c r="P1090" s="1" t="s">
        <v>102</v>
      </c>
      <c r="Q1090" s="1" t="str">
        <f>IF(ISERROR(VLOOKUP(P1090,'unique fed agency names'!A:C,3,FALSE)),P1090,VLOOKUP(P1090,'unique fed agency names'!A:C,3,FALSE))
</f>
        <v>U.S. Department of Housing and Urban Development (HUD)</v>
      </c>
      <c r="R1090" s="1">
        <v>6.2371729E8</v>
      </c>
      <c r="S1090" s="1" t="s">
        <v>2355</v>
      </c>
      <c r="T1090" s="1" t="str">
        <f>IF(ISERROR(VLOOKUP(S1090,'unique org names'!A:C,3,FALSE)),S1090,VLOOKUP(S1090,'unique org names'!A:C,3,FALSE))
</f>
        <v>Community Social Services of Wayne County</v>
      </c>
      <c r="V1090" s="1" t="s">
        <v>2193</v>
      </c>
      <c r="W1090" s="1" t="s">
        <v>44</v>
      </c>
      <c r="X1090" s="1" t="s">
        <v>45</v>
      </c>
      <c r="Y1090" s="1">
        <v>4.82021424E8</v>
      </c>
      <c r="AA1090" s="1" t="s">
        <v>46</v>
      </c>
      <c r="AB1090" s="1" t="s">
        <v>45</v>
      </c>
      <c r="AC1090" s="1">
        <v>4.82021424E8</v>
      </c>
      <c r="AF1090" s="1">
        <v>100000.0</v>
      </c>
      <c r="AG1090" s="2">
        <v>41598.0</v>
      </c>
      <c r="AH1090" s="1">
        <v>8600.0</v>
      </c>
      <c r="AI1090" s="1" t="s">
        <v>102</v>
      </c>
      <c r="AJ1090" s="1">
        <v>23.0</v>
      </c>
      <c r="AK1090" s="1" t="s">
        <v>2532</v>
      </c>
      <c r="AL1090" s="1">
        <v>6.0</v>
      </c>
      <c r="AM1090" s="1">
        <v>2014.0</v>
      </c>
      <c r="AN1090" s="1">
        <v>2014.0</v>
      </c>
      <c r="AO1090" s="1" t="s">
        <v>305</v>
      </c>
    </row>
    <row r="1091">
      <c r="A1091" s="5">
        <v>1.0</v>
      </c>
      <c r="B1091" s="1">
        <f t="shared" si="1"/>
        <v>1091</v>
      </c>
      <c r="C1091" s="1" t="s">
        <v>2508</v>
      </c>
      <c r="D1091" s="1" t="s">
        <v>2508</v>
      </c>
      <c r="E1091" s="1" t="s">
        <v>100</v>
      </c>
      <c r="G1091" s="1">
        <v>3.2877084E7</v>
      </c>
      <c r="H1091" s="2">
        <v>41598.0</v>
      </c>
      <c r="I1091" s="1" t="s">
        <v>297</v>
      </c>
      <c r="K1091" s="1" t="s">
        <v>297</v>
      </c>
      <c r="N1091" s="1" t="s">
        <v>102</v>
      </c>
      <c r="O1091" s="1">
        <v>8600.0</v>
      </c>
      <c r="P1091" s="1" t="s">
        <v>102</v>
      </c>
      <c r="Q1091" s="1" t="str">
        <f>IF(ISERROR(VLOOKUP(P1091,'unique fed agency names'!A:C,3,FALSE)),P1091,VLOOKUP(P1091,'unique fed agency names'!A:C,3,FALSE))
</f>
        <v>U.S. Department of Housing and Urban Development (HUD)</v>
      </c>
      <c r="R1091" s="1">
        <v>1.42793053E8</v>
      </c>
      <c r="S1091" s="1" t="s">
        <v>994</v>
      </c>
      <c r="T1091" s="1" t="str">
        <f>IF(ISERROR(VLOOKUP(S1091,'unique org names'!A:C,3,FALSE)),S1091,VLOOKUP(S1091,'unique org names'!A:C,3,FALSE))
</f>
        <v>CARE FIRST COMMUNITY HEALTH SERVICES</v>
      </c>
      <c r="V1091" s="1" t="s">
        <v>995</v>
      </c>
      <c r="W1091" s="1" t="s">
        <v>44</v>
      </c>
      <c r="X1091" s="1" t="s">
        <v>45</v>
      </c>
      <c r="Y1091" s="1">
        <v>4.82282721E8</v>
      </c>
      <c r="AA1091" s="1" t="s">
        <v>46</v>
      </c>
      <c r="AB1091" s="1" t="s">
        <v>45</v>
      </c>
      <c r="AC1091" s="1">
        <v>4.82282721E8</v>
      </c>
      <c r="AF1091" s="1">
        <v>100000.0</v>
      </c>
      <c r="AG1091" s="2">
        <v>41598.0</v>
      </c>
      <c r="AH1091" s="1">
        <v>8600.0</v>
      </c>
      <c r="AI1091" s="1" t="s">
        <v>102</v>
      </c>
      <c r="AJ1091" s="1">
        <v>22.0</v>
      </c>
      <c r="AK1091" s="1" t="s">
        <v>2533</v>
      </c>
      <c r="AL1091" s="1">
        <v>6.0</v>
      </c>
      <c r="AM1091" s="1">
        <v>2014.0</v>
      </c>
      <c r="AN1091" s="1">
        <v>2014.0</v>
      </c>
      <c r="AO1091" s="1" t="s">
        <v>305</v>
      </c>
    </row>
    <row r="1092">
      <c r="A1092" s="5">
        <v>1.0</v>
      </c>
      <c r="B1092" s="1">
        <f t="shared" si="1"/>
        <v>1092</v>
      </c>
      <c r="C1092" s="1" t="s">
        <v>2508</v>
      </c>
      <c r="D1092" s="1" t="s">
        <v>2508</v>
      </c>
      <c r="E1092" s="1" t="s">
        <v>100</v>
      </c>
      <c r="G1092" s="1">
        <v>3.2877084E7</v>
      </c>
      <c r="H1092" s="2">
        <v>41598.0</v>
      </c>
      <c r="I1092" s="1" t="s">
        <v>297</v>
      </c>
      <c r="K1092" s="1" t="s">
        <v>297</v>
      </c>
      <c r="N1092" s="1" t="s">
        <v>102</v>
      </c>
      <c r="O1092" s="1">
        <v>8600.0</v>
      </c>
      <c r="P1092" s="1" t="s">
        <v>102</v>
      </c>
      <c r="Q1092" s="1" t="str">
        <f>IF(ISERROR(VLOOKUP(P1092,'unique fed agency names'!A:C,3,FALSE)),P1092,VLOOKUP(P1092,'unique fed agency names'!A:C,3,FALSE))
</f>
        <v>U.S. Department of Housing and Urban Development (HUD)</v>
      </c>
      <c r="R1092" s="1">
        <v>9.4547247E7</v>
      </c>
      <c r="S1092" s="1" t="s">
        <v>2201</v>
      </c>
      <c r="T1092" s="1" t="str">
        <f>IF(ISERROR(VLOOKUP(S1092,'unique org names'!A:C,3,FALSE)),S1092,VLOOKUP(S1092,'unique org names'!A:C,3,FALSE))
</f>
        <v>Detroit Rescue Mission Ministries</v>
      </c>
      <c r="U1092" s="1" t="s">
        <v>2202</v>
      </c>
      <c r="V1092" s="1" t="s">
        <v>2203</v>
      </c>
      <c r="W1092" s="1" t="s">
        <v>44</v>
      </c>
      <c r="X1092" s="1" t="s">
        <v>45</v>
      </c>
      <c r="Y1092" s="1">
        <v>4.8201241E8</v>
      </c>
      <c r="AA1092" s="1" t="s">
        <v>46</v>
      </c>
      <c r="AB1092" s="1" t="s">
        <v>45</v>
      </c>
      <c r="AC1092" s="1">
        <v>4.8201241E8</v>
      </c>
      <c r="AD1092" s="1">
        <v>9.4547247E7</v>
      </c>
      <c r="AE1092" s="1" t="s">
        <v>2201</v>
      </c>
      <c r="AF1092" s="1">
        <v>250000.0</v>
      </c>
      <c r="AG1092" s="2">
        <v>41598.0</v>
      </c>
      <c r="AH1092" s="1">
        <v>8600.0</v>
      </c>
      <c r="AI1092" s="1" t="s">
        <v>102</v>
      </c>
      <c r="AJ1092" s="1">
        <v>27.0</v>
      </c>
      <c r="AK1092" s="1" t="s">
        <v>2534</v>
      </c>
      <c r="AL1092" s="1">
        <v>6.0</v>
      </c>
      <c r="AM1092" s="1">
        <v>2014.0</v>
      </c>
      <c r="AN1092" s="1">
        <v>2014.0</v>
      </c>
      <c r="AO1092" s="1" t="s">
        <v>305</v>
      </c>
    </row>
    <row r="1093">
      <c r="A1093" s="5">
        <v>1.0</v>
      </c>
      <c r="B1093" s="1">
        <f t="shared" si="1"/>
        <v>1093</v>
      </c>
      <c r="C1093" s="1" t="s">
        <v>2508</v>
      </c>
      <c r="D1093" s="1" t="s">
        <v>2508</v>
      </c>
      <c r="E1093" s="1" t="s">
        <v>100</v>
      </c>
      <c r="G1093" s="1">
        <v>3.2877084E7</v>
      </c>
      <c r="H1093" s="2">
        <v>41598.0</v>
      </c>
      <c r="I1093" s="1" t="s">
        <v>297</v>
      </c>
      <c r="K1093" s="1" t="s">
        <v>297</v>
      </c>
      <c r="N1093" s="1" t="s">
        <v>102</v>
      </c>
      <c r="O1093" s="1">
        <v>8600.0</v>
      </c>
      <c r="P1093" s="1" t="s">
        <v>102</v>
      </c>
      <c r="Q1093" s="1" t="str">
        <f>IF(ISERROR(VLOOKUP(P1093,'unique fed agency names'!A:C,3,FALSE)),P1093,VLOOKUP(P1093,'unique fed agency names'!A:C,3,FALSE))
</f>
        <v>U.S. Department of Housing and Urban Development (HUD)</v>
      </c>
      <c r="R1093" s="1">
        <v>4.3419399E7</v>
      </c>
      <c r="S1093" s="1" t="s">
        <v>979</v>
      </c>
      <c r="T1093" s="1" t="str">
        <f>IF(ISERROR(VLOOKUP(S1093,'unique org names'!A:C,3,FALSE)),S1093,VLOOKUP(S1093,'unique org names'!A:C,3,FALSE))
</f>
        <v>NEIGHBORHOOD SERVICE ORGANIZATION</v>
      </c>
      <c r="V1093" s="1" t="s">
        <v>980</v>
      </c>
      <c r="W1093" s="1" t="s">
        <v>44</v>
      </c>
      <c r="X1093" s="1" t="s">
        <v>45</v>
      </c>
      <c r="Y1093" s="1">
        <v>4.82261412E8</v>
      </c>
      <c r="AA1093" s="1" t="s">
        <v>46</v>
      </c>
      <c r="AB1093" s="1" t="s">
        <v>45</v>
      </c>
      <c r="AC1093" s="1">
        <v>4.82261412E8</v>
      </c>
      <c r="AD1093" s="1">
        <v>4.3419399E7</v>
      </c>
      <c r="AE1093" s="1" t="s">
        <v>979</v>
      </c>
      <c r="AF1093" s="1">
        <v>100000.0</v>
      </c>
      <c r="AG1093" s="2">
        <v>41598.0</v>
      </c>
      <c r="AH1093" s="1">
        <v>8600.0</v>
      </c>
      <c r="AI1093" s="1" t="s">
        <v>102</v>
      </c>
      <c r="AJ1093" s="1">
        <v>33.0</v>
      </c>
      <c r="AK1093" s="1" t="s">
        <v>2535</v>
      </c>
      <c r="AL1093" s="1">
        <v>6.0</v>
      </c>
      <c r="AM1093" s="1">
        <v>2014.0</v>
      </c>
      <c r="AN1093" s="1">
        <v>2014.0</v>
      </c>
      <c r="AO1093" s="1" t="s">
        <v>305</v>
      </c>
    </row>
    <row r="1094">
      <c r="A1094" s="5">
        <v>1.0</v>
      </c>
      <c r="B1094" s="1">
        <f t="shared" si="1"/>
        <v>1094</v>
      </c>
      <c r="C1094" s="1" t="s">
        <v>2508</v>
      </c>
      <c r="D1094" s="1" t="s">
        <v>2508</v>
      </c>
      <c r="E1094" s="1" t="s">
        <v>100</v>
      </c>
      <c r="G1094" s="1">
        <v>3.2877084E7</v>
      </c>
      <c r="H1094" s="2">
        <v>41598.0</v>
      </c>
      <c r="I1094" s="1" t="s">
        <v>297</v>
      </c>
      <c r="K1094" s="1" t="s">
        <v>297</v>
      </c>
      <c r="N1094" s="1" t="s">
        <v>102</v>
      </c>
      <c r="O1094" s="1">
        <v>8600.0</v>
      </c>
      <c r="P1094" s="1" t="s">
        <v>102</v>
      </c>
      <c r="Q1094" s="1" t="str">
        <f>IF(ISERROR(VLOOKUP(P1094,'unique fed agency names'!A:C,3,FALSE)),P1094,VLOOKUP(P1094,'unique fed agency names'!A:C,3,FALSE))
</f>
        <v>U.S. Department of Housing and Urban Development (HUD)</v>
      </c>
      <c r="R1094" s="1">
        <v>2.183979E7</v>
      </c>
      <c r="S1094" s="1" t="s">
        <v>2220</v>
      </c>
      <c r="T1094" s="1" t="str">
        <f>IF(ISERROR(VLOOKUP(S1094,'unique org names'!A:C,3,FALSE)),S1094,VLOOKUP(S1094,'unique org names'!A:C,3,FALSE))
</f>
        <v>Society of St Vincent de Paul (SVDP) - Detroit</v>
      </c>
      <c r="V1094" s="1" t="s">
        <v>2221</v>
      </c>
      <c r="W1094" s="1" t="s">
        <v>44</v>
      </c>
      <c r="X1094" s="1" t="s">
        <v>45</v>
      </c>
      <c r="Y1094" s="1">
        <v>4.82072372E8</v>
      </c>
      <c r="AA1094" s="1" t="s">
        <v>46</v>
      </c>
      <c r="AB1094" s="1" t="s">
        <v>45</v>
      </c>
      <c r="AC1094" s="1">
        <v>4.82072372E8</v>
      </c>
      <c r="AD1094" s="1">
        <v>2.183979E7</v>
      </c>
      <c r="AE1094" s="1" t="s">
        <v>2220</v>
      </c>
      <c r="AF1094" s="1">
        <v>104994.0</v>
      </c>
      <c r="AG1094" s="2">
        <v>41598.0</v>
      </c>
      <c r="AH1094" s="1">
        <v>8600.0</v>
      </c>
      <c r="AI1094" s="1" t="s">
        <v>102</v>
      </c>
      <c r="AJ1094" s="1">
        <v>17.0</v>
      </c>
      <c r="AK1094" s="1" t="s">
        <v>2536</v>
      </c>
      <c r="AL1094" s="1">
        <v>6.0</v>
      </c>
      <c r="AM1094" s="1">
        <v>2014.0</v>
      </c>
      <c r="AN1094" s="1">
        <v>2014.0</v>
      </c>
      <c r="AO1094" s="1" t="s">
        <v>305</v>
      </c>
    </row>
    <row r="1095">
      <c r="A1095" s="5">
        <v>1.0</v>
      </c>
      <c r="B1095" s="1">
        <f t="shared" si="1"/>
        <v>1095</v>
      </c>
      <c r="C1095" s="1" t="s">
        <v>2508</v>
      </c>
      <c r="D1095" s="1" t="s">
        <v>2508</v>
      </c>
      <c r="E1095" s="1" t="s">
        <v>100</v>
      </c>
      <c r="G1095" s="1">
        <v>3.2877084E7</v>
      </c>
      <c r="H1095" s="2">
        <v>41598.0</v>
      </c>
      <c r="I1095" s="1" t="s">
        <v>297</v>
      </c>
      <c r="K1095" s="1" t="s">
        <v>297</v>
      </c>
      <c r="N1095" s="1" t="s">
        <v>102</v>
      </c>
      <c r="O1095" s="1">
        <v>8600.0</v>
      </c>
      <c r="P1095" s="1" t="s">
        <v>102</v>
      </c>
      <c r="Q1095" s="1" t="str">
        <f>IF(ISERROR(VLOOKUP(P1095,'unique fed agency names'!A:C,3,FALSE)),P1095,VLOOKUP(P1095,'unique fed agency names'!A:C,3,FALSE))
</f>
        <v>U.S. Department of Housing and Urban Development (HUD)</v>
      </c>
      <c r="R1095" s="1">
        <v>1.1861425E7</v>
      </c>
      <c r="S1095" s="1" t="s">
        <v>2391</v>
      </c>
      <c r="T1095" s="1" t="str">
        <f>IF(ISERROR(VLOOKUP(S1095,'unique org names'!A:C,3,FALSE)),S1095,VLOOKUP(S1095,'unique org names'!A:C,3,FALSE))
</f>
        <v>Courville Concert Choir</v>
      </c>
      <c r="V1095" s="1" t="s">
        <v>2392</v>
      </c>
      <c r="W1095" s="1" t="s">
        <v>44</v>
      </c>
      <c r="X1095" s="1" t="s">
        <v>45</v>
      </c>
      <c r="Y1095" s="1">
        <v>4.82212195E8</v>
      </c>
      <c r="AA1095" s="1" t="s">
        <v>46</v>
      </c>
      <c r="AB1095" s="1" t="s">
        <v>45</v>
      </c>
      <c r="AC1095" s="1">
        <v>4.82212195E8</v>
      </c>
      <c r="AF1095" s="1">
        <v>151700.0</v>
      </c>
      <c r="AG1095" s="2">
        <v>41598.0</v>
      </c>
      <c r="AH1095" s="1">
        <v>8600.0</v>
      </c>
      <c r="AI1095" s="1" t="s">
        <v>102</v>
      </c>
      <c r="AJ1095" s="1">
        <v>6.0</v>
      </c>
      <c r="AK1095" s="1" t="s">
        <v>2537</v>
      </c>
      <c r="AL1095" s="1">
        <v>6.0</v>
      </c>
      <c r="AM1095" s="1">
        <v>2014.0</v>
      </c>
      <c r="AN1095" s="1">
        <v>2014.0</v>
      </c>
      <c r="AO1095" s="1" t="s">
        <v>305</v>
      </c>
    </row>
    <row r="1096">
      <c r="A1096" s="5">
        <v>1.0</v>
      </c>
      <c r="B1096" s="1">
        <f t="shared" si="1"/>
        <v>1096</v>
      </c>
      <c r="C1096" s="1" t="s">
        <v>2508</v>
      </c>
      <c r="D1096" s="1" t="s">
        <v>2508</v>
      </c>
      <c r="E1096" s="1" t="s">
        <v>100</v>
      </c>
      <c r="G1096" s="1">
        <v>3.2877084E7</v>
      </c>
      <c r="H1096" s="2">
        <v>41598.0</v>
      </c>
      <c r="I1096" s="1" t="s">
        <v>297</v>
      </c>
      <c r="K1096" s="1" t="s">
        <v>297</v>
      </c>
      <c r="N1096" s="1" t="s">
        <v>102</v>
      </c>
      <c r="O1096" s="1">
        <v>8600.0</v>
      </c>
      <c r="P1096" s="1" t="s">
        <v>102</v>
      </c>
      <c r="Q1096" s="1" t="str">
        <f>IF(ISERROR(VLOOKUP(P1096,'unique fed agency names'!A:C,3,FALSE)),P1096,VLOOKUP(P1096,'unique fed agency names'!A:C,3,FALSE))
</f>
        <v>U.S. Department of Housing and Urban Development (HUD)</v>
      </c>
      <c r="R1096" s="1">
        <v>9.9654048E7</v>
      </c>
      <c r="S1096" s="1" t="s">
        <v>2436</v>
      </c>
      <c r="T1096" s="1" t="str">
        <f>IF(ISERROR(VLOOKUP(S1096,'unique org names'!A:C,3,FALSE)),S1096,VLOOKUP(S1096,'unique org names'!A:C,3,FALSE))
</f>
        <v>Detroit Central City Community Mental Health, Inc</v>
      </c>
      <c r="V1096" s="1" t="s">
        <v>2437</v>
      </c>
      <c r="W1096" s="1" t="s">
        <v>44</v>
      </c>
      <c r="X1096" s="1" t="s">
        <v>45</v>
      </c>
      <c r="Y1096" s="1">
        <v>4.82012722E8</v>
      </c>
      <c r="AA1096" s="1" t="s">
        <v>46</v>
      </c>
      <c r="AB1096" s="1" t="s">
        <v>45</v>
      </c>
      <c r="AC1096" s="1">
        <v>4.82012722E8</v>
      </c>
      <c r="AF1096" s="1">
        <v>270069.0</v>
      </c>
      <c r="AG1096" s="2">
        <v>41598.0</v>
      </c>
      <c r="AH1096" s="1">
        <v>8600.0</v>
      </c>
      <c r="AI1096" s="1" t="s">
        <v>102</v>
      </c>
      <c r="AJ1096" s="1">
        <v>1.0</v>
      </c>
      <c r="AK1096" s="1" t="s">
        <v>2538</v>
      </c>
      <c r="AL1096" s="1">
        <v>6.0</v>
      </c>
      <c r="AM1096" s="1">
        <v>2014.0</v>
      </c>
      <c r="AN1096" s="1">
        <v>2014.0</v>
      </c>
      <c r="AO1096" s="1" t="s">
        <v>305</v>
      </c>
    </row>
    <row r="1097">
      <c r="A1097" s="5">
        <v>1.0</v>
      </c>
      <c r="B1097" s="1">
        <f t="shared" si="1"/>
        <v>1097</v>
      </c>
      <c r="C1097" s="1" t="s">
        <v>2508</v>
      </c>
      <c r="D1097" s="1" t="s">
        <v>2508</v>
      </c>
      <c r="E1097" s="1" t="s">
        <v>100</v>
      </c>
      <c r="G1097" s="1">
        <v>3.2877084E7</v>
      </c>
      <c r="H1097" s="2">
        <v>41598.0</v>
      </c>
      <c r="I1097" s="1" t="s">
        <v>297</v>
      </c>
      <c r="K1097" s="1" t="s">
        <v>297</v>
      </c>
      <c r="N1097" s="1" t="s">
        <v>102</v>
      </c>
      <c r="O1097" s="1">
        <v>8600.0</v>
      </c>
      <c r="P1097" s="1" t="s">
        <v>102</v>
      </c>
      <c r="Q1097" s="1" t="str">
        <f>IF(ISERROR(VLOOKUP(P1097,'unique fed agency names'!A:C,3,FALSE)),P1097,VLOOKUP(P1097,'unique fed agency names'!A:C,3,FALSE))
</f>
        <v>U.S. Department of Housing and Urban Development (HUD)</v>
      </c>
      <c r="R1097" s="1">
        <v>6.07770427E8</v>
      </c>
      <c r="S1097" s="1" t="s">
        <v>1249</v>
      </c>
      <c r="T1097" s="1" t="str">
        <f>IF(ISERROR(VLOOKUP(S1097,'unique org names'!A:C,3,FALSE)),S1097,VLOOKUP(S1097,'unique org names'!A:C,3,FALSE))
</f>
        <v>Dominican Literacy Center</v>
      </c>
      <c r="V1097" s="1" t="s">
        <v>1250</v>
      </c>
      <c r="W1097" s="1" t="s">
        <v>44</v>
      </c>
      <c r="X1097" s="1" t="s">
        <v>45</v>
      </c>
      <c r="Y1097" s="1">
        <v>4.82133364E8</v>
      </c>
      <c r="AA1097" s="1" t="s">
        <v>46</v>
      </c>
      <c r="AB1097" s="1" t="s">
        <v>45</v>
      </c>
      <c r="AC1097" s="1">
        <v>4.82133364E8</v>
      </c>
      <c r="AF1097" s="1">
        <v>145000.0</v>
      </c>
      <c r="AG1097" s="2">
        <v>41598.0</v>
      </c>
      <c r="AH1097" s="1">
        <v>8600.0</v>
      </c>
      <c r="AI1097" s="1" t="s">
        <v>102</v>
      </c>
      <c r="AJ1097" s="1">
        <v>8.0</v>
      </c>
      <c r="AK1097" s="1" t="s">
        <v>2539</v>
      </c>
      <c r="AL1097" s="1">
        <v>6.0</v>
      </c>
      <c r="AM1097" s="1">
        <v>2014.0</v>
      </c>
      <c r="AN1097" s="1">
        <v>2014.0</v>
      </c>
      <c r="AO1097" s="1" t="s">
        <v>305</v>
      </c>
    </row>
    <row r="1098">
      <c r="A1098" s="5">
        <v>1.0</v>
      </c>
      <c r="B1098" s="1">
        <f t="shared" si="1"/>
        <v>1098</v>
      </c>
      <c r="C1098" s="1" t="s">
        <v>2508</v>
      </c>
      <c r="D1098" s="1" t="s">
        <v>2508</v>
      </c>
      <c r="E1098" s="1" t="s">
        <v>100</v>
      </c>
      <c r="G1098" s="1">
        <v>3.2877084E7</v>
      </c>
      <c r="H1098" s="2">
        <v>41598.0</v>
      </c>
      <c r="I1098" s="1" t="s">
        <v>297</v>
      </c>
      <c r="K1098" s="1" t="s">
        <v>297</v>
      </c>
      <c r="N1098" s="1" t="s">
        <v>102</v>
      </c>
      <c r="O1098" s="1">
        <v>8600.0</v>
      </c>
      <c r="P1098" s="1" t="s">
        <v>102</v>
      </c>
      <c r="Q1098" s="1" t="str">
        <f>IF(ISERROR(VLOOKUP(P1098,'unique fed agency names'!A:C,3,FALSE)),P1098,VLOOKUP(P1098,'unique fed agency names'!A:C,3,FALSE))
</f>
        <v>U.S. Department of Housing and Urban Development (HUD)</v>
      </c>
      <c r="R1098" s="1">
        <v>1.06504459E8</v>
      </c>
      <c r="S1098" s="1" t="s">
        <v>2240</v>
      </c>
      <c r="T1098" s="1" t="str">
        <f>IF(ISERROR(VLOOKUP(S1098,'unique org names'!A:C,3,FALSE)),S1098,VLOOKUP(S1098,'unique org names'!A:C,3,FALSE))
</f>
        <v>Operation Get Down</v>
      </c>
      <c r="V1098" s="1" t="s">
        <v>2241</v>
      </c>
      <c r="W1098" s="1" t="s">
        <v>44</v>
      </c>
      <c r="X1098" s="1" t="s">
        <v>45</v>
      </c>
      <c r="Y1098" s="1">
        <v>4.82133112E8</v>
      </c>
      <c r="AA1098" s="1" t="s">
        <v>46</v>
      </c>
      <c r="AB1098" s="1" t="s">
        <v>45</v>
      </c>
      <c r="AC1098" s="1">
        <v>4.82133112E8</v>
      </c>
      <c r="AF1098" s="1">
        <v>100000.0</v>
      </c>
      <c r="AG1098" s="2">
        <v>41598.0</v>
      </c>
      <c r="AH1098" s="1">
        <v>8600.0</v>
      </c>
      <c r="AI1098" s="1" t="s">
        <v>102</v>
      </c>
      <c r="AJ1098" s="1">
        <v>34.0</v>
      </c>
      <c r="AK1098" s="1" t="s">
        <v>2540</v>
      </c>
      <c r="AL1098" s="1">
        <v>6.0</v>
      </c>
      <c r="AM1098" s="1">
        <v>2014.0</v>
      </c>
      <c r="AN1098" s="1">
        <v>2014.0</v>
      </c>
      <c r="AO1098" s="1" t="s">
        <v>305</v>
      </c>
    </row>
    <row r="1099">
      <c r="A1099" s="5">
        <v>1.0</v>
      </c>
      <c r="B1099" s="1">
        <f t="shared" si="1"/>
        <v>1099</v>
      </c>
      <c r="C1099" s="1" t="s">
        <v>2508</v>
      </c>
      <c r="D1099" s="1" t="s">
        <v>2508</v>
      </c>
      <c r="E1099" s="1" t="s">
        <v>100</v>
      </c>
      <c r="G1099" s="1">
        <v>3.2877084E7</v>
      </c>
      <c r="H1099" s="2">
        <v>41598.0</v>
      </c>
      <c r="I1099" s="1" t="s">
        <v>297</v>
      </c>
      <c r="K1099" s="1" t="s">
        <v>297</v>
      </c>
      <c r="N1099" s="1" t="s">
        <v>102</v>
      </c>
      <c r="O1099" s="1">
        <v>8600.0</v>
      </c>
      <c r="P1099" s="1" t="s">
        <v>102</v>
      </c>
      <c r="Q1099" s="1" t="str">
        <f>IF(ISERROR(VLOOKUP(P1099,'unique fed agency names'!A:C,3,FALSE)),P1099,VLOOKUP(P1099,'unique fed agency names'!A:C,3,FALSE))
</f>
        <v>U.S. Department of Housing and Urban Development (HUD)</v>
      </c>
      <c r="R1099" s="1">
        <v>7.8671071E8</v>
      </c>
      <c r="S1099" s="1" t="s">
        <v>2154</v>
      </c>
      <c r="T1099" s="1" t="str">
        <f>IF(ISERROR(VLOOKUP(S1099,'unique org names'!A:C,3,FALSE)),S1099,VLOOKUP(S1099,'unique org names'!A:C,3,FALSE))
</f>
        <v>Joy-Southfield Community Development Corporation</v>
      </c>
      <c r="V1099" s="1" t="s">
        <v>2155</v>
      </c>
      <c r="W1099" s="1" t="s">
        <v>44</v>
      </c>
      <c r="X1099" s="1" t="s">
        <v>45</v>
      </c>
      <c r="Y1099" s="1">
        <v>4.8228305E8</v>
      </c>
      <c r="AA1099" s="1" t="s">
        <v>46</v>
      </c>
      <c r="AB1099" s="1" t="s">
        <v>45</v>
      </c>
      <c r="AC1099" s="1">
        <v>4.8228305E8</v>
      </c>
      <c r="AF1099" s="1">
        <v>100000.0</v>
      </c>
      <c r="AG1099" s="2">
        <v>41598.0</v>
      </c>
      <c r="AH1099" s="1">
        <v>8600.0</v>
      </c>
      <c r="AI1099" s="1" t="s">
        <v>102</v>
      </c>
      <c r="AJ1099" s="1">
        <v>10.0</v>
      </c>
      <c r="AK1099" s="1" t="s">
        <v>2541</v>
      </c>
      <c r="AL1099" s="1">
        <v>6.0</v>
      </c>
      <c r="AM1099" s="1">
        <v>2014.0</v>
      </c>
      <c r="AN1099" s="1">
        <v>2014.0</v>
      </c>
      <c r="AO1099" s="1" t="s">
        <v>305</v>
      </c>
    </row>
    <row r="1100">
      <c r="A1100" s="5">
        <v>1.0</v>
      </c>
      <c r="B1100" s="1">
        <f t="shared" si="1"/>
        <v>1100</v>
      </c>
      <c r="C1100" s="1" t="s">
        <v>2314</v>
      </c>
      <c r="D1100" s="1" t="s">
        <v>2314</v>
      </c>
      <c r="E1100" s="1" t="s">
        <v>38</v>
      </c>
      <c r="G1100" s="1">
        <v>1.6975458E7</v>
      </c>
      <c r="H1100" s="2">
        <v>41260.0</v>
      </c>
      <c r="I1100" s="1" t="s">
        <v>2315</v>
      </c>
      <c r="K1100" s="1" t="s">
        <v>2315</v>
      </c>
      <c r="N1100" s="1" t="s">
        <v>40</v>
      </c>
      <c r="O1100" s="1">
        <v>7500.0</v>
      </c>
      <c r="P1100" s="1" t="s">
        <v>40</v>
      </c>
      <c r="Q1100" s="1" t="str">
        <f>IF(ISERROR(VLOOKUP(P1100,'unique fed agency names'!A:C,3,FALSE)),P1100,VLOOKUP(P1100,'unique fed agency names'!A:C,3,FALSE))
</f>
        <v>U.S. Department of Health and Human Services (DHHS)</v>
      </c>
      <c r="R1100" s="1">
        <v>7.3134603E7</v>
      </c>
      <c r="S1100" s="1" t="s">
        <v>41</v>
      </c>
      <c r="T1100" s="1" t="str">
        <f>IF(ISERROR(VLOOKUP(S1100,'unique org names'!A:C,3,FALSE)),S1100,VLOOKUP(S1100,'unique org names'!A:C,3,FALSE))
</f>
        <v>Henry Ford Health System</v>
      </c>
      <c r="U1100" s="1" t="s">
        <v>42</v>
      </c>
      <c r="V1100" s="1" t="s">
        <v>43</v>
      </c>
      <c r="W1100" s="1" t="s">
        <v>44</v>
      </c>
      <c r="X1100" s="1" t="s">
        <v>45</v>
      </c>
      <c r="Y1100" s="1">
        <v>4.8202345E8</v>
      </c>
      <c r="AA1100" s="1" t="s">
        <v>46</v>
      </c>
      <c r="AB1100" s="1" t="s">
        <v>45</v>
      </c>
      <c r="AC1100" s="1">
        <v>4.8202345E8</v>
      </c>
      <c r="AD1100" s="1">
        <v>7.3134603E7</v>
      </c>
      <c r="AF1100" s="1">
        <v>90721.0</v>
      </c>
      <c r="AG1100" s="2">
        <v>41260.0</v>
      </c>
      <c r="AH1100" s="1">
        <v>7500.0</v>
      </c>
      <c r="AI1100" s="1" t="s">
        <v>40</v>
      </c>
      <c r="AJ1100" s="1" t="s">
        <v>2542</v>
      </c>
      <c r="AK1100" s="1" t="s">
        <v>2543</v>
      </c>
      <c r="AL1100" s="1">
        <v>1.0</v>
      </c>
      <c r="AM1100" s="1">
        <v>2013.0</v>
      </c>
      <c r="AN1100" s="1">
        <v>2013.0</v>
      </c>
      <c r="AO1100" s="1" t="s">
        <v>1813</v>
      </c>
    </row>
    <row r="1101">
      <c r="A1101" s="5">
        <v>1.0</v>
      </c>
      <c r="B1101" s="1">
        <f t="shared" si="1"/>
        <v>1101</v>
      </c>
      <c r="C1101" s="1" t="s">
        <v>2314</v>
      </c>
      <c r="D1101" s="1" t="s">
        <v>2314</v>
      </c>
      <c r="E1101" s="1" t="s">
        <v>38</v>
      </c>
      <c r="G1101" s="1">
        <v>1.6975458E7</v>
      </c>
      <c r="H1101" s="2">
        <v>41564.0</v>
      </c>
      <c r="I1101" s="1" t="s">
        <v>2315</v>
      </c>
      <c r="K1101" s="1" t="s">
        <v>2315</v>
      </c>
      <c r="N1101" s="1" t="s">
        <v>40</v>
      </c>
      <c r="O1101" s="1">
        <v>7500.0</v>
      </c>
      <c r="P1101" s="1" t="s">
        <v>40</v>
      </c>
      <c r="Q1101" s="1" t="str">
        <f>IF(ISERROR(VLOOKUP(P1101,'unique fed agency names'!A:C,3,FALSE)),P1101,VLOOKUP(P1101,'unique fed agency names'!A:C,3,FALSE))
</f>
        <v>U.S. Department of Health and Human Services (DHHS)</v>
      </c>
      <c r="R1101" s="1">
        <v>7.3134603E7</v>
      </c>
      <c r="S1101" s="1" t="s">
        <v>41</v>
      </c>
      <c r="T1101" s="1" t="str">
        <f>IF(ISERROR(VLOOKUP(S1101,'unique org names'!A:C,3,FALSE)),S1101,VLOOKUP(S1101,'unique org names'!A:C,3,FALSE))
</f>
        <v>Henry Ford Health System</v>
      </c>
      <c r="U1101" s="1" t="s">
        <v>252</v>
      </c>
      <c r="V1101" s="1" t="s">
        <v>253</v>
      </c>
      <c r="W1101" s="1" t="s">
        <v>44</v>
      </c>
      <c r="X1101" s="1" t="s">
        <v>45</v>
      </c>
      <c r="Y1101" s="1">
        <v>4.8202345E8</v>
      </c>
      <c r="AA1101" s="1" t="s">
        <v>46</v>
      </c>
      <c r="AB1101" s="1" t="s">
        <v>45</v>
      </c>
      <c r="AC1101" s="1">
        <v>4.8202345E8</v>
      </c>
      <c r="AD1101" s="1">
        <v>7.3134603E7</v>
      </c>
      <c r="AF1101" s="1">
        <v>169723.0</v>
      </c>
      <c r="AG1101" s="2">
        <v>41564.0</v>
      </c>
      <c r="AH1101" s="1">
        <v>7500.0</v>
      </c>
      <c r="AI1101" s="1" t="s">
        <v>40</v>
      </c>
      <c r="AJ1101" s="1" t="s">
        <v>2544</v>
      </c>
      <c r="AK1101" s="1" t="s">
        <v>2545</v>
      </c>
      <c r="AL1101" s="1">
        <v>11.0</v>
      </c>
      <c r="AM1101" s="1">
        <v>2013.0</v>
      </c>
      <c r="AN1101" s="1">
        <v>2014.0</v>
      </c>
      <c r="AO1101" s="1" t="s">
        <v>1813</v>
      </c>
    </row>
    <row r="1102">
      <c r="A1102" s="5">
        <v>1.0</v>
      </c>
      <c r="B1102" s="1">
        <f t="shared" si="1"/>
        <v>1102</v>
      </c>
      <c r="C1102" s="1" t="s">
        <v>2546</v>
      </c>
      <c r="D1102" s="1" t="s">
        <v>2546</v>
      </c>
      <c r="E1102" s="1" t="s">
        <v>194</v>
      </c>
      <c r="G1102" s="1">
        <v>198520.0</v>
      </c>
      <c r="H1102" s="2">
        <v>41809.0</v>
      </c>
      <c r="I1102" s="1" t="s">
        <v>195</v>
      </c>
      <c r="K1102" s="1" t="s">
        <v>195</v>
      </c>
      <c r="N1102" s="1" t="s">
        <v>194</v>
      </c>
      <c r="O1102" s="1">
        <v>9100.0</v>
      </c>
      <c r="P1102" s="1" t="s">
        <v>194</v>
      </c>
      <c r="Q1102" s="1" t="str">
        <f>IF(ISERROR(VLOOKUP(P1102,'unique fed agency names'!A:C,3,FALSE)),P1102,VLOOKUP(P1102,'unique fed agency names'!A:C,3,FALSE))
</f>
        <v>U.S. Department of Education (ED)</v>
      </c>
      <c r="R1102" s="1">
        <v>7.4217316E7</v>
      </c>
      <c r="S1102" s="1" t="s">
        <v>1484</v>
      </c>
      <c r="T1102" s="1" t="str">
        <f>IF(ISERROR(VLOOKUP(S1102,'unique org names'!A:C,3,FALSE)),S1102,VLOOKUP(S1102,'unique org names'!A:C,3,FALSE))
</f>
        <v>VHS REHABILITATION INSTITUTE OF MICHIGAN, INC</v>
      </c>
      <c r="V1102" s="1" t="s">
        <v>1485</v>
      </c>
      <c r="W1102" s="1" t="s">
        <v>44</v>
      </c>
      <c r="X1102" s="1" t="s">
        <v>45</v>
      </c>
      <c r="Y1102" s="1">
        <v>4.82012417E8</v>
      </c>
      <c r="AA1102" s="1" t="s">
        <v>46</v>
      </c>
      <c r="AB1102" s="1" t="s">
        <v>45</v>
      </c>
      <c r="AC1102" s="1">
        <v>4.82012417E8</v>
      </c>
      <c r="AD1102" s="1">
        <v>5.3866661E7</v>
      </c>
      <c r="AF1102" s="1">
        <v>90897.0</v>
      </c>
      <c r="AG1102" s="2">
        <v>41809.0</v>
      </c>
      <c r="AH1102" s="1">
        <v>9100.0</v>
      </c>
      <c r="AI1102" s="1" t="s">
        <v>194</v>
      </c>
      <c r="AJ1102" s="1" t="s">
        <v>2547</v>
      </c>
      <c r="AK1102" s="1" t="s">
        <v>2548</v>
      </c>
      <c r="AL1102" s="1">
        <v>6.0</v>
      </c>
      <c r="AM1102" s="1">
        <v>2014.0</v>
      </c>
      <c r="AN1102" s="1">
        <v>2014.0</v>
      </c>
      <c r="AO1102" s="1" t="s">
        <v>197</v>
      </c>
    </row>
    <row r="1103">
      <c r="A1103" s="5">
        <v>1.0</v>
      </c>
      <c r="B1103" s="1">
        <f t="shared" si="1"/>
        <v>1103</v>
      </c>
      <c r="C1103" s="1" t="s">
        <v>1070</v>
      </c>
      <c r="D1103" s="1" t="s">
        <v>1070</v>
      </c>
      <c r="E1103" s="1" t="s">
        <v>38</v>
      </c>
      <c r="G1103" s="1">
        <v>2494881.0</v>
      </c>
      <c r="H1103" s="2">
        <v>41214.0</v>
      </c>
      <c r="I1103" s="1" t="s">
        <v>2549</v>
      </c>
      <c r="K1103" s="1" t="s">
        <v>2549</v>
      </c>
      <c r="N1103" s="1" t="s">
        <v>40</v>
      </c>
      <c r="O1103" s="1">
        <v>7500.0</v>
      </c>
      <c r="P1103" s="1" t="s">
        <v>40</v>
      </c>
      <c r="Q1103" s="1" t="str">
        <f>IF(ISERROR(VLOOKUP(P1103,'unique fed agency names'!A:C,3,FALSE)),P1103,VLOOKUP(P1103,'unique fed agency names'!A:C,3,FALSE))
</f>
        <v>U.S. Department of Health and Human Services (DHHS)</v>
      </c>
      <c r="R1103" s="1">
        <v>7.3134603E7</v>
      </c>
      <c r="S1103" s="1" t="s">
        <v>41</v>
      </c>
      <c r="T1103" s="1" t="str">
        <f>IF(ISERROR(VLOOKUP(S1103,'unique org names'!A:C,3,FALSE)),S1103,VLOOKUP(S1103,'unique org names'!A:C,3,FALSE))
</f>
        <v>Henry Ford Health System</v>
      </c>
      <c r="U1103" s="1" t="s">
        <v>252</v>
      </c>
      <c r="V1103" s="1" t="s">
        <v>253</v>
      </c>
      <c r="W1103" s="1" t="s">
        <v>44</v>
      </c>
      <c r="X1103" s="1" t="s">
        <v>45</v>
      </c>
      <c r="Y1103" s="1">
        <v>4.8202345E8</v>
      </c>
      <c r="AA1103" s="1" t="s">
        <v>46</v>
      </c>
      <c r="AB1103" s="1" t="s">
        <v>45</v>
      </c>
      <c r="AC1103" s="1">
        <v>4.8202345E8</v>
      </c>
      <c r="AD1103" s="1">
        <v>7.3134603E7</v>
      </c>
      <c r="AE1103" s="1" t="s">
        <v>41</v>
      </c>
      <c r="AF1103" s="1">
        <v>21717.0</v>
      </c>
      <c r="AG1103" s="2">
        <v>41214.0</v>
      </c>
      <c r="AH1103" s="1">
        <v>7500.0</v>
      </c>
      <c r="AI1103" s="1" t="s">
        <v>40</v>
      </c>
      <c r="AJ1103" s="1" t="s">
        <v>1072</v>
      </c>
      <c r="AK1103" s="1" t="s">
        <v>2550</v>
      </c>
      <c r="AL1103" s="1">
        <v>6.0</v>
      </c>
      <c r="AM1103" s="1">
        <v>2014.0</v>
      </c>
      <c r="AN1103" s="1">
        <v>2013.0</v>
      </c>
      <c r="AO1103" s="1" t="s">
        <v>973</v>
      </c>
    </row>
    <row r="1104">
      <c r="A1104" s="5">
        <v>1.0</v>
      </c>
      <c r="B1104" s="1">
        <f t="shared" si="1"/>
        <v>1104</v>
      </c>
      <c r="C1104" s="1" t="s">
        <v>2551</v>
      </c>
      <c r="D1104" s="1" t="s">
        <v>2551</v>
      </c>
      <c r="E1104" s="1" t="s">
        <v>2552</v>
      </c>
      <c r="G1104" s="1">
        <v>250000.0</v>
      </c>
      <c r="H1104" s="2">
        <v>41449.0</v>
      </c>
      <c r="I1104" s="1" t="s">
        <v>2553</v>
      </c>
      <c r="K1104" s="1" t="s">
        <v>2553</v>
      </c>
      <c r="N1104" s="1" t="s">
        <v>102</v>
      </c>
      <c r="O1104" s="1">
        <v>8600.0</v>
      </c>
      <c r="P1104" s="1" t="s">
        <v>102</v>
      </c>
      <c r="Q1104" s="1" t="str">
        <f>IF(ISERROR(VLOOKUP(P1104,'unique fed agency names'!A:C,3,FALSE)),P1104,VLOOKUP(P1104,'unique fed agency names'!A:C,3,FALSE))
</f>
        <v>U.S. Department of Housing and Urban Development (HUD)</v>
      </c>
      <c r="R1104" s="1">
        <v>1962224.0</v>
      </c>
      <c r="S1104" s="1" t="s">
        <v>52</v>
      </c>
      <c r="T1104" s="1" t="str">
        <f>IF(ISERROR(VLOOKUP(S1104,'unique org names'!A:C,3,FALSE)),S1104,VLOOKUP(S1104,'unique org names'!A:C,3,FALSE))
</f>
        <v>WAYNE STATE UNIVERSITY</v>
      </c>
      <c r="U1104" s="1" t="s">
        <v>1566</v>
      </c>
      <c r="V1104" s="1" t="s">
        <v>53</v>
      </c>
      <c r="W1104" s="1" t="s">
        <v>44</v>
      </c>
      <c r="X1104" s="1" t="s">
        <v>45</v>
      </c>
      <c r="Y1104" s="1">
        <v>4.82023692E8</v>
      </c>
      <c r="AA1104" s="1" t="s">
        <v>46</v>
      </c>
      <c r="AB1104" s="1" t="s">
        <v>45</v>
      </c>
      <c r="AC1104" s="1">
        <v>4.82023692E8</v>
      </c>
      <c r="AD1104" s="1">
        <v>1962224.0</v>
      </c>
      <c r="AE1104" s="1" t="s">
        <v>52</v>
      </c>
      <c r="AF1104" s="1">
        <v>-24868.0</v>
      </c>
      <c r="AG1104" s="2">
        <v>41449.0</v>
      </c>
      <c r="AH1104" s="1">
        <v>8600.0</v>
      </c>
      <c r="AI1104" s="1" t="s">
        <v>102</v>
      </c>
      <c r="AJ1104" s="1" t="s">
        <v>2554</v>
      </c>
      <c r="AK1104" s="1" t="s">
        <v>2555</v>
      </c>
      <c r="AL1104" s="1">
        <v>7.0</v>
      </c>
      <c r="AM1104" s="1">
        <v>2013.0</v>
      </c>
      <c r="AN1104" s="1">
        <v>2013.0</v>
      </c>
      <c r="AO1104" s="1" t="s">
        <v>2556</v>
      </c>
    </row>
    <row r="1105">
      <c r="A1105" s="5">
        <v>1.0</v>
      </c>
      <c r="B1105" s="1">
        <f t="shared" si="1"/>
        <v>1105</v>
      </c>
      <c r="C1105" s="1" t="s">
        <v>1070</v>
      </c>
      <c r="D1105" s="1" t="s">
        <v>1070</v>
      </c>
      <c r="E1105" s="1" t="s">
        <v>38</v>
      </c>
      <c r="G1105" s="1">
        <v>2494881.0</v>
      </c>
      <c r="H1105" s="2">
        <v>41214.0</v>
      </c>
      <c r="I1105" s="1" t="s">
        <v>2549</v>
      </c>
      <c r="K1105" s="1" t="s">
        <v>2549</v>
      </c>
      <c r="N1105" s="1" t="s">
        <v>40</v>
      </c>
      <c r="O1105" s="1">
        <v>7500.0</v>
      </c>
      <c r="P1105" s="1" t="s">
        <v>40</v>
      </c>
      <c r="Q1105" s="1" t="str">
        <f>IF(ISERROR(VLOOKUP(P1105,'unique fed agency names'!A:C,3,FALSE)),P1105,VLOOKUP(P1105,'unique fed agency names'!A:C,3,FALSE))
</f>
        <v>U.S. Department of Health and Human Services (DHHS)</v>
      </c>
      <c r="R1105" s="1">
        <v>7.3134603E7</v>
      </c>
      <c r="S1105" s="1" t="s">
        <v>41</v>
      </c>
      <c r="T1105" s="1" t="str">
        <f>IF(ISERROR(VLOOKUP(S1105,'unique org names'!A:C,3,FALSE)),S1105,VLOOKUP(S1105,'unique org names'!A:C,3,FALSE))
</f>
        <v>Henry Ford Health System</v>
      </c>
      <c r="U1105" s="1" t="s">
        <v>252</v>
      </c>
      <c r="V1105" s="1" t="s">
        <v>253</v>
      </c>
      <c r="W1105" s="1" t="s">
        <v>44</v>
      </c>
      <c r="X1105" s="1" t="s">
        <v>45</v>
      </c>
      <c r="Y1105" s="1">
        <v>4.8202345E8</v>
      </c>
      <c r="AA1105" s="1" t="s">
        <v>46</v>
      </c>
      <c r="AB1105" s="1" t="s">
        <v>45</v>
      </c>
      <c r="AC1105" s="1">
        <v>4.82022689E8</v>
      </c>
      <c r="AD1105" s="1">
        <v>7.3134603E7</v>
      </c>
      <c r="AE1105" s="1" t="s">
        <v>41</v>
      </c>
      <c r="AF1105" s="1">
        <v>281719.0</v>
      </c>
      <c r="AG1105" s="2">
        <v>41214.0</v>
      </c>
      <c r="AH1105" s="1">
        <v>7500.0</v>
      </c>
      <c r="AI1105" s="1" t="s">
        <v>40</v>
      </c>
      <c r="AJ1105" s="1" t="s">
        <v>1072</v>
      </c>
      <c r="AK1105" s="1" t="s">
        <v>2550</v>
      </c>
      <c r="AL1105" s="1">
        <v>6.0</v>
      </c>
      <c r="AM1105" s="1">
        <v>2014.0</v>
      </c>
      <c r="AN1105" s="1">
        <v>2013.0</v>
      </c>
      <c r="AO1105" s="1" t="s">
        <v>973</v>
      </c>
    </row>
    <row r="1106">
      <c r="A1106" s="5">
        <v>1.0</v>
      </c>
      <c r="B1106" s="1">
        <f t="shared" si="1"/>
        <v>1106</v>
      </c>
      <c r="C1106" s="1" t="s">
        <v>411</v>
      </c>
      <c r="D1106" s="1" t="s">
        <v>411</v>
      </c>
      <c r="E1106" s="1" t="s">
        <v>38</v>
      </c>
      <c r="G1106" s="1">
        <v>2201879.0</v>
      </c>
      <c r="H1106" s="2">
        <v>41795.0</v>
      </c>
      <c r="I1106" s="1" t="s">
        <v>412</v>
      </c>
      <c r="K1106" s="1" t="s">
        <v>412</v>
      </c>
      <c r="N1106" s="1" t="s">
        <v>40</v>
      </c>
      <c r="O1106" s="1">
        <v>7500.0</v>
      </c>
      <c r="P1106" s="1" t="s">
        <v>40</v>
      </c>
      <c r="Q1106" s="1" t="str">
        <f>IF(ISERROR(VLOOKUP(P1106,'unique fed agency names'!A:C,3,FALSE)),P1106,VLOOKUP(P1106,'unique fed agency names'!A:C,3,FALSE))
</f>
        <v>U.S. Department of Health and Human Services (DHHS)</v>
      </c>
      <c r="R1106" s="1">
        <v>7.3134603E7</v>
      </c>
      <c r="S1106" s="1" t="s">
        <v>41</v>
      </c>
      <c r="T1106" s="1" t="str">
        <f>IF(ISERROR(VLOOKUP(S1106,'unique org names'!A:C,3,FALSE)),S1106,VLOOKUP(S1106,'unique org names'!A:C,3,FALSE))
</f>
        <v>Henry Ford Health System</v>
      </c>
      <c r="U1106" s="1" t="s">
        <v>252</v>
      </c>
      <c r="V1106" s="1" t="s">
        <v>253</v>
      </c>
      <c r="W1106" s="1" t="s">
        <v>44</v>
      </c>
      <c r="X1106" s="1" t="s">
        <v>45</v>
      </c>
      <c r="Y1106" s="1">
        <v>4.8202345E8</v>
      </c>
      <c r="AA1106" s="1" t="s">
        <v>46</v>
      </c>
      <c r="AB1106" s="1" t="s">
        <v>45</v>
      </c>
      <c r="AC1106" s="1">
        <v>4.82022608E8</v>
      </c>
      <c r="AD1106" s="1">
        <v>7.3134603E7</v>
      </c>
      <c r="AE1106" s="1" t="s">
        <v>41</v>
      </c>
      <c r="AF1106" s="1">
        <v>30806.0</v>
      </c>
      <c r="AG1106" s="2">
        <v>41795.0</v>
      </c>
      <c r="AH1106" s="1">
        <v>7500.0</v>
      </c>
      <c r="AI1106" s="1" t="s">
        <v>40</v>
      </c>
      <c r="AJ1106" s="1">
        <v>6.3267296E7</v>
      </c>
      <c r="AK1106" s="1" t="s">
        <v>414</v>
      </c>
      <c r="AL1106" s="1">
        <v>10.0</v>
      </c>
      <c r="AM1106" s="1">
        <v>2013.0</v>
      </c>
      <c r="AN1106" s="1">
        <v>2014.0</v>
      </c>
      <c r="AO1106" s="1" t="s">
        <v>415</v>
      </c>
    </row>
    <row r="1107">
      <c r="A1107" s="5">
        <v>1.0</v>
      </c>
      <c r="B1107" s="1">
        <f t="shared" si="1"/>
        <v>1107</v>
      </c>
      <c r="C1107" s="1" t="s">
        <v>2557</v>
      </c>
      <c r="D1107" s="1" t="s">
        <v>2557</v>
      </c>
      <c r="E1107" s="1" t="s">
        <v>194</v>
      </c>
      <c r="G1107" s="1">
        <v>2498217.0</v>
      </c>
      <c r="H1107" s="2">
        <v>41779.0</v>
      </c>
      <c r="I1107" s="1" t="s">
        <v>274</v>
      </c>
      <c r="K1107" s="1" t="s">
        <v>274</v>
      </c>
      <c r="N1107" s="1" t="s">
        <v>194</v>
      </c>
      <c r="O1107" s="1">
        <v>9100.0</v>
      </c>
      <c r="P1107" s="1" t="s">
        <v>194</v>
      </c>
      <c r="Q1107" s="1" t="str">
        <f>IF(ISERROR(VLOOKUP(P1107,'unique fed agency names'!A:C,3,FALSE)),P1107,VLOOKUP(P1107,'unique fed agency names'!A:C,3,FALSE))
</f>
        <v>U.S. Department of Education (ED)</v>
      </c>
      <c r="R1107" s="1">
        <v>1962224.0</v>
      </c>
      <c r="S1107" s="1" t="s">
        <v>52</v>
      </c>
      <c r="T1107" s="1" t="str">
        <f>IF(ISERROR(VLOOKUP(S1107,'unique org names'!A:C,3,FALSE)),S1107,VLOOKUP(S1107,'unique org names'!A:C,3,FALSE))
</f>
        <v>WAYNE STATE UNIVERSITY</v>
      </c>
      <c r="V1107" s="1" t="s">
        <v>53</v>
      </c>
      <c r="W1107" s="1" t="s">
        <v>44</v>
      </c>
      <c r="X1107" s="1" t="s">
        <v>45</v>
      </c>
      <c r="Y1107" s="1">
        <v>4.82023692E8</v>
      </c>
      <c r="AA1107" s="1" t="s">
        <v>46</v>
      </c>
      <c r="AB1107" s="1" t="s">
        <v>45</v>
      </c>
      <c r="AC1107" s="1">
        <v>4.82023424E8</v>
      </c>
      <c r="AD1107" s="1">
        <v>1962224.0</v>
      </c>
      <c r="AE1107" s="1" t="s">
        <v>52</v>
      </c>
      <c r="AF1107" s="1">
        <v>270613.0</v>
      </c>
      <c r="AG1107" s="2">
        <v>41779.0</v>
      </c>
      <c r="AH1107" s="1">
        <v>9100.0</v>
      </c>
      <c r="AI1107" s="1" t="s">
        <v>194</v>
      </c>
      <c r="AJ1107" s="1" t="s">
        <v>2558</v>
      </c>
      <c r="AK1107" s="1" t="s">
        <v>276</v>
      </c>
      <c r="AL1107" s="1">
        <v>6.0</v>
      </c>
      <c r="AM1107" s="1">
        <v>2013.0</v>
      </c>
      <c r="AN1107" s="1">
        <v>2014.0</v>
      </c>
      <c r="AO1107" s="1" t="s">
        <v>277</v>
      </c>
    </row>
    <row r="1108">
      <c r="A1108" s="5">
        <v>1.0</v>
      </c>
      <c r="B1108" s="1">
        <f t="shared" si="1"/>
        <v>1108</v>
      </c>
      <c r="C1108" s="1" t="s">
        <v>1070</v>
      </c>
      <c r="D1108" s="1" t="s">
        <v>1070</v>
      </c>
      <c r="E1108" s="1" t="s">
        <v>38</v>
      </c>
      <c r="G1108" s="1">
        <v>2494881.0</v>
      </c>
      <c r="H1108" s="2">
        <v>41214.0</v>
      </c>
      <c r="I1108" s="1" t="s">
        <v>2549</v>
      </c>
      <c r="K1108" s="1" t="s">
        <v>2549</v>
      </c>
      <c r="N1108" s="1" t="s">
        <v>40</v>
      </c>
      <c r="O1108" s="1">
        <v>7500.0</v>
      </c>
      <c r="P1108" s="1" t="s">
        <v>40</v>
      </c>
      <c r="Q1108" s="1" t="str">
        <f>IF(ISERROR(VLOOKUP(P1108,'unique fed agency names'!A:C,3,FALSE)),P1108,VLOOKUP(P1108,'unique fed agency names'!A:C,3,FALSE))
</f>
        <v>U.S. Department of Health and Human Services (DHHS)</v>
      </c>
      <c r="R1108" s="1">
        <v>7.3134603E7</v>
      </c>
      <c r="S1108" s="1" t="s">
        <v>41</v>
      </c>
      <c r="T1108" s="1" t="str">
        <f>IF(ISERROR(VLOOKUP(S1108,'unique org names'!A:C,3,FALSE)),S1108,VLOOKUP(S1108,'unique org names'!A:C,3,FALSE))
</f>
        <v>Henry Ford Health System</v>
      </c>
      <c r="U1108" s="1" t="s">
        <v>252</v>
      </c>
      <c r="V1108" s="1" t="s">
        <v>253</v>
      </c>
      <c r="W1108" s="1" t="s">
        <v>44</v>
      </c>
      <c r="X1108" s="1" t="s">
        <v>45</v>
      </c>
      <c r="Y1108" s="1">
        <v>4.8202345E8</v>
      </c>
      <c r="AA1108" s="1" t="s">
        <v>46</v>
      </c>
      <c r="AB1108" s="1" t="s">
        <v>45</v>
      </c>
      <c r="AC1108" s="1">
        <v>4.82022689E8</v>
      </c>
      <c r="AD1108" s="1">
        <v>7.3134603E7</v>
      </c>
      <c r="AE1108" s="1" t="s">
        <v>41</v>
      </c>
      <c r="AF1108" s="1">
        <v>151643.0</v>
      </c>
      <c r="AG1108" s="2">
        <v>41214.0</v>
      </c>
      <c r="AH1108" s="1">
        <v>7500.0</v>
      </c>
      <c r="AI1108" s="1" t="s">
        <v>40</v>
      </c>
      <c r="AJ1108" s="1" t="s">
        <v>1072</v>
      </c>
      <c r="AK1108" s="1" t="s">
        <v>1073</v>
      </c>
      <c r="AL1108" s="1">
        <v>6.0</v>
      </c>
      <c r="AM1108" s="1">
        <v>2014.0</v>
      </c>
      <c r="AN1108" s="1">
        <v>2013.0</v>
      </c>
      <c r="AO1108" s="1" t="s">
        <v>973</v>
      </c>
    </row>
    <row r="1109">
      <c r="A1109" s="5">
        <v>1.0</v>
      </c>
      <c r="B1109" s="1">
        <f t="shared" si="1"/>
        <v>1109</v>
      </c>
      <c r="C1109" s="1">
        <v>0.0</v>
      </c>
      <c r="D1109" s="1">
        <v>0.0</v>
      </c>
      <c r="E1109" s="1" t="s">
        <v>1825</v>
      </c>
      <c r="G1109" s="1">
        <v>999292.0</v>
      </c>
      <c r="H1109" s="2">
        <v>41548.0</v>
      </c>
      <c r="I1109" s="1" t="s">
        <v>2559</v>
      </c>
      <c r="K1109" s="1" t="s">
        <v>2559</v>
      </c>
      <c r="N1109" s="1" t="s">
        <v>1825</v>
      </c>
      <c r="O1109" s="1">
        <v>6800.0</v>
      </c>
      <c r="P1109" s="1" t="s">
        <v>1825</v>
      </c>
      <c r="Q1109" s="1" t="str">
        <f>IF(ISERROR(VLOOKUP(P1109,'unique fed agency names'!A:C,3,FALSE)),P1109,VLOOKUP(P1109,'unique fed agency names'!A:C,3,FALSE))
</f>
        <v>U.S. Environmental Protection Agency (EPA)</v>
      </c>
      <c r="R1109" s="1">
        <v>1962224.0</v>
      </c>
      <c r="S1109" s="1" t="s">
        <v>52</v>
      </c>
      <c r="T1109" s="1" t="str">
        <f>IF(ISERROR(VLOOKUP(S1109,'unique org names'!A:C,3,FALSE)),S1109,VLOOKUP(S1109,'unique org names'!A:C,3,FALSE))
</f>
        <v>WAYNE STATE UNIVERSITY</v>
      </c>
      <c r="U1109" s="1" t="s">
        <v>1566</v>
      </c>
      <c r="V1109" s="1" t="s">
        <v>53</v>
      </c>
      <c r="W1109" s="1" t="s">
        <v>44</v>
      </c>
      <c r="X1109" s="1" t="s">
        <v>45</v>
      </c>
      <c r="Y1109" s="1">
        <v>4.82023692E8</v>
      </c>
      <c r="AA1109" s="1" t="s">
        <v>46</v>
      </c>
      <c r="AB1109" s="1" t="s">
        <v>45</v>
      </c>
      <c r="AC1109" s="1">
        <v>4.82024123E8</v>
      </c>
      <c r="AD1109" s="1">
        <v>1962224.0</v>
      </c>
      <c r="AE1109" s="1" t="s">
        <v>52</v>
      </c>
      <c r="AF1109" s="1">
        <v>31907.0</v>
      </c>
      <c r="AG1109" s="2">
        <v>41548.0</v>
      </c>
      <c r="AH1109" s="1">
        <v>6800.0</v>
      </c>
      <c r="AI1109" s="1" t="s">
        <v>1825</v>
      </c>
      <c r="AJ1109" s="1">
        <v>2.0142506E7</v>
      </c>
      <c r="AK1109" s="1" t="s">
        <v>2560</v>
      </c>
      <c r="AL1109" s="1">
        <v>10.0</v>
      </c>
      <c r="AM1109" s="1">
        <v>2012.0</v>
      </c>
      <c r="AN1109" s="1">
        <v>2014.0</v>
      </c>
      <c r="AO1109" s="1" t="s">
        <v>2561</v>
      </c>
    </row>
    <row r="1110">
      <c r="A1110" s="5">
        <v>1.0</v>
      </c>
      <c r="B1110" s="1">
        <f t="shared" si="1"/>
        <v>1110</v>
      </c>
      <c r="C1110" s="1" t="s">
        <v>2562</v>
      </c>
      <c r="D1110" s="1" t="s">
        <v>2562</v>
      </c>
      <c r="E1110" s="1" t="s">
        <v>645</v>
      </c>
      <c r="G1110" s="1">
        <v>1569044.0</v>
      </c>
      <c r="H1110" s="2">
        <v>41183.0</v>
      </c>
      <c r="I1110" s="1" t="s">
        <v>1577</v>
      </c>
      <c r="K1110" s="1" t="s">
        <v>1577</v>
      </c>
      <c r="N1110" s="1" t="s">
        <v>647</v>
      </c>
      <c r="O1110" s="1">
        <v>1200.0</v>
      </c>
      <c r="P1110" s="1" t="s">
        <v>647</v>
      </c>
      <c r="Q1110" s="1" t="str">
        <f>IF(ISERROR(VLOOKUP(P1110,'unique fed agency names'!A:C,3,FALSE)),P1110,VLOOKUP(P1110,'unique fed agency names'!A:C,3,FALSE))
</f>
        <v>U.S. Department of Agriculture (USDA)</v>
      </c>
      <c r="R1110" s="1">
        <v>7.8583404E7</v>
      </c>
      <c r="S1110" s="1" t="s">
        <v>65</v>
      </c>
      <c r="T1110" s="1" t="str">
        <f>IF(ISERROR(VLOOKUP(S1110,'unique org names'!A:C,3,FALSE)),S1110,VLOOKUP(S1110,'unique org names'!A:C,3,FALSE))
</f>
        <v>Institute for Population Health Inc.</v>
      </c>
      <c r="U1110" s="1" t="s">
        <v>2563</v>
      </c>
      <c r="V1110" s="1" t="s">
        <v>1573</v>
      </c>
      <c r="W1110" s="1" t="s">
        <v>44</v>
      </c>
      <c r="X1110" s="1" t="s">
        <v>45</v>
      </c>
      <c r="Y1110" s="1">
        <v>4.8207311E8</v>
      </c>
      <c r="AA1110" s="1" t="s">
        <v>46</v>
      </c>
      <c r="AB1110" s="1" t="s">
        <v>45</v>
      </c>
      <c r="AC1110" s="1">
        <v>4.82021732E8</v>
      </c>
      <c r="AD1110" s="1">
        <v>4.0574592E7</v>
      </c>
      <c r="AE1110" s="1" t="s">
        <v>2564</v>
      </c>
      <c r="AF1110" s="1">
        <v>96930.0</v>
      </c>
      <c r="AG1110" s="2">
        <v>41183.0</v>
      </c>
      <c r="AH1110" s="1">
        <v>1200.0</v>
      </c>
      <c r="AI1110" s="1" t="s">
        <v>647</v>
      </c>
      <c r="AJ1110" s="1">
        <v>2.01304E7</v>
      </c>
      <c r="AK1110" s="1" t="s">
        <v>1579</v>
      </c>
      <c r="AL1110" s="1">
        <v>10.0</v>
      </c>
      <c r="AM1110" s="1">
        <v>2011.0</v>
      </c>
      <c r="AN1110" s="1">
        <v>2013.0</v>
      </c>
      <c r="AO1110" s="1" t="s">
        <v>1580</v>
      </c>
    </row>
    <row r="1111">
      <c r="A1111" s="5">
        <v>1.0</v>
      </c>
      <c r="B1111" s="1">
        <f t="shared" si="1"/>
        <v>1111</v>
      </c>
      <c r="C1111" s="1" t="s">
        <v>2565</v>
      </c>
      <c r="D1111" s="1" t="s">
        <v>2565</v>
      </c>
      <c r="E1111" s="1" t="s">
        <v>159</v>
      </c>
      <c r="G1111" s="1">
        <v>390536.0</v>
      </c>
      <c r="H1111" s="2">
        <v>41548.0</v>
      </c>
      <c r="I1111" s="1" t="s">
        <v>2566</v>
      </c>
      <c r="K1111" s="1" t="s">
        <v>2566</v>
      </c>
      <c r="N1111" s="1" t="s">
        <v>40</v>
      </c>
      <c r="O1111" s="1">
        <v>7500.0</v>
      </c>
      <c r="P1111" s="1" t="s">
        <v>40</v>
      </c>
      <c r="Q1111" s="1" t="str">
        <f>IF(ISERROR(VLOOKUP(P1111,'unique fed agency names'!A:C,3,FALSE)),P1111,VLOOKUP(P1111,'unique fed agency names'!A:C,3,FALSE))
</f>
        <v>U.S. Department of Health and Human Services (DHHS)</v>
      </c>
      <c r="R1111" s="1">
        <v>3.8775243E7</v>
      </c>
      <c r="S1111" s="1" t="s">
        <v>209</v>
      </c>
      <c r="T1111" s="1" t="str">
        <f>IF(ISERROR(VLOOKUP(S1111,'unique org names'!A:C,3,FALSE)),S1111,VLOOKUP(S1111,'unique org names'!A:C,3,FALSE))
</f>
        <v>SOUTHEASTERN MICHIGAN HEALTH ASSOCIATION</v>
      </c>
      <c r="U1111" s="1" t="s">
        <v>210</v>
      </c>
      <c r="V1111" s="1" t="s">
        <v>211</v>
      </c>
      <c r="W1111" s="1" t="s">
        <v>44</v>
      </c>
      <c r="X1111" s="1" t="s">
        <v>45</v>
      </c>
      <c r="Y1111" s="1">
        <v>4.82023068E8</v>
      </c>
      <c r="AA1111" s="1" t="s">
        <v>46</v>
      </c>
      <c r="AB1111" s="1" t="s">
        <v>45</v>
      </c>
      <c r="AC1111" s="1">
        <v>4.82023068E8</v>
      </c>
      <c r="AD1111" s="1">
        <v>3.8775243E7</v>
      </c>
      <c r="AE1111" s="1" t="s">
        <v>209</v>
      </c>
      <c r="AF1111" s="1">
        <v>356536.0</v>
      </c>
      <c r="AG1111" s="2">
        <v>41548.0</v>
      </c>
      <c r="AH1111" s="1">
        <v>7500.0</v>
      </c>
      <c r="AI1111" s="1" t="s">
        <v>40</v>
      </c>
      <c r="AJ1111" s="1">
        <v>2.0140704E7</v>
      </c>
      <c r="AK1111" s="1" t="s">
        <v>2567</v>
      </c>
      <c r="AL1111" s="1">
        <v>10.0</v>
      </c>
      <c r="AM1111" s="1">
        <v>2013.0</v>
      </c>
      <c r="AN1111" s="1">
        <v>2014.0</v>
      </c>
      <c r="AO1111" s="1" t="s">
        <v>162</v>
      </c>
    </row>
    <row r="1112">
      <c r="A1112" s="5">
        <v>1.0</v>
      </c>
      <c r="B1112" s="1">
        <f t="shared" si="1"/>
        <v>1112</v>
      </c>
      <c r="C1112" s="1" t="s">
        <v>411</v>
      </c>
      <c r="D1112" s="1" t="s">
        <v>411</v>
      </c>
      <c r="E1112" s="1" t="s">
        <v>38</v>
      </c>
      <c r="G1112" s="1">
        <v>2735468.0</v>
      </c>
      <c r="H1112" s="2">
        <v>41838.0</v>
      </c>
      <c r="I1112" s="1" t="s">
        <v>2568</v>
      </c>
      <c r="K1112" s="1" t="s">
        <v>2568</v>
      </c>
      <c r="N1112" s="1" t="s">
        <v>40</v>
      </c>
      <c r="O1112" s="1">
        <v>7500.0</v>
      </c>
      <c r="P1112" s="1" t="s">
        <v>40</v>
      </c>
      <c r="Q1112" s="1" t="str">
        <f>IF(ISERROR(VLOOKUP(P1112,'unique fed agency names'!A:C,3,FALSE)),P1112,VLOOKUP(P1112,'unique fed agency names'!A:C,3,FALSE))
</f>
        <v>U.S. Department of Health and Human Services (DHHS)</v>
      </c>
      <c r="R1112" s="1">
        <v>7.3134603E7</v>
      </c>
      <c r="S1112" s="1" t="s">
        <v>41</v>
      </c>
      <c r="T1112" s="1" t="str">
        <f>IF(ISERROR(VLOOKUP(S1112,'unique org names'!A:C,3,FALSE)),S1112,VLOOKUP(S1112,'unique org names'!A:C,3,FALSE))
</f>
        <v>Henry Ford Health System</v>
      </c>
      <c r="U1112" s="1" t="s">
        <v>252</v>
      </c>
      <c r="V1112" s="1" t="s">
        <v>253</v>
      </c>
      <c r="W1112" s="1" t="s">
        <v>44</v>
      </c>
      <c r="X1112" s="1" t="s">
        <v>45</v>
      </c>
      <c r="Y1112" s="1">
        <v>4.8202345E8</v>
      </c>
      <c r="AA1112" s="1" t="s">
        <v>46</v>
      </c>
      <c r="AB1112" s="1" t="s">
        <v>45</v>
      </c>
      <c r="AC1112" s="1">
        <v>4.82022608E8</v>
      </c>
      <c r="AD1112" s="1">
        <v>7.3134603E7</v>
      </c>
      <c r="AE1112" s="1" t="s">
        <v>41</v>
      </c>
      <c r="AF1112" s="1">
        <v>33036.0</v>
      </c>
      <c r="AG1112" s="2">
        <v>41838.0</v>
      </c>
      <c r="AH1112" s="1">
        <v>7500.0</v>
      </c>
      <c r="AI1112" s="1" t="s">
        <v>40</v>
      </c>
      <c r="AJ1112" s="1">
        <v>6.3657528E7</v>
      </c>
      <c r="AK1112" s="1" t="s">
        <v>414</v>
      </c>
      <c r="AL1112" s="1">
        <v>7.0</v>
      </c>
      <c r="AM1112" s="1">
        <v>2014.0</v>
      </c>
      <c r="AN1112" s="1">
        <v>2014.0</v>
      </c>
      <c r="AO1112" s="1" t="s">
        <v>415</v>
      </c>
    </row>
    <row r="1113">
      <c r="A1113" s="5">
        <v>1.0</v>
      </c>
      <c r="B1113" s="1">
        <f t="shared" si="1"/>
        <v>1113</v>
      </c>
      <c r="C1113" s="1" t="s">
        <v>2569</v>
      </c>
      <c r="D1113" s="1" t="s">
        <v>2569</v>
      </c>
      <c r="E1113" s="1">
        <v>8653.0</v>
      </c>
      <c r="G1113" s="1">
        <v>2479602.0</v>
      </c>
      <c r="H1113" s="2">
        <v>41558.0</v>
      </c>
      <c r="I1113" s="1" t="s">
        <v>2570</v>
      </c>
      <c r="K1113" s="1" t="s">
        <v>2570</v>
      </c>
      <c r="N1113" s="1" t="s">
        <v>102</v>
      </c>
      <c r="O1113" s="1">
        <v>8600.0</v>
      </c>
      <c r="P1113" s="1" t="s">
        <v>102</v>
      </c>
      <c r="Q1113" s="1" t="str">
        <f>IF(ISERROR(VLOOKUP(P1113,'unique fed agency names'!A:C,3,FALSE)),P1113,VLOOKUP(P1113,'unique fed agency names'!A:C,3,FALSE))
</f>
        <v>U.S. Department of Housing and Urban Development (HUD)</v>
      </c>
      <c r="R1113" s="1">
        <v>3.8775243E7</v>
      </c>
      <c r="S1113" s="1" t="s">
        <v>209</v>
      </c>
      <c r="T1113" s="1" t="str">
        <f>IF(ISERROR(VLOOKUP(S1113,'unique org names'!A:C,3,FALSE)),S1113,VLOOKUP(S1113,'unique org names'!A:C,3,FALSE))
</f>
        <v>SOUTHEASTERN MICHIGAN HEALTH ASSOCIATION</v>
      </c>
      <c r="U1113" s="1" t="s">
        <v>210</v>
      </c>
      <c r="V1113" s="1" t="s">
        <v>211</v>
      </c>
      <c r="W1113" s="1" t="s">
        <v>44</v>
      </c>
      <c r="X1113" s="1" t="s">
        <v>45</v>
      </c>
      <c r="Y1113" s="1">
        <v>4.82023068E8</v>
      </c>
      <c r="AA1113" s="1" t="s">
        <v>46</v>
      </c>
      <c r="AB1113" s="1" t="s">
        <v>45</v>
      </c>
      <c r="AC1113" s="1">
        <v>4.82023068E8</v>
      </c>
      <c r="AD1113" s="1">
        <v>3.8775243E7</v>
      </c>
      <c r="AE1113" s="1" t="s">
        <v>209</v>
      </c>
      <c r="AF1113" s="1">
        <v>117367.0</v>
      </c>
      <c r="AG1113" s="2">
        <v>41558.0</v>
      </c>
      <c r="AH1113" s="1">
        <v>8600.0</v>
      </c>
      <c r="AI1113" s="1" t="s">
        <v>102</v>
      </c>
      <c r="AJ1113" s="1">
        <v>2.014071E7</v>
      </c>
      <c r="AK1113" s="1" t="s">
        <v>2571</v>
      </c>
      <c r="AL1113" s="1">
        <v>10.0</v>
      </c>
      <c r="AM1113" s="1">
        <v>2011.0</v>
      </c>
      <c r="AN1113" s="1">
        <v>2014.0</v>
      </c>
      <c r="AO1113" s="1" t="s">
        <v>2572</v>
      </c>
    </row>
    <row r="1114">
      <c r="A1114" s="5">
        <v>1.0</v>
      </c>
      <c r="B1114" s="1">
        <f t="shared" si="1"/>
        <v>1114</v>
      </c>
      <c r="C1114" s="1" t="s">
        <v>2569</v>
      </c>
      <c r="D1114" s="1" t="s">
        <v>2569</v>
      </c>
      <c r="E1114" s="1">
        <v>8653.0</v>
      </c>
      <c r="G1114" s="1">
        <v>2479602.0</v>
      </c>
      <c r="H1114" s="2">
        <v>41193.0</v>
      </c>
      <c r="I1114" s="1" t="s">
        <v>2570</v>
      </c>
      <c r="K1114" s="1" t="s">
        <v>2570</v>
      </c>
      <c r="N1114" s="1" t="s">
        <v>102</v>
      </c>
      <c r="O1114" s="1">
        <v>8600.0</v>
      </c>
      <c r="P1114" s="1" t="s">
        <v>102</v>
      </c>
      <c r="Q1114" s="1" t="str">
        <f>IF(ISERROR(VLOOKUP(P1114,'unique fed agency names'!A:C,3,FALSE)),P1114,VLOOKUP(P1114,'unique fed agency names'!A:C,3,FALSE))
</f>
        <v>U.S. Department of Housing and Urban Development (HUD)</v>
      </c>
      <c r="R1114" s="1">
        <v>3.8775243E7</v>
      </c>
      <c r="S1114" s="1" t="s">
        <v>209</v>
      </c>
      <c r="T1114" s="1" t="str">
        <f>IF(ISERROR(VLOOKUP(S1114,'unique org names'!A:C,3,FALSE)),S1114,VLOOKUP(S1114,'unique org names'!A:C,3,FALSE))
</f>
        <v>SOUTHEASTERN MICHIGAN HEALTH ASSOCIATION</v>
      </c>
      <c r="U1114" s="1" t="s">
        <v>210</v>
      </c>
      <c r="V1114" s="1" t="s">
        <v>211</v>
      </c>
      <c r="W1114" s="1" t="s">
        <v>44</v>
      </c>
      <c r="X1114" s="1" t="s">
        <v>45</v>
      </c>
      <c r="Y1114" s="1">
        <v>4.82023068E8</v>
      </c>
      <c r="AA1114" s="1" t="s">
        <v>46</v>
      </c>
      <c r="AB1114" s="1" t="s">
        <v>45</v>
      </c>
      <c r="AC1114" s="1">
        <v>4.82023068E8</v>
      </c>
      <c r="AD1114" s="1">
        <v>3.8775243E7</v>
      </c>
      <c r="AE1114" s="1" t="s">
        <v>209</v>
      </c>
      <c r="AF1114" s="1">
        <v>98971.0</v>
      </c>
      <c r="AG1114" s="2">
        <v>41193.0</v>
      </c>
      <c r="AH1114" s="1">
        <v>8600.0</v>
      </c>
      <c r="AI1114" s="1" t="s">
        <v>102</v>
      </c>
      <c r="AJ1114" s="1">
        <v>2.0131227E7</v>
      </c>
      <c r="AK1114" s="1" t="s">
        <v>2571</v>
      </c>
      <c r="AL1114" s="1">
        <v>10.0</v>
      </c>
      <c r="AM1114" s="1">
        <v>2011.0</v>
      </c>
      <c r="AN1114" s="1">
        <v>2013.0</v>
      </c>
      <c r="AO1114" s="1" t="s">
        <v>2572</v>
      </c>
    </row>
    <row r="1115">
      <c r="A1115" s="5">
        <v>1.0</v>
      </c>
      <c r="B1115" s="1">
        <f t="shared" si="1"/>
        <v>1115</v>
      </c>
      <c r="C1115" s="1" t="s">
        <v>2569</v>
      </c>
      <c r="D1115" s="1" t="s">
        <v>2569</v>
      </c>
      <c r="E1115" s="1">
        <v>8653.0</v>
      </c>
      <c r="G1115" s="1">
        <v>2479602.0</v>
      </c>
      <c r="H1115" s="2">
        <v>41558.0</v>
      </c>
      <c r="I1115" s="1" t="s">
        <v>2570</v>
      </c>
      <c r="K1115" s="1" t="s">
        <v>2570</v>
      </c>
      <c r="N1115" s="1" t="s">
        <v>102</v>
      </c>
      <c r="O1115" s="1">
        <v>8600.0</v>
      </c>
      <c r="P1115" s="1" t="s">
        <v>102</v>
      </c>
      <c r="Q1115" s="1" t="str">
        <f>IF(ISERROR(VLOOKUP(P1115,'unique fed agency names'!A:C,3,FALSE)),P1115,VLOOKUP(P1115,'unique fed agency names'!A:C,3,FALSE))
</f>
        <v>U.S. Department of Housing and Urban Development (HUD)</v>
      </c>
      <c r="R1115" s="1">
        <v>3.8775243E7</v>
      </c>
      <c r="S1115" s="1" t="s">
        <v>209</v>
      </c>
      <c r="T1115" s="1" t="str">
        <f>IF(ISERROR(VLOOKUP(S1115,'unique org names'!A:C,3,FALSE)),S1115,VLOOKUP(S1115,'unique org names'!A:C,3,FALSE))
</f>
        <v>SOUTHEASTERN MICHIGAN HEALTH ASSOCIATION</v>
      </c>
      <c r="U1115" s="1" t="s">
        <v>210</v>
      </c>
      <c r="V1115" s="1" t="s">
        <v>211</v>
      </c>
      <c r="W1115" s="1" t="s">
        <v>44</v>
      </c>
      <c r="X1115" s="1" t="s">
        <v>45</v>
      </c>
      <c r="Y1115" s="1">
        <v>4.82023068E8</v>
      </c>
      <c r="AA1115" s="1" t="s">
        <v>46</v>
      </c>
      <c r="AB1115" s="1" t="s">
        <v>45</v>
      </c>
      <c r="AC1115" s="1">
        <v>4.82023068E8</v>
      </c>
      <c r="AD1115" s="1">
        <v>3.8775243E7</v>
      </c>
      <c r="AE1115" s="1" t="s">
        <v>209</v>
      </c>
      <c r="AF1115" s="1">
        <v>0.0</v>
      </c>
      <c r="AG1115" s="2">
        <v>41558.0</v>
      </c>
      <c r="AH1115" s="1">
        <v>8600.0</v>
      </c>
      <c r="AI1115" s="1" t="s">
        <v>102</v>
      </c>
      <c r="AJ1115" s="1">
        <v>2.014072E7</v>
      </c>
      <c r="AK1115" s="1" t="s">
        <v>2571</v>
      </c>
      <c r="AL1115" s="1">
        <v>10.0</v>
      </c>
      <c r="AM1115" s="1">
        <v>2011.0</v>
      </c>
      <c r="AN1115" s="1">
        <v>2014.0</v>
      </c>
      <c r="AO1115" s="1" t="s">
        <v>2572</v>
      </c>
    </row>
    <row r="1116">
      <c r="A1116" s="5">
        <v>1.0</v>
      </c>
      <c r="B1116" s="1">
        <f t="shared" si="1"/>
        <v>1116</v>
      </c>
      <c r="C1116" s="1" t="s">
        <v>2569</v>
      </c>
      <c r="D1116" s="1" t="s">
        <v>2569</v>
      </c>
      <c r="E1116" s="1">
        <v>8653.0</v>
      </c>
      <c r="G1116" s="1">
        <v>2479602.0</v>
      </c>
      <c r="H1116" s="2">
        <v>41193.0</v>
      </c>
      <c r="I1116" s="1" t="s">
        <v>2570</v>
      </c>
      <c r="K1116" s="1" t="s">
        <v>2570</v>
      </c>
      <c r="N1116" s="1" t="s">
        <v>102</v>
      </c>
      <c r="O1116" s="1">
        <v>8600.0</v>
      </c>
      <c r="P1116" s="1" t="s">
        <v>102</v>
      </c>
      <c r="Q1116" s="1" t="str">
        <f>IF(ISERROR(VLOOKUP(P1116,'unique fed agency names'!A:C,3,FALSE)),P1116,VLOOKUP(P1116,'unique fed agency names'!A:C,3,FALSE))
</f>
        <v>U.S. Department of Housing and Urban Development (HUD)</v>
      </c>
      <c r="R1116" s="1">
        <v>3.8775243E7</v>
      </c>
      <c r="S1116" s="1" t="s">
        <v>209</v>
      </c>
      <c r="T1116" s="1" t="str">
        <f>IF(ISERROR(VLOOKUP(S1116,'unique org names'!A:C,3,FALSE)),S1116,VLOOKUP(S1116,'unique org names'!A:C,3,FALSE))
</f>
        <v>SOUTHEASTERN MICHIGAN HEALTH ASSOCIATION</v>
      </c>
      <c r="U1116" s="1" t="s">
        <v>210</v>
      </c>
      <c r="V1116" s="1" t="s">
        <v>211</v>
      </c>
      <c r="W1116" s="1" t="s">
        <v>44</v>
      </c>
      <c r="X1116" s="1" t="s">
        <v>45</v>
      </c>
      <c r="Y1116" s="1">
        <v>4.82023068E8</v>
      </c>
      <c r="AA1116" s="1" t="s">
        <v>46</v>
      </c>
      <c r="AB1116" s="1" t="s">
        <v>45</v>
      </c>
      <c r="AC1116" s="1">
        <v>4.82023068E8</v>
      </c>
      <c r="AD1116" s="1">
        <v>3.8775243E7</v>
      </c>
      <c r="AE1116" s="1" t="s">
        <v>209</v>
      </c>
      <c r="AF1116" s="1">
        <v>5434.0</v>
      </c>
      <c r="AG1116" s="2">
        <v>41193.0</v>
      </c>
      <c r="AH1116" s="1">
        <v>8600.0</v>
      </c>
      <c r="AI1116" s="1" t="s">
        <v>102</v>
      </c>
      <c r="AJ1116" s="1">
        <v>2.0131255E7</v>
      </c>
      <c r="AK1116" s="1" t="s">
        <v>2571</v>
      </c>
      <c r="AL1116" s="1">
        <v>10.0</v>
      </c>
      <c r="AM1116" s="1">
        <v>2011.0</v>
      </c>
      <c r="AN1116" s="1">
        <v>2013.0</v>
      </c>
      <c r="AO1116" s="1" t="s">
        <v>2572</v>
      </c>
    </row>
    <row r="1117">
      <c r="A1117" s="5">
        <v>1.0</v>
      </c>
      <c r="B1117" s="1">
        <f t="shared" si="1"/>
        <v>1117</v>
      </c>
      <c r="C1117" s="1" t="s">
        <v>2569</v>
      </c>
      <c r="D1117" s="1" t="s">
        <v>2569</v>
      </c>
      <c r="E1117" s="1">
        <v>8653.0</v>
      </c>
      <c r="G1117" s="1">
        <v>2479602.0</v>
      </c>
      <c r="H1117" s="2">
        <v>41193.0</v>
      </c>
      <c r="I1117" s="1" t="s">
        <v>2570</v>
      </c>
      <c r="K1117" s="1" t="s">
        <v>2570</v>
      </c>
      <c r="N1117" s="1" t="s">
        <v>102</v>
      </c>
      <c r="O1117" s="1">
        <v>8600.0</v>
      </c>
      <c r="P1117" s="1" t="s">
        <v>102</v>
      </c>
      <c r="Q1117" s="1" t="str">
        <f>IF(ISERROR(VLOOKUP(P1117,'unique fed agency names'!A:C,3,FALSE)),P1117,VLOOKUP(P1117,'unique fed agency names'!A:C,3,FALSE))
</f>
        <v>U.S. Department of Housing and Urban Development (HUD)</v>
      </c>
      <c r="R1117" s="1">
        <v>3.8775243E7</v>
      </c>
      <c r="S1117" s="1" t="s">
        <v>209</v>
      </c>
      <c r="T1117" s="1" t="str">
        <f>IF(ISERROR(VLOOKUP(S1117,'unique org names'!A:C,3,FALSE)),S1117,VLOOKUP(S1117,'unique org names'!A:C,3,FALSE))
</f>
        <v>SOUTHEASTERN MICHIGAN HEALTH ASSOCIATION</v>
      </c>
      <c r="U1117" s="1" t="s">
        <v>210</v>
      </c>
      <c r="V1117" s="1" t="s">
        <v>211</v>
      </c>
      <c r="W1117" s="1" t="s">
        <v>44</v>
      </c>
      <c r="X1117" s="1" t="s">
        <v>45</v>
      </c>
      <c r="Y1117" s="1">
        <v>4.82023068E8</v>
      </c>
      <c r="AA1117" s="1" t="s">
        <v>46</v>
      </c>
      <c r="AB1117" s="1" t="s">
        <v>45</v>
      </c>
      <c r="AC1117" s="1">
        <v>4.82023068E8</v>
      </c>
      <c r="AD1117" s="1">
        <v>3.8775243E7</v>
      </c>
      <c r="AE1117" s="1" t="s">
        <v>209</v>
      </c>
      <c r="AF1117" s="1">
        <v>0.0</v>
      </c>
      <c r="AG1117" s="2">
        <v>41193.0</v>
      </c>
      <c r="AH1117" s="1">
        <v>8600.0</v>
      </c>
      <c r="AI1117" s="1" t="s">
        <v>102</v>
      </c>
      <c r="AJ1117" s="1">
        <v>2.0131237E7</v>
      </c>
      <c r="AK1117" s="1" t="s">
        <v>2571</v>
      </c>
      <c r="AL1117" s="1">
        <v>10.0</v>
      </c>
      <c r="AM1117" s="1">
        <v>2011.0</v>
      </c>
      <c r="AN1117" s="1">
        <v>2013.0</v>
      </c>
      <c r="AO1117" s="1" t="s">
        <v>2572</v>
      </c>
    </row>
    <row r="1118">
      <c r="A1118" s="5">
        <v>1.0</v>
      </c>
      <c r="B1118" s="1">
        <f t="shared" si="1"/>
        <v>1118</v>
      </c>
      <c r="C1118" s="1" t="s">
        <v>2569</v>
      </c>
      <c r="D1118" s="1" t="s">
        <v>2569</v>
      </c>
      <c r="E1118" s="1">
        <v>8653.0</v>
      </c>
      <c r="G1118" s="1">
        <v>2479602.0</v>
      </c>
      <c r="H1118" s="2">
        <v>41193.0</v>
      </c>
      <c r="I1118" s="1" t="s">
        <v>2570</v>
      </c>
      <c r="K1118" s="1" t="s">
        <v>2570</v>
      </c>
      <c r="N1118" s="1" t="s">
        <v>102</v>
      </c>
      <c r="O1118" s="1">
        <v>8600.0</v>
      </c>
      <c r="P1118" s="1" t="s">
        <v>102</v>
      </c>
      <c r="Q1118" s="1" t="str">
        <f>IF(ISERROR(VLOOKUP(P1118,'unique fed agency names'!A:C,3,FALSE)),P1118,VLOOKUP(P1118,'unique fed agency names'!A:C,3,FALSE))
</f>
        <v>U.S. Department of Housing and Urban Development (HUD)</v>
      </c>
      <c r="R1118" s="1">
        <v>3.8775243E7</v>
      </c>
      <c r="S1118" s="1" t="s">
        <v>209</v>
      </c>
      <c r="T1118" s="1" t="str">
        <f>IF(ISERROR(VLOOKUP(S1118,'unique org names'!A:C,3,FALSE)),S1118,VLOOKUP(S1118,'unique org names'!A:C,3,FALSE))
</f>
        <v>SOUTHEASTERN MICHIGAN HEALTH ASSOCIATION</v>
      </c>
      <c r="U1118" s="1" t="s">
        <v>210</v>
      </c>
      <c r="V1118" s="1" t="s">
        <v>211</v>
      </c>
      <c r="W1118" s="1" t="s">
        <v>44</v>
      </c>
      <c r="X1118" s="1" t="s">
        <v>45</v>
      </c>
      <c r="Y1118" s="1">
        <v>4.82023068E8</v>
      </c>
      <c r="AA1118" s="1" t="s">
        <v>46</v>
      </c>
      <c r="AB1118" s="1" t="s">
        <v>45</v>
      </c>
      <c r="AC1118" s="1">
        <v>4.82023068E8</v>
      </c>
      <c r="AD1118" s="1">
        <v>3.8775243E7</v>
      </c>
      <c r="AE1118" s="1" t="s">
        <v>209</v>
      </c>
      <c r="AF1118" s="1">
        <v>74282.0</v>
      </c>
      <c r="AG1118" s="2">
        <v>41193.0</v>
      </c>
      <c r="AH1118" s="1">
        <v>8600.0</v>
      </c>
      <c r="AI1118" s="1" t="s">
        <v>102</v>
      </c>
      <c r="AJ1118" s="1">
        <v>2.0131228E7</v>
      </c>
      <c r="AK1118" s="1" t="s">
        <v>2571</v>
      </c>
      <c r="AL1118" s="1">
        <v>10.0</v>
      </c>
      <c r="AM1118" s="1">
        <v>2011.0</v>
      </c>
      <c r="AN1118" s="1">
        <v>2013.0</v>
      </c>
      <c r="AO1118" s="1" t="s">
        <v>2572</v>
      </c>
    </row>
    <row r="1119">
      <c r="A1119" s="5">
        <v>1.0</v>
      </c>
      <c r="B1119" s="1">
        <f t="shared" si="1"/>
        <v>1119</v>
      </c>
      <c r="C1119" s="1" t="s">
        <v>2573</v>
      </c>
      <c r="D1119" s="1" t="s">
        <v>2573</v>
      </c>
      <c r="E1119" s="1" t="s">
        <v>224</v>
      </c>
      <c r="G1119" s="1">
        <v>1068181.0</v>
      </c>
      <c r="H1119" s="2">
        <v>41787.0</v>
      </c>
      <c r="I1119" s="1" t="s">
        <v>2574</v>
      </c>
      <c r="K1119" s="1" t="s">
        <v>2574</v>
      </c>
      <c r="N1119" s="1" t="s">
        <v>151</v>
      </c>
      <c r="O1119" s="1">
        <v>6900.0</v>
      </c>
      <c r="P1119" s="1" t="s">
        <v>151</v>
      </c>
      <c r="Q1119" s="1" t="str">
        <f>IF(ISERROR(VLOOKUP(P1119,'unique fed agency names'!A:C,3,FALSE)),P1119,VLOOKUP(P1119,'unique fed agency names'!A:C,3,FALSE))
</f>
        <v>U.S. Department of Transportation (DOT)</v>
      </c>
      <c r="R1119" s="1">
        <v>1.1855476E8</v>
      </c>
      <c r="S1119" s="1" t="s">
        <v>983</v>
      </c>
      <c r="T1119" s="1" t="str">
        <f>IF(ISERROR(VLOOKUP(S1119,'unique org names'!A:C,3,FALSE)),S1119,VLOOKUP(S1119,'unique org names'!A:C,3,FALSE))
</f>
        <v>City of Detroit</v>
      </c>
      <c r="U1119" s="1" t="s">
        <v>984</v>
      </c>
      <c r="V1119" s="1" t="s">
        <v>227</v>
      </c>
      <c r="W1119" s="1" t="s">
        <v>44</v>
      </c>
      <c r="X1119" s="1" t="s">
        <v>45</v>
      </c>
      <c r="Y1119" s="1">
        <v>4.82262886E8</v>
      </c>
      <c r="AA1119" s="1" t="s">
        <v>46</v>
      </c>
      <c r="AB1119" s="1" t="s">
        <v>45</v>
      </c>
      <c r="AC1119" s="1">
        <v>4.82262886E8</v>
      </c>
      <c r="AD1119" s="1">
        <v>6530661.0</v>
      </c>
      <c r="AE1119" s="1" t="s">
        <v>76</v>
      </c>
      <c r="AF1119" s="1">
        <v>1068181.0</v>
      </c>
      <c r="AG1119" s="2">
        <v>41787.0</v>
      </c>
      <c r="AH1119" s="1">
        <v>6900.0</v>
      </c>
      <c r="AI1119" s="1" t="s">
        <v>151</v>
      </c>
      <c r="AJ1119" s="1">
        <v>1.0</v>
      </c>
      <c r="AK1119" s="1" t="s">
        <v>2575</v>
      </c>
      <c r="AL1119" s="1">
        <v>5.0</v>
      </c>
      <c r="AM1119" s="1">
        <v>2014.0</v>
      </c>
      <c r="AN1119" s="1">
        <v>2014.0</v>
      </c>
      <c r="AO1119" s="1" t="s">
        <v>229</v>
      </c>
    </row>
    <row r="1120">
      <c r="A1120" s="5">
        <v>1.0</v>
      </c>
      <c r="B1120" s="1">
        <f t="shared" si="1"/>
        <v>1120</v>
      </c>
      <c r="C1120" s="1" t="s">
        <v>2569</v>
      </c>
      <c r="D1120" s="1" t="s">
        <v>2569</v>
      </c>
      <c r="E1120" s="1">
        <v>8653.0</v>
      </c>
      <c r="G1120" s="1">
        <v>2479602.0</v>
      </c>
      <c r="H1120" s="2">
        <v>41558.0</v>
      </c>
      <c r="I1120" s="1" t="s">
        <v>2570</v>
      </c>
      <c r="K1120" s="1" t="s">
        <v>2570</v>
      </c>
      <c r="N1120" s="1" t="s">
        <v>102</v>
      </c>
      <c r="O1120" s="1">
        <v>8600.0</v>
      </c>
      <c r="P1120" s="1" t="s">
        <v>102</v>
      </c>
      <c r="Q1120" s="1" t="str">
        <f>IF(ISERROR(VLOOKUP(P1120,'unique fed agency names'!A:C,3,FALSE)),P1120,VLOOKUP(P1120,'unique fed agency names'!A:C,3,FALSE))
</f>
        <v>U.S. Department of Housing and Urban Development (HUD)</v>
      </c>
      <c r="R1120" s="1">
        <v>3.8775243E7</v>
      </c>
      <c r="S1120" s="1" t="s">
        <v>209</v>
      </c>
      <c r="T1120" s="1" t="str">
        <f>IF(ISERROR(VLOOKUP(S1120,'unique org names'!A:C,3,FALSE)),S1120,VLOOKUP(S1120,'unique org names'!A:C,3,FALSE))
</f>
        <v>SOUTHEASTERN MICHIGAN HEALTH ASSOCIATION</v>
      </c>
      <c r="U1120" s="1" t="s">
        <v>210</v>
      </c>
      <c r="V1120" s="1" t="s">
        <v>211</v>
      </c>
      <c r="W1120" s="1" t="s">
        <v>44</v>
      </c>
      <c r="X1120" s="1" t="s">
        <v>45</v>
      </c>
      <c r="Y1120" s="1">
        <v>4.82023068E8</v>
      </c>
      <c r="AA1120" s="1" t="s">
        <v>46</v>
      </c>
      <c r="AB1120" s="1" t="s">
        <v>45</v>
      </c>
      <c r="AC1120" s="1">
        <v>4.82023068E8</v>
      </c>
      <c r="AD1120" s="1">
        <v>3.8775243E7</v>
      </c>
      <c r="AE1120" s="1" t="s">
        <v>209</v>
      </c>
      <c r="AF1120" s="1">
        <v>81646.0</v>
      </c>
      <c r="AG1120" s="2">
        <v>41558.0</v>
      </c>
      <c r="AH1120" s="1">
        <v>8600.0</v>
      </c>
      <c r="AI1120" s="1" t="s">
        <v>102</v>
      </c>
      <c r="AJ1120" s="1">
        <v>2.0140691E7</v>
      </c>
      <c r="AK1120" s="1" t="s">
        <v>2571</v>
      </c>
      <c r="AL1120" s="1">
        <v>10.0</v>
      </c>
      <c r="AM1120" s="1">
        <v>2011.0</v>
      </c>
      <c r="AN1120" s="1">
        <v>2014.0</v>
      </c>
      <c r="AO1120" s="1" t="s">
        <v>2572</v>
      </c>
    </row>
    <row r="1121">
      <c r="A1121" s="5">
        <v>1.0</v>
      </c>
      <c r="B1121" s="1">
        <f t="shared" si="1"/>
        <v>1121</v>
      </c>
      <c r="C1121" s="1" t="s">
        <v>2576</v>
      </c>
      <c r="D1121" s="1" t="s">
        <v>2576</v>
      </c>
      <c r="E1121" s="1" t="s">
        <v>38</v>
      </c>
      <c r="G1121" s="1">
        <v>1982191.0</v>
      </c>
      <c r="H1121" s="2">
        <v>41254.0</v>
      </c>
      <c r="I1121" s="1" t="s">
        <v>2577</v>
      </c>
      <c r="K1121" s="1" t="s">
        <v>2577</v>
      </c>
      <c r="N1121" s="1" t="s">
        <v>40</v>
      </c>
      <c r="O1121" s="1">
        <v>7500.0</v>
      </c>
      <c r="P1121" s="1" t="s">
        <v>40</v>
      </c>
      <c r="Q1121" s="1" t="str">
        <f>IF(ISERROR(VLOOKUP(P1121,'unique fed agency names'!A:C,3,FALSE)),P1121,VLOOKUP(P1121,'unique fed agency names'!A:C,3,FALSE))
</f>
        <v>U.S. Department of Health and Human Services (DHHS)</v>
      </c>
      <c r="R1121" s="1">
        <v>7.3134603E7</v>
      </c>
      <c r="S1121" s="1" t="s">
        <v>41</v>
      </c>
      <c r="T1121" s="1" t="str">
        <f>IF(ISERROR(VLOOKUP(S1121,'unique org names'!A:C,3,FALSE)),S1121,VLOOKUP(S1121,'unique org names'!A:C,3,FALSE))
</f>
        <v>Henry Ford Health System</v>
      </c>
      <c r="U1121" s="1" t="s">
        <v>252</v>
      </c>
      <c r="V1121" s="1" t="s">
        <v>253</v>
      </c>
      <c r="W1121" s="1" t="s">
        <v>44</v>
      </c>
      <c r="X1121" s="1" t="s">
        <v>45</v>
      </c>
      <c r="Y1121" s="1">
        <v>4.8202345E8</v>
      </c>
      <c r="AA1121" s="1" t="s">
        <v>2578</v>
      </c>
      <c r="AB1121" s="1" t="s">
        <v>45</v>
      </c>
      <c r="AC1121" s="1">
        <v>4.81091287E8</v>
      </c>
      <c r="AD1121" s="1">
        <v>7.3134603E7</v>
      </c>
      <c r="AE1121" s="1" t="s">
        <v>41</v>
      </c>
      <c r="AF1121" s="1">
        <v>168466.0</v>
      </c>
      <c r="AG1121" s="2">
        <v>41254.0</v>
      </c>
      <c r="AH1121" s="1">
        <v>7500.0</v>
      </c>
      <c r="AI1121" s="1" t="s">
        <v>40</v>
      </c>
      <c r="AJ1121" s="1" t="s">
        <v>2579</v>
      </c>
      <c r="AK1121" s="1" t="s">
        <v>2580</v>
      </c>
      <c r="AL1121" s="1">
        <v>12.0</v>
      </c>
      <c r="AM1121" s="1">
        <v>2012.0</v>
      </c>
      <c r="AN1121" s="1">
        <v>2013.0</v>
      </c>
      <c r="AO1121" s="1" t="s">
        <v>1558</v>
      </c>
    </row>
    <row r="1122">
      <c r="A1122" s="5">
        <v>1.0</v>
      </c>
      <c r="B1122" s="1">
        <f t="shared" si="1"/>
        <v>1122</v>
      </c>
      <c r="C1122" s="1" t="s">
        <v>2581</v>
      </c>
      <c r="D1122" s="1" t="s">
        <v>2581</v>
      </c>
      <c r="E1122" s="1" t="s">
        <v>645</v>
      </c>
      <c r="G1122" s="1">
        <v>1.25839776E8</v>
      </c>
      <c r="H1122" s="2">
        <v>41795.0</v>
      </c>
      <c r="I1122" s="1" t="s">
        <v>958</v>
      </c>
      <c r="K1122" s="1" t="s">
        <v>958</v>
      </c>
      <c r="N1122" s="1" t="s">
        <v>647</v>
      </c>
      <c r="O1122" s="1">
        <v>1200.0</v>
      </c>
      <c r="P1122" s="1" t="s">
        <v>647</v>
      </c>
      <c r="Q1122" s="1" t="str">
        <f>IF(ISERROR(VLOOKUP(P1122,'unique fed agency names'!A:C,3,FALSE)),P1122,VLOOKUP(P1122,'unique fed agency names'!A:C,3,FALSE))
</f>
        <v>U.S. Department of Agriculture (USDA)</v>
      </c>
      <c r="R1122" s="1">
        <v>9.68755756E8</v>
      </c>
      <c r="S1122" s="1" t="s">
        <v>1806</v>
      </c>
      <c r="T1122" s="1" t="str">
        <f>IF(ISERROR(VLOOKUP(S1122,'unique org names'!A:C,3,FALSE)),S1122,VLOOKUP(S1122,'unique org names'!A:C,3,FALSE))
</f>
        <v>Detroit Employment Solutions Corporation</v>
      </c>
      <c r="V1122" s="1" t="s">
        <v>1807</v>
      </c>
      <c r="W1122" s="1" t="s">
        <v>44</v>
      </c>
      <c r="X1122" s="1" t="s">
        <v>45</v>
      </c>
      <c r="Y1122" s="1">
        <v>4.82262917E8</v>
      </c>
      <c r="AA1122" s="1" t="s">
        <v>46</v>
      </c>
      <c r="AB1122" s="1" t="s">
        <v>45</v>
      </c>
      <c r="AC1122" s="1">
        <v>4.82022943E8</v>
      </c>
      <c r="AF1122" s="1">
        <v>643120.0</v>
      </c>
      <c r="AG1122" s="2">
        <v>41795.0</v>
      </c>
      <c r="AH1122" s="1">
        <v>1200.0</v>
      </c>
      <c r="AI1122" s="1" t="s">
        <v>647</v>
      </c>
      <c r="AJ1122" s="1" t="s">
        <v>2582</v>
      </c>
      <c r="AK1122" s="1" t="s">
        <v>2583</v>
      </c>
      <c r="AL1122" s="1">
        <v>6.0</v>
      </c>
      <c r="AM1122" s="1">
        <v>2014.0</v>
      </c>
      <c r="AN1122" s="1">
        <v>2014.0</v>
      </c>
      <c r="AO1122" s="1" t="s">
        <v>961</v>
      </c>
    </row>
    <row r="1123">
      <c r="A1123" s="5">
        <v>1.0</v>
      </c>
      <c r="B1123" s="1">
        <f t="shared" si="1"/>
        <v>1123</v>
      </c>
      <c r="C1123" s="1" t="s">
        <v>2584</v>
      </c>
      <c r="D1123" s="1" t="s">
        <v>2584</v>
      </c>
      <c r="E1123" s="1" t="s">
        <v>129</v>
      </c>
      <c r="G1123" s="1">
        <v>5024418.0</v>
      </c>
      <c r="H1123" s="2">
        <v>41821.0</v>
      </c>
      <c r="I1123" s="1" t="s">
        <v>2585</v>
      </c>
      <c r="K1123" s="1" t="s">
        <v>2585</v>
      </c>
      <c r="N1123" s="1" t="s">
        <v>40</v>
      </c>
      <c r="O1123" s="1">
        <v>7500.0</v>
      </c>
      <c r="P1123" s="1" t="s">
        <v>40</v>
      </c>
      <c r="Q1123" s="1" t="str">
        <f>IF(ISERROR(VLOOKUP(P1123,'unique fed agency names'!A:C,3,FALSE)),P1123,VLOOKUP(P1123,'unique fed agency names'!A:C,3,FALSE))
</f>
        <v>U.S. Department of Health and Human Services (DHHS)</v>
      </c>
      <c r="R1123" s="1">
        <v>9.68755756E8</v>
      </c>
      <c r="S1123" s="1" t="s">
        <v>1806</v>
      </c>
      <c r="T1123" s="1" t="str">
        <f>IF(ISERROR(VLOOKUP(S1123,'unique org names'!A:C,3,FALSE)),S1123,VLOOKUP(S1123,'unique org names'!A:C,3,FALSE))
</f>
        <v>Detroit Employment Solutions Corporation</v>
      </c>
      <c r="V1123" s="1" t="s">
        <v>1807</v>
      </c>
      <c r="W1123" s="1" t="s">
        <v>44</v>
      </c>
      <c r="X1123" s="1" t="s">
        <v>45</v>
      </c>
      <c r="Y1123" s="1">
        <v>4.82262917E8</v>
      </c>
      <c r="AA1123" s="1" t="s">
        <v>46</v>
      </c>
      <c r="AB1123" s="1" t="s">
        <v>45</v>
      </c>
      <c r="AC1123" s="1">
        <v>4.82022943E8</v>
      </c>
      <c r="AF1123" s="1">
        <v>240000.0</v>
      </c>
      <c r="AG1123" s="2">
        <v>41821.0</v>
      </c>
      <c r="AH1123" s="1">
        <v>7500.0</v>
      </c>
      <c r="AI1123" s="1" t="s">
        <v>40</v>
      </c>
      <c r="AJ1123" s="1" t="s">
        <v>2586</v>
      </c>
      <c r="AK1123" s="1" t="s">
        <v>2587</v>
      </c>
      <c r="AL1123" s="1">
        <v>7.0</v>
      </c>
      <c r="AM1123" s="1">
        <v>2014.0</v>
      </c>
      <c r="AN1123" s="1">
        <v>2014.0</v>
      </c>
      <c r="AO1123" s="1" t="s">
        <v>2588</v>
      </c>
    </row>
    <row r="1124">
      <c r="A1124" s="5">
        <v>1.0</v>
      </c>
      <c r="B1124" s="1">
        <f t="shared" si="1"/>
        <v>1124</v>
      </c>
      <c r="C1124" s="1" t="s">
        <v>2589</v>
      </c>
      <c r="D1124" s="1" t="s">
        <v>2589</v>
      </c>
      <c r="E1124" s="1" t="s">
        <v>70</v>
      </c>
      <c r="G1124" s="1">
        <v>1543414.0</v>
      </c>
      <c r="H1124" s="2">
        <v>41547.0</v>
      </c>
      <c r="I1124" s="1" t="s">
        <v>2590</v>
      </c>
      <c r="K1124" s="1" t="s">
        <v>2590</v>
      </c>
      <c r="N1124" s="1" t="s">
        <v>72</v>
      </c>
      <c r="O1124" s="1">
        <v>1500.0</v>
      </c>
      <c r="P1124" s="1" t="s">
        <v>72</v>
      </c>
      <c r="Q1124" s="1" t="str">
        <f>IF(ISERROR(VLOOKUP(P1124,'unique fed agency names'!A:C,3,FALSE)),P1124,VLOOKUP(P1124,'unique fed agency names'!A:C,3,FALSE))
</f>
        <v>U.S. Department of Justice (DOJ)</v>
      </c>
      <c r="R1124" s="1">
        <v>1.37199266E8</v>
      </c>
      <c r="S1124" s="1" t="s">
        <v>73</v>
      </c>
      <c r="T1124" s="1" t="str">
        <f>IF(ISERROR(VLOOKUP(S1124,'unique org names'!A:C,3,FALSE)),S1124,VLOOKUP(S1124,'unique org names'!A:C,3,FALSE))
</f>
        <v>City Of Detroit</v>
      </c>
      <c r="U1124" s="1" t="s">
        <v>74</v>
      </c>
      <c r="V1124" s="1" t="s">
        <v>75</v>
      </c>
      <c r="W1124" s="1" t="s">
        <v>44</v>
      </c>
      <c r="X1124" s="1" t="s">
        <v>45</v>
      </c>
      <c r="Y1124" s="1">
        <v>4.82262308E8</v>
      </c>
      <c r="AA1124" s="1" t="s">
        <v>46</v>
      </c>
      <c r="AB1124" s="1" t="s">
        <v>45</v>
      </c>
      <c r="AC1124" s="1">
        <v>4.82262503E8</v>
      </c>
      <c r="AD1124" s="1">
        <v>6530661.0</v>
      </c>
      <c r="AE1124" s="1" t="s">
        <v>76</v>
      </c>
      <c r="AF1124" s="1">
        <v>1077759.0</v>
      </c>
      <c r="AG1124" s="2">
        <v>41547.0</v>
      </c>
      <c r="AH1124" s="1">
        <v>1500.0</v>
      </c>
      <c r="AI1124" s="1" t="s">
        <v>72</v>
      </c>
      <c r="AJ1124" s="1" t="s">
        <v>2589</v>
      </c>
      <c r="AK1124" s="1" t="s">
        <v>2591</v>
      </c>
      <c r="AL1124" s="1">
        <v>7.0</v>
      </c>
      <c r="AM1124" s="1">
        <v>2014.0</v>
      </c>
      <c r="AN1124" s="1">
        <v>2013.0</v>
      </c>
      <c r="AO1124" s="1" t="s">
        <v>79</v>
      </c>
    </row>
    <row r="1125">
      <c r="A1125" s="5">
        <v>1.0</v>
      </c>
      <c r="B1125" s="1">
        <f t="shared" si="1"/>
        <v>1125</v>
      </c>
      <c r="C1125" s="1" t="s">
        <v>2592</v>
      </c>
      <c r="D1125" s="1" t="s">
        <v>2592</v>
      </c>
      <c r="E1125" s="1" t="s">
        <v>129</v>
      </c>
      <c r="G1125" s="1">
        <v>2.03576512E8</v>
      </c>
      <c r="H1125" s="2">
        <v>41548.0</v>
      </c>
      <c r="I1125" s="1" t="s">
        <v>2593</v>
      </c>
      <c r="K1125" s="1" t="s">
        <v>2593</v>
      </c>
      <c r="N1125" s="1" t="s">
        <v>40</v>
      </c>
      <c r="O1125" s="1">
        <v>7500.0</v>
      </c>
      <c r="P1125" s="1" t="s">
        <v>40</v>
      </c>
      <c r="Q1125" s="1" t="str">
        <f>IF(ISERROR(VLOOKUP(P1125,'unique fed agency names'!A:C,3,FALSE)),P1125,VLOOKUP(P1125,'unique fed agency names'!A:C,3,FALSE))
</f>
        <v>U.S. Department of Health and Human Services (DHHS)</v>
      </c>
      <c r="R1125" s="1">
        <v>6.16950861E8</v>
      </c>
      <c r="S1125" s="1" t="s">
        <v>1084</v>
      </c>
      <c r="T1125" s="1" t="str">
        <f>IF(ISERROR(VLOOKUP(S1125,'unique org names'!A:C,3,FALSE)),S1125,VLOOKUP(S1125,'unique org names'!A:C,3,FALSE))
</f>
        <v>JUDICIARY COURTS OF THE STATE OF MICHIGAN</v>
      </c>
      <c r="U1125" s="1" t="s">
        <v>2594</v>
      </c>
      <c r="V1125" s="1" t="s">
        <v>2595</v>
      </c>
      <c r="W1125" s="1" t="s">
        <v>44</v>
      </c>
      <c r="X1125" s="1" t="s">
        <v>45</v>
      </c>
      <c r="Y1125" s="1">
        <v>4.82264017E8</v>
      </c>
      <c r="AA1125" s="1" t="s">
        <v>44</v>
      </c>
      <c r="AB1125" s="1" t="s">
        <v>45</v>
      </c>
      <c r="AC1125" s="1">
        <v>4.88264105E8</v>
      </c>
      <c r="AD1125" s="1">
        <v>5.4698428E7</v>
      </c>
      <c r="AF1125" s="3">
        <v>1.704157752E7</v>
      </c>
      <c r="AG1125" s="2">
        <v>41548.0</v>
      </c>
      <c r="AH1125" s="1">
        <v>7500.0</v>
      </c>
      <c r="AI1125" s="1" t="s">
        <v>40</v>
      </c>
      <c r="AJ1125" s="1" t="s">
        <v>2596</v>
      </c>
      <c r="AK1125" s="1" t="s">
        <v>2597</v>
      </c>
      <c r="AL1125" s="1">
        <v>10.0</v>
      </c>
      <c r="AM1125" s="1">
        <v>2013.0</v>
      </c>
      <c r="AN1125" s="1">
        <v>2014.0</v>
      </c>
      <c r="AO1125" s="1" t="s">
        <v>2598</v>
      </c>
    </row>
    <row r="1126">
      <c r="A1126" s="5">
        <v>1.0</v>
      </c>
      <c r="B1126" s="1">
        <f t="shared" si="1"/>
        <v>1126</v>
      </c>
      <c r="C1126" s="1" t="s">
        <v>2599</v>
      </c>
      <c r="D1126" s="1" t="s">
        <v>2599</v>
      </c>
      <c r="E1126" s="1" t="s">
        <v>70</v>
      </c>
      <c r="G1126" s="1">
        <v>1003921.0</v>
      </c>
      <c r="H1126" s="2">
        <v>41365.0</v>
      </c>
      <c r="I1126" s="1" t="s">
        <v>2600</v>
      </c>
      <c r="K1126" s="1" t="s">
        <v>2600</v>
      </c>
      <c r="N1126" s="1" t="s">
        <v>72</v>
      </c>
      <c r="O1126" s="1">
        <v>1500.0</v>
      </c>
      <c r="P1126" s="1" t="s">
        <v>72</v>
      </c>
      <c r="Q1126" s="1" t="str">
        <f>IF(ISERROR(VLOOKUP(P1126,'unique fed agency names'!A:C,3,FALSE)),P1126,VLOOKUP(P1126,'unique fed agency names'!A:C,3,FALSE))
</f>
        <v>U.S. Department of Justice (DOJ)</v>
      </c>
      <c r="R1126" s="1">
        <v>7.3134884E7</v>
      </c>
      <c r="S1126" s="1" t="s">
        <v>1796</v>
      </c>
      <c r="T1126" s="1" t="str">
        <f>IF(ISERROR(VLOOKUP(S1126,'unique org names'!A:C,3,FALSE)),S1126,VLOOKUP(S1126,'unique org names'!A:C,3,FALSE))
</f>
        <v>Wayne County</v>
      </c>
      <c r="V1126" s="1" t="s">
        <v>1855</v>
      </c>
      <c r="W1126" s="1" t="s">
        <v>44</v>
      </c>
      <c r="X1126" s="1" t="s">
        <v>45</v>
      </c>
      <c r="Y1126" s="1">
        <v>48226.0</v>
      </c>
      <c r="AA1126" s="1" t="s">
        <v>44</v>
      </c>
      <c r="AB1126" s="1" t="s">
        <v>45</v>
      </c>
      <c r="AC1126" s="1">
        <v>4.8226348E8</v>
      </c>
      <c r="AD1126" s="1">
        <v>7.3134884E7</v>
      </c>
      <c r="AE1126" s="1" t="s">
        <v>1796</v>
      </c>
      <c r="AF1126" s="1">
        <v>112074.0</v>
      </c>
      <c r="AG1126" s="2">
        <v>41365.0</v>
      </c>
      <c r="AH1126" s="1">
        <v>1500.0</v>
      </c>
      <c r="AI1126" s="1" t="s">
        <v>72</v>
      </c>
      <c r="AJ1126" s="1" t="s">
        <v>1964</v>
      </c>
      <c r="AK1126" s="1" t="s">
        <v>2601</v>
      </c>
      <c r="AL1126" s="1">
        <v>5.0</v>
      </c>
      <c r="AM1126" s="1">
        <v>2014.0</v>
      </c>
      <c r="AN1126" s="1">
        <v>2013.0</v>
      </c>
      <c r="AO1126" s="1" t="s">
        <v>407</v>
      </c>
    </row>
    <row r="1127">
      <c r="A1127" s="5">
        <v>1.0</v>
      </c>
      <c r="B1127" s="1">
        <f t="shared" si="1"/>
        <v>1127</v>
      </c>
      <c r="C1127" s="1" t="s">
        <v>1271</v>
      </c>
      <c r="D1127" s="1" t="s">
        <v>1271</v>
      </c>
      <c r="E1127" s="1" t="s">
        <v>129</v>
      </c>
      <c r="G1127" s="1">
        <v>4.9392104E7</v>
      </c>
      <c r="H1127" s="2">
        <v>41548.0</v>
      </c>
      <c r="I1127" s="1" t="s">
        <v>1272</v>
      </c>
      <c r="K1127" s="1" t="s">
        <v>1272</v>
      </c>
      <c r="N1127" s="1" t="s">
        <v>40</v>
      </c>
      <c r="O1127" s="1">
        <v>7500.0</v>
      </c>
      <c r="P1127" s="1" t="s">
        <v>40</v>
      </c>
      <c r="Q1127" s="1" t="str">
        <f>IF(ISERROR(VLOOKUP(P1127,'unique fed agency names'!A:C,3,FALSE)),P1127,VLOOKUP(P1127,'unique fed agency names'!A:C,3,FALSE))
</f>
        <v>U.S. Department of Health and Human Services (DHHS)</v>
      </c>
      <c r="R1127" s="1">
        <v>2.0830303E7</v>
      </c>
      <c r="S1127" s="1" t="s">
        <v>424</v>
      </c>
      <c r="T1127" s="1" t="str">
        <f>IF(ISERROR(VLOOKUP(S1127,'unique org names'!A:C,3,FALSE)),S1127,VLOOKUP(S1127,'unique org names'!A:C,3,FALSE))
</f>
        <v>MATRIX HUMAN SERVICES</v>
      </c>
      <c r="U1127" s="1" t="s">
        <v>425</v>
      </c>
      <c r="V1127" s="1" t="s">
        <v>426</v>
      </c>
      <c r="W1127" s="1" t="s">
        <v>44</v>
      </c>
      <c r="X1127" s="1" t="s">
        <v>45</v>
      </c>
      <c r="Y1127" s="1">
        <v>4.82012002E8</v>
      </c>
      <c r="AA1127" s="1" t="s">
        <v>44</v>
      </c>
      <c r="AB1127" s="1" t="s">
        <v>45</v>
      </c>
      <c r="AC1127" s="1">
        <v>4.82012002E8</v>
      </c>
      <c r="AD1127" s="1">
        <v>2.0830303E7</v>
      </c>
      <c r="AE1127" s="1" t="s">
        <v>424</v>
      </c>
      <c r="AF1127" s="1">
        <v>178657.19</v>
      </c>
      <c r="AG1127" s="2">
        <v>41548.0</v>
      </c>
      <c r="AH1127" s="1">
        <v>7500.0</v>
      </c>
      <c r="AI1127" s="1" t="s">
        <v>40</v>
      </c>
      <c r="AJ1127" s="1" t="s">
        <v>1273</v>
      </c>
      <c r="AK1127" s="1" t="s">
        <v>1274</v>
      </c>
      <c r="AL1127" s="1">
        <v>3.0</v>
      </c>
      <c r="AM1127" s="1">
        <v>2014.0</v>
      </c>
      <c r="AN1127" s="1">
        <v>2014.0</v>
      </c>
      <c r="AO1127" s="1" t="s">
        <v>1275</v>
      </c>
    </row>
    <row r="1128">
      <c r="A1128" s="5">
        <v>1.0</v>
      </c>
      <c r="B1128" s="1">
        <f t="shared" si="1"/>
        <v>1128</v>
      </c>
      <c r="C1128" s="1" t="s">
        <v>1271</v>
      </c>
      <c r="D1128" s="1" t="s">
        <v>1271</v>
      </c>
      <c r="E1128" s="1" t="s">
        <v>129</v>
      </c>
      <c r="G1128" s="1">
        <v>4.9392104E7</v>
      </c>
      <c r="H1128" s="2">
        <v>41548.0</v>
      </c>
      <c r="I1128" s="1" t="s">
        <v>1272</v>
      </c>
      <c r="K1128" s="1" t="s">
        <v>1272</v>
      </c>
      <c r="N1128" s="1" t="s">
        <v>40</v>
      </c>
      <c r="O1128" s="1">
        <v>7500.0</v>
      </c>
      <c r="P1128" s="1" t="s">
        <v>40</v>
      </c>
      <c r="Q1128" s="1" t="str">
        <f>IF(ISERROR(VLOOKUP(P1128,'unique fed agency names'!A:C,3,FALSE)),P1128,VLOOKUP(P1128,'unique fed agency names'!A:C,3,FALSE))
</f>
        <v>U.S. Department of Health and Human Services (DHHS)</v>
      </c>
      <c r="R1128" s="1">
        <v>2.0830303E7</v>
      </c>
      <c r="S1128" s="1" t="s">
        <v>424</v>
      </c>
      <c r="T1128" s="1" t="str">
        <f>IF(ISERROR(VLOOKUP(S1128,'unique org names'!A:C,3,FALSE)),S1128,VLOOKUP(S1128,'unique org names'!A:C,3,FALSE))
</f>
        <v>MATRIX HUMAN SERVICES</v>
      </c>
      <c r="U1128" s="1" t="s">
        <v>425</v>
      </c>
      <c r="V1128" s="1" t="s">
        <v>426</v>
      </c>
      <c r="W1128" s="1" t="s">
        <v>44</v>
      </c>
      <c r="X1128" s="1" t="s">
        <v>45</v>
      </c>
      <c r="Y1128" s="1">
        <v>4.82012002E8</v>
      </c>
      <c r="AA1128" s="1" t="s">
        <v>44</v>
      </c>
      <c r="AB1128" s="1" t="s">
        <v>45</v>
      </c>
      <c r="AC1128" s="1">
        <v>4.82012002E8</v>
      </c>
      <c r="AD1128" s="1">
        <v>2.0830303E7</v>
      </c>
      <c r="AE1128" s="1" t="s">
        <v>424</v>
      </c>
      <c r="AF1128" s="1">
        <v>375015.0</v>
      </c>
      <c r="AG1128" s="2">
        <v>41548.0</v>
      </c>
      <c r="AH1128" s="1">
        <v>7500.0</v>
      </c>
      <c r="AI1128" s="1" t="s">
        <v>40</v>
      </c>
      <c r="AJ1128" s="1" t="s">
        <v>1273</v>
      </c>
      <c r="AK1128" s="1" t="s">
        <v>1274</v>
      </c>
      <c r="AL1128" s="1">
        <v>3.0</v>
      </c>
      <c r="AM1128" s="1">
        <v>2014.0</v>
      </c>
      <c r="AN1128" s="1">
        <v>2014.0</v>
      </c>
      <c r="AO1128" s="1" t="s">
        <v>1275</v>
      </c>
    </row>
    <row r="1129">
      <c r="A1129" s="5">
        <v>1.0</v>
      </c>
      <c r="B1129" s="1">
        <f t="shared" si="1"/>
        <v>1129</v>
      </c>
      <c r="C1129" s="1" t="s">
        <v>1325</v>
      </c>
      <c r="D1129" s="1" t="s">
        <v>1325</v>
      </c>
      <c r="E1129" s="1" t="s">
        <v>129</v>
      </c>
      <c r="G1129" s="1">
        <v>7.7535283E8</v>
      </c>
      <c r="H1129" s="2">
        <v>41711.0</v>
      </c>
      <c r="I1129" s="1" t="s">
        <v>1326</v>
      </c>
      <c r="K1129" s="1" t="s">
        <v>1326</v>
      </c>
      <c r="N1129" s="1" t="s">
        <v>40</v>
      </c>
      <c r="O1129" s="1">
        <v>7500.0</v>
      </c>
      <c r="P1129" s="1" t="s">
        <v>40</v>
      </c>
      <c r="Q1129" s="1" t="str">
        <f>IF(ISERROR(VLOOKUP(P1129,'unique fed agency names'!A:C,3,FALSE)),P1129,VLOOKUP(P1129,'unique fed agency names'!A:C,3,FALSE))
</f>
        <v>U.S. Department of Health and Human Services (DHHS)</v>
      </c>
      <c r="R1129" s="1">
        <v>9.68755756E8</v>
      </c>
      <c r="S1129" s="1" t="s">
        <v>1806</v>
      </c>
      <c r="T1129" s="1" t="str">
        <f>IF(ISERROR(VLOOKUP(S1129,'unique org names'!A:C,3,FALSE)),S1129,VLOOKUP(S1129,'unique org names'!A:C,3,FALSE))
</f>
        <v>Detroit Employment Solutions Corporation</v>
      </c>
      <c r="V1129" s="1" t="s">
        <v>1807</v>
      </c>
      <c r="W1129" s="1" t="s">
        <v>44</v>
      </c>
      <c r="X1129" s="1" t="s">
        <v>45</v>
      </c>
      <c r="Y1129" s="1">
        <v>4.82262917E8</v>
      </c>
      <c r="AA1129" s="1" t="s">
        <v>44</v>
      </c>
      <c r="AB1129" s="1" t="s">
        <v>45</v>
      </c>
      <c r="AC1129" s="1">
        <v>4.82022943E8</v>
      </c>
      <c r="AF1129" s="1">
        <v>300000.0</v>
      </c>
      <c r="AG1129" s="2">
        <v>41711.0</v>
      </c>
      <c r="AH1129" s="1">
        <v>7500.0</v>
      </c>
      <c r="AI1129" s="1" t="s">
        <v>40</v>
      </c>
      <c r="AJ1129" s="1" t="s">
        <v>2602</v>
      </c>
      <c r="AK1129" s="1" t="s">
        <v>2603</v>
      </c>
      <c r="AL1129" s="1">
        <v>6.0</v>
      </c>
      <c r="AM1129" s="1">
        <v>2014.0</v>
      </c>
      <c r="AN1129" s="1">
        <v>2014.0</v>
      </c>
      <c r="AO1129" s="1" t="s">
        <v>385</v>
      </c>
    </row>
    <row r="1130">
      <c r="A1130" s="5">
        <v>1.0</v>
      </c>
      <c r="B1130" s="1">
        <f t="shared" si="1"/>
        <v>1130</v>
      </c>
      <c r="C1130" s="1" t="s">
        <v>1325</v>
      </c>
      <c r="D1130" s="1" t="s">
        <v>1325</v>
      </c>
      <c r="E1130" s="1" t="s">
        <v>129</v>
      </c>
      <c r="G1130" s="1">
        <v>7.7535283E8</v>
      </c>
      <c r="H1130" s="2">
        <v>41572.0</v>
      </c>
      <c r="I1130" s="1" t="s">
        <v>1326</v>
      </c>
      <c r="K1130" s="1" t="s">
        <v>1326</v>
      </c>
      <c r="N1130" s="1" t="s">
        <v>40</v>
      </c>
      <c r="O1130" s="1">
        <v>7500.0</v>
      </c>
      <c r="P1130" s="1" t="s">
        <v>40</v>
      </c>
      <c r="Q1130" s="1" t="str">
        <f>IF(ISERROR(VLOOKUP(P1130,'unique fed agency names'!A:C,3,FALSE)),P1130,VLOOKUP(P1130,'unique fed agency names'!A:C,3,FALSE))
</f>
        <v>U.S. Department of Health and Human Services (DHHS)</v>
      </c>
      <c r="R1130" s="1">
        <v>9.68755756E8</v>
      </c>
      <c r="S1130" s="1" t="s">
        <v>1806</v>
      </c>
      <c r="T1130" s="1" t="str">
        <f>IF(ISERROR(VLOOKUP(S1130,'unique org names'!A:C,3,FALSE)),S1130,VLOOKUP(S1130,'unique org names'!A:C,3,FALSE))
</f>
        <v>Detroit Employment Solutions Corporation</v>
      </c>
      <c r="V1130" s="1" t="s">
        <v>1807</v>
      </c>
      <c r="W1130" s="1" t="s">
        <v>44</v>
      </c>
      <c r="X1130" s="1" t="s">
        <v>45</v>
      </c>
      <c r="Y1130" s="1">
        <v>4.82262917E8</v>
      </c>
      <c r="AA1130" s="1" t="s">
        <v>44</v>
      </c>
      <c r="AB1130" s="1" t="s">
        <v>45</v>
      </c>
      <c r="AC1130" s="1">
        <v>4.82022943E8</v>
      </c>
      <c r="AF1130" s="1">
        <v>1.3370695E7</v>
      </c>
      <c r="AG1130" s="2">
        <v>41572.0</v>
      </c>
      <c r="AH1130" s="1">
        <v>7500.0</v>
      </c>
      <c r="AI1130" s="1" t="s">
        <v>40</v>
      </c>
      <c r="AJ1130" s="1" t="s">
        <v>2604</v>
      </c>
      <c r="AK1130" s="1" t="s">
        <v>2605</v>
      </c>
      <c r="AL1130" s="1">
        <v>6.0</v>
      </c>
      <c r="AM1130" s="1">
        <v>2014.0</v>
      </c>
      <c r="AN1130" s="1">
        <v>2014.0</v>
      </c>
      <c r="AO1130" s="1" t="s">
        <v>385</v>
      </c>
    </row>
    <row r="1131">
      <c r="A1131" s="5">
        <v>1.0</v>
      </c>
      <c r="B1131" s="1">
        <f t="shared" si="1"/>
        <v>1131</v>
      </c>
      <c r="C1131" s="1" t="s">
        <v>2606</v>
      </c>
      <c r="D1131" s="1" t="s">
        <v>2606</v>
      </c>
      <c r="E1131" s="1" t="s">
        <v>38</v>
      </c>
      <c r="G1131" s="1">
        <v>350726.0</v>
      </c>
      <c r="H1131" s="2">
        <v>41857.0</v>
      </c>
      <c r="I1131" s="1" t="s">
        <v>2607</v>
      </c>
      <c r="K1131" s="1" t="s">
        <v>2607</v>
      </c>
      <c r="N1131" s="1" t="s">
        <v>40</v>
      </c>
      <c r="O1131" s="1">
        <v>7500.0</v>
      </c>
      <c r="P1131" s="1" t="s">
        <v>40</v>
      </c>
      <c r="Q1131" s="1" t="str">
        <f>IF(ISERROR(VLOOKUP(P1131,'unique fed agency names'!A:C,3,FALSE)),P1131,VLOOKUP(P1131,'unique fed agency names'!A:C,3,FALSE))
</f>
        <v>U.S. Department of Health and Human Services (DHHS)</v>
      </c>
      <c r="R1131" s="1">
        <v>1962224.0</v>
      </c>
      <c r="S1131" s="1" t="s">
        <v>52</v>
      </c>
      <c r="T1131" s="1" t="str">
        <f>IF(ISERROR(VLOOKUP(S1131,'unique org names'!A:C,3,FALSE)),S1131,VLOOKUP(S1131,'unique org names'!A:C,3,FALSE))
</f>
        <v>WAYNE STATE UNIVERSITY</v>
      </c>
      <c r="U1131" s="1" t="s">
        <v>1566</v>
      </c>
      <c r="V1131" s="1" t="s">
        <v>53</v>
      </c>
      <c r="W1131" s="1" t="s">
        <v>44</v>
      </c>
      <c r="X1131" s="1" t="s">
        <v>45</v>
      </c>
      <c r="Y1131" s="1">
        <v>4.82023692E8</v>
      </c>
      <c r="AA1131" s="1" t="s">
        <v>46</v>
      </c>
      <c r="AB1131" s="1" t="s">
        <v>45</v>
      </c>
      <c r="AC1131" s="1">
        <v>4.8202405E8</v>
      </c>
      <c r="AD1131" s="1">
        <v>1962224.0</v>
      </c>
      <c r="AE1131" s="1" t="s">
        <v>52</v>
      </c>
      <c r="AF1131" s="1">
        <v>73757.0</v>
      </c>
      <c r="AG1131" s="2">
        <v>41857.0</v>
      </c>
      <c r="AH1131" s="1">
        <v>7500.0</v>
      </c>
      <c r="AI1131" s="1" t="s">
        <v>40</v>
      </c>
      <c r="AJ1131" s="1" t="s">
        <v>2608</v>
      </c>
      <c r="AK1131" s="1" t="s">
        <v>2609</v>
      </c>
      <c r="AL1131" s="1">
        <v>8.0</v>
      </c>
      <c r="AM1131" s="1">
        <v>2014.0</v>
      </c>
      <c r="AN1131" s="1">
        <v>2014.0</v>
      </c>
      <c r="AO1131" s="1" t="s">
        <v>372</v>
      </c>
    </row>
    <row r="1132">
      <c r="A1132" s="5">
        <v>1.0</v>
      </c>
      <c r="B1132" s="1">
        <f t="shared" si="1"/>
        <v>1132</v>
      </c>
      <c r="C1132" s="1" t="s">
        <v>1297</v>
      </c>
      <c r="D1132" s="1" t="s">
        <v>1297</v>
      </c>
      <c r="E1132" s="1" t="s">
        <v>1281</v>
      </c>
      <c r="G1132" s="1">
        <v>4867566.0</v>
      </c>
      <c r="H1132" s="2">
        <v>41248.0</v>
      </c>
      <c r="I1132" s="1" t="s">
        <v>2610</v>
      </c>
      <c r="K1132" s="1" t="s">
        <v>2610</v>
      </c>
      <c r="N1132" s="1" t="s">
        <v>1281</v>
      </c>
      <c r="O1132" s="1">
        <v>9577.0</v>
      </c>
      <c r="P1132" s="1" t="s">
        <v>1281</v>
      </c>
      <c r="Q1132" s="1" t="str">
        <f>IF(ISERROR(VLOOKUP(P1132,'unique fed agency names'!A:C,3,FALSE)),P1132,VLOOKUP(P1132,'unique fed agency names'!A:C,3,FALSE))
</f>
        <v>Corporation for National and Community Service</v>
      </c>
      <c r="R1132" s="1">
        <v>1.45406612E8</v>
      </c>
      <c r="S1132" s="1" t="s">
        <v>327</v>
      </c>
      <c r="T1132" s="1" t="str">
        <f>IF(ISERROR(VLOOKUP(S1132,'unique org names'!A:C,3,FALSE)),S1132,VLOOKUP(S1132,'unique org names'!A:C,3,FALSE))
</f>
        <v>VANGUARD COMMUNITY DEVELOPMENT CORPORATION</v>
      </c>
      <c r="V1132" s="1" t="s">
        <v>328</v>
      </c>
      <c r="W1132" s="1" t="s">
        <v>44</v>
      </c>
      <c r="X1132" s="1" t="s">
        <v>45</v>
      </c>
      <c r="Y1132" s="1">
        <v>4.82112003E8</v>
      </c>
      <c r="AA1132" s="1" t="s">
        <v>44</v>
      </c>
      <c r="AB1132" s="1" t="s">
        <v>45</v>
      </c>
      <c r="AC1132" s="1">
        <v>4.82112003E8</v>
      </c>
      <c r="AF1132" s="1">
        <v>245129.0</v>
      </c>
      <c r="AG1132" s="2">
        <v>41248.0</v>
      </c>
      <c r="AH1132" s="1">
        <v>9577.0</v>
      </c>
      <c r="AI1132" s="1" t="s">
        <v>1281</v>
      </c>
      <c r="AJ1132" s="1" t="s">
        <v>2611</v>
      </c>
      <c r="AK1132" s="1" t="s">
        <v>2612</v>
      </c>
      <c r="AL1132" s="1">
        <v>8.0</v>
      </c>
      <c r="AM1132" s="1">
        <v>2014.0</v>
      </c>
      <c r="AN1132" s="1">
        <v>2013.0</v>
      </c>
      <c r="AO1132" s="1" t="s">
        <v>1301</v>
      </c>
    </row>
    <row r="1133">
      <c r="A1133" s="5">
        <v>1.0</v>
      </c>
      <c r="B1133" s="1">
        <f t="shared" si="1"/>
        <v>1133</v>
      </c>
      <c r="C1133" s="1" t="s">
        <v>1745</v>
      </c>
      <c r="D1133" s="1" t="s">
        <v>1745</v>
      </c>
      <c r="E1133" s="1" t="s">
        <v>38</v>
      </c>
      <c r="G1133" s="1">
        <v>1347844.0</v>
      </c>
      <c r="H1133" s="2">
        <v>41859.0</v>
      </c>
      <c r="I1133" s="1" t="s">
        <v>2613</v>
      </c>
      <c r="K1133" s="1" t="s">
        <v>2613</v>
      </c>
      <c r="N1133" s="1" t="s">
        <v>40</v>
      </c>
      <c r="O1133" s="1">
        <v>7500.0</v>
      </c>
      <c r="P1133" s="1" t="s">
        <v>40</v>
      </c>
      <c r="Q1133" s="1" t="str">
        <f>IF(ISERROR(VLOOKUP(P1133,'unique fed agency names'!A:C,3,FALSE)),P1133,VLOOKUP(P1133,'unique fed agency names'!A:C,3,FALSE))
</f>
        <v>U.S. Department of Health and Human Services (DHHS)</v>
      </c>
      <c r="R1133" s="1">
        <v>1962224.0</v>
      </c>
      <c r="S1133" s="1" t="s">
        <v>52</v>
      </c>
      <c r="T1133" s="1" t="str">
        <f>IF(ISERROR(VLOOKUP(S1133,'unique org names'!A:C,3,FALSE)),S1133,VLOOKUP(S1133,'unique org names'!A:C,3,FALSE))
</f>
        <v>WAYNE STATE UNIVERSITY</v>
      </c>
      <c r="U1133" s="1" t="s">
        <v>1566</v>
      </c>
      <c r="V1133" s="1" t="s">
        <v>53</v>
      </c>
      <c r="W1133" s="1" t="s">
        <v>44</v>
      </c>
      <c r="X1133" s="1" t="s">
        <v>45</v>
      </c>
      <c r="Y1133" s="1">
        <v>4.82023692E8</v>
      </c>
      <c r="AA1133" s="1" t="s">
        <v>46</v>
      </c>
      <c r="AB1133" s="1" t="s">
        <v>45</v>
      </c>
      <c r="AC1133" s="1">
        <v>4.8202405E8</v>
      </c>
      <c r="AD1133" s="1">
        <v>1962224.0</v>
      </c>
      <c r="AE1133" s="1" t="s">
        <v>52</v>
      </c>
      <c r="AF1133" s="1">
        <v>55933.0</v>
      </c>
      <c r="AG1133" s="2">
        <v>41859.0</v>
      </c>
      <c r="AH1133" s="1">
        <v>7500.0</v>
      </c>
      <c r="AI1133" s="1" t="s">
        <v>40</v>
      </c>
      <c r="AJ1133" s="1" t="s">
        <v>1747</v>
      </c>
      <c r="AK1133" s="1" t="s">
        <v>1748</v>
      </c>
      <c r="AL1133" s="1">
        <v>8.0</v>
      </c>
      <c r="AM1133" s="1">
        <v>2014.0</v>
      </c>
      <c r="AN1133" s="1">
        <v>2014.0</v>
      </c>
      <c r="AO1133" s="1" t="s">
        <v>1749</v>
      </c>
    </row>
    <row r="1134">
      <c r="A1134" s="5">
        <v>1.0</v>
      </c>
      <c r="B1134" s="1">
        <f t="shared" si="1"/>
        <v>1134</v>
      </c>
      <c r="C1134" s="1" t="s">
        <v>1325</v>
      </c>
      <c r="D1134" s="1" t="s">
        <v>1325</v>
      </c>
      <c r="E1134" s="1" t="s">
        <v>129</v>
      </c>
      <c r="G1134" s="1">
        <v>7.7535283E8</v>
      </c>
      <c r="H1134" s="2">
        <v>41572.0</v>
      </c>
      <c r="I1134" s="1" t="s">
        <v>1326</v>
      </c>
      <c r="K1134" s="1" t="s">
        <v>1326</v>
      </c>
      <c r="N1134" s="1" t="s">
        <v>40</v>
      </c>
      <c r="O1134" s="1">
        <v>7500.0</v>
      </c>
      <c r="P1134" s="1" t="s">
        <v>40</v>
      </c>
      <c r="Q1134" s="1" t="str">
        <f>IF(ISERROR(VLOOKUP(P1134,'unique fed agency names'!A:C,3,FALSE)),P1134,VLOOKUP(P1134,'unique fed agency names'!A:C,3,FALSE))
</f>
        <v>U.S. Department of Health and Human Services (DHHS)</v>
      </c>
      <c r="R1134" s="1">
        <v>9.68755756E8</v>
      </c>
      <c r="S1134" s="1" t="s">
        <v>1806</v>
      </c>
      <c r="T1134" s="1" t="str">
        <f>IF(ISERROR(VLOOKUP(S1134,'unique org names'!A:C,3,FALSE)),S1134,VLOOKUP(S1134,'unique org names'!A:C,3,FALSE))
</f>
        <v>Detroit Employment Solutions Corporation</v>
      </c>
      <c r="V1134" s="1" t="s">
        <v>1807</v>
      </c>
      <c r="W1134" s="1" t="s">
        <v>44</v>
      </c>
      <c r="X1134" s="1" t="s">
        <v>45</v>
      </c>
      <c r="Y1134" s="1">
        <v>4.82262917E8</v>
      </c>
      <c r="AA1134" s="1" t="s">
        <v>44</v>
      </c>
      <c r="AB1134" s="1" t="s">
        <v>45</v>
      </c>
      <c r="AC1134" s="1">
        <v>4.82022943E8</v>
      </c>
      <c r="AF1134" s="1">
        <v>1.3370695E7</v>
      </c>
      <c r="AG1134" s="2">
        <v>41572.0</v>
      </c>
      <c r="AH1134" s="1">
        <v>7500.0</v>
      </c>
      <c r="AI1134" s="1" t="s">
        <v>40</v>
      </c>
      <c r="AJ1134" s="1" t="s">
        <v>2604</v>
      </c>
      <c r="AK1134" s="1" t="s">
        <v>2605</v>
      </c>
      <c r="AL1134" s="1">
        <v>7.0</v>
      </c>
      <c r="AM1134" s="1">
        <v>2014.0</v>
      </c>
      <c r="AN1134" s="1">
        <v>2014.0</v>
      </c>
      <c r="AO1134" s="1" t="s">
        <v>385</v>
      </c>
    </row>
    <row r="1135">
      <c r="A1135" s="5">
        <v>1.0</v>
      </c>
      <c r="B1135" s="1">
        <f t="shared" si="1"/>
        <v>1135</v>
      </c>
      <c r="C1135" s="1" t="s">
        <v>1337</v>
      </c>
      <c r="D1135" s="1" t="s">
        <v>1337</v>
      </c>
      <c r="E1135" s="1" t="s">
        <v>1281</v>
      </c>
      <c r="G1135" s="1">
        <v>262500.0</v>
      </c>
      <c r="H1135" s="2">
        <v>41609.0</v>
      </c>
      <c r="I1135" s="1" t="s">
        <v>1338</v>
      </c>
      <c r="K1135" s="1" t="s">
        <v>1338</v>
      </c>
      <c r="N1135" s="1" t="s">
        <v>1281</v>
      </c>
      <c r="O1135" s="1">
        <v>9577.0</v>
      </c>
      <c r="P1135" s="1" t="s">
        <v>1281</v>
      </c>
      <c r="Q1135" s="1" t="str">
        <f>IF(ISERROR(VLOOKUP(P1135,'unique fed agency names'!A:C,3,FALSE)),P1135,VLOOKUP(P1135,'unique fed agency names'!A:C,3,FALSE))
</f>
        <v>Corporation for National and Community Service</v>
      </c>
      <c r="R1135" s="1">
        <v>8.59555054E8</v>
      </c>
      <c r="S1135" s="1" t="s">
        <v>1339</v>
      </c>
      <c r="T1135" s="1" t="str">
        <f>IF(ISERROR(VLOOKUP(S1135,'unique org names'!A:C,3,FALSE)),S1135,VLOOKUP(S1135,'unique org names'!A:C,3,FALSE))
</f>
        <v>VOLUNTEERS IN PREVENTION, PROBATION AND PRISONS, INC</v>
      </c>
      <c r="U1135" s="1" t="s">
        <v>1340</v>
      </c>
      <c r="V1135" s="1" t="s">
        <v>1341</v>
      </c>
      <c r="W1135" s="1" t="s">
        <v>44</v>
      </c>
      <c r="X1135" s="1" t="s">
        <v>45</v>
      </c>
      <c r="Y1135" s="1">
        <v>4.82261656E8</v>
      </c>
      <c r="AA1135" s="1" t="s">
        <v>44</v>
      </c>
      <c r="AB1135" s="1" t="s">
        <v>45</v>
      </c>
      <c r="AC1135" s="1">
        <v>4.82241506E8</v>
      </c>
      <c r="AF1135" s="1">
        <v>55000.0</v>
      </c>
      <c r="AG1135" s="2">
        <v>41609.0</v>
      </c>
      <c r="AH1135" s="1">
        <v>9577.0</v>
      </c>
      <c r="AI1135" s="1" t="s">
        <v>1281</v>
      </c>
      <c r="AJ1135" s="1" t="s">
        <v>1342</v>
      </c>
      <c r="AK1135" s="1" t="s">
        <v>1343</v>
      </c>
      <c r="AL1135" s="1">
        <v>2.0</v>
      </c>
      <c r="AM1135" s="1">
        <v>2014.0</v>
      </c>
      <c r="AN1135" s="1">
        <v>2014.0</v>
      </c>
      <c r="AO1135" s="1" t="s">
        <v>1344</v>
      </c>
    </row>
    <row r="1136">
      <c r="A1136" s="5">
        <v>1.0</v>
      </c>
      <c r="B1136" s="1">
        <f t="shared" si="1"/>
        <v>1136</v>
      </c>
      <c r="C1136" s="1" t="s">
        <v>1297</v>
      </c>
      <c r="D1136" s="1" t="s">
        <v>1297</v>
      </c>
      <c r="E1136" s="1" t="s">
        <v>1281</v>
      </c>
      <c r="G1136" s="1">
        <v>4867566.0</v>
      </c>
      <c r="H1136" s="2">
        <v>41183.0</v>
      </c>
      <c r="I1136" s="1" t="s">
        <v>2610</v>
      </c>
      <c r="K1136" s="1" t="s">
        <v>2610</v>
      </c>
      <c r="N1136" s="1" t="s">
        <v>1281</v>
      </c>
      <c r="O1136" s="1">
        <v>9577.0</v>
      </c>
      <c r="P1136" s="1" t="s">
        <v>1281</v>
      </c>
      <c r="Q1136" s="1" t="str">
        <f>IF(ISERROR(VLOOKUP(P1136,'unique fed agency names'!A:C,3,FALSE)),P1136,VLOOKUP(P1136,'unique fed agency names'!A:C,3,FALSE))
</f>
        <v>Corporation for National and Community Service</v>
      </c>
      <c r="R1136" s="1">
        <v>1962224.0</v>
      </c>
      <c r="S1136" s="1" t="s">
        <v>52</v>
      </c>
      <c r="T1136" s="1" t="str">
        <f>IF(ISERROR(VLOOKUP(S1136,'unique org names'!A:C,3,FALSE)),S1136,VLOOKUP(S1136,'unique org names'!A:C,3,FALSE))
</f>
        <v>WAYNE STATE UNIVERSITY</v>
      </c>
      <c r="U1136" s="1" t="s">
        <v>1566</v>
      </c>
      <c r="V1136" s="1" t="s">
        <v>53</v>
      </c>
      <c r="W1136" s="1" t="s">
        <v>44</v>
      </c>
      <c r="X1136" s="1" t="s">
        <v>45</v>
      </c>
      <c r="Y1136" s="1">
        <v>4.82023692E8</v>
      </c>
      <c r="AA1136" s="1" t="s">
        <v>44</v>
      </c>
      <c r="AB1136" s="1" t="s">
        <v>45</v>
      </c>
      <c r="AC1136" s="1">
        <v>4.82023692E8</v>
      </c>
      <c r="AD1136" s="1">
        <v>1962224.0</v>
      </c>
      <c r="AE1136" s="1" t="s">
        <v>52</v>
      </c>
      <c r="AF1136" s="1">
        <v>252899.0</v>
      </c>
      <c r="AG1136" s="2">
        <v>41183.0</v>
      </c>
      <c r="AH1136" s="1">
        <v>9577.0</v>
      </c>
      <c r="AI1136" s="1" t="s">
        <v>1281</v>
      </c>
      <c r="AJ1136" s="1" t="s">
        <v>2614</v>
      </c>
      <c r="AK1136" s="1" t="s">
        <v>2612</v>
      </c>
      <c r="AL1136" s="1">
        <v>8.0</v>
      </c>
      <c r="AM1136" s="1">
        <v>2014.0</v>
      </c>
      <c r="AN1136" s="1">
        <v>2013.0</v>
      </c>
      <c r="AO1136" s="1" t="s">
        <v>1301</v>
      </c>
    </row>
    <row r="1137">
      <c r="A1137" s="5">
        <v>1.0</v>
      </c>
      <c r="B1137" s="1">
        <f t="shared" si="1"/>
        <v>1137</v>
      </c>
      <c r="C1137" s="1" t="s">
        <v>1325</v>
      </c>
      <c r="D1137" s="1" t="s">
        <v>1325</v>
      </c>
      <c r="E1137" s="1" t="s">
        <v>129</v>
      </c>
      <c r="G1137" s="1">
        <v>7.7535283E8</v>
      </c>
      <c r="H1137" s="2">
        <v>41711.0</v>
      </c>
      <c r="I1137" s="1" t="s">
        <v>1326</v>
      </c>
      <c r="K1137" s="1" t="s">
        <v>1326</v>
      </c>
      <c r="N1137" s="1" t="s">
        <v>40</v>
      </c>
      <c r="O1137" s="1">
        <v>7500.0</v>
      </c>
      <c r="P1137" s="1" t="s">
        <v>40</v>
      </c>
      <c r="Q1137" s="1" t="str">
        <f>IF(ISERROR(VLOOKUP(P1137,'unique fed agency names'!A:C,3,FALSE)),P1137,VLOOKUP(P1137,'unique fed agency names'!A:C,3,FALSE))
</f>
        <v>U.S. Department of Health and Human Services (DHHS)</v>
      </c>
      <c r="R1137" s="1">
        <v>9.68755756E8</v>
      </c>
      <c r="S1137" s="1" t="s">
        <v>1806</v>
      </c>
      <c r="T1137" s="1" t="str">
        <f>IF(ISERROR(VLOOKUP(S1137,'unique org names'!A:C,3,FALSE)),S1137,VLOOKUP(S1137,'unique org names'!A:C,3,FALSE))
</f>
        <v>Detroit Employment Solutions Corporation</v>
      </c>
      <c r="V1137" s="1" t="s">
        <v>1807</v>
      </c>
      <c r="W1137" s="1" t="s">
        <v>44</v>
      </c>
      <c r="X1137" s="1" t="s">
        <v>45</v>
      </c>
      <c r="Y1137" s="1">
        <v>4.82262917E8</v>
      </c>
      <c r="AA1137" s="1" t="s">
        <v>44</v>
      </c>
      <c r="AB1137" s="1" t="s">
        <v>45</v>
      </c>
      <c r="AC1137" s="1">
        <v>4.82022943E8</v>
      </c>
      <c r="AF1137" s="1">
        <v>300000.0</v>
      </c>
      <c r="AG1137" s="2">
        <v>41711.0</v>
      </c>
      <c r="AH1137" s="1">
        <v>7500.0</v>
      </c>
      <c r="AI1137" s="1" t="s">
        <v>40</v>
      </c>
      <c r="AJ1137" s="1" t="s">
        <v>2602</v>
      </c>
      <c r="AK1137" s="1" t="s">
        <v>2603</v>
      </c>
      <c r="AL1137" s="1">
        <v>7.0</v>
      </c>
      <c r="AM1137" s="1">
        <v>2014.0</v>
      </c>
      <c r="AN1137" s="1">
        <v>2014.0</v>
      </c>
      <c r="AO1137" s="1" t="s">
        <v>385</v>
      </c>
    </row>
    <row r="1138">
      <c r="A1138" s="5">
        <v>1.0</v>
      </c>
      <c r="B1138" s="1">
        <f t="shared" si="1"/>
        <v>1138</v>
      </c>
      <c r="C1138" s="1" t="s">
        <v>2615</v>
      </c>
      <c r="D1138" s="1" t="s">
        <v>2615</v>
      </c>
      <c r="E1138" s="1" t="s">
        <v>38</v>
      </c>
      <c r="G1138" s="1">
        <v>1616955.0</v>
      </c>
      <c r="H1138" s="2">
        <v>41845.0</v>
      </c>
      <c r="I1138" s="1" t="s">
        <v>2616</v>
      </c>
      <c r="K1138" s="1" t="s">
        <v>2616</v>
      </c>
      <c r="N1138" s="1" t="s">
        <v>40</v>
      </c>
      <c r="O1138" s="1">
        <v>7500.0</v>
      </c>
      <c r="P1138" s="1" t="s">
        <v>40</v>
      </c>
      <c r="Q1138" s="1" t="str">
        <f>IF(ISERROR(VLOOKUP(P1138,'unique fed agency names'!A:C,3,FALSE)),P1138,VLOOKUP(P1138,'unique fed agency names'!A:C,3,FALSE))
</f>
        <v>U.S. Department of Health and Human Services (DHHS)</v>
      </c>
      <c r="R1138" s="1">
        <v>7.3134603E7</v>
      </c>
      <c r="S1138" s="1" t="s">
        <v>41</v>
      </c>
      <c r="T1138" s="1" t="str">
        <f>IF(ISERROR(VLOOKUP(S1138,'unique org names'!A:C,3,FALSE)),S1138,VLOOKUP(S1138,'unique org names'!A:C,3,FALSE))
</f>
        <v>Henry Ford Health System</v>
      </c>
      <c r="U1138" s="1" t="s">
        <v>252</v>
      </c>
      <c r="V1138" s="1" t="s">
        <v>253</v>
      </c>
      <c r="W1138" s="1" t="s">
        <v>44</v>
      </c>
      <c r="X1138" s="1" t="s">
        <v>45</v>
      </c>
      <c r="Y1138" s="1">
        <v>4.8202345E8</v>
      </c>
      <c r="AA1138" s="1" t="s">
        <v>2617</v>
      </c>
      <c r="AB1138" s="1" t="s">
        <v>45</v>
      </c>
      <c r="AC1138" s="1">
        <v>4.82022689E8</v>
      </c>
      <c r="AD1138" s="1">
        <v>7.3134603E7</v>
      </c>
      <c r="AF1138" s="1">
        <v>139403.0</v>
      </c>
      <c r="AG1138" s="2">
        <v>41845.0</v>
      </c>
      <c r="AH1138" s="1">
        <v>7500.0</v>
      </c>
      <c r="AI1138" s="1" t="s">
        <v>40</v>
      </c>
      <c r="AJ1138" s="1">
        <v>757757.0</v>
      </c>
      <c r="AK1138" s="1" t="s">
        <v>349</v>
      </c>
      <c r="AL1138" s="1">
        <v>7.0</v>
      </c>
      <c r="AM1138" s="1">
        <v>2014.0</v>
      </c>
      <c r="AN1138" s="1">
        <v>2014.0</v>
      </c>
      <c r="AO1138" s="1" t="s">
        <v>2618</v>
      </c>
    </row>
    <row r="1139">
      <c r="A1139" s="5">
        <v>1.0</v>
      </c>
      <c r="B1139" s="1">
        <f t="shared" si="1"/>
        <v>1139</v>
      </c>
      <c r="C1139" s="1" t="s">
        <v>1398</v>
      </c>
      <c r="D1139" s="1" t="s">
        <v>1398</v>
      </c>
      <c r="E1139" s="1" t="s">
        <v>38</v>
      </c>
      <c r="G1139" s="1">
        <v>673692.0</v>
      </c>
      <c r="H1139" s="2">
        <v>41842.0</v>
      </c>
      <c r="I1139" s="1" t="s">
        <v>2619</v>
      </c>
      <c r="K1139" s="1" t="s">
        <v>2619</v>
      </c>
      <c r="N1139" s="1" t="s">
        <v>40</v>
      </c>
      <c r="O1139" s="1">
        <v>7500.0</v>
      </c>
      <c r="P1139" s="1" t="s">
        <v>40</v>
      </c>
      <c r="Q1139" s="1" t="str">
        <f>IF(ISERROR(VLOOKUP(P1139,'unique fed agency names'!A:C,3,FALSE)),P1139,VLOOKUP(P1139,'unique fed agency names'!A:C,3,FALSE))
</f>
        <v>U.S. Department of Health and Human Services (DHHS)</v>
      </c>
      <c r="R1139" s="1">
        <v>1962224.0</v>
      </c>
      <c r="S1139" s="1" t="s">
        <v>52</v>
      </c>
      <c r="T1139" s="1" t="str">
        <f>IF(ISERROR(VLOOKUP(S1139,'unique org names'!A:C,3,FALSE)),S1139,VLOOKUP(S1139,'unique org names'!A:C,3,FALSE))
</f>
        <v>WAYNE STATE UNIVERSITY</v>
      </c>
      <c r="U1139" s="1" t="s">
        <v>1566</v>
      </c>
      <c r="V1139" s="1" t="s">
        <v>53</v>
      </c>
      <c r="W1139" s="1" t="s">
        <v>44</v>
      </c>
      <c r="X1139" s="1" t="s">
        <v>45</v>
      </c>
      <c r="Y1139" s="1">
        <v>4.82023692E8</v>
      </c>
      <c r="AA1139" s="1" t="s">
        <v>46</v>
      </c>
      <c r="AB1139" s="1" t="s">
        <v>45</v>
      </c>
      <c r="AC1139" s="1">
        <v>4.8202405E8</v>
      </c>
      <c r="AD1139" s="1">
        <v>1962224.0</v>
      </c>
      <c r="AE1139" s="1" t="s">
        <v>52</v>
      </c>
      <c r="AF1139" s="1">
        <v>56135.0</v>
      </c>
      <c r="AG1139" s="2">
        <v>41842.0</v>
      </c>
      <c r="AH1139" s="1">
        <v>7500.0</v>
      </c>
      <c r="AI1139" s="1" t="s">
        <v>40</v>
      </c>
      <c r="AJ1139" s="1">
        <v>3.002736018E9</v>
      </c>
      <c r="AK1139" s="1" t="s">
        <v>1400</v>
      </c>
      <c r="AL1139" s="1">
        <v>7.0</v>
      </c>
      <c r="AM1139" s="1">
        <v>2014.0</v>
      </c>
      <c r="AN1139" s="1">
        <v>2014.0</v>
      </c>
      <c r="AO1139" s="1" t="s">
        <v>1021</v>
      </c>
    </row>
    <row r="1140">
      <c r="A1140" s="5">
        <v>1.0</v>
      </c>
      <c r="B1140" s="1">
        <f t="shared" si="1"/>
        <v>1140</v>
      </c>
      <c r="C1140" s="1" t="s">
        <v>2620</v>
      </c>
      <c r="D1140" s="1" t="s">
        <v>2620</v>
      </c>
      <c r="E1140" s="1" t="s">
        <v>38</v>
      </c>
      <c r="G1140" s="1">
        <v>169106.0</v>
      </c>
      <c r="H1140" s="2">
        <v>41730.0</v>
      </c>
      <c r="I1140" s="1" t="s">
        <v>2621</v>
      </c>
      <c r="K1140" s="1" t="s">
        <v>2621</v>
      </c>
      <c r="N1140" s="1" t="s">
        <v>40</v>
      </c>
      <c r="O1140" s="1">
        <v>7500.0</v>
      </c>
      <c r="P1140" s="1" t="s">
        <v>40</v>
      </c>
      <c r="Q1140" s="1" t="str">
        <f>IF(ISERROR(VLOOKUP(P1140,'unique fed agency names'!A:C,3,FALSE)),P1140,VLOOKUP(P1140,'unique fed agency names'!A:C,3,FALSE))
</f>
        <v>U.S. Department of Health and Human Services (DHHS)</v>
      </c>
      <c r="R1140" s="1">
        <v>1962224.0</v>
      </c>
      <c r="S1140" s="1" t="s">
        <v>52</v>
      </c>
      <c r="T1140" s="1" t="str">
        <f>IF(ISERROR(VLOOKUP(S1140,'unique org names'!A:C,3,FALSE)),S1140,VLOOKUP(S1140,'unique org names'!A:C,3,FALSE))
</f>
        <v>WAYNE STATE UNIVERSITY</v>
      </c>
      <c r="U1140" s="1" t="s">
        <v>1566</v>
      </c>
      <c r="V1140" s="1" t="s">
        <v>53</v>
      </c>
      <c r="W1140" s="1" t="s">
        <v>44</v>
      </c>
      <c r="X1140" s="1" t="s">
        <v>45</v>
      </c>
      <c r="Y1140" s="1">
        <v>4.82023692E8</v>
      </c>
      <c r="AA1140" s="1" t="s">
        <v>46</v>
      </c>
      <c r="AB1140" s="1" t="s">
        <v>45</v>
      </c>
      <c r="AC1140" s="1">
        <v>4.82023692E8</v>
      </c>
      <c r="AD1140" s="1">
        <v>1962224.0</v>
      </c>
      <c r="AE1140" s="1" t="s">
        <v>52</v>
      </c>
      <c r="AF1140" s="1">
        <v>38518.0</v>
      </c>
      <c r="AG1140" s="2">
        <v>41730.0</v>
      </c>
      <c r="AH1140" s="1">
        <v>7500.0</v>
      </c>
      <c r="AI1140" s="1" t="s">
        <v>40</v>
      </c>
      <c r="AJ1140" s="1" t="s">
        <v>2622</v>
      </c>
      <c r="AK1140" s="1" t="s">
        <v>2621</v>
      </c>
      <c r="AL1140" s="1">
        <v>8.0</v>
      </c>
      <c r="AM1140" s="1">
        <v>2014.0</v>
      </c>
      <c r="AN1140" s="1">
        <v>2014.0</v>
      </c>
      <c r="AO1140" s="1" t="s">
        <v>202</v>
      </c>
    </row>
    <row r="1141">
      <c r="A1141" s="5">
        <v>1.0</v>
      </c>
      <c r="B1141" s="1">
        <f t="shared" si="1"/>
        <v>1141</v>
      </c>
      <c r="C1141" s="1" t="s">
        <v>1470</v>
      </c>
      <c r="D1141" s="1" t="s">
        <v>1470</v>
      </c>
      <c r="E1141" s="1" t="s">
        <v>1281</v>
      </c>
      <c r="G1141" s="1">
        <v>5652841.0</v>
      </c>
      <c r="H1141" s="2">
        <v>41518.0</v>
      </c>
      <c r="I1141" s="1" t="s">
        <v>1298</v>
      </c>
      <c r="K1141" s="1" t="s">
        <v>1298</v>
      </c>
      <c r="N1141" s="1" t="s">
        <v>1281</v>
      </c>
      <c r="O1141" s="1">
        <v>9577.0</v>
      </c>
      <c r="P1141" s="1" t="s">
        <v>1281</v>
      </c>
      <c r="Q1141" s="1" t="str">
        <f>IF(ISERROR(VLOOKUP(P1141,'unique fed agency names'!A:C,3,FALSE)),P1141,VLOOKUP(P1141,'unique fed agency names'!A:C,3,FALSE))
</f>
        <v>Corporation for National and Community Service</v>
      </c>
      <c r="R1141" s="1">
        <v>1.5900083E8</v>
      </c>
      <c r="S1141" s="1" t="s">
        <v>1292</v>
      </c>
      <c r="T1141" s="1" t="str">
        <f>IF(ISERROR(VLOOKUP(S1141,'unique org names'!A:C,3,FALSE)),S1141,VLOOKUP(S1141,'unique org names'!A:C,3,FALSE))
</f>
        <v>DETROIT PARENT NETWORK</v>
      </c>
      <c r="V1141" s="1" t="s">
        <v>1293</v>
      </c>
      <c r="W1141" s="1" t="s">
        <v>44</v>
      </c>
      <c r="X1141" s="1" t="s">
        <v>45</v>
      </c>
      <c r="Y1141" s="1">
        <v>4.82022715E8</v>
      </c>
      <c r="AA1141" s="1" t="s">
        <v>44</v>
      </c>
      <c r="AB1141" s="1" t="s">
        <v>45</v>
      </c>
      <c r="AC1141" s="1">
        <v>4.82022715E8</v>
      </c>
      <c r="AF1141" s="1">
        <v>315566.0</v>
      </c>
      <c r="AG1141" s="2">
        <v>41518.0</v>
      </c>
      <c r="AH1141" s="1">
        <v>9577.0</v>
      </c>
      <c r="AI1141" s="1" t="s">
        <v>1281</v>
      </c>
      <c r="AJ1141" s="1" t="s">
        <v>2623</v>
      </c>
      <c r="AK1141" s="1" t="s">
        <v>2612</v>
      </c>
      <c r="AL1141" s="1">
        <v>8.0</v>
      </c>
      <c r="AM1141" s="1">
        <v>2014.0</v>
      </c>
      <c r="AN1141" s="1">
        <v>2013.0</v>
      </c>
      <c r="AO1141" s="1" t="s">
        <v>1301</v>
      </c>
    </row>
    <row r="1142">
      <c r="A1142" s="5">
        <v>1.0</v>
      </c>
      <c r="B1142" s="1">
        <f t="shared" si="1"/>
        <v>1142</v>
      </c>
      <c r="C1142" s="1" t="s">
        <v>2624</v>
      </c>
      <c r="D1142" s="1" t="s">
        <v>2624</v>
      </c>
      <c r="E1142" s="1" t="s">
        <v>194</v>
      </c>
      <c r="G1142" s="1">
        <v>9.3109256E7</v>
      </c>
      <c r="H1142" s="2">
        <v>41373.0</v>
      </c>
      <c r="I1142" s="1" t="s">
        <v>458</v>
      </c>
      <c r="K1142" s="1" t="s">
        <v>458</v>
      </c>
      <c r="N1142" s="1" t="s">
        <v>194</v>
      </c>
      <c r="O1142" s="1">
        <v>9100.0</v>
      </c>
      <c r="P1142" s="1" t="s">
        <v>194</v>
      </c>
      <c r="Q1142" s="1" t="str">
        <f>IF(ISERROR(VLOOKUP(P1142,'unique fed agency names'!A:C,3,FALSE)),P1142,VLOOKUP(P1142,'unique fed agency names'!A:C,3,FALSE))
</f>
        <v>U.S. Department of Education (ED)</v>
      </c>
      <c r="R1142" s="1">
        <v>1.17726252E8</v>
      </c>
      <c r="S1142" s="1" t="s">
        <v>512</v>
      </c>
      <c r="T1142" s="1" t="str">
        <f>IF(ISERROR(VLOOKUP(S1142,'unique org names'!A:C,3,FALSE)),S1142,VLOOKUP(S1142,'unique org names'!A:C,3,FALSE))
</f>
        <v>OLD REDFORD ACADEMY</v>
      </c>
      <c r="V1142" s="1" t="s">
        <v>513</v>
      </c>
      <c r="W1142" s="1" t="s">
        <v>44</v>
      </c>
      <c r="X1142" s="1" t="s">
        <v>45</v>
      </c>
      <c r="Y1142" s="1">
        <v>4.82193259E8</v>
      </c>
      <c r="AA1142" s="1" t="s">
        <v>44</v>
      </c>
      <c r="AB1142" s="1" t="s">
        <v>45</v>
      </c>
      <c r="AC1142" s="1">
        <v>4.82193259E8</v>
      </c>
      <c r="AF1142" s="1">
        <v>36877.0</v>
      </c>
      <c r="AG1142" s="2">
        <v>41373.0</v>
      </c>
      <c r="AH1142" s="1">
        <v>9100.0</v>
      </c>
      <c r="AI1142" s="1" t="s">
        <v>194</v>
      </c>
      <c r="AJ1142" s="1" t="s">
        <v>514</v>
      </c>
      <c r="AK1142" s="1" t="s">
        <v>463</v>
      </c>
      <c r="AL1142" s="1">
        <v>8.0</v>
      </c>
      <c r="AM1142" s="1">
        <v>2014.0</v>
      </c>
      <c r="AN1142" s="1">
        <v>2013.0</v>
      </c>
      <c r="AO1142" s="1" t="s">
        <v>277</v>
      </c>
    </row>
    <row r="1143">
      <c r="A1143" s="5">
        <v>1.0</v>
      </c>
      <c r="B1143" s="1">
        <f t="shared" si="1"/>
        <v>1143</v>
      </c>
      <c r="C1143" s="1" t="s">
        <v>2624</v>
      </c>
      <c r="D1143" s="1" t="s">
        <v>2624</v>
      </c>
      <c r="E1143" s="1" t="s">
        <v>194</v>
      </c>
      <c r="G1143" s="1">
        <v>9.3109256E7</v>
      </c>
      <c r="H1143" s="2">
        <v>41351.0</v>
      </c>
      <c r="I1143" s="1" t="s">
        <v>458</v>
      </c>
      <c r="K1143" s="1" t="s">
        <v>458</v>
      </c>
      <c r="N1143" s="1" t="s">
        <v>194</v>
      </c>
      <c r="O1143" s="1">
        <v>9100.0</v>
      </c>
      <c r="P1143" s="1" t="s">
        <v>194</v>
      </c>
      <c r="Q1143" s="1" t="str">
        <f>IF(ISERROR(VLOOKUP(P1143,'unique fed agency names'!A:C,3,FALSE)),P1143,VLOOKUP(P1143,'unique fed agency names'!A:C,3,FALSE))
</f>
        <v>U.S. Department of Education (ED)</v>
      </c>
      <c r="R1143" s="1">
        <v>8.0463354E7</v>
      </c>
      <c r="S1143" s="1" t="s">
        <v>518</v>
      </c>
      <c r="T1143" s="1" t="str">
        <f>IF(ISERROR(VLOOKUP(S1143,'unique org names'!A:C,3,FALSE)),S1143,VLOOKUP(S1143,'unique org names'!A:C,3,FALSE))
</f>
        <v>UNIVERSAL ACADEMY</v>
      </c>
      <c r="V1143" s="1" t="s">
        <v>519</v>
      </c>
      <c r="W1143" s="1" t="s">
        <v>44</v>
      </c>
      <c r="X1143" s="1" t="s">
        <v>45</v>
      </c>
      <c r="Y1143" s="1">
        <v>4.82102105E8</v>
      </c>
      <c r="AA1143" s="1" t="s">
        <v>44</v>
      </c>
      <c r="AB1143" s="1" t="s">
        <v>45</v>
      </c>
      <c r="AC1143" s="1">
        <v>4.82102105E8</v>
      </c>
      <c r="AD1143" s="1">
        <v>8.0463354E7</v>
      </c>
      <c r="AE1143" s="1" t="s">
        <v>518</v>
      </c>
      <c r="AF1143" s="1">
        <v>33561.0</v>
      </c>
      <c r="AG1143" s="2">
        <v>41351.0</v>
      </c>
      <c r="AH1143" s="1">
        <v>9100.0</v>
      </c>
      <c r="AI1143" s="1" t="s">
        <v>194</v>
      </c>
      <c r="AJ1143" s="1" t="s">
        <v>520</v>
      </c>
      <c r="AK1143" s="1" t="s">
        <v>463</v>
      </c>
      <c r="AL1143" s="1">
        <v>8.0</v>
      </c>
      <c r="AM1143" s="1">
        <v>2014.0</v>
      </c>
      <c r="AN1143" s="1">
        <v>2013.0</v>
      </c>
      <c r="AO1143" s="1" t="s">
        <v>277</v>
      </c>
    </row>
    <row r="1144">
      <c r="A1144" s="5">
        <v>1.0</v>
      </c>
      <c r="B1144" s="1">
        <f t="shared" si="1"/>
        <v>1144</v>
      </c>
      <c r="C1144" s="1" t="s">
        <v>2624</v>
      </c>
      <c r="D1144" s="1" t="s">
        <v>2624</v>
      </c>
      <c r="E1144" s="1" t="s">
        <v>194</v>
      </c>
      <c r="G1144" s="1">
        <v>9.3109256E7</v>
      </c>
      <c r="H1144" s="2">
        <v>41619.0</v>
      </c>
      <c r="I1144" s="1" t="s">
        <v>458</v>
      </c>
      <c r="K1144" s="1" t="s">
        <v>458</v>
      </c>
      <c r="N1144" s="1" t="s">
        <v>194</v>
      </c>
      <c r="O1144" s="1">
        <v>9100.0</v>
      </c>
      <c r="P1144" s="1" t="s">
        <v>194</v>
      </c>
      <c r="Q1144" s="1" t="str">
        <f>IF(ISERROR(VLOOKUP(P1144,'unique fed agency names'!A:C,3,FALSE)),P1144,VLOOKUP(P1144,'unique fed agency names'!A:C,3,FALSE))
</f>
        <v>U.S. Department of Education (ED)</v>
      </c>
      <c r="R1144" s="1">
        <v>1.80070547E8</v>
      </c>
      <c r="S1144" s="1" t="s">
        <v>508</v>
      </c>
      <c r="T1144" s="1" t="str">
        <f>IF(ISERROR(VLOOKUP(S1144,'unique org names'!A:C,3,FALSE)),S1144,VLOOKUP(S1144,'unique org names'!A:C,3,FALSE))
</f>
        <v>BLANCHE KELSO BRUCE ACADEMY</v>
      </c>
      <c r="V1144" s="1" t="s">
        <v>509</v>
      </c>
      <c r="W1144" s="1" t="s">
        <v>44</v>
      </c>
      <c r="X1144" s="1" t="s">
        <v>45</v>
      </c>
      <c r="Y1144" s="1">
        <v>4.82133487E8</v>
      </c>
      <c r="AA1144" s="1" t="s">
        <v>44</v>
      </c>
      <c r="AB1144" s="1" t="s">
        <v>45</v>
      </c>
      <c r="AC1144" s="1">
        <v>4.82133487E8</v>
      </c>
      <c r="AF1144" s="1">
        <v>43286.0</v>
      </c>
      <c r="AG1144" s="2">
        <v>41619.0</v>
      </c>
      <c r="AH1144" s="1">
        <v>9100.0</v>
      </c>
      <c r="AI1144" s="1" t="s">
        <v>194</v>
      </c>
      <c r="AJ1144" s="1" t="s">
        <v>511</v>
      </c>
      <c r="AK1144" s="1" t="s">
        <v>463</v>
      </c>
      <c r="AL1144" s="1">
        <v>8.0</v>
      </c>
      <c r="AM1144" s="1">
        <v>2014.0</v>
      </c>
      <c r="AN1144" s="1">
        <v>2014.0</v>
      </c>
      <c r="AO1144" s="1" t="s">
        <v>277</v>
      </c>
    </row>
    <row r="1145">
      <c r="A1145" s="5">
        <v>1.0</v>
      </c>
      <c r="B1145" s="1">
        <f t="shared" si="1"/>
        <v>1145</v>
      </c>
      <c r="C1145" s="1" t="s">
        <v>2624</v>
      </c>
      <c r="D1145" s="1" t="s">
        <v>2624</v>
      </c>
      <c r="E1145" s="1" t="s">
        <v>194</v>
      </c>
      <c r="G1145" s="1">
        <v>9.3109256E7</v>
      </c>
      <c r="H1145" s="2">
        <v>41393.0</v>
      </c>
      <c r="I1145" s="1" t="s">
        <v>458</v>
      </c>
      <c r="K1145" s="1" t="s">
        <v>458</v>
      </c>
      <c r="N1145" s="1" t="s">
        <v>194</v>
      </c>
      <c r="O1145" s="1">
        <v>9100.0</v>
      </c>
      <c r="P1145" s="1" t="s">
        <v>194</v>
      </c>
      <c r="Q1145" s="1" t="str">
        <f>IF(ISERROR(VLOOKUP(P1145,'unique fed agency names'!A:C,3,FALSE)),P1145,VLOOKUP(P1145,'unique fed agency names'!A:C,3,FALSE))
</f>
        <v>U.S. Department of Education (ED)</v>
      </c>
      <c r="R1145" s="1">
        <v>8.29630537E8</v>
      </c>
      <c r="S1145" s="1" t="s">
        <v>531</v>
      </c>
      <c r="T1145" s="1" t="str">
        <f>IF(ISERROR(VLOOKUP(S1145,'unique org names'!A:C,3,FALSE)),S1145,VLOOKUP(S1145,'unique org names'!A:C,3,FALSE))
</f>
        <v>DETROIT SERVICE LEARNING ACADEMY</v>
      </c>
      <c r="U1145" s="1" t="s">
        <v>532</v>
      </c>
      <c r="V1145" s="1" t="s">
        <v>533</v>
      </c>
      <c r="W1145" s="1" t="s">
        <v>44</v>
      </c>
      <c r="X1145" s="1" t="s">
        <v>45</v>
      </c>
      <c r="Y1145" s="1">
        <v>4.8219181E8</v>
      </c>
      <c r="AA1145" s="1" t="s">
        <v>44</v>
      </c>
      <c r="AB1145" s="1" t="s">
        <v>45</v>
      </c>
      <c r="AC1145" s="1">
        <v>4.8219181E8</v>
      </c>
      <c r="AF1145" s="1">
        <v>80765.0</v>
      </c>
      <c r="AG1145" s="2">
        <v>41393.0</v>
      </c>
      <c r="AH1145" s="1">
        <v>9100.0</v>
      </c>
      <c r="AI1145" s="1" t="s">
        <v>194</v>
      </c>
      <c r="AJ1145" s="1" t="s">
        <v>534</v>
      </c>
      <c r="AK1145" s="1" t="s">
        <v>463</v>
      </c>
      <c r="AL1145" s="1">
        <v>8.0</v>
      </c>
      <c r="AM1145" s="1">
        <v>2014.0</v>
      </c>
      <c r="AN1145" s="1">
        <v>2013.0</v>
      </c>
      <c r="AO1145" s="1" t="s">
        <v>277</v>
      </c>
    </row>
    <row r="1146">
      <c r="A1146" s="5">
        <v>1.0</v>
      </c>
      <c r="B1146" s="1">
        <f t="shared" si="1"/>
        <v>1146</v>
      </c>
      <c r="C1146" s="1" t="s">
        <v>2624</v>
      </c>
      <c r="D1146" s="1" t="s">
        <v>2624</v>
      </c>
      <c r="E1146" s="1" t="s">
        <v>194</v>
      </c>
      <c r="G1146" s="1">
        <v>9.3109256E7</v>
      </c>
      <c r="H1146" s="2">
        <v>41390.0</v>
      </c>
      <c r="I1146" s="1" t="s">
        <v>458</v>
      </c>
      <c r="K1146" s="1" t="s">
        <v>458</v>
      </c>
      <c r="N1146" s="1" t="s">
        <v>194</v>
      </c>
      <c r="O1146" s="1">
        <v>9100.0</v>
      </c>
      <c r="P1146" s="1" t="s">
        <v>194</v>
      </c>
      <c r="Q1146" s="1" t="str">
        <f>IF(ISERROR(VLOOKUP(P1146,'unique fed agency names'!A:C,3,FALSE)),P1146,VLOOKUP(P1146,'unique fed agency names'!A:C,3,FALSE))
</f>
        <v>U.S. Department of Education (ED)</v>
      </c>
      <c r="R1146" s="1">
        <v>7.3832607E7</v>
      </c>
      <c r="S1146" s="1" t="s">
        <v>482</v>
      </c>
      <c r="T1146" s="1" t="str">
        <f>IF(ISERROR(VLOOKUP(S1146,'unique org names'!A:C,3,FALSE)),S1146,VLOOKUP(S1146,'unique org names'!A:C,3,FALSE))
</f>
        <v>DETROIT ACADEMY OF ARTS AND SCIENCES</v>
      </c>
      <c r="V1146" s="1" t="s">
        <v>483</v>
      </c>
      <c r="W1146" s="1" t="s">
        <v>44</v>
      </c>
      <c r="X1146" s="1" t="s">
        <v>45</v>
      </c>
      <c r="Y1146" s="1">
        <v>4.82074288E8</v>
      </c>
      <c r="AA1146" s="1" t="s">
        <v>44</v>
      </c>
      <c r="AB1146" s="1" t="s">
        <v>45</v>
      </c>
      <c r="AC1146" s="1">
        <v>4.82074288E8</v>
      </c>
      <c r="AF1146" s="1">
        <v>83210.0</v>
      </c>
      <c r="AG1146" s="2">
        <v>41390.0</v>
      </c>
      <c r="AH1146" s="1">
        <v>9100.0</v>
      </c>
      <c r="AI1146" s="1" t="s">
        <v>194</v>
      </c>
      <c r="AJ1146" s="1" t="s">
        <v>485</v>
      </c>
      <c r="AK1146" s="1" t="s">
        <v>463</v>
      </c>
      <c r="AL1146" s="1">
        <v>8.0</v>
      </c>
      <c r="AM1146" s="1">
        <v>2014.0</v>
      </c>
      <c r="AN1146" s="1">
        <v>2013.0</v>
      </c>
      <c r="AO1146" s="1" t="s">
        <v>277</v>
      </c>
    </row>
    <row r="1147">
      <c r="A1147" s="5">
        <v>1.0</v>
      </c>
      <c r="B1147" s="1">
        <f t="shared" si="1"/>
        <v>1147</v>
      </c>
      <c r="C1147" s="1" t="s">
        <v>2624</v>
      </c>
      <c r="D1147" s="1" t="s">
        <v>2624</v>
      </c>
      <c r="E1147" s="1" t="s">
        <v>194</v>
      </c>
      <c r="G1147" s="1">
        <v>9.3109256E7</v>
      </c>
      <c r="H1147" s="2">
        <v>41367.0</v>
      </c>
      <c r="I1147" s="1" t="s">
        <v>458</v>
      </c>
      <c r="K1147" s="1" t="s">
        <v>458</v>
      </c>
      <c r="N1147" s="1" t="s">
        <v>194</v>
      </c>
      <c r="O1147" s="1">
        <v>9100.0</v>
      </c>
      <c r="P1147" s="1" t="s">
        <v>194</v>
      </c>
      <c r="Q1147" s="1" t="str">
        <f>IF(ISERROR(VLOOKUP(P1147,'unique fed agency names'!A:C,3,FALSE)),P1147,VLOOKUP(P1147,'unique fed agency names'!A:C,3,FALSE))
</f>
        <v>U.S. Department of Education (ED)</v>
      </c>
      <c r="R1147" s="1">
        <v>2.496865E7</v>
      </c>
      <c r="S1147" s="1" t="s">
        <v>609</v>
      </c>
      <c r="T1147" s="1" t="str">
        <f>IF(ISERROR(VLOOKUP(S1147,'unique org names'!A:C,3,FALSE)),S1147,VLOOKUP(S1147,'unique org names'!A:C,3,FALSE))
</f>
        <v>Jalen Rose Leadership Academy</v>
      </c>
      <c r="V1147" s="1" t="s">
        <v>610</v>
      </c>
      <c r="W1147" s="1" t="s">
        <v>44</v>
      </c>
      <c r="X1147" s="1" t="s">
        <v>45</v>
      </c>
      <c r="Y1147" s="1">
        <v>4.8235168E8</v>
      </c>
      <c r="AA1147" s="1" t="s">
        <v>46</v>
      </c>
      <c r="AB1147" s="1" t="s">
        <v>45</v>
      </c>
      <c r="AC1147" s="1">
        <v>4.8235168E8</v>
      </c>
      <c r="AF1147" s="1">
        <v>28524.0</v>
      </c>
      <c r="AG1147" s="2">
        <v>41367.0</v>
      </c>
      <c r="AH1147" s="1">
        <v>9100.0</v>
      </c>
      <c r="AI1147" s="1" t="s">
        <v>194</v>
      </c>
      <c r="AJ1147" s="1" t="s">
        <v>611</v>
      </c>
      <c r="AK1147" s="1" t="s">
        <v>463</v>
      </c>
      <c r="AL1147" s="1">
        <v>8.0</v>
      </c>
      <c r="AM1147" s="1">
        <v>2014.0</v>
      </c>
      <c r="AN1147" s="1">
        <v>2013.0</v>
      </c>
      <c r="AO1147" s="1" t="s">
        <v>277</v>
      </c>
    </row>
    <row r="1148">
      <c r="A1148" s="5">
        <v>1.0</v>
      </c>
      <c r="B1148" s="1">
        <f t="shared" si="1"/>
        <v>1148</v>
      </c>
      <c r="C1148" s="1" t="s">
        <v>2624</v>
      </c>
      <c r="D1148" s="1" t="s">
        <v>2624</v>
      </c>
      <c r="E1148" s="1" t="s">
        <v>194</v>
      </c>
      <c r="G1148" s="1">
        <v>9.3109256E7</v>
      </c>
      <c r="H1148" s="2">
        <v>41457.0</v>
      </c>
      <c r="I1148" s="1" t="s">
        <v>458</v>
      </c>
      <c r="K1148" s="1" t="s">
        <v>458</v>
      </c>
      <c r="N1148" s="1" t="s">
        <v>194</v>
      </c>
      <c r="O1148" s="1">
        <v>9100.0</v>
      </c>
      <c r="P1148" s="1" t="s">
        <v>194</v>
      </c>
      <c r="Q1148" s="1" t="str">
        <f>IF(ISERROR(VLOOKUP(P1148,'unique fed agency names'!A:C,3,FALSE)),P1148,VLOOKUP(P1148,'unique fed agency names'!A:C,3,FALSE))
</f>
        <v>U.S. Department of Education (ED)</v>
      </c>
      <c r="R1148" s="1">
        <v>7.8583963E7</v>
      </c>
      <c r="S1148" s="1" t="s">
        <v>526</v>
      </c>
      <c r="T1148" s="1" t="str">
        <f>IF(ISERROR(VLOOKUP(S1148,'unique org names'!A:C,3,FALSE)),S1148,VLOOKUP(S1148,'unique org names'!A:C,3,FALSE))
</f>
        <v>WAY ACADEMY</v>
      </c>
      <c r="U1148" s="1" t="s">
        <v>527</v>
      </c>
      <c r="V1148" s="1" t="s">
        <v>528</v>
      </c>
      <c r="W1148" s="1" t="s">
        <v>44</v>
      </c>
      <c r="X1148" s="1" t="s">
        <v>45</v>
      </c>
      <c r="Y1148" s="1">
        <v>4.82091434E8</v>
      </c>
      <c r="AA1148" s="1" t="s">
        <v>46</v>
      </c>
      <c r="AB1148" s="1" t="s">
        <v>45</v>
      </c>
      <c r="AC1148" s="1">
        <v>4.82091434E8</v>
      </c>
      <c r="AF1148" s="1">
        <v>28561.0</v>
      </c>
      <c r="AG1148" s="2">
        <v>41457.0</v>
      </c>
      <c r="AH1148" s="1">
        <v>9100.0</v>
      </c>
      <c r="AI1148" s="1" t="s">
        <v>194</v>
      </c>
      <c r="AJ1148" s="1" t="s">
        <v>530</v>
      </c>
      <c r="AK1148" s="1" t="s">
        <v>463</v>
      </c>
      <c r="AL1148" s="1">
        <v>8.0</v>
      </c>
      <c r="AM1148" s="1">
        <v>2014.0</v>
      </c>
      <c r="AN1148" s="1">
        <v>2013.0</v>
      </c>
      <c r="AO1148" s="1" t="s">
        <v>277</v>
      </c>
    </row>
    <row r="1149">
      <c r="A1149" s="5">
        <v>1.0</v>
      </c>
      <c r="B1149" s="1">
        <f t="shared" si="1"/>
        <v>1149</v>
      </c>
      <c r="C1149" s="1" t="s">
        <v>2624</v>
      </c>
      <c r="D1149" s="1" t="s">
        <v>2624</v>
      </c>
      <c r="E1149" s="1" t="s">
        <v>194</v>
      </c>
      <c r="G1149" s="1">
        <v>9.3109256E7</v>
      </c>
      <c r="H1149" s="2">
        <v>41304.0</v>
      </c>
      <c r="I1149" s="1" t="s">
        <v>458</v>
      </c>
      <c r="K1149" s="1" t="s">
        <v>458</v>
      </c>
      <c r="N1149" s="1" t="s">
        <v>194</v>
      </c>
      <c r="O1149" s="1">
        <v>9100.0</v>
      </c>
      <c r="P1149" s="1" t="s">
        <v>194</v>
      </c>
      <c r="Q1149" s="1" t="str">
        <f>IF(ISERROR(VLOOKUP(P1149,'unique fed agency names'!A:C,3,FALSE)),P1149,VLOOKUP(P1149,'unique fed agency names'!A:C,3,FALSE))
</f>
        <v>U.S. Department of Education (ED)</v>
      </c>
      <c r="R1149" s="1">
        <v>1.68568132E8</v>
      </c>
      <c r="S1149" s="1" t="s">
        <v>588</v>
      </c>
      <c r="T1149" s="1" t="str">
        <f>IF(ISERROR(VLOOKUP(S1149,'unique org names'!A:C,3,FALSE)),S1149,VLOOKUP(S1149,'unique org names'!A:C,3,FALSE))
</f>
        <v>DETROIT ENTERPRISE ACADEMY</v>
      </c>
      <c r="V1149" s="1" t="s">
        <v>589</v>
      </c>
      <c r="W1149" s="1" t="s">
        <v>44</v>
      </c>
      <c r="X1149" s="1" t="s">
        <v>45</v>
      </c>
      <c r="Y1149" s="1">
        <v>4.82143323E8</v>
      </c>
      <c r="AA1149" s="1" t="s">
        <v>44</v>
      </c>
      <c r="AB1149" s="1" t="s">
        <v>45</v>
      </c>
      <c r="AC1149" s="1">
        <v>4.82143323E8</v>
      </c>
      <c r="AD1149" s="1">
        <v>9.60742484E8</v>
      </c>
      <c r="AF1149" s="1">
        <v>29886.0</v>
      </c>
      <c r="AG1149" s="2">
        <v>41304.0</v>
      </c>
      <c r="AH1149" s="1">
        <v>9100.0</v>
      </c>
      <c r="AI1149" s="1" t="s">
        <v>194</v>
      </c>
      <c r="AJ1149" s="1" t="s">
        <v>590</v>
      </c>
      <c r="AK1149" s="1" t="s">
        <v>463</v>
      </c>
      <c r="AL1149" s="1">
        <v>8.0</v>
      </c>
      <c r="AM1149" s="1">
        <v>2014.0</v>
      </c>
      <c r="AN1149" s="1">
        <v>2013.0</v>
      </c>
      <c r="AO1149" s="1" t="s">
        <v>277</v>
      </c>
    </row>
    <row r="1150">
      <c r="A1150" s="5">
        <v>1.0</v>
      </c>
      <c r="B1150" s="1">
        <f t="shared" si="1"/>
        <v>1150</v>
      </c>
      <c r="C1150" s="1" t="s">
        <v>2624</v>
      </c>
      <c r="D1150" s="1" t="s">
        <v>2624</v>
      </c>
      <c r="E1150" s="1" t="s">
        <v>194</v>
      </c>
      <c r="G1150" s="1">
        <v>9.3109256E7</v>
      </c>
      <c r="H1150" s="2">
        <v>41306.0</v>
      </c>
      <c r="I1150" s="1" t="s">
        <v>458</v>
      </c>
      <c r="K1150" s="1" t="s">
        <v>458</v>
      </c>
      <c r="N1150" s="1" t="s">
        <v>194</v>
      </c>
      <c r="O1150" s="1">
        <v>9100.0</v>
      </c>
      <c r="P1150" s="1" t="s">
        <v>194</v>
      </c>
      <c r="Q1150" s="1" t="str">
        <f>IF(ISERROR(VLOOKUP(P1150,'unique fed agency names'!A:C,3,FALSE)),P1150,VLOOKUP(P1150,'unique fed agency names'!A:C,3,FALSE))
</f>
        <v>U.S. Department of Education (ED)</v>
      </c>
      <c r="R1150" s="1">
        <v>1.38064923E8</v>
      </c>
      <c r="S1150" s="1" t="s">
        <v>585</v>
      </c>
      <c r="T1150" s="1" t="str">
        <f>IF(ISERROR(VLOOKUP(S1150,'unique org names'!A:C,3,FALSE)),S1150,VLOOKUP(S1150,'unique org names'!A:C,3,FALSE))
</f>
        <v>DETROIT MERIT CHARTER ACADEMY</v>
      </c>
      <c r="V1150" s="1" t="s">
        <v>586</v>
      </c>
      <c r="W1150" s="1" t="s">
        <v>44</v>
      </c>
      <c r="X1150" s="1" t="s">
        <v>45</v>
      </c>
      <c r="Y1150" s="1">
        <v>4.82152861E8</v>
      </c>
      <c r="AA1150" s="1" t="s">
        <v>44</v>
      </c>
      <c r="AB1150" s="1" t="s">
        <v>45</v>
      </c>
      <c r="AC1150" s="1">
        <v>4.82152861E8</v>
      </c>
      <c r="AD1150" s="1">
        <v>9.60742484E8</v>
      </c>
      <c r="AF1150" s="1">
        <v>31964.0</v>
      </c>
      <c r="AG1150" s="2">
        <v>41306.0</v>
      </c>
      <c r="AH1150" s="1">
        <v>9100.0</v>
      </c>
      <c r="AI1150" s="1" t="s">
        <v>194</v>
      </c>
      <c r="AJ1150" s="1" t="s">
        <v>587</v>
      </c>
      <c r="AK1150" s="1" t="s">
        <v>463</v>
      </c>
      <c r="AL1150" s="1">
        <v>8.0</v>
      </c>
      <c r="AM1150" s="1">
        <v>2014.0</v>
      </c>
      <c r="AN1150" s="1">
        <v>2013.0</v>
      </c>
      <c r="AO1150" s="1" t="s">
        <v>277</v>
      </c>
    </row>
    <row r="1151">
      <c r="A1151" s="5">
        <v>1.0</v>
      </c>
      <c r="B1151" s="1">
        <f t="shared" si="1"/>
        <v>1151</v>
      </c>
      <c r="C1151" s="1" t="s">
        <v>2624</v>
      </c>
      <c r="D1151" s="1" t="s">
        <v>2624</v>
      </c>
      <c r="E1151" s="1" t="s">
        <v>194</v>
      </c>
      <c r="G1151" s="1">
        <v>9.3109256E7</v>
      </c>
      <c r="H1151" s="2">
        <v>41351.0</v>
      </c>
      <c r="I1151" s="1" t="s">
        <v>458</v>
      </c>
      <c r="K1151" s="1" t="s">
        <v>458</v>
      </c>
      <c r="N1151" s="1" t="s">
        <v>194</v>
      </c>
      <c r="O1151" s="1">
        <v>9100.0</v>
      </c>
      <c r="P1151" s="1" t="s">
        <v>194</v>
      </c>
      <c r="Q1151" s="1" t="str">
        <f>IF(ISERROR(VLOOKUP(P1151,'unique fed agency names'!A:C,3,FALSE)),P1151,VLOOKUP(P1151,'unique fed agency names'!A:C,3,FALSE))
</f>
        <v>U.S. Department of Education (ED)</v>
      </c>
      <c r="R1151" s="1">
        <v>9.6578333E8</v>
      </c>
      <c r="S1151" s="1" t="s">
        <v>641</v>
      </c>
      <c r="T1151" s="1" t="str">
        <f>IF(ISERROR(VLOOKUP(S1151,'unique org names'!A:C,3,FALSE)),S1151,VLOOKUP(S1151,'unique org names'!A:C,3,FALSE))
</f>
        <v>COVENANT HOUSE ACADEMY EAST</v>
      </c>
      <c r="V1151" s="1" t="s">
        <v>642</v>
      </c>
      <c r="W1151" s="1" t="s">
        <v>44</v>
      </c>
      <c r="X1151" s="1" t="s">
        <v>45</v>
      </c>
      <c r="Y1151" s="1">
        <v>4.82141762E8</v>
      </c>
      <c r="AA1151" s="1" t="s">
        <v>44</v>
      </c>
      <c r="AB1151" s="1" t="s">
        <v>45</v>
      </c>
      <c r="AC1151" s="1">
        <v>4.82141762E8</v>
      </c>
      <c r="AD1151" s="1">
        <v>4.0917864E7</v>
      </c>
      <c r="AF1151" s="1">
        <v>25337.0</v>
      </c>
      <c r="AG1151" s="2">
        <v>41351.0</v>
      </c>
      <c r="AH1151" s="1">
        <v>9100.0</v>
      </c>
      <c r="AI1151" s="1" t="s">
        <v>194</v>
      </c>
      <c r="AJ1151" s="1" t="s">
        <v>643</v>
      </c>
      <c r="AK1151" s="1" t="s">
        <v>463</v>
      </c>
      <c r="AL1151" s="1">
        <v>8.0</v>
      </c>
      <c r="AM1151" s="1">
        <v>2014.0</v>
      </c>
      <c r="AN1151" s="1">
        <v>2013.0</v>
      </c>
      <c r="AO1151" s="1" t="s">
        <v>277</v>
      </c>
    </row>
    <row r="1152">
      <c r="A1152" s="5">
        <v>1.0</v>
      </c>
      <c r="B1152" s="1">
        <f t="shared" si="1"/>
        <v>1152</v>
      </c>
      <c r="C1152" s="1" t="s">
        <v>2624</v>
      </c>
      <c r="D1152" s="1" t="s">
        <v>2624</v>
      </c>
      <c r="E1152" s="1" t="s">
        <v>194</v>
      </c>
      <c r="G1152" s="1">
        <v>9.3109256E7</v>
      </c>
      <c r="H1152" s="2">
        <v>41325.0</v>
      </c>
      <c r="I1152" s="1" t="s">
        <v>458</v>
      </c>
      <c r="K1152" s="1" t="s">
        <v>458</v>
      </c>
      <c r="N1152" s="1" t="s">
        <v>194</v>
      </c>
      <c r="O1152" s="1">
        <v>9100.0</v>
      </c>
      <c r="P1152" s="1" t="s">
        <v>194</v>
      </c>
      <c r="Q1152" s="1" t="str">
        <f>IF(ISERROR(VLOOKUP(P1152,'unique fed agency names'!A:C,3,FALSE)),P1152,VLOOKUP(P1152,'unique fed agency names'!A:C,3,FALSE))
</f>
        <v>U.S. Department of Education (ED)</v>
      </c>
      <c r="R1152" s="1">
        <v>1.52807538E8</v>
      </c>
      <c r="S1152" s="1" t="s">
        <v>591</v>
      </c>
      <c r="T1152" s="1" t="str">
        <f>IF(ISERROR(VLOOKUP(S1152,'unique org names'!A:C,3,FALSE)),S1152,VLOOKUP(S1152,'unique org names'!A:C,3,FALSE))
</f>
        <v>WESTON TECHNICAL ACADEMY</v>
      </c>
      <c r="V1152" s="1" t="s">
        <v>592</v>
      </c>
      <c r="W1152" s="1" t="s">
        <v>44</v>
      </c>
      <c r="X1152" s="1" t="s">
        <v>45</v>
      </c>
      <c r="Y1152" s="1">
        <v>4.82191161E8</v>
      </c>
      <c r="AA1152" s="1" t="s">
        <v>44</v>
      </c>
      <c r="AB1152" s="1" t="s">
        <v>45</v>
      </c>
      <c r="AC1152" s="1">
        <v>4.82191161E8</v>
      </c>
      <c r="AF1152" s="1">
        <v>29349.0</v>
      </c>
      <c r="AG1152" s="2">
        <v>41325.0</v>
      </c>
      <c r="AH1152" s="1">
        <v>9100.0</v>
      </c>
      <c r="AI1152" s="1" t="s">
        <v>194</v>
      </c>
      <c r="AJ1152" s="1" t="s">
        <v>593</v>
      </c>
      <c r="AK1152" s="1" t="s">
        <v>463</v>
      </c>
      <c r="AL1152" s="1">
        <v>8.0</v>
      </c>
      <c r="AM1152" s="1">
        <v>2014.0</v>
      </c>
      <c r="AN1152" s="1">
        <v>2013.0</v>
      </c>
      <c r="AO1152" s="1" t="s">
        <v>277</v>
      </c>
    </row>
    <row r="1153">
      <c r="A1153" s="5">
        <v>1.0</v>
      </c>
      <c r="B1153" s="1">
        <f t="shared" si="1"/>
        <v>1153</v>
      </c>
      <c r="C1153" s="1" t="s">
        <v>2624</v>
      </c>
      <c r="D1153" s="1" t="s">
        <v>2624</v>
      </c>
      <c r="E1153" s="1" t="s">
        <v>194</v>
      </c>
      <c r="G1153" s="1">
        <v>9.3109256E7</v>
      </c>
      <c r="H1153" s="2">
        <v>41409.0</v>
      </c>
      <c r="I1153" s="1" t="s">
        <v>458</v>
      </c>
      <c r="K1153" s="1" t="s">
        <v>458</v>
      </c>
      <c r="N1153" s="1" t="s">
        <v>194</v>
      </c>
      <c r="O1153" s="1">
        <v>9100.0</v>
      </c>
      <c r="P1153" s="1" t="s">
        <v>194</v>
      </c>
      <c r="Q1153" s="1" t="str">
        <f>IF(ISERROR(VLOOKUP(P1153,'unique fed agency names'!A:C,3,FALSE)),P1153,VLOOKUP(P1153,'unique fed agency names'!A:C,3,FALSE))
</f>
        <v>U.S. Department of Education (ED)</v>
      </c>
      <c r="R1153" s="1">
        <v>7.93697942E8</v>
      </c>
      <c r="S1153" s="1" t="s">
        <v>459</v>
      </c>
      <c r="T1153" s="1" t="str">
        <f>IF(ISERROR(VLOOKUP(S1153,'unique org names'!A:C,3,FALSE)),S1153,VLOOKUP(S1153,'unique org names'!A:C,3,FALSE))
</f>
        <v>DETROIT PUBLIC SCHOOLS</v>
      </c>
      <c r="V1153" s="1" t="s">
        <v>460</v>
      </c>
      <c r="W1153" s="1" t="s">
        <v>44</v>
      </c>
      <c r="X1153" s="1" t="s">
        <v>45</v>
      </c>
      <c r="Y1153" s="1">
        <v>4.82141601E8</v>
      </c>
      <c r="AA1153" s="1" t="s">
        <v>44</v>
      </c>
      <c r="AB1153" s="1" t="s">
        <v>45</v>
      </c>
      <c r="AC1153" s="1">
        <v>4.82141601E8</v>
      </c>
      <c r="AD1153" s="1">
        <v>7.6340843E7</v>
      </c>
      <c r="AE1153" s="1" t="s">
        <v>461</v>
      </c>
      <c r="AF1153" s="1">
        <v>27427.0</v>
      </c>
      <c r="AG1153" s="2">
        <v>41409.0</v>
      </c>
      <c r="AH1153" s="1">
        <v>9100.0</v>
      </c>
      <c r="AI1153" s="1" t="s">
        <v>194</v>
      </c>
      <c r="AJ1153" s="1" t="s">
        <v>462</v>
      </c>
      <c r="AK1153" s="1" t="s">
        <v>463</v>
      </c>
      <c r="AL1153" s="1">
        <v>8.0</v>
      </c>
      <c r="AM1153" s="1">
        <v>2014.0</v>
      </c>
      <c r="AN1153" s="1">
        <v>2013.0</v>
      </c>
      <c r="AO1153" s="1" t="s">
        <v>277</v>
      </c>
    </row>
    <row r="1154">
      <c r="A1154" s="5">
        <v>1.0</v>
      </c>
      <c r="B1154" s="1">
        <f t="shared" si="1"/>
        <v>1154</v>
      </c>
      <c r="C1154" s="1" t="s">
        <v>2624</v>
      </c>
      <c r="D1154" s="1" t="s">
        <v>2624</v>
      </c>
      <c r="E1154" s="1" t="s">
        <v>194</v>
      </c>
      <c r="G1154" s="1">
        <v>9.3109256E7</v>
      </c>
      <c r="H1154" s="2">
        <v>41327.0</v>
      </c>
      <c r="I1154" s="1" t="s">
        <v>458</v>
      </c>
      <c r="K1154" s="1" t="s">
        <v>458</v>
      </c>
      <c r="N1154" s="1" t="s">
        <v>194</v>
      </c>
      <c r="O1154" s="1">
        <v>9100.0</v>
      </c>
      <c r="P1154" s="1" t="s">
        <v>194</v>
      </c>
      <c r="Q1154" s="1" t="str">
        <f>IF(ISERROR(VLOOKUP(P1154,'unique fed agency names'!A:C,3,FALSE)),P1154,VLOOKUP(P1154,'unique fed agency names'!A:C,3,FALSE))
</f>
        <v>U.S. Department of Education (ED)</v>
      </c>
      <c r="R1154" s="1">
        <v>1.52892667E8</v>
      </c>
      <c r="S1154" s="1" t="s">
        <v>638</v>
      </c>
      <c r="T1154" s="1" t="str">
        <f>IF(ISERROR(VLOOKUP(S1154,'unique org names'!A:C,3,FALSE)),S1154,VLOOKUP(S1154,'unique org names'!A:C,3,FALSE))
</f>
        <v>DOVE ACADEMY OF DETROIT</v>
      </c>
      <c r="V1154" s="1" t="s">
        <v>639</v>
      </c>
      <c r="W1154" s="1" t="s">
        <v>44</v>
      </c>
      <c r="X1154" s="1" t="s">
        <v>45</v>
      </c>
      <c r="Y1154" s="1">
        <v>4.82343358E8</v>
      </c>
      <c r="AA1154" s="1" t="s">
        <v>44</v>
      </c>
      <c r="AB1154" s="1" t="s">
        <v>45</v>
      </c>
      <c r="AC1154" s="1">
        <v>4.82343358E8</v>
      </c>
      <c r="AF1154" s="1">
        <v>28515.0</v>
      </c>
      <c r="AG1154" s="2">
        <v>41327.0</v>
      </c>
      <c r="AH1154" s="1">
        <v>9100.0</v>
      </c>
      <c r="AI1154" s="1" t="s">
        <v>194</v>
      </c>
      <c r="AJ1154" s="1" t="s">
        <v>640</v>
      </c>
      <c r="AK1154" s="1" t="s">
        <v>463</v>
      </c>
      <c r="AL1154" s="1">
        <v>8.0</v>
      </c>
      <c r="AM1154" s="1">
        <v>2014.0</v>
      </c>
      <c r="AN1154" s="1">
        <v>2013.0</v>
      </c>
      <c r="AO1154" s="1" t="s">
        <v>277</v>
      </c>
    </row>
    <row r="1155">
      <c r="A1155" s="5">
        <v>1.0</v>
      </c>
      <c r="B1155" s="1">
        <f t="shared" si="1"/>
        <v>1155</v>
      </c>
      <c r="C1155" s="1" t="s">
        <v>2624</v>
      </c>
      <c r="D1155" s="1" t="s">
        <v>2624</v>
      </c>
      <c r="E1155" s="1" t="s">
        <v>194</v>
      </c>
      <c r="G1155" s="1">
        <v>9.3109256E7</v>
      </c>
      <c r="H1155" s="2">
        <v>41388.0</v>
      </c>
      <c r="I1155" s="1" t="s">
        <v>458</v>
      </c>
      <c r="K1155" s="1" t="s">
        <v>458</v>
      </c>
      <c r="N1155" s="1" t="s">
        <v>194</v>
      </c>
      <c r="O1155" s="1">
        <v>9100.0</v>
      </c>
      <c r="P1155" s="1" t="s">
        <v>194</v>
      </c>
      <c r="Q1155" s="1" t="str">
        <f>IF(ISERROR(VLOOKUP(P1155,'unique fed agency names'!A:C,3,FALSE)),P1155,VLOOKUP(P1155,'unique fed agency names'!A:C,3,FALSE))
</f>
        <v>U.S. Department of Education (ED)</v>
      </c>
      <c r="R1155" s="1">
        <v>9.65349769E8</v>
      </c>
      <c r="S1155" s="1" t="s">
        <v>465</v>
      </c>
      <c r="T1155" s="1" t="str">
        <f>IF(ISERROR(VLOOKUP(S1155,'unique org names'!A:C,3,FALSE)),S1155,VLOOKUP(S1155,'unique org names'!A:C,3,FALSE))
</f>
        <v>Public School Academies of Detroit</v>
      </c>
      <c r="U1155" s="1" t="s">
        <v>466</v>
      </c>
      <c r="V1155" s="1" t="s">
        <v>467</v>
      </c>
      <c r="W1155" s="1" t="s">
        <v>44</v>
      </c>
      <c r="X1155" s="1" t="s">
        <v>45</v>
      </c>
      <c r="Y1155" s="1">
        <v>4.8202322E8</v>
      </c>
      <c r="AA1155" s="1" t="s">
        <v>44</v>
      </c>
      <c r="AB1155" s="1" t="s">
        <v>45</v>
      </c>
      <c r="AC1155" s="1">
        <v>4.8202322E8</v>
      </c>
      <c r="AD1155" s="1">
        <v>1.6338926E8</v>
      </c>
      <c r="AF1155" s="1">
        <v>141218.0</v>
      </c>
      <c r="AG1155" s="2">
        <v>41388.0</v>
      </c>
      <c r="AH1155" s="1">
        <v>9100.0</v>
      </c>
      <c r="AI1155" s="1" t="s">
        <v>194</v>
      </c>
      <c r="AJ1155" s="1" t="s">
        <v>468</v>
      </c>
      <c r="AK1155" s="1" t="s">
        <v>463</v>
      </c>
      <c r="AL1155" s="1">
        <v>8.0</v>
      </c>
      <c r="AM1155" s="1">
        <v>2014.0</v>
      </c>
      <c r="AN1155" s="1">
        <v>2013.0</v>
      </c>
      <c r="AO1155" s="1" t="s">
        <v>277</v>
      </c>
    </row>
    <row r="1156">
      <c r="A1156" s="5">
        <v>1.0</v>
      </c>
      <c r="B1156" s="1">
        <f t="shared" si="1"/>
        <v>1156</v>
      </c>
      <c r="C1156" s="1" t="s">
        <v>2624</v>
      </c>
      <c r="D1156" s="1" t="s">
        <v>2624</v>
      </c>
      <c r="E1156" s="1" t="s">
        <v>194</v>
      </c>
      <c r="G1156" s="1">
        <v>9.3109256E7</v>
      </c>
      <c r="H1156" s="2">
        <v>41383.0</v>
      </c>
      <c r="I1156" s="1" t="s">
        <v>458</v>
      </c>
      <c r="K1156" s="1" t="s">
        <v>458</v>
      </c>
      <c r="N1156" s="1" t="s">
        <v>194</v>
      </c>
      <c r="O1156" s="1">
        <v>9100.0</v>
      </c>
      <c r="P1156" s="1" t="s">
        <v>194</v>
      </c>
      <c r="Q1156" s="1" t="str">
        <f>IF(ISERROR(VLOOKUP(P1156,'unique fed agency names'!A:C,3,FALSE)),P1156,VLOOKUP(P1156,'unique fed agency names'!A:C,3,FALSE))
</f>
        <v>U.S. Department of Education (ED)</v>
      </c>
      <c r="R1156" s="1">
        <v>1.6338926E8</v>
      </c>
      <c r="S1156" s="1" t="s">
        <v>465</v>
      </c>
      <c r="T1156" s="1" t="str">
        <f>IF(ISERROR(VLOOKUP(S1156,'unique org names'!A:C,3,FALSE)),S1156,VLOOKUP(S1156,'unique org names'!A:C,3,FALSE))
</f>
        <v>Public School Academies of Detroit</v>
      </c>
      <c r="U1156" s="1" t="s">
        <v>598</v>
      </c>
      <c r="V1156" s="1" t="s">
        <v>599</v>
      </c>
      <c r="W1156" s="1" t="s">
        <v>44</v>
      </c>
      <c r="X1156" s="1" t="s">
        <v>45</v>
      </c>
      <c r="Y1156" s="1">
        <v>4.82023457E8</v>
      </c>
      <c r="AA1156" s="1" t="s">
        <v>44</v>
      </c>
      <c r="AB1156" s="1" t="s">
        <v>45</v>
      </c>
      <c r="AC1156" s="1">
        <v>4.82023457E8</v>
      </c>
      <c r="AD1156" s="1">
        <v>1.6338926E8</v>
      </c>
      <c r="AF1156" s="1">
        <v>27360.0</v>
      </c>
      <c r="AG1156" s="2">
        <v>41383.0</v>
      </c>
      <c r="AH1156" s="1">
        <v>9100.0</v>
      </c>
      <c r="AI1156" s="1" t="s">
        <v>194</v>
      </c>
      <c r="AJ1156" s="1" t="s">
        <v>600</v>
      </c>
      <c r="AK1156" s="1" t="s">
        <v>463</v>
      </c>
      <c r="AL1156" s="1">
        <v>8.0</v>
      </c>
      <c r="AM1156" s="1">
        <v>2014.0</v>
      </c>
      <c r="AN1156" s="1">
        <v>2013.0</v>
      </c>
      <c r="AO1156" s="1" t="s">
        <v>277</v>
      </c>
    </row>
    <row r="1157">
      <c r="A1157" s="5">
        <v>1.0</v>
      </c>
      <c r="B1157" s="1">
        <f t="shared" si="1"/>
        <v>1157</v>
      </c>
      <c r="C1157" s="1" t="s">
        <v>2624</v>
      </c>
      <c r="D1157" s="1" t="s">
        <v>2624</v>
      </c>
      <c r="E1157" s="1" t="s">
        <v>194</v>
      </c>
      <c r="G1157" s="1">
        <v>9.3109256E7</v>
      </c>
      <c r="H1157" s="2">
        <v>41297.0</v>
      </c>
      <c r="I1157" s="1" t="s">
        <v>458</v>
      </c>
      <c r="K1157" s="1" t="s">
        <v>458</v>
      </c>
      <c r="N1157" s="1" t="s">
        <v>194</v>
      </c>
      <c r="O1157" s="1">
        <v>9100.0</v>
      </c>
      <c r="P1157" s="1" t="s">
        <v>194</v>
      </c>
      <c r="Q1157" s="1" t="str">
        <f>IF(ISERROR(VLOOKUP(P1157,'unique fed agency names'!A:C,3,FALSE)),P1157,VLOOKUP(P1157,'unique fed agency names'!A:C,3,FALSE))
</f>
        <v>U.S. Department of Education (ED)</v>
      </c>
      <c r="R1157" s="1">
        <v>8.3082572E8</v>
      </c>
      <c r="S1157" s="1" t="s">
        <v>465</v>
      </c>
      <c r="T1157" s="1" t="str">
        <f>IF(ISERROR(VLOOKUP(S1157,'unique org names'!A:C,3,FALSE)),S1157,VLOOKUP(S1157,'unique org names'!A:C,3,FALSE))
</f>
        <v>Public School Academies of Detroit</v>
      </c>
      <c r="U1157" s="1" t="s">
        <v>554</v>
      </c>
      <c r="V1157" s="1" t="s">
        <v>555</v>
      </c>
      <c r="W1157" s="1" t="s">
        <v>44</v>
      </c>
      <c r="X1157" s="1" t="s">
        <v>45</v>
      </c>
      <c r="Y1157" s="1">
        <v>4.82024061E8</v>
      </c>
      <c r="AA1157" s="1" t="s">
        <v>44</v>
      </c>
      <c r="AB1157" s="1" t="s">
        <v>45</v>
      </c>
      <c r="AC1157" s="1">
        <v>4.82023457E8</v>
      </c>
      <c r="AD1157" s="1">
        <v>1.6338926E8</v>
      </c>
      <c r="AF1157" s="1">
        <v>67299.0</v>
      </c>
      <c r="AG1157" s="2">
        <v>41297.0</v>
      </c>
      <c r="AH1157" s="1">
        <v>9100.0</v>
      </c>
      <c r="AI1157" s="1" t="s">
        <v>194</v>
      </c>
      <c r="AJ1157" s="1" t="s">
        <v>556</v>
      </c>
      <c r="AK1157" s="1" t="s">
        <v>463</v>
      </c>
      <c r="AL1157" s="1">
        <v>8.0</v>
      </c>
      <c r="AM1157" s="1">
        <v>2014.0</v>
      </c>
      <c r="AN1157" s="1">
        <v>2013.0</v>
      </c>
      <c r="AO1157" s="1" t="s">
        <v>277</v>
      </c>
    </row>
    <row r="1158">
      <c r="A1158" s="5">
        <v>1.0</v>
      </c>
      <c r="B1158" s="1">
        <f t="shared" si="1"/>
        <v>1158</v>
      </c>
      <c r="C1158" s="1" t="s">
        <v>2624</v>
      </c>
      <c r="D1158" s="1" t="s">
        <v>2624</v>
      </c>
      <c r="E1158" s="1" t="s">
        <v>194</v>
      </c>
      <c r="G1158" s="1">
        <v>9.3109256E7</v>
      </c>
      <c r="H1158" s="2">
        <v>41367.0</v>
      </c>
      <c r="I1158" s="1" t="s">
        <v>458</v>
      </c>
      <c r="K1158" s="1" t="s">
        <v>458</v>
      </c>
      <c r="N1158" s="1" t="s">
        <v>194</v>
      </c>
      <c r="O1158" s="1">
        <v>9100.0</v>
      </c>
      <c r="P1158" s="1" t="s">
        <v>194</v>
      </c>
      <c r="Q1158" s="1" t="str">
        <f>IF(ISERROR(VLOOKUP(P1158,'unique fed agency names'!A:C,3,FALSE)),P1158,VLOOKUP(P1158,'unique fed agency names'!A:C,3,FALSE))
</f>
        <v>U.S. Department of Education (ED)</v>
      </c>
      <c r="R1158" s="1">
        <v>9.0912429E7</v>
      </c>
      <c r="S1158" s="1" t="s">
        <v>521</v>
      </c>
      <c r="T1158" s="1" t="str">
        <f>IF(ISERROR(VLOOKUP(S1158,'unique org names'!A:C,3,FALSE)),S1158,VLOOKUP(S1158,'unique org names'!A:C,3,FALSE))
</f>
        <v>DETROIT COMMUNITY SCHOOLS</v>
      </c>
      <c r="V1158" s="1" t="s">
        <v>522</v>
      </c>
      <c r="W1158" s="1" t="s">
        <v>44</v>
      </c>
      <c r="X1158" s="1" t="s">
        <v>45</v>
      </c>
      <c r="Y1158" s="1">
        <v>4.82233314E8</v>
      </c>
      <c r="AA1158" s="1" t="s">
        <v>44</v>
      </c>
      <c r="AB1158" s="1" t="s">
        <v>45</v>
      </c>
      <c r="AC1158" s="1">
        <v>4.82233314E8</v>
      </c>
      <c r="AF1158" s="1">
        <v>30085.0</v>
      </c>
      <c r="AG1158" s="2">
        <v>41367.0</v>
      </c>
      <c r="AH1158" s="1">
        <v>9100.0</v>
      </c>
      <c r="AI1158" s="1" t="s">
        <v>194</v>
      </c>
      <c r="AJ1158" s="1" t="s">
        <v>523</v>
      </c>
      <c r="AK1158" s="1" t="s">
        <v>463</v>
      </c>
      <c r="AL1158" s="1">
        <v>8.0</v>
      </c>
      <c r="AM1158" s="1">
        <v>2014.0</v>
      </c>
      <c r="AN1158" s="1">
        <v>2013.0</v>
      </c>
      <c r="AO1158" s="1" t="s">
        <v>277</v>
      </c>
    </row>
    <row r="1159">
      <c r="A1159" s="5">
        <v>1.0</v>
      </c>
      <c r="B1159" s="1">
        <f t="shared" si="1"/>
        <v>1159</v>
      </c>
      <c r="C1159" s="1" t="s">
        <v>2624</v>
      </c>
      <c r="D1159" s="1" t="s">
        <v>2624</v>
      </c>
      <c r="E1159" s="1" t="s">
        <v>194</v>
      </c>
      <c r="G1159" s="1">
        <v>9.3109256E7</v>
      </c>
      <c r="H1159" s="2">
        <v>41422.0</v>
      </c>
      <c r="I1159" s="1" t="s">
        <v>458</v>
      </c>
      <c r="K1159" s="1" t="s">
        <v>458</v>
      </c>
      <c r="N1159" s="1" t="s">
        <v>194</v>
      </c>
      <c r="O1159" s="1">
        <v>9100.0</v>
      </c>
      <c r="P1159" s="1" t="s">
        <v>194</v>
      </c>
      <c r="Q1159" s="1" t="str">
        <f>IF(ISERROR(VLOOKUP(P1159,'unique fed agency names'!A:C,3,FALSE)),P1159,VLOOKUP(P1159,'unique fed agency names'!A:C,3,FALSE))
</f>
        <v>U.S. Department of Education (ED)</v>
      </c>
      <c r="R1159" s="1">
        <v>7.6340843E7</v>
      </c>
      <c r="S1159" s="1" t="s">
        <v>461</v>
      </c>
      <c r="T1159" s="1" t="str">
        <f>IF(ISERROR(VLOOKUP(S1159,'unique org names'!A:C,3,FALSE)),S1159,VLOOKUP(S1159,'unique org names'!A:C,3,FALSE))
</f>
        <v>BOARD OF EDUCATION OF THE CITY OF DETROIT</v>
      </c>
      <c r="V1159" s="1" t="s">
        <v>1599</v>
      </c>
      <c r="W1159" s="1" t="s">
        <v>44</v>
      </c>
      <c r="X1159" s="1" t="s">
        <v>45</v>
      </c>
      <c r="Y1159" s="1">
        <v>4.8202301E8</v>
      </c>
      <c r="AA1159" s="1" t="s">
        <v>44</v>
      </c>
      <c r="AB1159" s="1" t="s">
        <v>45</v>
      </c>
      <c r="AC1159" s="1">
        <v>4.82023096E8</v>
      </c>
      <c r="AD1159" s="1">
        <v>7.6340843E7</v>
      </c>
      <c r="AE1159" s="1" t="s">
        <v>461</v>
      </c>
      <c r="AF1159" s="1">
        <v>3.2603816E7</v>
      </c>
      <c r="AG1159" s="2">
        <v>41422.0</v>
      </c>
      <c r="AH1159" s="1">
        <v>9100.0</v>
      </c>
      <c r="AI1159" s="1" t="s">
        <v>194</v>
      </c>
      <c r="AJ1159" s="1" t="s">
        <v>525</v>
      </c>
      <c r="AK1159" s="1" t="s">
        <v>463</v>
      </c>
      <c r="AL1159" s="1">
        <v>8.0</v>
      </c>
      <c r="AM1159" s="1">
        <v>2014.0</v>
      </c>
      <c r="AN1159" s="1">
        <v>2013.0</v>
      </c>
      <c r="AO1159" s="1" t="s">
        <v>277</v>
      </c>
    </row>
    <row r="1160">
      <c r="A1160" s="5">
        <v>1.0</v>
      </c>
      <c r="B1160" s="1">
        <f t="shared" si="1"/>
        <v>1160</v>
      </c>
      <c r="C1160" s="1" t="s">
        <v>2624</v>
      </c>
      <c r="D1160" s="1" t="s">
        <v>2624</v>
      </c>
      <c r="E1160" s="1" t="s">
        <v>194</v>
      </c>
      <c r="G1160" s="1">
        <v>9.3109256E7</v>
      </c>
      <c r="H1160" s="2">
        <v>41358.0</v>
      </c>
      <c r="I1160" s="1" t="s">
        <v>458</v>
      </c>
      <c r="K1160" s="1" t="s">
        <v>458</v>
      </c>
      <c r="N1160" s="1" t="s">
        <v>194</v>
      </c>
      <c r="O1160" s="1">
        <v>9100.0</v>
      </c>
      <c r="P1160" s="1" t="s">
        <v>194</v>
      </c>
      <c r="Q1160" s="1" t="str">
        <f>IF(ISERROR(VLOOKUP(P1160,'unique fed agency names'!A:C,3,FALSE)),P1160,VLOOKUP(P1160,'unique fed agency names'!A:C,3,FALSE))
</f>
        <v>U.S. Department of Education (ED)</v>
      </c>
      <c r="R1160" s="1">
        <v>1.0030049E8</v>
      </c>
      <c r="S1160" s="1" t="s">
        <v>461</v>
      </c>
      <c r="T1160" s="1" t="str">
        <f>IF(ISERROR(VLOOKUP(S1160,'unique org names'!A:C,3,FALSE)),S1160,VLOOKUP(S1160,'unique org names'!A:C,3,FALSE))
</f>
        <v>BOARD OF EDUCATION OF THE CITY OF DETROIT</v>
      </c>
      <c r="U1160" s="1" t="s">
        <v>570</v>
      </c>
      <c r="V1160" s="1" t="s">
        <v>571</v>
      </c>
      <c r="W1160" s="1" t="s">
        <v>44</v>
      </c>
      <c r="X1160" s="1" t="s">
        <v>45</v>
      </c>
      <c r="Y1160" s="1">
        <v>4.82382941E8</v>
      </c>
      <c r="AA1160" s="1" t="s">
        <v>44</v>
      </c>
      <c r="AB1160" s="1" t="s">
        <v>2625</v>
      </c>
      <c r="AC1160" s="1">
        <v>4.82382941E8</v>
      </c>
      <c r="AD1160" s="1">
        <v>7.6340843E7</v>
      </c>
      <c r="AE1160" s="1" t="s">
        <v>461</v>
      </c>
      <c r="AF1160" s="1">
        <v>36181.0</v>
      </c>
      <c r="AG1160" s="2">
        <v>41358.0</v>
      </c>
      <c r="AH1160" s="1">
        <v>9100.0</v>
      </c>
      <c r="AI1160" s="1" t="s">
        <v>194</v>
      </c>
      <c r="AJ1160" s="1" t="s">
        <v>572</v>
      </c>
      <c r="AK1160" s="1" t="s">
        <v>463</v>
      </c>
      <c r="AL1160" s="1">
        <v>8.0</v>
      </c>
      <c r="AM1160" s="1">
        <v>2014.0</v>
      </c>
      <c r="AN1160" s="1">
        <v>2013.0</v>
      </c>
      <c r="AO1160" s="1" t="s">
        <v>277</v>
      </c>
    </row>
    <row r="1161">
      <c r="A1161" s="5">
        <v>1.0</v>
      </c>
      <c r="B1161" s="1">
        <f t="shared" si="1"/>
        <v>1161</v>
      </c>
      <c r="C1161" s="1" t="s">
        <v>2624</v>
      </c>
      <c r="D1161" s="1" t="s">
        <v>2624</v>
      </c>
      <c r="E1161" s="1" t="s">
        <v>194</v>
      </c>
      <c r="G1161" s="1">
        <v>9.3109256E7</v>
      </c>
      <c r="H1161" s="2">
        <v>41367.0</v>
      </c>
      <c r="I1161" s="1" t="s">
        <v>458</v>
      </c>
      <c r="K1161" s="1" t="s">
        <v>458</v>
      </c>
      <c r="N1161" s="1" t="s">
        <v>194</v>
      </c>
      <c r="O1161" s="1">
        <v>9100.0</v>
      </c>
      <c r="P1161" s="1" t="s">
        <v>194</v>
      </c>
      <c r="Q1161" s="1" t="str">
        <f>IF(ISERROR(VLOOKUP(P1161,'unique fed agency names'!A:C,3,FALSE)),P1161,VLOOKUP(P1161,'unique fed agency names'!A:C,3,FALSE))
</f>
        <v>U.S. Department of Education (ED)</v>
      </c>
      <c r="R1161" s="1">
        <v>7.97527715E8</v>
      </c>
      <c r="S1161" s="1" t="s">
        <v>567</v>
      </c>
      <c r="T1161" s="1" t="str">
        <f>IF(ISERROR(VLOOKUP(S1161,'unique org names'!A:C,3,FALSE)),S1161,VLOOKUP(S1161,'unique org names'!A:C,3,FALSE))
</f>
        <v>HAMTRAMCK ACADEMY</v>
      </c>
      <c r="V1161" s="1" t="s">
        <v>568</v>
      </c>
      <c r="W1161" s="1" t="s">
        <v>44</v>
      </c>
      <c r="X1161" s="1" t="s">
        <v>45</v>
      </c>
      <c r="Y1161" s="1">
        <v>4.82123134E8</v>
      </c>
      <c r="AA1161" s="1" t="s">
        <v>498</v>
      </c>
      <c r="AB1161" s="1" t="s">
        <v>45</v>
      </c>
      <c r="AC1161" s="1">
        <v>4.82123134E8</v>
      </c>
      <c r="AD1161" s="1">
        <v>9.60742484E8</v>
      </c>
      <c r="AF1161" s="1">
        <v>44369.0</v>
      </c>
      <c r="AG1161" s="2">
        <v>41367.0</v>
      </c>
      <c r="AH1161" s="1">
        <v>9100.0</v>
      </c>
      <c r="AI1161" s="1" t="s">
        <v>194</v>
      </c>
      <c r="AJ1161" s="1" t="s">
        <v>569</v>
      </c>
      <c r="AK1161" s="1" t="s">
        <v>463</v>
      </c>
      <c r="AL1161" s="1">
        <v>8.0</v>
      </c>
      <c r="AM1161" s="1">
        <v>2014.0</v>
      </c>
      <c r="AN1161" s="1">
        <v>2013.0</v>
      </c>
      <c r="AO1161" s="1" t="s">
        <v>277</v>
      </c>
    </row>
    <row r="1162">
      <c r="A1162" s="5">
        <v>1.0</v>
      </c>
      <c r="B1162" s="1">
        <f t="shared" si="1"/>
        <v>1162</v>
      </c>
      <c r="C1162" s="1" t="s">
        <v>2624</v>
      </c>
      <c r="D1162" s="1" t="s">
        <v>2624</v>
      </c>
      <c r="E1162" s="1" t="s">
        <v>194</v>
      </c>
      <c r="G1162" s="1">
        <v>9.3109256E7</v>
      </c>
      <c r="H1162" s="2">
        <v>41348.0</v>
      </c>
      <c r="I1162" s="1" t="s">
        <v>458</v>
      </c>
      <c r="K1162" s="1" t="s">
        <v>458</v>
      </c>
      <c r="N1162" s="1" t="s">
        <v>194</v>
      </c>
      <c r="O1162" s="1">
        <v>9100.0</v>
      </c>
      <c r="P1162" s="1" t="s">
        <v>194</v>
      </c>
      <c r="Q1162" s="1" t="str">
        <f>IF(ISERROR(VLOOKUP(P1162,'unique fed agency names'!A:C,3,FALSE)),P1162,VLOOKUP(P1162,'unique fed agency names'!A:C,3,FALSE))
</f>
        <v>U.S. Department of Education (ED)</v>
      </c>
      <c r="R1162" s="1">
        <v>7.94990296E8</v>
      </c>
      <c r="S1162" s="1" t="s">
        <v>601</v>
      </c>
      <c r="T1162" s="1" t="str">
        <f>IF(ISERROR(VLOOKUP(S1162,'unique org names'!A:C,3,FALSE)),S1162,VLOOKUP(S1162,'unique org names'!A:C,3,FALSE))
</f>
        <v>NORTHPOINTE ACADEMY</v>
      </c>
      <c r="V1162" s="1" t="s">
        <v>602</v>
      </c>
      <c r="W1162" s="1" t="s">
        <v>44</v>
      </c>
      <c r="X1162" s="1" t="s">
        <v>45</v>
      </c>
      <c r="Y1162" s="1">
        <v>4.82032827E8</v>
      </c>
      <c r="AA1162" s="1" t="s">
        <v>603</v>
      </c>
      <c r="AB1162" s="1" t="s">
        <v>45</v>
      </c>
      <c r="AC1162" s="1">
        <v>4.82032827E8</v>
      </c>
      <c r="AF1162" s="1">
        <v>28887.0</v>
      </c>
      <c r="AG1162" s="2">
        <v>41348.0</v>
      </c>
      <c r="AH1162" s="1">
        <v>9100.0</v>
      </c>
      <c r="AI1162" s="1" t="s">
        <v>194</v>
      </c>
      <c r="AJ1162" s="1" t="s">
        <v>604</v>
      </c>
      <c r="AK1162" s="1" t="s">
        <v>463</v>
      </c>
      <c r="AL1162" s="1">
        <v>8.0</v>
      </c>
      <c r="AM1162" s="1">
        <v>2014.0</v>
      </c>
      <c r="AN1162" s="1">
        <v>2013.0</v>
      </c>
      <c r="AO1162" s="1" t="s">
        <v>277</v>
      </c>
    </row>
    <row r="1163">
      <c r="A1163" s="5">
        <v>1.0</v>
      </c>
      <c r="B1163" s="1">
        <f t="shared" si="1"/>
        <v>1163</v>
      </c>
      <c r="C1163" s="1" t="s">
        <v>2624</v>
      </c>
      <c r="D1163" s="1" t="s">
        <v>2624</v>
      </c>
      <c r="E1163" s="1" t="s">
        <v>194</v>
      </c>
      <c r="G1163" s="1">
        <v>9.3109256E7</v>
      </c>
      <c r="H1163" s="2">
        <v>41388.0</v>
      </c>
      <c r="I1163" s="1" t="s">
        <v>458</v>
      </c>
      <c r="K1163" s="1" t="s">
        <v>458</v>
      </c>
      <c r="N1163" s="1" t="s">
        <v>194</v>
      </c>
      <c r="O1163" s="1">
        <v>9100.0</v>
      </c>
      <c r="P1163" s="1" t="s">
        <v>194</v>
      </c>
      <c r="Q1163" s="1" t="str">
        <f>IF(ISERROR(VLOOKUP(P1163,'unique fed agency names'!A:C,3,FALSE)),P1163,VLOOKUP(P1163,'unique fed agency names'!A:C,3,FALSE))
</f>
        <v>U.S. Department of Education (ED)</v>
      </c>
      <c r="R1163" s="1">
        <v>9.62104118E8</v>
      </c>
      <c r="S1163" s="1" t="s">
        <v>634</v>
      </c>
      <c r="T1163" s="1" t="str">
        <f>IF(ISERROR(VLOOKUP(S1163,'unique org names'!A:C,3,FALSE)),S1163,VLOOKUP(S1163,'unique org names'!A:C,3,FALSE))
</f>
        <v>UNIVERSITY YES ACADEMY</v>
      </c>
      <c r="V1163" s="1" t="s">
        <v>635</v>
      </c>
      <c r="W1163" s="1" t="s">
        <v>44</v>
      </c>
      <c r="X1163" s="1" t="s">
        <v>45</v>
      </c>
      <c r="Y1163" s="1">
        <v>4.82351111E8</v>
      </c>
      <c r="AA1163" s="1" t="s">
        <v>46</v>
      </c>
      <c r="AB1163" s="1" t="s">
        <v>45</v>
      </c>
      <c r="AC1163" s="1">
        <v>4.82351111E8</v>
      </c>
      <c r="AF1163" s="1">
        <v>29333.0</v>
      </c>
      <c r="AG1163" s="2">
        <v>41388.0</v>
      </c>
      <c r="AH1163" s="1">
        <v>9100.0</v>
      </c>
      <c r="AI1163" s="1" t="s">
        <v>194</v>
      </c>
      <c r="AJ1163" s="1" t="s">
        <v>636</v>
      </c>
      <c r="AK1163" s="1" t="s">
        <v>463</v>
      </c>
      <c r="AL1163" s="1">
        <v>8.0</v>
      </c>
      <c r="AM1163" s="1">
        <v>2014.0</v>
      </c>
      <c r="AN1163" s="1">
        <v>2013.0</v>
      </c>
      <c r="AO1163" s="1" t="s">
        <v>277</v>
      </c>
    </row>
    <row r="1164">
      <c r="A1164" s="5">
        <v>1.0</v>
      </c>
      <c r="B1164" s="1">
        <f t="shared" si="1"/>
        <v>1164</v>
      </c>
      <c r="C1164" s="1" t="s">
        <v>2624</v>
      </c>
      <c r="D1164" s="1" t="s">
        <v>2624</v>
      </c>
      <c r="E1164" s="1" t="s">
        <v>194</v>
      </c>
      <c r="G1164" s="1">
        <v>9.3109256E7</v>
      </c>
      <c r="H1164" s="2">
        <v>41390.0</v>
      </c>
      <c r="I1164" s="1" t="s">
        <v>458</v>
      </c>
      <c r="K1164" s="1" t="s">
        <v>458</v>
      </c>
      <c r="N1164" s="1" t="s">
        <v>194</v>
      </c>
      <c r="O1164" s="1">
        <v>9100.0</v>
      </c>
      <c r="P1164" s="1" t="s">
        <v>194</v>
      </c>
      <c r="Q1164" s="1" t="str">
        <f>IF(ISERROR(VLOOKUP(P1164,'unique fed agency names'!A:C,3,FALSE)),P1164,VLOOKUP(P1164,'unique fed agency names'!A:C,3,FALSE))
</f>
        <v>U.S. Department of Education (ED)</v>
      </c>
      <c r="R1164" s="1">
        <v>7.0381949E7</v>
      </c>
      <c r="S1164" s="1" t="s">
        <v>605</v>
      </c>
      <c r="T1164" s="1" t="str">
        <f>IF(ISERROR(VLOOKUP(S1164,'unique org names'!A:C,3,FALSE)),S1164,VLOOKUP(S1164,'unique org names'!A:C,3,FALSE))
</f>
        <v>Liberty Caniff Academy</v>
      </c>
      <c r="V1164" s="1" t="s">
        <v>606</v>
      </c>
      <c r="W1164" s="1" t="s">
        <v>44</v>
      </c>
      <c r="X1164" s="1" t="s">
        <v>45</v>
      </c>
      <c r="Y1164" s="1">
        <v>4.82123033E8</v>
      </c>
      <c r="AA1164" s="1" t="s">
        <v>607</v>
      </c>
      <c r="AB1164" s="1" t="s">
        <v>45</v>
      </c>
      <c r="AC1164" s="1">
        <v>4.82123033E8</v>
      </c>
      <c r="AF1164" s="1">
        <v>36671.0</v>
      </c>
      <c r="AG1164" s="2">
        <v>41390.0</v>
      </c>
      <c r="AH1164" s="1">
        <v>9100.0</v>
      </c>
      <c r="AI1164" s="1" t="s">
        <v>194</v>
      </c>
      <c r="AJ1164" s="1" t="s">
        <v>608</v>
      </c>
      <c r="AK1164" s="1" t="s">
        <v>463</v>
      </c>
      <c r="AL1164" s="1">
        <v>8.0</v>
      </c>
      <c r="AM1164" s="1">
        <v>2014.0</v>
      </c>
      <c r="AN1164" s="1">
        <v>2013.0</v>
      </c>
      <c r="AO1164" s="1" t="s">
        <v>277</v>
      </c>
    </row>
    <row r="1165">
      <c r="A1165" s="5">
        <v>1.0</v>
      </c>
      <c r="B1165" s="1">
        <f t="shared" si="1"/>
        <v>1165</v>
      </c>
      <c r="C1165" s="1" t="s">
        <v>2624</v>
      </c>
      <c r="D1165" s="1" t="s">
        <v>2624</v>
      </c>
      <c r="E1165" s="1" t="s">
        <v>194</v>
      </c>
      <c r="G1165" s="1">
        <v>9.3109256E7</v>
      </c>
      <c r="H1165" s="2">
        <v>41358.0</v>
      </c>
      <c r="I1165" s="1" t="s">
        <v>458</v>
      </c>
      <c r="K1165" s="1" t="s">
        <v>458</v>
      </c>
      <c r="N1165" s="1" t="s">
        <v>194</v>
      </c>
      <c r="O1165" s="1">
        <v>9100.0</v>
      </c>
      <c r="P1165" s="1" t="s">
        <v>194</v>
      </c>
      <c r="Q1165" s="1" t="str">
        <f>IF(ISERROR(VLOOKUP(P1165,'unique fed agency names'!A:C,3,FALSE)),P1165,VLOOKUP(P1165,'unique fed agency names'!A:C,3,FALSE))
</f>
        <v>U.S. Department of Education (ED)</v>
      </c>
      <c r="R1165" s="1">
        <v>7.8634042E7</v>
      </c>
      <c r="S1165" s="1" t="s">
        <v>473</v>
      </c>
      <c r="T1165" s="1" t="str">
        <f>IF(ISERROR(VLOOKUP(S1165,'unique org names'!A:C,3,FALSE)),S1165,VLOOKUP(S1165,'unique org names'!A:C,3,FALSE))
</f>
        <v>Hamilton Eman Academy</v>
      </c>
      <c r="V1165" s="1" t="s">
        <v>475</v>
      </c>
      <c r="W1165" s="1" t="s">
        <v>44</v>
      </c>
      <c r="X1165" s="1" t="s">
        <v>45</v>
      </c>
      <c r="Y1165" s="1">
        <v>4.82133744E8</v>
      </c>
      <c r="AA1165" s="1" t="s">
        <v>46</v>
      </c>
      <c r="AB1165" s="1" t="s">
        <v>45</v>
      </c>
      <c r="AC1165" s="1">
        <v>4.82133744E8</v>
      </c>
      <c r="AF1165" s="1">
        <v>115867.0</v>
      </c>
      <c r="AG1165" s="2">
        <v>41358.0</v>
      </c>
      <c r="AH1165" s="1">
        <v>9100.0</v>
      </c>
      <c r="AI1165" s="1" t="s">
        <v>194</v>
      </c>
      <c r="AJ1165" s="1" t="s">
        <v>477</v>
      </c>
      <c r="AK1165" s="1" t="s">
        <v>463</v>
      </c>
      <c r="AL1165" s="1">
        <v>8.0</v>
      </c>
      <c r="AM1165" s="1">
        <v>2014.0</v>
      </c>
      <c r="AN1165" s="1">
        <v>2013.0</v>
      </c>
      <c r="AO1165" s="1" t="s">
        <v>277</v>
      </c>
    </row>
    <row r="1166">
      <c r="A1166" s="5">
        <v>1.0</v>
      </c>
      <c r="B1166" s="1">
        <f t="shared" si="1"/>
        <v>1166</v>
      </c>
      <c r="C1166" s="1" t="s">
        <v>2624</v>
      </c>
      <c r="D1166" s="1" t="s">
        <v>2624</v>
      </c>
      <c r="E1166" s="1" t="s">
        <v>194</v>
      </c>
      <c r="G1166" s="1">
        <v>9.3109256E7</v>
      </c>
      <c r="H1166" s="2">
        <v>41367.0</v>
      </c>
      <c r="I1166" s="1" t="s">
        <v>458</v>
      </c>
      <c r="K1166" s="1" t="s">
        <v>458</v>
      </c>
      <c r="N1166" s="1" t="s">
        <v>194</v>
      </c>
      <c r="O1166" s="1">
        <v>9100.0</v>
      </c>
      <c r="P1166" s="1" t="s">
        <v>194</v>
      </c>
      <c r="Q1166" s="1" t="str">
        <f>IF(ISERROR(VLOOKUP(P1166,'unique fed agency names'!A:C,3,FALSE)),P1166,VLOOKUP(P1166,'unique fed agency names'!A:C,3,FALSE))
</f>
        <v>U.S. Department of Education (ED)</v>
      </c>
      <c r="R1166" s="1">
        <v>7.97531279E8</v>
      </c>
      <c r="S1166" s="1" t="s">
        <v>496</v>
      </c>
      <c r="T1166" s="1" t="str">
        <f>IF(ISERROR(VLOOKUP(S1166,'unique org names'!A:C,3,FALSE)),S1166,VLOOKUP(S1166,'unique org names'!A:C,3,FALSE))
</f>
        <v>BRIDGE ACADEMY</v>
      </c>
      <c r="V1166" s="1" t="s">
        <v>497</v>
      </c>
      <c r="W1166" s="1" t="s">
        <v>44</v>
      </c>
      <c r="X1166" s="1" t="s">
        <v>45</v>
      </c>
      <c r="Y1166" s="1">
        <v>4.82123323E8</v>
      </c>
      <c r="AA1166" s="1" t="s">
        <v>498</v>
      </c>
      <c r="AB1166" s="1" t="s">
        <v>45</v>
      </c>
      <c r="AC1166" s="1">
        <v>4.82123323E8</v>
      </c>
      <c r="AF1166" s="1">
        <v>51111.0</v>
      </c>
      <c r="AG1166" s="2">
        <v>41367.0</v>
      </c>
      <c r="AH1166" s="1">
        <v>9100.0</v>
      </c>
      <c r="AI1166" s="1" t="s">
        <v>194</v>
      </c>
      <c r="AJ1166" s="1" t="s">
        <v>500</v>
      </c>
      <c r="AK1166" s="1" t="s">
        <v>463</v>
      </c>
      <c r="AL1166" s="1">
        <v>8.0</v>
      </c>
      <c r="AM1166" s="1">
        <v>2014.0</v>
      </c>
      <c r="AN1166" s="1">
        <v>2013.0</v>
      </c>
      <c r="AO1166" s="1" t="s">
        <v>277</v>
      </c>
    </row>
    <row r="1167">
      <c r="A1167" s="5">
        <v>1.0</v>
      </c>
      <c r="B1167" s="1">
        <f t="shared" si="1"/>
        <v>1167</v>
      </c>
      <c r="C1167" s="1" t="s">
        <v>2624</v>
      </c>
      <c r="D1167" s="1" t="s">
        <v>2624</v>
      </c>
      <c r="E1167" s="1" t="s">
        <v>194</v>
      </c>
      <c r="G1167" s="1">
        <v>9.3109256E7</v>
      </c>
      <c r="H1167" s="2">
        <v>41358.0</v>
      </c>
      <c r="I1167" s="1" t="s">
        <v>458</v>
      </c>
      <c r="K1167" s="1" t="s">
        <v>458</v>
      </c>
      <c r="N1167" s="1" t="s">
        <v>194</v>
      </c>
      <c r="O1167" s="1">
        <v>9100.0</v>
      </c>
      <c r="P1167" s="1" t="s">
        <v>194</v>
      </c>
      <c r="Q1167" s="1" t="str">
        <f>IF(ISERROR(VLOOKUP(P1167,'unique fed agency names'!A:C,3,FALSE)),P1167,VLOOKUP(P1167,'unique fed agency names'!A:C,3,FALSE))
</f>
        <v>U.S. Department of Education (ED)</v>
      </c>
      <c r="R1167" s="1">
        <v>7.8359005E7</v>
      </c>
      <c r="S1167" s="1" t="s">
        <v>486</v>
      </c>
      <c r="T1167" s="1" t="str">
        <f>IF(ISERROR(VLOOKUP(S1167,'unique org names'!A:C,3,FALSE)),S1167,VLOOKUP(S1167,'unique org names'!A:C,3,FALSE))
</f>
        <v>GEE EDMONSON ACADEMY</v>
      </c>
      <c r="V1167" s="1" t="s">
        <v>487</v>
      </c>
      <c r="W1167" s="1" t="s">
        <v>44</v>
      </c>
      <c r="X1167" s="1" t="s">
        <v>45</v>
      </c>
      <c r="Y1167" s="1">
        <v>4.82011006E8</v>
      </c>
      <c r="AA1167" s="1" t="s">
        <v>46</v>
      </c>
      <c r="AB1167" s="1" t="s">
        <v>45</v>
      </c>
      <c r="AC1167" s="1">
        <v>4.82011006E8</v>
      </c>
      <c r="AF1167" s="1">
        <v>68345.0</v>
      </c>
      <c r="AG1167" s="2">
        <v>41358.0</v>
      </c>
      <c r="AH1167" s="1">
        <v>9100.0</v>
      </c>
      <c r="AI1167" s="1" t="s">
        <v>194</v>
      </c>
      <c r="AJ1167" s="1" t="s">
        <v>489</v>
      </c>
      <c r="AK1167" s="1" t="s">
        <v>463</v>
      </c>
      <c r="AL1167" s="1">
        <v>8.0</v>
      </c>
      <c r="AM1167" s="1">
        <v>2014.0</v>
      </c>
      <c r="AN1167" s="1">
        <v>2013.0</v>
      </c>
      <c r="AO1167" s="1" t="s">
        <v>277</v>
      </c>
    </row>
    <row r="1168">
      <c r="A1168" s="5">
        <v>1.0</v>
      </c>
      <c r="B1168" s="1">
        <f t="shared" si="1"/>
        <v>1168</v>
      </c>
      <c r="C1168" s="1" t="s">
        <v>2624</v>
      </c>
      <c r="D1168" s="1" t="s">
        <v>2624</v>
      </c>
      <c r="E1168" s="1" t="s">
        <v>194</v>
      </c>
      <c r="G1168" s="1">
        <v>9.3109256E7</v>
      </c>
      <c r="H1168" s="2">
        <v>41554.0</v>
      </c>
      <c r="I1168" s="1" t="s">
        <v>458</v>
      </c>
      <c r="K1168" s="1" t="s">
        <v>458</v>
      </c>
      <c r="N1168" s="1" t="s">
        <v>194</v>
      </c>
      <c r="O1168" s="1">
        <v>9100.0</v>
      </c>
      <c r="P1168" s="1" t="s">
        <v>194</v>
      </c>
      <c r="Q1168" s="1" t="str">
        <f>IF(ISERROR(VLOOKUP(P1168,'unique fed agency names'!A:C,3,FALSE)),P1168,VLOOKUP(P1168,'unique fed agency names'!A:C,3,FALSE))
</f>
        <v>U.S. Department of Education (ED)</v>
      </c>
      <c r="R1168" s="1">
        <v>3.1613877E7</v>
      </c>
      <c r="S1168" s="1" t="s">
        <v>2626</v>
      </c>
      <c r="T1168" s="1" t="str">
        <f>IF(ISERROR(VLOOKUP(S1168,'unique org names'!A:C,3,FALSE)),S1168,VLOOKUP(S1168,'unique org names'!A:C,3,FALSE))
</f>
        <v>New Paradigm for Education</v>
      </c>
      <c r="V1168" s="1" t="s">
        <v>2627</v>
      </c>
      <c r="W1168" s="1" t="s">
        <v>44</v>
      </c>
      <c r="X1168" s="1" t="s">
        <v>45</v>
      </c>
      <c r="Y1168" s="1">
        <v>4.82111081E8</v>
      </c>
      <c r="AA1168" s="1" t="s">
        <v>44</v>
      </c>
      <c r="AB1168" s="1" t="s">
        <v>45</v>
      </c>
      <c r="AC1168" s="1">
        <v>4.82111081E8</v>
      </c>
      <c r="AF1168" s="1">
        <v>38019.0</v>
      </c>
      <c r="AG1168" s="2">
        <v>41554.0</v>
      </c>
      <c r="AH1168" s="1">
        <v>9100.0</v>
      </c>
      <c r="AI1168" s="1" t="s">
        <v>194</v>
      </c>
      <c r="AJ1168" s="1" t="s">
        <v>2628</v>
      </c>
      <c r="AK1168" s="1" t="s">
        <v>463</v>
      </c>
      <c r="AL1168" s="1">
        <v>8.0</v>
      </c>
      <c r="AM1168" s="1">
        <v>2014.0</v>
      </c>
      <c r="AN1168" s="1">
        <v>2014.0</v>
      </c>
      <c r="AO1168" s="1" t="s">
        <v>277</v>
      </c>
    </row>
    <row r="1169">
      <c r="A1169" s="5">
        <v>1.0</v>
      </c>
      <c r="B1169" s="1">
        <f t="shared" si="1"/>
        <v>1169</v>
      </c>
      <c r="C1169" s="1" t="s">
        <v>2624</v>
      </c>
      <c r="D1169" s="1" t="s">
        <v>2624</v>
      </c>
      <c r="E1169" s="1" t="s">
        <v>194</v>
      </c>
      <c r="G1169" s="1">
        <v>9.3109256E7</v>
      </c>
      <c r="H1169" s="2">
        <v>41256.0</v>
      </c>
      <c r="I1169" s="1" t="s">
        <v>458</v>
      </c>
      <c r="K1169" s="1" t="s">
        <v>458</v>
      </c>
      <c r="N1169" s="1" t="s">
        <v>194</v>
      </c>
      <c r="O1169" s="1">
        <v>9100.0</v>
      </c>
      <c r="P1169" s="1" t="s">
        <v>194</v>
      </c>
      <c r="Q1169" s="1" t="str">
        <f>IF(ISERROR(VLOOKUP(P1169,'unique fed agency names'!A:C,3,FALSE)),P1169,VLOOKUP(P1169,'unique fed agency names'!A:C,3,FALSE))
</f>
        <v>U.S. Department of Education (ED)</v>
      </c>
      <c r="R1169" s="1">
        <v>9.65783199E8</v>
      </c>
      <c r="S1169" s="1" t="s">
        <v>573</v>
      </c>
      <c r="T1169" s="1" t="str">
        <f>IF(ISERROR(VLOOKUP(S1169,'unique org names'!A:C,3,FALSE)),S1169,VLOOKUP(S1169,'unique org names'!A:C,3,FALSE))
</f>
        <v>COVENANT HOUSE ACADEMY SOUTHWEST</v>
      </c>
      <c r="V1169" s="1" t="s">
        <v>574</v>
      </c>
      <c r="W1169" s="1" t="s">
        <v>44</v>
      </c>
      <c r="X1169" s="1" t="s">
        <v>45</v>
      </c>
      <c r="Y1169" s="1">
        <v>4.82092169E8</v>
      </c>
      <c r="AA1169" s="1" t="s">
        <v>44</v>
      </c>
      <c r="AB1169" s="1" t="s">
        <v>45</v>
      </c>
      <c r="AC1169" s="1">
        <v>4.82092169E8</v>
      </c>
      <c r="AD1169" s="1">
        <v>4.0917864E7</v>
      </c>
      <c r="AF1169" s="1">
        <v>35435.0</v>
      </c>
      <c r="AG1169" s="2">
        <v>41256.0</v>
      </c>
      <c r="AH1169" s="1">
        <v>9100.0</v>
      </c>
      <c r="AI1169" s="1" t="s">
        <v>194</v>
      </c>
      <c r="AJ1169" s="1" t="s">
        <v>575</v>
      </c>
      <c r="AK1169" s="1" t="s">
        <v>463</v>
      </c>
      <c r="AL1169" s="1">
        <v>8.0</v>
      </c>
      <c r="AM1169" s="1">
        <v>2014.0</v>
      </c>
      <c r="AN1169" s="1">
        <v>2013.0</v>
      </c>
      <c r="AO1169" s="1" t="s">
        <v>277</v>
      </c>
    </row>
    <row r="1170">
      <c r="A1170" s="5">
        <v>1.0</v>
      </c>
      <c r="B1170" s="1">
        <f t="shared" si="1"/>
        <v>1170</v>
      </c>
      <c r="C1170" s="1" t="s">
        <v>2624</v>
      </c>
      <c r="D1170" s="1" t="s">
        <v>2624</v>
      </c>
      <c r="E1170" s="1" t="s">
        <v>194</v>
      </c>
      <c r="G1170" s="1">
        <v>9.3109256E7</v>
      </c>
      <c r="H1170" s="2">
        <v>41326.0</v>
      </c>
      <c r="I1170" s="1" t="s">
        <v>458</v>
      </c>
      <c r="K1170" s="1" t="s">
        <v>458</v>
      </c>
      <c r="N1170" s="1" t="s">
        <v>194</v>
      </c>
      <c r="O1170" s="1">
        <v>9100.0</v>
      </c>
      <c r="P1170" s="1" t="s">
        <v>194</v>
      </c>
      <c r="Q1170" s="1" t="str">
        <f>IF(ISERROR(VLOOKUP(P1170,'unique fed agency names'!A:C,3,FALSE)),P1170,VLOOKUP(P1170,'unique fed agency names'!A:C,3,FALSE))
</f>
        <v>U.S. Department of Education (ED)</v>
      </c>
      <c r="R1170" s="1">
        <v>6.6707493E7</v>
      </c>
      <c r="S1170" s="1" t="s">
        <v>541</v>
      </c>
      <c r="T1170" s="1" t="str">
        <f>IF(ISERROR(VLOOKUP(S1170,'unique org names'!A:C,3,FALSE)),S1170,VLOOKUP(S1170,'unique org names'!A:C,3,FALSE))
</f>
        <v>HOPE OF DETROIT ACADEMY</v>
      </c>
      <c r="V1170" s="1" t="s">
        <v>542</v>
      </c>
      <c r="W1170" s="1" t="s">
        <v>44</v>
      </c>
      <c r="X1170" s="1" t="s">
        <v>45</v>
      </c>
      <c r="Y1170" s="1">
        <v>4.8210252E8</v>
      </c>
      <c r="AA1170" s="1" t="s">
        <v>44</v>
      </c>
      <c r="AB1170" s="1" t="s">
        <v>45</v>
      </c>
      <c r="AC1170" s="1">
        <v>4.8210252E8</v>
      </c>
      <c r="AF1170" s="1">
        <v>94421.0</v>
      </c>
      <c r="AG1170" s="2">
        <v>41326.0</v>
      </c>
      <c r="AH1170" s="1">
        <v>9100.0</v>
      </c>
      <c r="AI1170" s="1" t="s">
        <v>194</v>
      </c>
      <c r="AJ1170" s="1" t="s">
        <v>544</v>
      </c>
      <c r="AK1170" s="1" t="s">
        <v>463</v>
      </c>
      <c r="AL1170" s="1">
        <v>8.0</v>
      </c>
      <c r="AM1170" s="1">
        <v>2014.0</v>
      </c>
      <c r="AN1170" s="1">
        <v>2013.0</v>
      </c>
      <c r="AO1170" s="1" t="s">
        <v>277</v>
      </c>
    </row>
    <row r="1171">
      <c r="A1171" s="5">
        <v>1.0</v>
      </c>
      <c r="B1171" s="1">
        <f t="shared" si="1"/>
        <v>1171</v>
      </c>
      <c r="C1171" s="1" t="s">
        <v>2624</v>
      </c>
      <c r="D1171" s="1" t="s">
        <v>2624</v>
      </c>
      <c r="E1171" s="1" t="s">
        <v>194</v>
      </c>
      <c r="G1171" s="1">
        <v>9.3109256E7</v>
      </c>
      <c r="H1171" s="2">
        <v>41353.0</v>
      </c>
      <c r="I1171" s="1" t="s">
        <v>458</v>
      </c>
      <c r="K1171" s="1" t="s">
        <v>458</v>
      </c>
      <c r="N1171" s="1" t="s">
        <v>194</v>
      </c>
      <c r="O1171" s="1">
        <v>9100.0</v>
      </c>
      <c r="P1171" s="1" t="s">
        <v>194</v>
      </c>
      <c r="Q1171" s="1" t="str">
        <f>IF(ISERROR(VLOOKUP(P1171,'unique fed agency names'!A:C,3,FALSE)),P1171,VLOOKUP(P1171,'unique fed agency names'!A:C,3,FALSE))
</f>
        <v>U.S. Department of Education (ED)</v>
      </c>
      <c r="R1171" s="1">
        <v>1.47777952E8</v>
      </c>
      <c r="S1171" s="1" t="s">
        <v>459</v>
      </c>
      <c r="T1171" s="1" t="str">
        <f>IF(ISERROR(VLOOKUP(S1171,'unique org names'!A:C,3,FALSE)),S1171,VLOOKUP(S1171,'unique org names'!A:C,3,FALSE))
</f>
        <v>DETROIT PUBLIC SCHOOLS</v>
      </c>
      <c r="U1171" s="1" t="s">
        <v>626</v>
      </c>
      <c r="V1171" s="1" t="s">
        <v>627</v>
      </c>
      <c r="W1171" s="1" t="s">
        <v>44</v>
      </c>
      <c r="X1171" s="1" t="s">
        <v>45</v>
      </c>
      <c r="Y1171" s="1">
        <v>4.82072112E8</v>
      </c>
      <c r="AA1171" s="1" t="s">
        <v>44</v>
      </c>
      <c r="AB1171" s="1" t="s">
        <v>45</v>
      </c>
      <c r="AC1171" s="1">
        <v>4.82072112E8</v>
      </c>
      <c r="AD1171" s="1">
        <v>7.6340843E7</v>
      </c>
      <c r="AE1171" s="1" t="s">
        <v>461</v>
      </c>
      <c r="AF1171" s="1">
        <v>65357.0</v>
      </c>
      <c r="AG1171" s="2">
        <v>41353.0</v>
      </c>
      <c r="AH1171" s="1">
        <v>9100.0</v>
      </c>
      <c r="AI1171" s="1" t="s">
        <v>194</v>
      </c>
      <c r="AJ1171" s="1" t="s">
        <v>628</v>
      </c>
      <c r="AK1171" s="1" t="s">
        <v>463</v>
      </c>
      <c r="AL1171" s="1">
        <v>8.0</v>
      </c>
      <c r="AM1171" s="1">
        <v>2014.0</v>
      </c>
      <c r="AN1171" s="1">
        <v>2013.0</v>
      </c>
      <c r="AO1171" s="1" t="s">
        <v>277</v>
      </c>
    </row>
    <row r="1172">
      <c r="A1172" s="5">
        <v>1.0</v>
      </c>
      <c r="B1172" s="1">
        <f t="shared" si="1"/>
        <v>1172</v>
      </c>
      <c r="C1172" s="1" t="s">
        <v>2624</v>
      </c>
      <c r="D1172" s="1" t="s">
        <v>2624</v>
      </c>
      <c r="E1172" s="1" t="s">
        <v>194</v>
      </c>
      <c r="G1172" s="1">
        <v>9.3109256E7</v>
      </c>
      <c r="H1172" s="2">
        <v>41428.0</v>
      </c>
      <c r="I1172" s="1" t="s">
        <v>458</v>
      </c>
      <c r="K1172" s="1" t="s">
        <v>458</v>
      </c>
      <c r="N1172" s="1" t="s">
        <v>194</v>
      </c>
      <c r="O1172" s="1">
        <v>9100.0</v>
      </c>
      <c r="P1172" s="1" t="s">
        <v>194</v>
      </c>
      <c r="Q1172" s="1" t="str">
        <f>IF(ISERROR(VLOOKUP(P1172,'unique fed agency names'!A:C,3,FALSE)),P1172,VLOOKUP(P1172,'unique fed agency names'!A:C,3,FALSE))
</f>
        <v>U.S. Department of Education (ED)</v>
      </c>
      <c r="R1172" s="1">
        <v>1.98438892E8</v>
      </c>
      <c r="S1172" s="1" t="s">
        <v>505</v>
      </c>
      <c r="T1172" s="1" t="str">
        <f>IF(ISERROR(VLOOKUP(S1172,'unique org names'!A:C,3,FALSE)),S1172,VLOOKUP(S1172,'unique org names'!A:C,3,FALSE))
</f>
        <v>HANLEY INTERNATIONAL ACADEMY, INC</v>
      </c>
      <c r="V1172" s="1" t="s">
        <v>506</v>
      </c>
      <c r="W1172" s="1" t="s">
        <v>44</v>
      </c>
      <c r="X1172" s="1" t="s">
        <v>45</v>
      </c>
      <c r="Y1172" s="1">
        <v>4.82123572E8</v>
      </c>
      <c r="AA1172" s="1" t="s">
        <v>498</v>
      </c>
      <c r="AB1172" s="1" t="s">
        <v>45</v>
      </c>
      <c r="AC1172" s="1">
        <v>4.82123572E8</v>
      </c>
      <c r="AD1172" s="1">
        <v>1.98438892E8</v>
      </c>
      <c r="AE1172" s="1" t="s">
        <v>505</v>
      </c>
      <c r="AF1172" s="1">
        <v>46344.0</v>
      </c>
      <c r="AG1172" s="2">
        <v>41428.0</v>
      </c>
      <c r="AH1172" s="1">
        <v>9100.0</v>
      </c>
      <c r="AI1172" s="1" t="s">
        <v>194</v>
      </c>
      <c r="AJ1172" s="1" t="s">
        <v>507</v>
      </c>
      <c r="AK1172" s="1" t="s">
        <v>463</v>
      </c>
      <c r="AL1172" s="1">
        <v>8.0</v>
      </c>
      <c r="AM1172" s="1">
        <v>2014.0</v>
      </c>
      <c r="AN1172" s="1">
        <v>2013.0</v>
      </c>
      <c r="AO1172" s="1" t="s">
        <v>277</v>
      </c>
    </row>
    <row r="1173">
      <c r="A1173" s="5">
        <v>1.0</v>
      </c>
      <c r="B1173" s="1">
        <f t="shared" si="1"/>
        <v>1173</v>
      </c>
      <c r="C1173" s="1" t="s">
        <v>2624</v>
      </c>
      <c r="D1173" s="1" t="s">
        <v>2624</v>
      </c>
      <c r="E1173" s="1" t="s">
        <v>194</v>
      </c>
      <c r="G1173" s="1">
        <v>9.3109256E7</v>
      </c>
      <c r="H1173" s="2">
        <v>41351.0</v>
      </c>
      <c r="I1173" s="1" t="s">
        <v>458</v>
      </c>
      <c r="K1173" s="1" t="s">
        <v>458</v>
      </c>
      <c r="N1173" s="1" t="s">
        <v>194</v>
      </c>
      <c r="O1173" s="1">
        <v>9100.0</v>
      </c>
      <c r="P1173" s="1" t="s">
        <v>194</v>
      </c>
      <c r="Q1173" s="1" t="str">
        <f>IF(ISERROR(VLOOKUP(P1173,'unique fed agency names'!A:C,3,FALSE)),P1173,VLOOKUP(P1173,'unique fed agency names'!A:C,3,FALSE))
</f>
        <v>U.S. Department of Education (ED)</v>
      </c>
      <c r="R1173" s="1">
        <v>3537326.0</v>
      </c>
      <c r="S1173" s="1" t="s">
        <v>560</v>
      </c>
      <c r="T1173" s="1" t="str">
        <f>IF(ISERROR(VLOOKUP(S1173,'unique org names'!A:C,3,FALSE)),S1173,VLOOKUP(S1173,'unique org names'!A:C,3,FALSE))
</f>
        <v>COMMONWEALTH COMMUNITY DEVELOPMENT ACADEMY</v>
      </c>
      <c r="V1173" s="1" t="s">
        <v>561</v>
      </c>
      <c r="W1173" s="1" t="s">
        <v>44</v>
      </c>
      <c r="X1173" s="1" t="s">
        <v>45</v>
      </c>
      <c r="Y1173" s="1">
        <v>4.8212177E8</v>
      </c>
      <c r="AA1173" s="1" t="s">
        <v>498</v>
      </c>
      <c r="AB1173" s="1" t="s">
        <v>45</v>
      </c>
      <c r="AC1173" s="1">
        <v>4.82121754E8</v>
      </c>
      <c r="AD1173" s="1">
        <v>3537326.0</v>
      </c>
      <c r="AE1173" s="1" t="s">
        <v>560</v>
      </c>
      <c r="AF1173" s="1">
        <v>66640.0</v>
      </c>
      <c r="AG1173" s="2">
        <v>41351.0</v>
      </c>
      <c r="AH1173" s="1">
        <v>9100.0</v>
      </c>
      <c r="AI1173" s="1" t="s">
        <v>194</v>
      </c>
      <c r="AJ1173" s="1" t="s">
        <v>562</v>
      </c>
      <c r="AK1173" s="1" t="s">
        <v>463</v>
      </c>
      <c r="AL1173" s="1">
        <v>8.0</v>
      </c>
      <c r="AM1173" s="1">
        <v>2014.0</v>
      </c>
      <c r="AN1173" s="1">
        <v>2013.0</v>
      </c>
      <c r="AO1173" s="1" t="s">
        <v>277</v>
      </c>
    </row>
    <row r="1174">
      <c r="A1174" s="5">
        <v>1.0</v>
      </c>
      <c r="B1174" s="1">
        <f t="shared" si="1"/>
        <v>1174</v>
      </c>
      <c r="C1174" s="1" t="s">
        <v>2624</v>
      </c>
      <c r="D1174" s="1" t="s">
        <v>2624</v>
      </c>
      <c r="E1174" s="1" t="s">
        <v>194</v>
      </c>
      <c r="G1174" s="1">
        <v>9.3109256E7</v>
      </c>
      <c r="H1174" s="2">
        <v>41388.0</v>
      </c>
      <c r="I1174" s="1" t="s">
        <v>458</v>
      </c>
      <c r="K1174" s="1" t="s">
        <v>458</v>
      </c>
      <c r="N1174" s="1" t="s">
        <v>194</v>
      </c>
      <c r="O1174" s="1">
        <v>9100.0</v>
      </c>
      <c r="P1174" s="1" t="s">
        <v>194</v>
      </c>
      <c r="Q1174" s="1" t="str">
        <f>IF(ISERROR(VLOOKUP(P1174,'unique fed agency names'!A:C,3,FALSE)),P1174,VLOOKUP(P1174,'unique fed agency names'!A:C,3,FALSE))
</f>
        <v>U.S. Department of Education (ED)</v>
      </c>
      <c r="R1174" s="1">
        <v>9.48021373E8</v>
      </c>
      <c r="S1174" s="1" t="s">
        <v>501</v>
      </c>
      <c r="T1174" s="1" t="str">
        <f>IF(ISERROR(VLOOKUP(S1174,'unique org names'!A:C,3,FALSE)),S1174,VLOOKUP(S1174,'unique org names'!A:C,3,FALSE))
</f>
        <v>WOODWARD ACADEMY</v>
      </c>
      <c r="V1174" s="1" t="s">
        <v>502</v>
      </c>
      <c r="W1174" s="1" t="s">
        <v>44</v>
      </c>
      <c r="X1174" s="1" t="s">
        <v>45</v>
      </c>
      <c r="Y1174" s="1">
        <v>4.82072901E8</v>
      </c>
      <c r="AA1174" s="1" t="s">
        <v>44</v>
      </c>
      <c r="AB1174" s="1" t="s">
        <v>45</v>
      </c>
      <c r="AC1174" s="1">
        <v>4.82072901E8</v>
      </c>
      <c r="AF1174" s="1">
        <v>49595.0</v>
      </c>
      <c r="AG1174" s="2">
        <v>41388.0</v>
      </c>
      <c r="AH1174" s="1">
        <v>9100.0</v>
      </c>
      <c r="AI1174" s="1" t="s">
        <v>194</v>
      </c>
      <c r="AJ1174" s="1" t="s">
        <v>504</v>
      </c>
      <c r="AK1174" s="1" t="s">
        <v>463</v>
      </c>
      <c r="AL1174" s="1">
        <v>8.0</v>
      </c>
      <c r="AM1174" s="1">
        <v>2014.0</v>
      </c>
      <c r="AN1174" s="1">
        <v>2013.0</v>
      </c>
      <c r="AO1174" s="1" t="s">
        <v>277</v>
      </c>
    </row>
    <row r="1175">
      <c r="A1175" s="5">
        <v>1.0</v>
      </c>
      <c r="B1175" s="1">
        <f t="shared" si="1"/>
        <v>1175</v>
      </c>
      <c r="C1175" s="1" t="s">
        <v>2624</v>
      </c>
      <c r="D1175" s="1" t="s">
        <v>2624</v>
      </c>
      <c r="E1175" s="1" t="s">
        <v>194</v>
      </c>
      <c r="G1175" s="1">
        <v>9.3109256E7</v>
      </c>
      <c r="H1175" s="2">
        <v>41409.0</v>
      </c>
      <c r="I1175" s="1" t="s">
        <v>458</v>
      </c>
      <c r="K1175" s="1" t="s">
        <v>458</v>
      </c>
      <c r="N1175" s="1" t="s">
        <v>194</v>
      </c>
      <c r="O1175" s="1">
        <v>9100.0</v>
      </c>
      <c r="P1175" s="1" t="s">
        <v>194</v>
      </c>
      <c r="Q1175" s="1" t="str">
        <f>IF(ISERROR(VLOOKUP(P1175,'unique fed agency names'!A:C,3,FALSE)),P1175,VLOOKUP(P1175,'unique fed agency names'!A:C,3,FALSE))
</f>
        <v>U.S. Department of Education (ED)</v>
      </c>
      <c r="R1175" s="1">
        <v>7.8811813E7</v>
      </c>
      <c r="S1175" s="1" t="s">
        <v>2629</v>
      </c>
      <c r="T1175" s="1" t="str">
        <f>IF(ISERROR(VLOOKUP(S1175,'unique org names'!A:C,3,FALSE)),S1175,VLOOKUP(S1175,'unique org names'!A:C,3,FALSE))
</f>
        <v>Rutherford Winans Academy</v>
      </c>
      <c r="V1175" s="1">
        <v>16411.0</v>
      </c>
      <c r="W1175" s="1" t="s">
        <v>44</v>
      </c>
      <c r="X1175" s="1" t="s">
        <v>45</v>
      </c>
      <c r="Y1175" s="1">
        <v>48225.0</v>
      </c>
      <c r="AA1175" s="1" t="s">
        <v>46</v>
      </c>
      <c r="AB1175" s="1" t="s">
        <v>45</v>
      </c>
      <c r="AC1175" s="1">
        <v>4.8238E8</v>
      </c>
      <c r="AF1175" s="1">
        <v>40075.0</v>
      </c>
      <c r="AG1175" s="2">
        <v>41409.0</v>
      </c>
      <c r="AH1175" s="1">
        <v>9100.0</v>
      </c>
      <c r="AI1175" s="1" t="s">
        <v>194</v>
      </c>
      <c r="AJ1175" s="1" t="s">
        <v>2630</v>
      </c>
      <c r="AK1175" s="1" t="s">
        <v>463</v>
      </c>
      <c r="AL1175" s="1">
        <v>8.0</v>
      </c>
      <c r="AM1175" s="1">
        <v>2014.0</v>
      </c>
      <c r="AN1175" s="1">
        <v>2013.0</v>
      </c>
      <c r="AO1175" s="1" t="s">
        <v>277</v>
      </c>
    </row>
    <row r="1176">
      <c r="A1176" s="5">
        <v>1.0</v>
      </c>
      <c r="B1176" s="1">
        <f t="shared" si="1"/>
        <v>1176</v>
      </c>
      <c r="C1176" s="1" t="s">
        <v>2624</v>
      </c>
      <c r="D1176" s="1" t="s">
        <v>2624</v>
      </c>
      <c r="E1176" s="1" t="s">
        <v>194</v>
      </c>
      <c r="G1176" s="1">
        <v>9.3109256E7</v>
      </c>
      <c r="H1176" s="2">
        <v>41373.0</v>
      </c>
      <c r="I1176" s="1" t="s">
        <v>458</v>
      </c>
      <c r="K1176" s="1" t="s">
        <v>458</v>
      </c>
      <c r="N1176" s="1" t="s">
        <v>194</v>
      </c>
      <c r="O1176" s="1">
        <v>9100.0</v>
      </c>
      <c r="P1176" s="1" t="s">
        <v>194</v>
      </c>
      <c r="Q1176" s="1" t="str">
        <f>IF(ISERROR(VLOOKUP(P1176,'unique fed agency names'!A:C,3,FALSE)),P1176,VLOOKUP(P1176,'unique fed agency names'!A:C,3,FALSE))
</f>
        <v>U.S. Department of Education (ED)</v>
      </c>
      <c r="R1176" s="1">
        <v>9.62378779E8</v>
      </c>
      <c r="S1176" s="1" t="s">
        <v>478</v>
      </c>
      <c r="T1176" s="1" t="str">
        <f>IF(ISERROR(VLOOKUP(S1176,'unique org names'!A:C,3,FALSE)),S1176,VLOOKUP(S1176,'unique org names'!A:C,3,FALSE))
</f>
        <v>LEGACY CHARTER ACADEMY</v>
      </c>
      <c r="V1176" s="1" t="s">
        <v>479</v>
      </c>
      <c r="W1176" s="1" t="s">
        <v>44</v>
      </c>
      <c r="X1176" s="1" t="s">
        <v>45</v>
      </c>
      <c r="Y1176" s="1">
        <v>4.82342225E8</v>
      </c>
      <c r="AA1176" s="1" t="s">
        <v>44</v>
      </c>
      <c r="AB1176" s="1" t="s">
        <v>45</v>
      </c>
      <c r="AC1176" s="1">
        <v>4.82342225E8</v>
      </c>
      <c r="AF1176" s="1">
        <v>115460.0</v>
      </c>
      <c r="AG1176" s="2">
        <v>41373.0</v>
      </c>
      <c r="AH1176" s="1">
        <v>9100.0</v>
      </c>
      <c r="AI1176" s="1" t="s">
        <v>194</v>
      </c>
      <c r="AJ1176" s="1" t="s">
        <v>481</v>
      </c>
      <c r="AK1176" s="1" t="s">
        <v>463</v>
      </c>
      <c r="AL1176" s="1">
        <v>8.0</v>
      </c>
      <c r="AM1176" s="1">
        <v>2014.0</v>
      </c>
      <c r="AN1176" s="1">
        <v>2013.0</v>
      </c>
      <c r="AO1176" s="1" t="s">
        <v>277</v>
      </c>
    </row>
    <row r="1177">
      <c r="A1177" s="5">
        <v>1.0</v>
      </c>
      <c r="B1177" s="1">
        <f t="shared" si="1"/>
        <v>1177</v>
      </c>
      <c r="C1177" s="1" t="s">
        <v>2624</v>
      </c>
      <c r="D1177" s="1" t="s">
        <v>2624</v>
      </c>
      <c r="E1177" s="1" t="s">
        <v>194</v>
      </c>
      <c r="G1177" s="1">
        <v>9.3109256E7</v>
      </c>
      <c r="H1177" s="2">
        <v>41284.0</v>
      </c>
      <c r="I1177" s="1" t="s">
        <v>458</v>
      </c>
      <c r="K1177" s="1" t="s">
        <v>458</v>
      </c>
      <c r="N1177" s="1" t="s">
        <v>194</v>
      </c>
      <c r="O1177" s="1">
        <v>9100.0</v>
      </c>
      <c r="P1177" s="1" t="s">
        <v>194</v>
      </c>
      <c r="Q1177" s="1" t="str">
        <f>IF(ISERROR(VLOOKUP(P1177,'unique fed agency names'!A:C,3,FALSE)),P1177,VLOOKUP(P1177,'unique fed agency names'!A:C,3,FALSE))
</f>
        <v>U.S. Department of Education (ED)</v>
      </c>
      <c r="R1177" s="1">
        <v>2.2561935E7</v>
      </c>
      <c r="S1177" s="1" t="s">
        <v>2631</v>
      </c>
      <c r="T1177" s="1" t="str">
        <f>IF(ISERROR(VLOOKUP(S1177,'unique org names'!A:C,3,FALSE)),S1177,VLOOKUP(S1177,'unique org names'!A:C,3,FALSE))
</f>
        <v>JOY PREPARATORY ACADEMY</v>
      </c>
      <c r="V1177" s="1" t="s">
        <v>2632</v>
      </c>
      <c r="W1177" s="1" t="s">
        <v>44</v>
      </c>
      <c r="X1177" s="1" t="s">
        <v>45</v>
      </c>
      <c r="Y1177" s="1">
        <v>4.8238E8</v>
      </c>
      <c r="AA1177" s="1" t="s">
        <v>44</v>
      </c>
      <c r="AB1177" s="1" t="s">
        <v>45</v>
      </c>
      <c r="AC1177" s="1">
        <v>4.82382124E8</v>
      </c>
      <c r="AF1177" s="1">
        <v>26413.0</v>
      </c>
      <c r="AG1177" s="2">
        <v>41284.0</v>
      </c>
      <c r="AH1177" s="1">
        <v>9100.0</v>
      </c>
      <c r="AI1177" s="1" t="s">
        <v>194</v>
      </c>
      <c r="AJ1177" s="1" t="s">
        <v>2633</v>
      </c>
      <c r="AK1177" s="1" t="s">
        <v>463</v>
      </c>
      <c r="AL1177" s="1">
        <v>8.0</v>
      </c>
      <c r="AM1177" s="1">
        <v>2014.0</v>
      </c>
      <c r="AN1177" s="1">
        <v>2013.0</v>
      </c>
      <c r="AO1177" s="1" t="s">
        <v>277</v>
      </c>
    </row>
    <row r="1178">
      <c r="A1178" s="5">
        <v>1.0</v>
      </c>
      <c r="B1178" s="1">
        <f t="shared" si="1"/>
        <v>1178</v>
      </c>
      <c r="C1178" s="1" t="s">
        <v>2624</v>
      </c>
      <c r="D1178" s="1" t="s">
        <v>2624</v>
      </c>
      <c r="E1178" s="1" t="s">
        <v>194</v>
      </c>
      <c r="G1178" s="1">
        <v>9.3109256E7</v>
      </c>
      <c r="H1178" s="2">
        <v>41306.0</v>
      </c>
      <c r="I1178" s="1" t="s">
        <v>458</v>
      </c>
      <c r="K1178" s="1" t="s">
        <v>458</v>
      </c>
      <c r="N1178" s="1" t="s">
        <v>194</v>
      </c>
      <c r="O1178" s="1">
        <v>9100.0</v>
      </c>
      <c r="P1178" s="1" t="s">
        <v>194</v>
      </c>
      <c r="Q1178" s="1" t="str">
        <f>IF(ISERROR(VLOOKUP(P1178,'unique fed agency names'!A:C,3,FALSE)),P1178,VLOOKUP(P1178,'unique fed agency names'!A:C,3,FALSE))
</f>
        <v>U.S. Department of Education (ED)</v>
      </c>
      <c r="R1178" s="1">
        <v>8.30792151E8</v>
      </c>
      <c r="S1178" s="1" t="s">
        <v>594</v>
      </c>
      <c r="T1178" s="1" t="str">
        <f>IF(ISERROR(VLOOKUP(S1178,'unique org names'!A:C,3,FALSE)),S1178,VLOOKUP(S1178,'unique org names'!A:C,3,FALSE))
</f>
        <v>FLAGSHIP CHARTER ACADEMY</v>
      </c>
      <c r="V1178" s="1" t="s">
        <v>596</v>
      </c>
      <c r="W1178" s="1" t="s">
        <v>44</v>
      </c>
      <c r="X1178" s="1" t="s">
        <v>45</v>
      </c>
      <c r="Y1178" s="1">
        <v>4.82382356E8</v>
      </c>
      <c r="AA1178" s="1" t="s">
        <v>44</v>
      </c>
      <c r="AB1178" s="1" t="s">
        <v>45</v>
      </c>
      <c r="AC1178" s="1">
        <v>4.82382356E8</v>
      </c>
      <c r="AD1178" s="1">
        <v>9.60742484E8</v>
      </c>
      <c r="AF1178" s="1">
        <v>46649.0</v>
      </c>
      <c r="AG1178" s="2">
        <v>41306.0</v>
      </c>
      <c r="AH1178" s="1">
        <v>9100.0</v>
      </c>
      <c r="AI1178" s="1" t="s">
        <v>194</v>
      </c>
      <c r="AJ1178" s="1" t="s">
        <v>597</v>
      </c>
      <c r="AK1178" s="1" t="s">
        <v>463</v>
      </c>
      <c r="AL1178" s="1">
        <v>8.0</v>
      </c>
      <c r="AM1178" s="1">
        <v>2014.0</v>
      </c>
      <c r="AN1178" s="1">
        <v>2013.0</v>
      </c>
      <c r="AO1178" s="1" t="s">
        <v>277</v>
      </c>
    </row>
    <row r="1179">
      <c r="A1179" s="5">
        <v>1.0</v>
      </c>
      <c r="B1179" s="1">
        <f t="shared" si="1"/>
        <v>1179</v>
      </c>
      <c r="C1179" s="1" t="s">
        <v>2624</v>
      </c>
      <c r="D1179" s="1" t="s">
        <v>2624</v>
      </c>
      <c r="E1179" s="1" t="s">
        <v>194</v>
      </c>
      <c r="G1179" s="1">
        <v>9.3109256E7</v>
      </c>
      <c r="H1179" s="2">
        <v>41302.0</v>
      </c>
      <c r="I1179" s="1" t="s">
        <v>458</v>
      </c>
      <c r="K1179" s="1" t="s">
        <v>458</v>
      </c>
      <c r="N1179" s="1" t="s">
        <v>194</v>
      </c>
      <c r="O1179" s="1">
        <v>9100.0</v>
      </c>
      <c r="P1179" s="1" t="s">
        <v>194</v>
      </c>
      <c r="Q1179" s="1" t="str">
        <f>IF(ISERROR(VLOOKUP(P1179,'unique fed agency names'!A:C,3,FALSE)),P1179,VLOOKUP(P1179,'unique fed agency names'!A:C,3,FALSE))
</f>
        <v>U.S. Department of Education (ED)</v>
      </c>
      <c r="R1179" s="1">
        <v>8.31014068E8</v>
      </c>
      <c r="S1179" s="1" t="s">
        <v>515</v>
      </c>
      <c r="T1179" s="1" t="str">
        <f>IF(ISERROR(VLOOKUP(S1179,'unique org names'!A:C,3,FALSE)),S1179,VLOOKUP(S1179,'unique org names'!A:C,3,FALSE))
</f>
        <v>DETROIT PREMIER ACADEMY</v>
      </c>
      <c r="V1179" s="1" t="s">
        <v>516</v>
      </c>
      <c r="W1179" s="1" t="s">
        <v>44</v>
      </c>
      <c r="X1179" s="1" t="s">
        <v>45</v>
      </c>
      <c r="Y1179" s="1">
        <v>4.82283685E8</v>
      </c>
      <c r="AA1179" s="1" t="s">
        <v>46</v>
      </c>
      <c r="AB1179" s="1" t="s">
        <v>45</v>
      </c>
      <c r="AC1179" s="1">
        <v>4.82283685E8</v>
      </c>
      <c r="AD1179" s="1">
        <v>9.60742484E8</v>
      </c>
      <c r="AF1179" s="1">
        <v>34442.0</v>
      </c>
      <c r="AG1179" s="2">
        <v>41302.0</v>
      </c>
      <c r="AH1179" s="1">
        <v>9100.0</v>
      </c>
      <c r="AI1179" s="1" t="s">
        <v>194</v>
      </c>
      <c r="AJ1179" s="1" t="s">
        <v>517</v>
      </c>
      <c r="AK1179" s="1" t="s">
        <v>463</v>
      </c>
      <c r="AL1179" s="1">
        <v>8.0</v>
      </c>
      <c r="AM1179" s="1">
        <v>2014.0</v>
      </c>
      <c r="AN1179" s="1">
        <v>2013.0</v>
      </c>
      <c r="AO1179" s="1" t="s">
        <v>277</v>
      </c>
    </row>
    <row r="1180">
      <c r="A1180" s="5">
        <v>1.0</v>
      </c>
      <c r="B1180" s="1">
        <f t="shared" si="1"/>
        <v>1180</v>
      </c>
      <c r="C1180" s="1" t="s">
        <v>2624</v>
      </c>
      <c r="D1180" s="1" t="s">
        <v>2624</v>
      </c>
      <c r="E1180" s="1" t="s">
        <v>194</v>
      </c>
      <c r="G1180" s="1">
        <v>9.3109256E7</v>
      </c>
      <c r="H1180" s="2">
        <v>41313.0</v>
      </c>
      <c r="I1180" s="1" t="s">
        <v>458</v>
      </c>
      <c r="K1180" s="1" t="s">
        <v>458</v>
      </c>
      <c r="N1180" s="1" t="s">
        <v>194</v>
      </c>
      <c r="O1180" s="1">
        <v>9100.0</v>
      </c>
      <c r="P1180" s="1" t="s">
        <v>194</v>
      </c>
      <c r="Q1180" s="1" t="str">
        <f>IF(ISERROR(VLOOKUP(P1180,'unique fed agency names'!A:C,3,FALSE)),P1180,VLOOKUP(P1180,'unique fed agency names'!A:C,3,FALSE))
</f>
        <v>U.S. Department of Education (ED)</v>
      </c>
      <c r="R1180" s="1">
        <v>3.7602699E7</v>
      </c>
      <c r="S1180" s="1" t="s">
        <v>535</v>
      </c>
      <c r="T1180" s="1" t="str">
        <f>IF(ISERROR(VLOOKUP(S1180,'unique org names'!A:C,3,FALSE)),S1180,VLOOKUP(S1180,'unique org names'!A:C,3,FALSE))
</f>
        <v>REGENT PARK SCHOLARS CHARTER ACADEMY</v>
      </c>
      <c r="V1180" s="1" t="s">
        <v>536</v>
      </c>
      <c r="W1180" s="1" t="s">
        <v>44</v>
      </c>
      <c r="X1180" s="1" t="s">
        <v>45</v>
      </c>
      <c r="Y1180" s="1">
        <v>4.82052545E8</v>
      </c>
      <c r="AA1180" s="1" t="s">
        <v>46</v>
      </c>
      <c r="AB1180" s="1" t="s">
        <v>45</v>
      </c>
      <c r="AC1180" s="1">
        <v>4.82052545E8</v>
      </c>
      <c r="AF1180" s="1">
        <v>116233.0</v>
      </c>
      <c r="AG1180" s="2">
        <v>41313.0</v>
      </c>
      <c r="AH1180" s="1">
        <v>9100.0</v>
      </c>
      <c r="AI1180" s="1" t="s">
        <v>194</v>
      </c>
      <c r="AJ1180" s="1" t="s">
        <v>537</v>
      </c>
      <c r="AK1180" s="1" t="s">
        <v>463</v>
      </c>
      <c r="AL1180" s="1">
        <v>8.0</v>
      </c>
      <c r="AM1180" s="1">
        <v>2014.0</v>
      </c>
      <c r="AN1180" s="1">
        <v>2013.0</v>
      </c>
      <c r="AO1180" s="1" t="s">
        <v>277</v>
      </c>
    </row>
    <row r="1181">
      <c r="A1181" s="5">
        <v>1.0</v>
      </c>
      <c r="B1181" s="1">
        <f t="shared" si="1"/>
        <v>1181</v>
      </c>
      <c r="C1181" s="1" t="s">
        <v>2624</v>
      </c>
      <c r="D1181" s="1" t="s">
        <v>2624</v>
      </c>
      <c r="E1181" s="1" t="s">
        <v>194</v>
      </c>
      <c r="G1181" s="1">
        <v>9.3109256E7</v>
      </c>
      <c r="H1181" s="2">
        <v>41366.0</v>
      </c>
      <c r="I1181" s="1" t="s">
        <v>458</v>
      </c>
      <c r="K1181" s="1" t="s">
        <v>458</v>
      </c>
      <c r="N1181" s="1" t="s">
        <v>194</v>
      </c>
      <c r="O1181" s="1">
        <v>9100.0</v>
      </c>
      <c r="P1181" s="1" t="s">
        <v>194</v>
      </c>
      <c r="Q1181" s="1" t="str">
        <f>IF(ISERROR(VLOOKUP(P1181,'unique fed agency names'!A:C,3,FALSE)),P1181,VLOOKUP(P1181,'unique fed agency names'!A:C,3,FALSE))
</f>
        <v>U.S. Department of Education (ED)</v>
      </c>
      <c r="R1181" s="1">
        <v>7.8359653E7</v>
      </c>
      <c r="S1181" s="1" t="s">
        <v>469</v>
      </c>
      <c r="T1181" s="1" t="str">
        <f>IF(ISERROR(VLOOKUP(S1181,'unique org names'!A:C,3,FALSE)),S1181,VLOOKUP(S1181,'unique org names'!A:C,3,FALSE))
</f>
        <v>GEE WHITE ACADEMY</v>
      </c>
      <c r="V1181" s="1" t="s">
        <v>470</v>
      </c>
      <c r="W1181" s="1" t="s">
        <v>44</v>
      </c>
      <c r="X1181" s="1" t="s">
        <v>45</v>
      </c>
      <c r="Y1181" s="1">
        <v>4.82122462E8</v>
      </c>
      <c r="AA1181" s="1" t="s">
        <v>46</v>
      </c>
      <c r="AB1181" s="1" t="s">
        <v>45</v>
      </c>
      <c r="AC1181" s="1">
        <v>4.82122462E8</v>
      </c>
      <c r="AF1181" s="1">
        <v>116277.0</v>
      </c>
      <c r="AG1181" s="2">
        <v>41366.0</v>
      </c>
      <c r="AH1181" s="1">
        <v>9100.0</v>
      </c>
      <c r="AI1181" s="1" t="s">
        <v>194</v>
      </c>
      <c r="AJ1181" s="1" t="s">
        <v>472</v>
      </c>
      <c r="AK1181" s="1" t="s">
        <v>463</v>
      </c>
      <c r="AL1181" s="1">
        <v>8.0</v>
      </c>
      <c r="AM1181" s="1">
        <v>2014.0</v>
      </c>
      <c r="AN1181" s="1">
        <v>2013.0</v>
      </c>
      <c r="AO1181" s="1" t="s">
        <v>277</v>
      </c>
    </row>
    <row r="1182">
      <c r="A1182" s="5">
        <v>1.0</v>
      </c>
      <c r="B1182" s="1">
        <f t="shared" si="1"/>
        <v>1182</v>
      </c>
      <c r="C1182" s="1" t="s">
        <v>2624</v>
      </c>
      <c r="D1182" s="1" t="s">
        <v>2624</v>
      </c>
      <c r="E1182" s="1" t="s">
        <v>194</v>
      </c>
      <c r="G1182" s="1">
        <v>9.3109256E7</v>
      </c>
      <c r="H1182" s="2">
        <v>41366.0</v>
      </c>
      <c r="I1182" s="1" t="s">
        <v>458</v>
      </c>
      <c r="K1182" s="1" t="s">
        <v>458</v>
      </c>
      <c r="N1182" s="1" t="s">
        <v>194</v>
      </c>
      <c r="O1182" s="1">
        <v>9100.0</v>
      </c>
      <c r="P1182" s="1" t="s">
        <v>194</v>
      </c>
      <c r="Q1182" s="1" t="str">
        <f>IF(ISERROR(VLOOKUP(P1182,'unique fed agency names'!A:C,3,FALSE)),P1182,VLOOKUP(P1182,'unique fed agency names'!A:C,3,FALSE))
</f>
        <v>U.S. Department of Education (ED)</v>
      </c>
      <c r="R1182" s="1">
        <v>3790107.0</v>
      </c>
      <c r="S1182" s="1" t="s">
        <v>576</v>
      </c>
      <c r="T1182" s="1" t="str">
        <f>IF(ISERROR(VLOOKUP(S1182,'unique org names'!A:C,3,FALSE)),S1182,VLOOKUP(S1182,'unique org names'!A:C,3,FALSE))
</f>
        <v>MARVIN L. WINANS ACADEMY OF PERFORMING ARTS</v>
      </c>
      <c r="V1182" s="1" t="s">
        <v>577</v>
      </c>
      <c r="W1182" s="1" t="s">
        <v>44</v>
      </c>
      <c r="X1182" s="1" t="s">
        <v>45</v>
      </c>
      <c r="Y1182" s="1">
        <v>4.82343284E8</v>
      </c>
      <c r="AA1182" s="1" t="s">
        <v>44</v>
      </c>
      <c r="AB1182" s="1" t="s">
        <v>45</v>
      </c>
      <c r="AC1182" s="1">
        <v>4.82343284E8</v>
      </c>
      <c r="AF1182" s="1">
        <v>35050.0</v>
      </c>
      <c r="AG1182" s="2">
        <v>41366.0</v>
      </c>
      <c r="AH1182" s="1">
        <v>9100.0</v>
      </c>
      <c r="AI1182" s="1" t="s">
        <v>194</v>
      </c>
      <c r="AJ1182" s="1" t="s">
        <v>578</v>
      </c>
      <c r="AK1182" s="1" t="s">
        <v>463</v>
      </c>
      <c r="AL1182" s="1">
        <v>8.0</v>
      </c>
      <c r="AM1182" s="1">
        <v>2014.0</v>
      </c>
      <c r="AN1182" s="1">
        <v>2013.0</v>
      </c>
      <c r="AO1182" s="1" t="s">
        <v>277</v>
      </c>
    </row>
    <row r="1183">
      <c r="A1183" s="5">
        <v>1.0</v>
      </c>
      <c r="B1183" s="1">
        <f t="shared" si="1"/>
        <v>1183</v>
      </c>
      <c r="C1183" s="1" t="s">
        <v>2624</v>
      </c>
      <c r="D1183" s="1" t="s">
        <v>2624</v>
      </c>
      <c r="E1183" s="1" t="s">
        <v>194</v>
      </c>
      <c r="G1183" s="1">
        <v>9.3109256E7</v>
      </c>
      <c r="H1183" s="2">
        <v>41304.0</v>
      </c>
      <c r="I1183" s="1" t="s">
        <v>458</v>
      </c>
      <c r="K1183" s="1" t="s">
        <v>458</v>
      </c>
      <c r="N1183" s="1" t="s">
        <v>194</v>
      </c>
      <c r="O1183" s="1">
        <v>9100.0</v>
      </c>
      <c r="P1183" s="1" t="s">
        <v>194</v>
      </c>
      <c r="Q1183" s="1" t="str">
        <f>IF(ISERROR(VLOOKUP(P1183,'unique fed agency names'!A:C,3,FALSE)),P1183,VLOOKUP(P1183,'unique fed agency names'!A:C,3,FALSE))
</f>
        <v>U.S. Department of Education (ED)</v>
      </c>
      <c r="R1183" s="1">
        <v>1.23577707E8</v>
      </c>
      <c r="S1183" s="1" t="s">
        <v>563</v>
      </c>
      <c r="T1183" s="1" t="str">
        <f>IF(ISERROR(VLOOKUP(S1183,'unique org names'!A:C,3,FALSE)),S1183,VLOOKUP(S1183,'unique org names'!A:C,3,FALSE))
</f>
        <v>WARRENDALE CHARTER ACADEMY</v>
      </c>
      <c r="V1183" s="1" t="s">
        <v>565</v>
      </c>
      <c r="W1183" s="1" t="s">
        <v>44</v>
      </c>
      <c r="X1183" s="1" t="s">
        <v>45</v>
      </c>
      <c r="Y1183" s="1">
        <v>4.8228333E8</v>
      </c>
      <c r="AA1183" s="1" t="s">
        <v>44</v>
      </c>
      <c r="AB1183" s="1" t="s">
        <v>45</v>
      </c>
      <c r="AC1183" s="1">
        <v>4.82283396E8</v>
      </c>
      <c r="AD1183" s="1">
        <v>9.60742484E8</v>
      </c>
      <c r="AF1183" s="1">
        <v>46333.0</v>
      </c>
      <c r="AG1183" s="2">
        <v>41304.0</v>
      </c>
      <c r="AH1183" s="1">
        <v>9100.0</v>
      </c>
      <c r="AI1183" s="1" t="s">
        <v>194</v>
      </c>
      <c r="AJ1183" s="1" t="s">
        <v>566</v>
      </c>
      <c r="AK1183" s="1" t="s">
        <v>463</v>
      </c>
      <c r="AL1183" s="1">
        <v>8.0</v>
      </c>
      <c r="AM1183" s="1">
        <v>2014.0</v>
      </c>
      <c r="AN1183" s="1">
        <v>2013.0</v>
      </c>
      <c r="AO1183" s="1" t="s">
        <v>277</v>
      </c>
    </row>
    <row r="1184">
      <c r="A1184" s="5">
        <v>1.0</v>
      </c>
      <c r="B1184" s="1">
        <f t="shared" si="1"/>
        <v>1184</v>
      </c>
      <c r="C1184" s="1" t="s">
        <v>2624</v>
      </c>
      <c r="D1184" s="1" t="s">
        <v>2624</v>
      </c>
      <c r="E1184" s="1" t="s">
        <v>194</v>
      </c>
      <c r="G1184" s="1">
        <v>9.3109256E7</v>
      </c>
      <c r="H1184" s="2">
        <v>41457.0</v>
      </c>
      <c r="I1184" s="1" t="s">
        <v>458</v>
      </c>
      <c r="K1184" s="1" t="s">
        <v>458</v>
      </c>
      <c r="N1184" s="1" t="s">
        <v>194</v>
      </c>
      <c r="O1184" s="1">
        <v>9100.0</v>
      </c>
      <c r="P1184" s="1" t="s">
        <v>194</v>
      </c>
      <c r="Q1184" s="1" t="str">
        <f>IF(ISERROR(VLOOKUP(P1184,'unique fed agency names'!A:C,3,FALSE)),P1184,VLOOKUP(P1184,'unique fed agency names'!A:C,3,FALSE))
</f>
        <v>U.S. Department of Education (ED)</v>
      </c>
      <c r="R1184" s="1">
        <v>7.8346351E7</v>
      </c>
      <c r="S1184" s="1" t="s">
        <v>615</v>
      </c>
      <c r="T1184" s="1" t="str">
        <f>IF(ISERROR(VLOOKUP(S1184,'unique org names'!A:C,3,FALSE)),S1184,VLOOKUP(S1184,'unique org names'!A:C,3,FALSE))
</f>
        <v>Education Achievement Authority</v>
      </c>
      <c r="V1184" s="1" t="s">
        <v>1708</v>
      </c>
      <c r="W1184" s="1" t="s">
        <v>44</v>
      </c>
      <c r="X1184" s="1" t="s">
        <v>45</v>
      </c>
      <c r="Y1184" s="1">
        <v>4.82074457E8</v>
      </c>
      <c r="AA1184" s="1" t="s">
        <v>46</v>
      </c>
      <c r="AB1184" s="1" t="s">
        <v>45</v>
      </c>
      <c r="AC1184" s="1">
        <v>4.82074457E8</v>
      </c>
      <c r="AF1184" s="1">
        <v>991487.0</v>
      </c>
      <c r="AG1184" s="2">
        <v>41457.0</v>
      </c>
      <c r="AH1184" s="1">
        <v>9100.0</v>
      </c>
      <c r="AI1184" s="1" t="s">
        <v>194</v>
      </c>
      <c r="AJ1184" s="1" t="s">
        <v>618</v>
      </c>
      <c r="AK1184" s="1" t="s">
        <v>463</v>
      </c>
      <c r="AL1184" s="1">
        <v>8.0</v>
      </c>
      <c r="AM1184" s="1">
        <v>2014.0</v>
      </c>
      <c r="AN1184" s="1">
        <v>2013.0</v>
      </c>
      <c r="AO1184" s="1" t="s">
        <v>277</v>
      </c>
    </row>
    <row r="1185">
      <c r="A1185" s="5">
        <v>1.0</v>
      </c>
      <c r="B1185" s="1">
        <f t="shared" si="1"/>
        <v>1185</v>
      </c>
      <c r="C1185" s="1" t="s">
        <v>2624</v>
      </c>
      <c r="D1185" s="1" t="s">
        <v>2624</v>
      </c>
      <c r="E1185" s="1" t="s">
        <v>194</v>
      </c>
      <c r="G1185" s="1">
        <v>9.3109256E7</v>
      </c>
      <c r="H1185" s="2">
        <v>41382.0</v>
      </c>
      <c r="I1185" s="1" t="s">
        <v>458</v>
      </c>
      <c r="K1185" s="1" t="s">
        <v>458</v>
      </c>
      <c r="N1185" s="1" t="s">
        <v>194</v>
      </c>
      <c r="O1185" s="1">
        <v>9100.0</v>
      </c>
      <c r="P1185" s="1" t="s">
        <v>194</v>
      </c>
      <c r="Q1185" s="1" t="str">
        <f>IF(ISERROR(VLOOKUP(P1185,'unique fed agency names'!A:C,3,FALSE)),P1185,VLOOKUP(P1185,'unique fed agency names'!A:C,3,FALSE))
</f>
        <v>U.S. Department of Education (ED)</v>
      </c>
      <c r="R1185" s="1">
        <v>7.97531295E8</v>
      </c>
      <c r="S1185" s="1" t="s">
        <v>582</v>
      </c>
      <c r="T1185" s="1" t="str">
        <f>IF(ISERROR(VLOOKUP(S1185,'unique org names'!A:C,3,FALSE)),S1185,VLOOKUP(S1185,'unique org names'!A:C,3,FALSE))
</f>
        <v>FRONTIER INTERNATIONAL ACADEMY, THE</v>
      </c>
      <c r="V1185" s="1" t="s">
        <v>583</v>
      </c>
      <c r="W1185" s="1" t="s">
        <v>44</v>
      </c>
      <c r="X1185" s="1" t="s">
        <v>45</v>
      </c>
      <c r="Y1185" s="1">
        <v>4.82123452E8</v>
      </c>
      <c r="AA1185" s="1" t="s">
        <v>46</v>
      </c>
      <c r="AB1185" s="1" t="s">
        <v>45</v>
      </c>
      <c r="AC1185" s="1">
        <v>4.82123452E8</v>
      </c>
      <c r="AF1185" s="1">
        <v>32281.0</v>
      </c>
      <c r="AG1185" s="2">
        <v>41382.0</v>
      </c>
      <c r="AH1185" s="1">
        <v>9100.0</v>
      </c>
      <c r="AI1185" s="1" t="s">
        <v>194</v>
      </c>
      <c r="AJ1185" s="1" t="s">
        <v>584</v>
      </c>
      <c r="AK1185" s="1" t="s">
        <v>463</v>
      </c>
      <c r="AL1185" s="1">
        <v>8.0</v>
      </c>
      <c r="AM1185" s="1">
        <v>2014.0</v>
      </c>
      <c r="AN1185" s="1">
        <v>2013.0</v>
      </c>
      <c r="AO1185" s="1" t="s">
        <v>277</v>
      </c>
    </row>
    <row r="1186">
      <c r="A1186" s="5">
        <v>1.0</v>
      </c>
      <c r="B1186" s="1">
        <f t="shared" si="1"/>
        <v>1186</v>
      </c>
      <c r="C1186" s="1" t="s">
        <v>2624</v>
      </c>
      <c r="D1186" s="1" t="s">
        <v>2624</v>
      </c>
      <c r="E1186" s="1" t="s">
        <v>194</v>
      </c>
      <c r="G1186" s="1">
        <v>9.3109256E7</v>
      </c>
      <c r="H1186" s="2">
        <v>41351.0</v>
      </c>
      <c r="I1186" s="1" t="s">
        <v>458</v>
      </c>
      <c r="K1186" s="1" t="s">
        <v>458</v>
      </c>
      <c r="N1186" s="1" t="s">
        <v>194</v>
      </c>
      <c r="O1186" s="1">
        <v>9100.0</v>
      </c>
      <c r="P1186" s="1" t="s">
        <v>194</v>
      </c>
      <c r="Q1186" s="1" t="str">
        <f>IF(ISERROR(VLOOKUP(P1186,'unique fed agency names'!A:C,3,FALSE)),P1186,VLOOKUP(P1186,'unique fed agency names'!A:C,3,FALSE))
</f>
        <v>U.S. Department of Education (ED)</v>
      </c>
      <c r="R1186" s="1">
        <v>5.2874042E7</v>
      </c>
      <c r="S1186" s="1" t="s">
        <v>538</v>
      </c>
      <c r="T1186" s="1" t="str">
        <f>IF(ISERROR(VLOOKUP(S1186,'unique org names'!A:C,3,FALSE)),S1186,VLOOKUP(S1186,'unique org names'!A:C,3,FALSE))
</f>
        <v>CESAR CHAVEZ ACADEMY</v>
      </c>
      <c r="V1186" s="1" t="s">
        <v>539</v>
      </c>
      <c r="W1186" s="1" t="s">
        <v>44</v>
      </c>
      <c r="X1186" s="1" t="s">
        <v>45</v>
      </c>
      <c r="Y1186" s="1">
        <v>4.82091524E8</v>
      </c>
      <c r="AA1186" s="1" t="s">
        <v>44</v>
      </c>
      <c r="AB1186" s="1" t="s">
        <v>45</v>
      </c>
      <c r="AC1186" s="1">
        <v>4.82091524E8</v>
      </c>
      <c r="AF1186" s="1">
        <v>116024.0</v>
      </c>
      <c r="AG1186" s="2">
        <v>41351.0</v>
      </c>
      <c r="AH1186" s="1">
        <v>9100.0</v>
      </c>
      <c r="AI1186" s="1" t="s">
        <v>194</v>
      </c>
      <c r="AJ1186" s="1" t="s">
        <v>540</v>
      </c>
      <c r="AK1186" s="1" t="s">
        <v>463</v>
      </c>
      <c r="AL1186" s="1">
        <v>8.0</v>
      </c>
      <c r="AM1186" s="1">
        <v>2014.0</v>
      </c>
      <c r="AN1186" s="1">
        <v>2013.0</v>
      </c>
      <c r="AO1186" s="1" t="s">
        <v>277</v>
      </c>
    </row>
    <row r="1187">
      <c r="A1187" s="5">
        <v>1.0</v>
      </c>
      <c r="B1187" s="1">
        <f t="shared" si="1"/>
        <v>1187</v>
      </c>
      <c r="C1187" s="1" t="s">
        <v>2624</v>
      </c>
      <c r="D1187" s="1" t="s">
        <v>2624</v>
      </c>
      <c r="E1187" s="1" t="s">
        <v>194</v>
      </c>
      <c r="G1187" s="1">
        <v>9.3109256E7</v>
      </c>
      <c r="H1187" s="2">
        <v>41395.0</v>
      </c>
      <c r="I1187" s="1" t="s">
        <v>458</v>
      </c>
      <c r="K1187" s="1" t="s">
        <v>458</v>
      </c>
      <c r="N1187" s="1" t="s">
        <v>194</v>
      </c>
      <c r="O1187" s="1">
        <v>9100.0</v>
      </c>
      <c r="P1187" s="1" t="s">
        <v>194</v>
      </c>
      <c r="Q1187" s="1" t="str">
        <f>IF(ISERROR(VLOOKUP(P1187,'unique fed agency names'!A:C,3,FALSE)),P1187,VLOOKUP(P1187,'unique fed agency names'!A:C,3,FALSE))
</f>
        <v>U.S. Department of Education (ED)</v>
      </c>
      <c r="R1187" s="1">
        <v>3.9866801E7</v>
      </c>
      <c r="S1187" s="1" t="s">
        <v>612</v>
      </c>
      <c r="T1187" s="1" t="str">
        <f>IF(ISERROR(VLOOKUP(S1187,'unique org names'!A:C,3,FALSE)),S1187,VLOOKUP(S1187,'unique org names'!A:C,3,FALSE))
</f>
        <v>HAMTRAMCK PUBLIC SCHOOLS</v>
      </c>
      <c r="V1187" s="1" t="s">
        <v>613</v>
      </c>
      <c r="W1187" s="1" t="s">
        <v>44</v>
      </c>
      <c r="X1187" s="1" t="s">
        <v>45</v>
      </c>
      <c r="Y1187" s="1">
        <v>4.8212E8</v>
      </c>
      <c r="AA1187" s="1" t="s">
        <v>607</v>
      </c>
      <c r="AB1187" s="1" t="s">
        <v>45</v>
      </c>
      <c r="AC1187" s="1">
        <v>4.82120012E8</v>
      </c>
      <c r="AD1187" s="1">
        <v>3.9866801E7</v>
      </c>
      <c r="AE1187" s="1" t="s">
        <v>612</v>
      </c>
      <c r="AF1187" s="1">
        <v>383466.0</v>
      </c>
      <c r="AG1187" s="2">
        <v>41395.0</v>
      </c>
      <c r="AH1187" s="1">
        <v>9100.0</v>
      </c>
      <c r="AI1187" s="1" t="s">
        <v>194</v>
      </c>
      <c r="AJ1187" s="1" t="s">
        <v>614</v>
      </c>
      <c r="AK1187" s="1" t="s">
        <v>463</v>
      </c>
      <c r="AL1187" s="1">
        <v>8.0</v>
      </c>
      <c r="AM1187" s="1">
        <v>2014.0</v>
      </c>
      <c r="AN1187" s="1">
        <v>2013.0</v>
      </c>
      <c r="AO1187" s="1" t="s">
        <v>277</v>
      </c>
    </row>
    <row r="1188">
      <c r="A1188" s="5">
        <v>1.0</v>
      </c>
      <c r="B1188" s="1">
        <f t="shared" si="1"/>
        <v>1188</v>
      </c>
      <c r="C1188" s="1" t="s">
        <v>2624</v>
      </c>
      <c r="D1188" s="1" t="s">
        <v>2624</v>
      </c>
      <c r="E1188" s="1" t="s">
        <v>194</v>
      </c>
      <c r="G1188" s="1">
        <v>9.3109256E7</v>
      </c>
      <c r="H1188" s="2">
        <v>41298.0</v>
      </c>
      <c r="I1188" s="1" t="s">
        <v>458</v>
      </c>
      <c r="K1188" s="1" t="s">
        <v>458</v>
      </c>
      <c r="N1188" s="1" t="s">
        <v>194</v>
      </c>
      <c r="O1188" s="1">
        <v>9100.0</v>
      </c>
      <c r="P1188" s="1" t="s">
        <v>194</v>
      </c>
      <c r="Q1188" s="1" t="str">
        <f>IF(ISERROR(VLOOKUP(P1188,'unique fed agency names'!A:C,3,FALSE)),P1188,VLOOKUP(P1188,'unique fed agency names'!A:C,3,FALSE))
</f>
        <v>U.S. Department of Education (ED)</v>
      </c>
      <c r="R1188" s="1">
        <v>4.2136734E7</v>
      </c>
      <c r="S1188" s="1" t="s">
        <v>557</v>
      </c>
      <c r="T1188" s="1" t="str">
        <f>IF(ISERROR(VLOOKUP(S1188,'unique org names'!A:C,3,FALSE)),S1188,VLOOKUP(S1188,'unique org names'!A:C,3,FALSE))
</f>
        <v>GEORGE CROCKETT ACADEMY</v>
      </c>
      <c r="V1188" s="1" t="s">
        <v>558</v>
      </c>
      <c r="W1188" s="1" t="s">
        <v>44</v>
      </c>
      <c r="X1188" s="1" t="s">
        <v>45</v>
      </c>
      <c r="Y1188" s="1">
        <v>4.82082204E8</v>
      </c>
      <c r="AA1188" s="1" t="s">
        <v>44</v>
      </c>
      <c r="AB1188" s="1" t="s">
        <v>45</v>
      </c>
      <c r="AC1188" s="1">
        <v>4.82082204E8</v>
      </c>
      <c r="AF1188" s="1">
        <v>62470.0</v>
      </c>
      <c r="AG1188" s="2">
        <v>41298.0</v>
      </c>
      <c r="AH1188" s="1">
        <v>9100.0</v>
      </c>
      <c r="AI1188" s="1" t="s">
        <v>194</v>
      </c>
      <c r="AJ1188" s="1" t="s">
        <v>559</v>
      </c>
      <c r="AK1188" s="1" t="s">
        <v>463</v>
      </c>
      <c r="AL1188" s="1">
        <v>8.0</v>
      </c>
      <c r="AM1188" s="1">
        <v>2014.0</v>
      </c>
      <c r="AN1188" s="1">
        <v>2013.0</v>
      </c>
      <c r="AO1188" s="1" t="s">
        <v>277</v>
      </c>
    </row>
    <row r="1189">
      <c r="A1189" s="5">
        <v>1.0</v>
      </c>
      <c r="B1189" s="1">
        <f t="shared" si="1"/>
        <v>1189</v>
      </c>
      <c r="C1189" s="1" t="s">
        <v>2624</v>
      </c>
      <c r="D1189" s="1" t="s">
        <v>2624</v>
      </c>
      <c r="E1189" s="1" t="s">
        <v>194</v>
      </c>
      <c r="G1189" s="1">
        <v>9.3109256E7</v>
      </c>
      <c r="H1189" s="2">
        <v>41351.0</v>
      </c>
      <c r="I1189" s="1" t="s">
        <v>458</v>
      </c>
      <c r="K1189" s="1" t="s">
        <v>458</v>
      </c>
      <c r="N1189" s="1" t="s">
        <v>194</v>
      </c>
      <c r="O1189" s="1">
        <v>9100.0</v>
      </c>
      <c r="P1189" s="1" t="s">
        <v>194</v>
      </c>
      <c r="Q1189" s="1" t="str">
        <f>IF(ISERROR(VLOOKUP(P1189,'unique fed agency names'!A:C,3,FALSE)),P1189,VLOOKUP(P1189,'unique fed agency names'!A:C,3,FALSE))
</f>
        <v>U.S. Department of Education (ED)</v>
      </c>
      <c r="R1189" s="1">
        <v>8.30649195E8</v>
      </c>
      <c r="S1189" s="1" t="s">
        <v>545</v>
      </c>
      <c r="T1189" s="1" t="str">
        <f>IF(ISERROR(VLOOKUP(S1189,'unique org names'!A:C,3,FALSE)),S1189,VLOOKUP(S1189,'unique org names'!A:C,3,FALSE))
</f>
        <v>PLYMOUTH EDUCATIONAL CENTER CHARTER SCHOOL</v>
      </c>
      <c r="V1189" s="1" t="s">
        <v>547</v>
      </c>
      <c r="W1189" s="1" t="s">
        <v>44</v>
      </c>
      <c r="X1189" s="1" t="s">
        <v>45</v>
      </c>
      <c r="Y1189" s="1">
        <v>4.82071E8</v>
      </c>
      <c r="AA1189" s="1" t="s">
        <v>44</v>
      </c>
      <c r="AB1189" s="1" t="s">
        <v>45</v>
      </c>
      <c r="AC1189" s="1">
        <v>4.82071E8</v>
      </c>
      <c r="AF1189" s="1">
        <v>91803.0</v>
      </c>
      <c r="AG1189" s="2">
        <v>41351.0</v>
      </c>
      <c r="AH1189" s="1">
        <v>9100.0</v>
      </c>
      <c r="AI1189" s="1" t="s">
        <v>194</v>
      </c>
      <c r="AJ1189" s="1" t="s">
        <v>549</v>
      </c>
      <c r="AK1189" s="1" t="s">
        <v>463</v>
      </c>
      <c r="AL1189" s="1">
        <v>8.0</v>
      </c>
      <c r="AM1189" s="1">
        <v>2014.0</v>
      </c>
      <c r="AN1189" s="1">
        <v>2013.0</v>
      </c>
      <c r="AO1189" s="1" t="s">
        <v>277</v>
      </c>
    </row>
    <row r="1190">
      <c r="A1190" s="5">
        <v>1.0</v>
      </c>
      <c r="B1190" s="1">
        <f t="shared" si="1"/>
        <v>1190</v>
      </c>
      <c r="C1190" s="1" t="s">
        <v>2624</v>
      </c>
      <c r="D1190" s="1" t="s">
        <v>2624</v>
      </c>
      <c r="E1190" s="1" t="s">
        <v>194</v>
      </c>
      <c r="G1190" s="1">
        <v>9.3109256E7</v>
      </c>
      <c r="H1190" s="2">
        <v>41311.0</v>
      </c>
      <c r="I1190" s="1" t="s">
        <v>458</v>
      </c>
      <c r="K1190" s="1" t="s">
        <v>458</v>
      </c>
      <c r="N1190" s="1" t="s">
        <v>194</v>
      </c>
      <c r="O1190" s="1">
        <v>9100.0</v>
      </c>
      <c r="P1190" s="1" t="s">
        <v>194</v>
      </c>
      <c r="Q1190" s="1" t="str">
        <f>IF(ISERROR(VLOOKUP(P1190,'unique fed agency names'!A:C,3,FALSE)),P1190,VLOOKUP(P1190,'unique fed agency names'!A:C,3,FALSE))
</f>
        <v>U.S. Department of Education (ED)</v>
      </c>
      <c r="R1190" s="1">
        <v>8.76992343E8</v>
      </c>
      <c r="S1190" s="1" t="s">
        <v>550</v>
      </c>
      <c r="T1190" s="1" t="str">
        <f>IF(ISERROR(VLOOKUP(S1190,'unique org names'!A:C,3,FALSE)),S1190,VLOOKUP(S1190,'unique org names'!A:C,3,FALSE))
</f>
        <v>VOYAGEUR ACADEMY</v>
      </c>
      <c r="V1190" s="1" t="s">
        <v>551</v>
      </c>
      <c r="W1190" s="1" t="s">
        <v>44</v>
      </c>
      <c r="X1190" s="1" t="s">
        <v>45</v>
      </c>
      <c r="Y1190" s="1">
        <v>4.82102451E8</v>
      </c>
      <c r="AA1190" s="1" t="s">
        <v>44</v>
      </c>
      <c r="AB1190" s="1" t="s">
        <v>45</v>
      </c>
      <c r="AC1190" s="1">
        <v>4.82102451E8</v>
      </c>
      <c r="AF1190" s="1">
        <v>73528.0</v>
      </c>
      <c r="AG1190" s="2">
        <v>41311.0</v>
      </c>
      <c r="AH1190" s="1">
        <v>9100.0</v>
      </c>
      <c r="AI1190" s="1" t="s">
        <v>194</v>
      </c>
      <c r="AJ1190" s="1" t="s">
        <v>553</v>
      </c>
      <c r="AK1190" s="1" t="s">
        <v>463</v>
      </c>
      <c r="AL1190" s="1">
        <v>8.0</v>
      </c>
      <c r="AM1190" s="1">
        <v>2014.0</v>
      </c>
      <c r="AN1190" s="1">
        <v>2013.0</v>
      </c>
      <c r="AO1190" s="1" t="s">
        <v>277</v>
      </c>
    </row>
    <row r="1191">
      <c r="A1191" s="5">
        <v>1.0</v>
      </c>
      <c r="B1191" s="1">
        <f t="shared" si="1"/>
        <v>1191</v>
      </c>
      <c r="C1191" s="1" t="s">
        <v>2624</v>
      </c>
      <c r="D1191" s="1" t="s">
        <v>2624</v>
      </c>
      <c r="E1191" s="1" t="s">
        <v>194</v>
      </c>
      <c r="G1191" s="1">
        <v>9.3109256E7</v>
      </c>
      <c r="H1191" s="2">
        <v>41327.0</v>
      </c>
      <c r="I1191" s="1" t="s">
        <v>458</v>
      </c>
      <c r="K1191" s="1" t="s">
        <v>458</v>
      </c>
      <c r="N1191" s="1" t="s">
        <v>194</v>
      </c>
      <c r="O1191" s="1">
        <v>9100.0</v>
      </c>
      <c r="P1191" s="1" t="s">
        <v>194</v>
      </c>
      <c r="Q1191" s="1" t="str">
        <f>IF(ISERROR(VLOOKUP(P1191,'unique fed agency names'!A:C,3,FALSE)),P1191,VLOOKUP(P1191,'unique fed agency names'!A:C,3,FALSE))
</f>
        <v>U.S. Department of Education (ED)</v>
      </c>
      <c r="R1191" s="1">
        <v>9.6910162E8</v>
      </c>
      <c r="S1191" s="1" t="s">
        <v>579</v>
      </c>
      <c r="T1191" s="1" t="str">
        <f>IF(ISERROR(VLOOKUP(S1191,'unique org names'!A:C,3,FALSE)),S1191,VLOOKUP(S1191,'unique org names'!A:C,3,FALSE))
</f>
        <v>AMERICAN INTERNATIONAL ACADEMY, INC.</v>
      </c>
      <c r="V1191" s="1" t="s">
        <v>580</v>
      </c>
      <c r="W1191" s="1" t="s">
        <v>44</v>
      </c>
      <c r="X1191" s="1" t="s">
        <v>45</v>
      </c>
      <c r="Y1191" s="1">
        <v>4.82283905E8</v>
      </c>
      <c r="AA1191" s="1" t="s">
        <v>287</v>
      </c>
      <c r="AB1191" s="1" t="s">
        <v>45</v>
      </c>
      <c r="AC1191" s="1">
        <v>4.82283905E8</v>
      </c>
      <c r="AF1191" s="1">
        <v>31609.0</v>
      </c>
      <c r="AG1191" s="2">
        <v>41327.0</v>
      </c>
      <c r="AH1191" s="1">
        <v>9100.0</v>
      </c>
      <c r="AI1191" s="1" t="s">
        <v>194</v>
      </c>
      <c r="AJ1191" s="1" t="s">
        <v>581</v>
      </c>
      <c r="AK1191" s="1" t="s">
        <v>463</v>
      </c>
      <c r="AL1191" s="1">
        <v>8.0</v>
      </c>
      <c r="AM1191" s="1">
        <v>2014.0</v>
      </c>
      <c r="AN1191" s="1">
        <v>2013.0</v>
      </c>
      <c r="AO1191" s="1" t="s">
        <v>277</v>
      </c>
    </row>
    <row r="1192">
      <c r="A1192" s="5">
        <v>1.0</v>
      </c>
      <c r="B1192" s="1">
        <f t="shared" si="1"/>
        <v>1192</v>
      </c>
      <c r="C1192" s="1" t="s">
        <v>2624</v>
      </c>
      <c r="D1192" s="1" t="s">
        <v>2624</v>
      </c>
      <c r="E1192" s="1" t="s">
        <v>194</v>
      </c>
      <c r="G1192" s="1">
        <v>9.3109256E7</v>
      </c>
      <c r="H1192" s="2">
        <v>41326.0</v>
      </c>
      <c r="I1192" s="1" t="s">
        <v>458</v>
      </c>
      <c r="K1192" s="1" t="s">
        <v>458</v>
      </c>
      <c r="N1192" s="1" t="s">
        <v>194</v>
      </c>
      <c r="O1192" s="1">
        <v>9100.0</v>
      </c>
      <c r="P1192" s="1" t="s">
        <v>194</v>
      </c>
      <c r="Q1192" s="1" t="str">
        <f>IF(ISERROR(VLOOKUP(P1192,'unique fed agency names'!A:C,3,FALSE)),P1192,VLOOKUP(P1192,'unique fed agency names'!A:C,3,FALSE))
</f>
        <v>U.S. Department of Education (ED)</v>
      </c>
      <c r="R1192" s="1">
        <v>9.63121426E8</v>
      </c>
      <c r="S1192" s="1" t="s">
        <v>490</v>
      </c>
      <c r="T1192" s="1" t="str">
        <f>IF(ISERROR(VLOOKUP(S1192,'unique org names'!A:C,3,FALSE)),S1192,VLOOKUP(S1192,'unique org names'!A:C,3,FALSE))
</f>
        <v>DETROIT LEADERSHIP ACADEMY</v>
      </c>
      <c r="V1192" s="1" t="s">
        <v>491</v>
      </c>
      <c r="W1192" s="1" t="s">
        <v>44</v>
      </c>
      <c r="X1192" s="1" t="s">
        <v>45</v>
      </c>
      <c r="Y1192" s="1">
        <v>4.82233051E8</v>
      </c>
      <c r="AA1192" s="1" t="s">
        <v>46</v>
      </c>
      <c r="AB1192" s="1" t="s">
        <v>45</v>
      </c>
      <c r="AC1192" s="1">
        <v>4.82233051E8</v>
      </c>
      <c r="AF1192" s="1">
        <v>68374.0</v>
      </c>
      <c r="AG1192" s="2">
        <v>41326.0</v>
      </c>
      <c r="AH1192" s="1">
        <v>9100.0</v>
      </c>
      <c r="AI1192" s="1" t="s">
        <v>194</v>
      </c>
      <c r="AJ1192" s="1" t="s">
        <v>492</v>
      </c>
      <c r="AK1192" s="1" t="s">
        <v>463</v>
      </c>
      <c r="AL1192" s="1">
        <v>8.0</v>
      </c>
      <c r="AM1192" s="1">
        <v>2014.0</v>
      </c>
      <c r="AN1192" s="1">
        <v>2013.0</v>
      </c>
      <c r="AO1192" s="1" t="s">
        <v>277</v>
      </c>
    </row>
    <row r="1193">
      <c r="A1193" s="5">
        <v>1.0</v>
      </c>
      <c r="B1193" s="1">
        <f t="shared" si="1"/>
        <v>1193</v>
      </c>
      <c r="C1193" s="1" t="s">
        <v>2624</v>
      </c>
      <c r="D1193" s="1" t="s">
        <v>2624</v>
      </c>
      <c r="E1193" s="1" t="s">
        <v>194</v>
      </c>
      <c r="G1193" s="1">
        <v>9.3109256E7</v>
      </c>
      <c r="H1193" s="2">
        <v>41695.0</v>
      </c>
      <c r="I1193" s="1" t="s">
        <v>458</v>
      </c>
      <c r="K1193" s="1" t="s">
        <v>458</v>
      </c>
      <c r="N1193" s="1" t="s">
        <v>194</v>
      </c>
      <c r="O1193" s="1">
        <v>9100.0</v>
      </c>
      <c r="P1193" s="1" t="s">
        <v>194</v>
      </c>
      <c r="Q1193" s="1" t="str">
        <f>IF(ISERROR(VLOOKUP(P1193,'unique fed agency names'!A:C,3,FALSE)),P1193,VLOOKUP(P1193,'unique fed agency names'!A:C,3,FALSE))
</f>
        <v>U.S. Department of Education (ED)</v>
      </c>
      <c r="R1193" s="1">
        <v>8.29503312E8</v>
      </c>
      <c r="S1193" s="1" t="s">
        <v>622</v>
      </c>
      <c r="T1193" s="1" t="str">
        <f>IF(ISERROR(VLOOKUP(S1193,'unique org names'!A:C,3,FALSE)),S1193,VLOOKUP(S1193,'unique org names'!A:C,3,FALSE))
</f>
        <v>GEORGE WASHINGTON CARVER ACADEMY</v>
      </c>
      <c r="V1193" s="1" t="s">
        <v>623</v>
      </c>
      <c r="W1193" s="1" t="s">
        <v>44</v>
      </c>
      <c r="X1193" s="1" t="s">
        <v>45</v>
      </c>
      <c r="Y1193" s="1">
        <v>4.82035715E8</v>
      </c>
      <c r="AA1193" s="1" t="s">
        <v>603</v>
      </c>
      <c r="AB1193" s="1" t="s">
        <v>45</v>
      </c>
      <c r="AC1193" s="1">
        <v>4.82035715E8</v>
      </c>
      <c r="AF1193" s="1">
        <v>91088.0</v>
      </c>
      <c r="AG1193" s="2">
        <v>41695.0</v>
      </c>
      <c r="AH1193" s="1">
        <v>9100.0</v>
      </c>
      <c r="AI1193" s="1" t="s">
        <v>194</v>
      </c>
      <c r="AJ1193" s="1" t="s">
        <v>625</v>
      </c>
      <c r="AK1193" s="1" t="s">
        <v>463</v>
      </c>
      <c r="AL1193" s="1">
        <v>8.0</v>
      </c>
      <c r="AM1193" s="1">
        <v>2014.0</v>
      </c>
      <c r="AN1193" s="1">
        <v>2014.0</v>
      </c>
      <c r="AO1193" s="1" t="s">
        <v>277</v>
      </c>
    </row>
    <row r="1194">
      <c r="A1194" s="5">
        <v>1.0</v>
      </c>
      <c r="B1194" s="1">
        <f t="shared" si="1"/>
        <v>1194</v>
      </c>
      <c r="C1194" s="1" t="s">
        <v>2624</v>
      </c>
      <c r="D1194" s="1" t="s">
        <v>2624</v>
      </c>
      <c r="E1194" s="1" t="s">
        <v>194</v>
      </c>
      <c r="G1194" s="1">
        <v>9.3109256E7</v>
      </c>
      <c r="H1194" s="2">
        <v>41351.0</v>
      </c>
      <c r="I1194" s="1" t="s">
        <v>458</v>
      </c>
      <c r="K1194" s="1" t="s">
        <v>458</v>
      </c>
      <c r="N1194" s="1" t="s">
        <v>194</v>
      </c>
      <c r="O1194" s="1">
        <v>9100.0</v>
      </c>
      <c r="P1194" s="1" t="s">
        <v>194</v>
      </c>
      <c r="Q1194" s="1" t="str">
        <f>IF(ISERROR(VLOOKUP(P1194,'unique fed agency names'!A:C,3,FALSE)),P1194,VLOOKUP(P1194,'unique fed agency names'!A:C,3,FALSE))
</f>
        <v>U.S. Department of Education (ED)</v>
      </c>
      <c r="R1194" s="1">
        <v>9.65778702E8</v>
      </c>
      <c r="S1194" s="1" t="s">
        <v>493</v>
      </c>
      <c r="T1194" s="1" t="str">
        <f>IF(ISERROR(VLOOKUP(S1194,'unique org names'!A:C,3,FALSE)),S1194,VLOOKUP(S1194,'unique org names'!A:C,3,FALSE))
</f>
        <v>COVENANT HOUSE ACADEMY CENTRAL</v>
      </c>
      <c r="V1194" s="1" t="s">
        <v>494</v>
      </c>
      <c r="W1194" s="1" t="s">
        <v>44</v>
      </c>
      <c r="X1194" s="1" t="s">
        <v>45</v>
      </c>
      <c r="Y1194" s="1">
        <v>4.82082475E8</v>
      </c>
      <c r="AA1194" s="1" t="s">
        <v>44</v>
      </c>
      <c r="AB1194" s="1" t="s">
        <v>45</v>
      </c>
      <c r="AC1194" s="1">
        <v>4.82082475E8</v>
      </c>
      <c r="AF1194" s="1">
        <v>56104.0</v>
      </c>
      <c r="AG1194" s="2">
        <v>41351.0</v>
      </c>
      <c r="AH1194" s="1">
        <v>9100.0</v>
      </c>
      <c r="AI1194" s="1" t="s">
        <v>194</v>
      </c>
      <c r="AJ1194" s="1" t="s">
        <v>495</v>
      </c>
      <c r="AK1194" s="1" t="s">
        <v>463</v>
      </c>
      <c r="AL1194" s="1">
        <v>8.0</v>
      </c>
      <c r="AM1194" s="1">
        <v>2014.0</v>
      </c>
      <c r="AN1194" s="1">
        <v>2013.0</v>
      </c>
      <c r="AO1194" s="1" t="s">
        <v>277</v>
      </c>
    </row>
    <row r="1195">
      <c r="A1195" s="5">
        <v>1.0</v>
      </c>
      <c r="B1195" s="1">
        <f t="shared" si="1"/>
        <v>1195</v>
      </c>
      <c r="C1195" s="1" t="s">
        <v>2624</v>
      </c>
      <c r="D1195" s="1" t="s">
        <v>2624</v>
      </c>
      <c r="E1195" s="1" t="s">
        <v>194</v>
      </c>
      <c r="G1195" s="1">
        <v>9.3109256E7</v>
      </c>
      <c r="H1195" s="2">
        <v>41282.0</v>
      </c>
      <c r="I1195" s="1" t="s">
        <v>458</v>
      </c>
      <c r="K1195" s="1" t="s">
        <v>458</v>
      </c>
      <c r="N1195" s="1" t="s">
        <v>194</v>
      </c>
      <c r="O1195" s="1">
        <v>9100.0</v>
      </c>
      <c r="P1195" s="1" t="s">
        <v>194</v>
      </c>
      <c r="Q1195" s="1" t="str">
        <f>IF(ISERROR(VLOOKUP(P1195,'unique fed agency names'!A:C,3,FALSE)),P1195,VLOOKUP(P1195,'unique fed agency names'!A:C,3,FALSE))
</f>
        <v>U.S. Department of Education (ED)</v>
      </c>
      <c r="R1195" s="1">
        <v>9.62949843E8</v>
      </c>
      <c r="S1195" s="1" t="s">
        <v>619</v>
      </c>
      <c r="T1195" s="1" t="str">
        <f>IF(ISERROR(VLOOKUP(S1195,'unique org names'!A:C,3,FALSE)),S1195,VLOOKUP(S1195,'unique org names'!A:C,3,FALSE))
</f>
        <v>ALLEN ACADEMY</v>
      </c>
      <c r="V1195" s="1" t="s">
        <v>620</v>
      </c>
      <c r="W1195" s="1" t="s">
        <v>44</v>
      </c>
      <c r="X1195" s="1" t="s">
        <v>45</v>
      </c>
      <c r="Y1195" s="1">
        <v>4.82042306E8</v>
      </c>
      <c r="AA1195" s="1" t="s">
        <v>44</v>
      </c>
      <c r="AB1195" s="1" t="s">
        <v>45</v>
      </c>
      <c r="AC1195" s="1">
        <v>4.82042306E8</v>
      </c>
      <c r="AF1195" s="1">
        <v>92000.0</v>
      </c>
      <c r="AG1195" s="2">
        <v>41282.0</v>
      </c>
      <c r="AH1195" s="1">
        <v>9100.0</v>
      </c>
      <c r="AI1195" s="1" t="s">
        <v>194</v>
      </c>
      <c r="AJ1195" s="1" t="s">
        <v>621</v>
      </c>
      <c r="AK1195" s="1" t="s">
        <v>463</v>
      </c>
      <c r="AL1195" s="1">
        <v>8.0</v>
      </c>
      <c r="AM1195" s="1">
        <v>2014.0</v>
      </c>
      <c r="AN1195" s="1">
        <v>2013.0</v>
      </c>
      <c r="AO1195" s="1" t="s">
        <v>277</v>
      </c>
    </row>
    <row r="1196">
      <c r="A1196" s="5">
        <v>1.0</v>
      </c>
      <c r="B1196" s="1">
        <f t="shared" si="1"/>
        <v>1196</v>
      </c>
      <c r="C1196" s="1" t="s">
        <v>2634</v>
      </c>
      <c r="D1196" s="1" t="s">
        <v>2634</v>
      </c>
      <c r="E1196" s="1" t="s">
        <v>63</v>
      </c>
      <c r="G1196" s="1">
        <v>2.0302352E7</v>
      </c>
      <c r="H1196" s="2">
        <v>41548.0</v>
      </c>
      <c r="I1196" s="1" t="s">
        <v>2635</v>
      </c>
      <c r="K1196" s="1" t="s">
        <v>2635</v>
      </c>
      <c r="N1196" s="1" t="s">
        <v>40</v>
      </c>
      <c r="O1196" s="1">
        <v>7500.0</v>
      </c>
      <c r="P1196" s="1" t="s">
        <v>40</v>
      </c>
      <c r="Q1196" s="1" t="str">
        <f>IF(ISERROR(VLOOKUP(P1196,'unique fed agency names'!A:C,3,FALSE)),P1196,VLOOKUP(P1196,'unique fed agency names'!A:C,3,FALSE))
</f>
        <v>U.S. Department of Health and Human Services (DHHS)</v>
      </c>
      <c r="R1196" s="1">
        <v>7840122.0</v>
      </c>
      <c r="S1196" s="1" t="s">
        <v>1246</v>
      </c>
      <c r="T1196" s="1" t="str">
        <f>IF(ISERROR(VLOOKUP(S1196,'unique org names'!A:C,3,FALSE)),S1196,VLOOKUP(S1196,'unique org names'!A:C,3,FALSE))
</f>
        <v>DETROIT HISPANIC DEVELOPMENT CORPORATION</v>
      </c>
      <c r="U1196" s="1" t="s">
        <v>2636</v>
      </c>
      <c r="V1196" s="1" t="s">
        <v>1247</v>
      </c>
      <c r="W1196" s="1" t="s">
        <v>44</v>
      </c>
      <c r="X1196" s="1" t="s">
        <v>45</v>
      </c>
      <c r="Y1196" s="1">
        <v>4.8216194E8</v>
      </c>
      <c r="AA1196" s="1" t="s">
        <v>46</v>
      </c>
      <c r="AB1196" s="1" t="s">
        <v>45</v>
      </c>
      <c r="AC1196" s="1">
        <v>4.8216194E8</v>
      </c>
      <c r="AD1196" s="1">
        <v>6.03136417E8</v>
      </c>
      <c r="AE1196" s="1" t="s">
        <v>2637</v>
      </c>
      <c r="AF1196" s="1">
        <v>10000.0</v>
      </c>
      <c r="AG1196" s="2">
        <v>41548.0</v>
      </c>
      <c r="AH1196" s="1">
        <v>7500.0</v>
      </c>
      <c r="AI1196" s="1" t="s">
        <v>40</v>
      </c>
      <c r="AJ1196" s="1">
        <v>2.0140326E7</v>
      </c>
      <c r="AK1196" s="1" t="s">
        <v>2638</v>
      </c>
      <c r="AL1196" s="1">
        <v>10.0</v>
      </c>
      <c r="AM1196" s="1">
        <v>2010.0</v>
      </c>
      <c r="AN1196" s="1">
        <v>2014.0</v>
      </c>
      <c r="AO1196" s="1" t="s">
        <v>2639</v>
      </c>
    </row>
    <row r="1197">
      <c r="A1197" s="5">
        <v>1.0</v>
      </c>
      <c r="B1197" s="1">
        <f t="shared" si="1"/>
        <v>1197</v>
      </c>
      <c r="C1197" s="1" t="s">
        <v>2640</v>
      </c>
      <c r="D1197" s="1" t="s">
        <v>2640</v>
      </c>
      <c r="E1197" s="1" t="s">
        <v>129</v>
      </c>
      <c r="G1197" s="1">
        <v>1.98133664E8</v>
      </c>
      <c r="H1197" s="2">
        <v>41913.0</v>
      </c>
      <c r="I1197" s="1" t="s">
        <v>2641</v>
      </c>
      <c r="K1197" s="1" t="s">
        <v>2641</v>
      </c>
      <c r="N1197" s="1" t="s">
        <v>40</v>
      </c>
      <c r="O1197" s="1">
        <v>7500.0</v>
      </c>
      <c r="P1197" s="1" t="s">
        <v>40</v>
      </c>
      <c r="Q1197" s="1" t="str">
        <f>IF(ISERROR(VLOOKUP(P1197,'unique fed agency names'!A:C,3,FALSE)),P1197,VLOOKUP(P1197,'unique fed agency names'!A:C,3,FALSE))
</f>
        <v>U.S. Department of Health and Human Services (DHHS)</v>
      </c>
      <c r="R1197" s="1">
        <v>2.0830303E7</v>
      </c>
      <c r="S1197" s="1" t="s">
        <v>424</v>
      </c>
      <c r="T1197" s="1" t="str">
        <f>IF(ISERROR(VLOOKUP(S1197,'unique org names'!A:C,3,FALSE)),S1197,VLOOKUP(S1197,'unique org names'!A:C,3,FALSE))
</f>
        <v>MATRIX HUMAN SERVICES</v>
      </c>
      <c r="U1197" s="1" t="s">
        <v>425</v>
      </c>
      <c r="V1197" s="1" t="s">
        <v>426</v>
      </c>
      <c r="W1197" s="1" t="s">
        <v>44</v>
      </c>
      <c r="X1197" s="1" t="s">
        <v>45</v>
      </c>
      <c r="Y1197" s="1">
        <v>4.82012002E8</v>
      </c>
      <c r="AA1197" s="1" t="s">
        <v>44</v>
      </c>
      <c r="AB1197" s="1" t="s">
        <v>45</v>
      </c>
      <c r="AC1197" s="1">
        <v>4.82012002E8</v>
      </c>
      <c r="AD1197" s="1">
        <v>2.0830303E7</v>
      </c>
      <c r="AE1197" s="1" t="s">
        <v>424</v>
      </c>
      <c r="AF1197" s="1">
        <v>237932.0</v>
      </c>
      <c r="AG1197" s="2">
        <v>41913.0</v>
      </c>
      <c r="AH1197" s="1">
        <v>7500.0</v>
      </c>
      <c r="AI1197" s="1" t="s">
        <v>40</v>
      </c>
      <c r="AJ1197" s="1" t="s">
        <v>2642</v>
      </c>
      <c r="AK1197" s="1" t="s">
        <v>2643</v>
      </c>
      <c r="AL1197" s="1">
        <v>10.0</v>
      </c>
      <c r="AM1197" s="1">
        <v>2014.0</v>
      </c>
      <c r="AN1197" s="1">
        <v>2015.0</v>
      </c>
      <c r="AO1197" s="1" t="s">
        <v>385</v>
      </c>
    </row>
    <row r="1198">
      <c r="A1198" s="5">
        <v>1.0</v>
      </c>
      <c r="B1198" s="1">
        <f t="shared" si="1"/>
        <v>1198</v>
      </c>
      <c r="C1198" s="1" t="s">
        <v>2640</v>
      </c>
      <c r="D1198" s="1" t="s">
        <v>2640</v>
      </c>
      <c r="E1198" s="1" t="s">
        <v>129</v>
      </c>
      <c r="G1198" s="1">
        <v>1.98133664E8</v>
      </c>
      <c r="H1198" s="2">
        <v>41913.0</v>
      </c>
      <c r="I1198" s="1" t="s">
        <v>2641</v>
      </c>
      <c r="K1198" s="1" t="s">
        <v>2641</v>
      </c>
      <c r="N1198" s="1" t="s">
        <v>40</v>
      </c>
      <c r="O1198" s="1">
        <v>7500.0</v>
      </c>
      <c r="P1198" s="1" t="s">
        <v>40</v>
      </c>
      <c r="Q1198" s="1" t="str">
        <f>IF(ISERROR(VLOOKUP(P1198,'unique fed agency names'!A:C,3,FALSE)),P1198,VLOOKUP(P1198,'unique fed agency names'!A:C,3,FALSE))
</f>
        <v>U.S. Department of Health and Human Services (DHHS)</v>
      </c>
      <c r="R1198" s="1">
        <v>6.9840817E7</v>
      </c>
      <c r="S1198" s="1" t="s">
        <v>131</v>
      </c>
      <c r="T1198" s="1" t="str">
        <f>IF(ISERROR(VLOOKUP(S1198,'unique org names'!A:C,3,FALSE)),S1198,VLOOKUP(S1198,'unique org names'!A:C,3,FALSE))
</f>
        <v>LUTHERAN SOCIAL SERVICES OF MICHIGAN</v>
      </c>
      <c r="V1198" s="1" t="s">
        <v>132</v>
      </c>
      <c r="W1198" s="1" t="s">
        <v>44</v>
      </c>
      <c r="X1198" s="1" t="s">
        <v>45</v>
      </c>
      <c r="Y1198" s="1">
        <v>4.8214261E8</v>
      </c>
      <c r="AA1198" s="1" t="s">
        <v>44</v>
      </c>
      <c r="AB1198" s="1" t="s">
        <v>45</v>
      </c>
      <c r="AC1198" s="1">
        <v>4.8214261E8</v>
      </c>
      <c r="AD1198" s="1">
        <v>6.9840817E7</v>
      </c>
      <c r="AE1198" s="1" t="s">
        <v>131</v>
      </c>
      <c r="AF1198" s="1">
        <v>457342.0</v>
      </c>
      <c r="AG1198" s="2">
        <v>41913.0</v>
      </c>
      <c r="AH1198" s="1">
        <v>7500.0</v>
      </c>
      <c r="AI1198" s="1" t="s">
        <v>40</v>
      </c>
      <c r="AJ1198" s="1" t="s">
        <v>2644</v>
      </c>
      <c r="AK1198" s="1" t="s">
        <v>2645</v>
      </c>
      <c r="AL1198" s="1">
        <v>10.0</v>
      </c>
      <c r="AM1198" s="1">
        <v>2014.0</v>
      </c>
      <c r="AN1198" s="1">
        <v>2015.0</v>
      </c>
      <c r="AO1198" s="1" t="s">
        <v>385</v>
      </c>
    </row>
    <row r="1199">
      <c r="A1199" s="5">
        <v>1.0</v>
      </c>
      <c r="B1199" s="1">
        <f t="shared" si="1"/>
        <v>1199</v>
      </c>
      <c r="C1199" s="1" t="s">
        <v>2646</v>
      </c>
      <c r="D1199" s="1" t="s">
        <v>2646</v>
      </c>
      <c r="E1199" s="1" t="s">
        <v>129</v>
      </c>
      <c r="G1199" s="1">
        <v>575000.0</v>
      </c>
      <c r="H1199" s="2">
        <v>41913.0</v>
      </c>
      <c r="I1199" s="1" t="s">
        <v>2647</v>
      </c>
      <c r="K1199" s="1" t="s">
        <v>2647</v>
      </c>
      <c r="N1199" s="1" t="s">
        <v>40</v>
      </c>
      <c r="O1199" s="1">
        <v>7500.0</v>
      </c>
      <c r="P1199" s="1" t="s">
        <v>40</v>
      </c>
      <c r="Q1199" s="1" t="str">
        <f>IF(ISERROR(VLOOKUP(P1199,'unique fed agency names'!A:C,3,FALSE)),P1199,VLOOKUP(P1199,'unique fed agency names'!A:C,3,FALSE))
</f>
        <v>U.S. Department of Health and Human Services (DHHS)</v>
      </c>
      <c r="R1199" s="1">
        <v>6.9840817E7</v>
      </c>
      <c r="S1199" s="1" t="s">
        <v>131</v>
      </c>
      <c r="T1199" s="1" t="str">
        <f>IF(ISERROR(VLOOKUP(S1199,'unique org names'!A:C,3,FALSE)),S1199,VLOOKUP(S1199,'unique org names'!A:C,3,FALSE))
</f>
        <v>LUTHERAN SOCIAL SERVICES OF MICHIGAN</v>
      </c>
      <c r="V1199" s="1" t="s">
        <v>132</v>
      </c>
      <c r="W1199" s="1" t="s">
        <v>44</v>
      </c>
      <c r="X1199" s="1" t="s">
        <v>45</v>
      </c>
      <c r="Y1199" s="1">
        <v>4.8214261E8</v>
      </c>
      <c r="AA1199" s="1" t="s">
        <v>44</v>
      </c>
      <c r="AB1199" s="1" t="s">
        <v>45</v>
      </c>
      <c r="AC1199" s="1">
        <v>4.8214261E8</v>
      </c>
      <c r="AD1199" s="1">
        <v>6.9840817E7</v>
      </c>
      <c r="AE1199" s="1" t="s">
        <v>131</v>
      </c>
      <c r="AF1199" s="1">
        <v>120000.0</v>
      </c>
      <c r="AG1199" s="2">
        <v>41913.0</v>
      </c>
      <c r="AH1199" s="1">
        <v>7500.0</v>
      </c>
      <c r="AI1199" s="1" t="s">
        <v>40</v>
      </c>
      <c r="AJ1199" s="1" t="s">
        <v>2648</v>
      </c>
      <c r="AK1199" s="1" t="s">
        <v>2649</v>
      </c>
      <c r="AL1199" s="1">
        <v>10.0</v>
      </c>
      <c r="AM1199" s="1">
        <v>2014.0</v>
      </c>
      <c r="AN1199" s="1">
        <v>2015.0</v>
      </c>
      <c r="AO1199" s="1" t="s">
        <v>398</v>
      </c>
    </row>
    <row r="1200">
      <c r="A1200" s="5">
        <v>1.0</v>
      </c>
      <c r="B1200" s="1">
        <f t="shared" si="1"/>
        <v>1200</v>
      </c>
      <c r="C1200" s="1" t="s">
        <v>2646</v>
      </c>
      <c r="D1200" s="1" t="s">
        <v>2646</v>
      </c>
      <c r="E1200" s="1" t="s">
        <v>129</v>
      </c>
      <c r="G1200" s="1">
        <v>575000.0</v>
      </c>
      <c r="H1200" s="2">
        <v>41913.0</v>
      </c>
      <c r="I1200" s="1" t="s">
        <v>2647</v>
      </c>
      <c r="K1200" s="1" t="s">
        <v>2647</v>
      </c>
      <c r="N1200" s="1" t="s">
        <v>40</v>
      </c>
      <c r="O1200" s="1">
        <v>7500.0</v>
      </c>
      <c r="P1200" s="1" t="s">
        <v>40</v>
      </c>
      <c r="Q1200" s="1" t="str">
        <f>IF(ISERROR(VLOOKUP(P1200,'unique fed agency names'!A:C,3,FALSE)),P1200,VLOOKUP(P1200,'unique fed agency names'!A:C,3,FALSE))
</f>
        <v>U.S. Department of Health and Human Services (DHHS)</v>
      </c>
      <c r="R1200" s="1">
        <v>6.9840817E7</v>
      </c>
      <c r="S1200" s="1" t="s">
        <v>131</v>
      </c>
      <c r="T1200" s="1" t="str">
        <f>IF(ISERROR(VLOOKUP(S1200,'unique org names'!A:C,3,FALSE)),S1200,VLOOKUP(S1200,'unique org names'!A:C,3,FALSE))
</f>
        <v>LUTHERAN SOCIAL SERVICES OF MICHIGAN</v>
      </c>
      <c r="V1200" s="1" t="s">
        <v>132</v>
      </c>
      <c r="W1200" s="1" t="s">
        <v>44</v>
      </c>
      <c r="X1200" s="1" t="s">
        <v>45</v>
      </c>
      <c r="Y1200" s="1">
        <v>4.8214261E8</v>
      </c>
      <c r="AA1200" s="1" t="s">
        <v>44</v>
      </c>
      <c r="AB1200" s="1" t="s">
        <v>45</v>
      </c>
      <c r="AC1200" s="1">
        <v>4.8214261E8</v>
      </c>
      <c r="AD1200" s="1">
        <v>6.9840817E7</v>
      </c>
      <c r="AE1200" s="1" t="s">
        <v>131</v>
      </c>
      <c r="AF1200" s="1">
        <v>545000.0</v>
      </c>
      <c r="AG1200" s="2">
        <v>41913.0</v>
      </c>
      <c r="AH1200" s="1">
        <v>7500.0</v>
      </c>
      <c r="AI1200" s="1" t="s">
        <v>40</v>
      </c>
      <c r="AJ1200" s="1" t="s">
        <v>2650</v>
      </c>
      <c r="AK1200" s="1" t="s">
        <v>2649</v>
      </c>
      <c r="AL1200" s="1">
        <v>10.0</v>
      </c>
      <c r="AM1200" s="1">
        <v>2014.0</v>
      </c>
      <c r="AN1200" s="1">
        <v>2015.0</v>
      </c>
      <c r="AO1200" s="1" t="s">
        <v>398</v>
      </c>
    </row>
    <row r="1201">
      <c r="A1201" s="5">
        <v>1.0</v>
      </c>
      <c r="B1201" s="1">
        <f t="shared" si="1"/>
        <v>1201</v>
      </c>
      <c r="C1201" s="1" t="s">
        <v>2651</v>
      </c>
      <c r="D1201" s="1" t="s">
        <v>2651</v>
      </c>
      <c r="E1201" s="1" t="s">
        <v>159</v>
      </c>
      <c r="G1201" s="1">
        <v>5297759.0</v>
      </c>
      <c r="H1201" s="2">
        <v>41548.0</v>
      </c>
      <c r="I1201" s="1" t="s">
        <v>2652</v>
      </c>
      <c r="K1201" s="1" t="s">
        <v>2652</v>
      </c>
      <c r="N1201" s="1" t="s">
        <v>40</v>
      </c>
      <c r="O1201" s="1">
        <v>7500.0</v>
      </c>
      <c r="P1201" s="1" t="s">
        <v>40</v>
      </c>
      <c r="Q1201" s="1" t="str">
        <f>IF(ISERROR(VLOOKUP(P1201,'unique fed agency names'!A:C,3,FALSE)),P1201,VLOOKUP(P1201,'unique fed agency names'!A:C,3,FALSE))
</f>
        <v>U.S. Department of Health and Human Services (DHHS)</v>
      </c>
      <c r="R1201" s="1">
        <v>8.09204196E8</v>
      </c>
      <c r="S1201" s="1" t="s">
        <v>175</v>
      </c>
      <c r="T1201" s="1" t="str">
        <f>IF(ISERROR(VLOOKUP(S1201,'unique org names'!A:C,3,FALSE)),S1201,VLOOKUP(S1201,'unique org names'!A:C,3,FALSE))
</f>
        <v>DETROIT WAYNE COUNTY HEALTH AUTHORITY</v>
      </c>
      <c r="U1201" s="1" t="s">
        <v>2059</v>
      </c>
      <c r="V1201" s="1" t="s">
        <v>2078</v>
      </c>
      <c r="W1201" s="1" t="s">
        <v>44</v>
      </c>
      <c r="X1201" s="1" t="s">
        <v>45</v>
      </c>
      <c r="Y1201" s="1">
        <v>4.82023026E8</v>
      </c>
      <c r="AA1201" s="1" t="s">
        <v>46</v>
      </c>
      <c r="AB1201" s="1" t="s">
        <v>45</v>
      </c>
      <c r="AC1201" s="1">
        <v>4.82023025E8</v>
      </c>
      <c r="AD1201" s="1">
        <v>8.09204196E8</v>
      </c>
      <c r="AE1201" s="1" t="s">
        <v>175</v>
      </c>
      <c r="AF1201" s="1">
        <v>458773.0</v>
      </c>
      <c r="AG1201" s="2">
        <v>41548.0</v>
      </c>
      <c r="AH1201" s="1">
        <v>7500.0</v>
      </c>
      <c r="AI1201" s="1" t="s">
        <v>40</v>
      </c>
      <c r="AJ1201" s="1">
        <v>2.014029E7</v>
      </c>
      <c r="AK1201" s="1" t="s">
        <v>2653</v>
      </c>
      <c r="AL1201" s="1">
        <v>10.0</v>
      </c>
      <c r="AM1201" s="1">
        <v>2011.0</v>
      </c>
      <c r="AN1201" s="1">
        <v>2014.0</v>
      </c>
      <c r="AO1201" s="1" t="s">
        <v>2654</v>
      </c>
    </row>
    <row r="1202">
      <c r="A1202" s="5">
        <v>1.0</v>
      </c>
      <c r="B1202" s="1">
        <f t="shared" si="1"/>
        <v>1202</v>
      </c>
      <c r="C1202" s="1" t="s">
        <v>158</v>
      </c>
      <c r="D1202" s="1" t="s">
        <v>158</v>
      </c>
      <c r="E1202" s="1" t="s">
        <v>159</v>
      </c>
      <c r="G1202" s="1">
        <v>899985.0</v>
      </c>
      <c r="H1202" s="2">
        <v>41548.0</v>
      </c>
      <c r="I1202" s="1" t="s">
        <v>2655</v>
      </c>
      <c r="K1202" s="1" t="s">
        <v>2655</v>
      </c>
      <c r="N1202" s="1" t="s">
        <v>40</v>
      </c>
      <c r="O1202" s="1">
        <v>7500.0</v>
      </c>
      <c r="P1202" s="1" t="s">
        <v>40</v>
      </c>
      <c r="Q1202" s="1" t="str">
        <f>IF(ISERROR(VLOOKUP(P1202,'unique fed agency names'!A:C,3,FALSE)),P1202,VLOOKUP(P1202,'unique fed agency names'!A:C,3,FALSE))
</f>
        <v>U.S. Department of Health and Human Services (DHHS)</v>
      </c>
      <c r="R1202" s="1">
        <v>3.8775243E7</v>
      </c>
      <c r="S1202" s="1" t="s">
        <v>209</v>
      </c>
      <c r="T1202" s="1" t="str">
        <f>IF(ISERROR(VLOOKUP(S1202,'unique org names'!A:C,3,FALSE)),S1202,VLOOKUP(S1202,'unique org names'!A:C,3,FALSE))
</f>
        <v>SOUTHEASTERN MICHIGAN HEALTH ASSOCIATION</v>
      </c>
      <c r="U1202" s="1" t="s">
        <v>210</v>
      </c>
      <c r="V1202" s="1" t="s">
        <v>211</v>
      </c>
      <c r="W1202" s="1" t="s">
        <v>44</v>
      </c>
      <c r="X1202" s="1" t="s">
        <v>45</v>
      </c>
      <c r="Y1202" s="1">
        <v>4.82023068E8</v>
      </c>
      <c r="AA1202" s="1" t="s">
        <v>46</v>
      </c>
      <c r="AB1202" s="1" t="s">
        <v>45</v>
      </c>
      <c r="AC1202" s="1">
        <v>4.82023068E8</v>
      </c>
      <c r="AD1202" s="1">
        <v>3.8775243E7</v>
      </c>
      <c r="AE1202" s="1" t="s">
        <v>209</v>
      </c>
      <c r="AF1202" s="1">
        <v>15701.0</v>
      </c>
      <c r="AG1202" s="2">
        <v>41548.0</v>
      </c>
      <c r="AH1202" s="1">
        <v>7500.0</v>
      </c>
      <c r="AI1202" s="1" t="s">
        <v>40</v>
      </c>
      <c r="AJ1202" s="1">
        <v>2.0140708E7</v>
      </c>
      <c r="AK1202" s="1" t="s">
        <v>2655</v>
      </c>
      <c r="AL1202" s="1">
        <v>10.0</v>
      </c>
      <c r="AM1202" s="1">
        <v>2011.0</v>
      </c>
      <c r="AN1202" s="1">
        <v>2014.0</v>
      </c>
      <c r="AO1202" s="1" t="s">
        <v>162</v>
      </c>
    </row>
    <row r="1203">
      <c r="A1203" s="5">
        <v>1.0</v>
      </c>
      <c r="B1203" s="1">
        <f t="shared" si="1"/>
        <v>1203</v>
      </c>
      <c r="C1203" s="1" t="s">
        <v>2656</v>
      </c>
      <c r="D1203" s="1" t="s">
        <v>2656</v>
      </c>
      <c r="E1203" s="1" t="s">
        <v>38</v>
      </c>
      <c r="G1203" s="1">
        <v>809725.0</v>
      </c>
      <c r="H1203" s="2">
        <v>41764.0</v>
      </c>
      <c r="I1203" s="1" t="s">
        <v>2657</v>
      </c>
      <c r="K1203" s="1" t="s">
        <v>2657</v>
      </c>
      <c r="N1203" s="1" t="s">
        <v>40</v>
      </c>
      <c r="O1203" s="1">
        <v>7500.0</v>
      </c>
      <c r="P1203" s="1" t="s">
        <v>40</v>
      </c>
      <c r="Q1203" s="1" t="str">
        <f>IF(ISERROR(VLOOKUP(P1203,'unique fed agency names'!A:C,3,FALSE)),P1203,VLOOKUP(P1203,'unique fed agency names'!A:C,3,FALSE))
</f>
        <v>U.S. Department of Health and Human Services (DHHS)</v>
      </c>
      <c r="R1203" s="1">
        <v>1962224.0</v>
      </c>
      <c r="S1203" s="1" t="s">
        <v>52</v>
      </c>
      <c r="T1203" s="1" t="str">
        <f>IF(ISERROR(VLOOKUP(S1203,'unique org names'!A:C,3,FALSE)),S1203,VLOOKUP(S1203,'unique org names'!A:C,3,FALSE))
</f>
        <v>WAYNE STATE UNIVERSITY</v>
      </c>
      <c r="U1203" s="1" t="s">
        <v>1566</v>
      </c>
      <c r="V1203" s="1" t="s">
        <v>1885</v>
      </c>
      <c r="W1203" s="1" t="s">
        <v>44</v>
      </c>
      <c r="X1203" s="1" t="s">
        <v>45</v>
      </c>
      <c r="Y1203" s="1">
        <v>4.82021347E8</v>
      </c>
      <c r="AA1203" s="1" t="s">
        <v>44</v>
      </c>
      <c r="AB1203" s="1" t="s">
        <v>45</v>
      </c>
      <c r="AC1203" s="1">
        <v>4.8202405E8</v>
      </c>
      <c r="AD1203" s="1">
        <v>1962224.0</v>
      </c>
      <c r="AE1203" s="1" t="s">
        <v>52</v>
      </c>
      <c r="AF1203" s="1">
        <v>20324.0</v>
      </c>
      <c r="AG1203" s="2">
        <v>41764.0</v>
      </c>
      <c r="AH1203" s="1">
        <v>7500.0</v>
      </c>
      <c r="AI1203" s="1" t="s">
        <v>40</v>
      </c>
      <c r="AJ1203" s="1" t="s">
        <v>2658</v>
      </c>
      <c r="AK1203" s="1" t="s">
        <v>2659</v>
      </c>
      <c r="AL1203" s="1">
        <v>11.0</v>
      </c>
      <c r="AM1203" s="1">
        <v>2014.0</v>
      </c>
      <c r="AN1203" s="1">
        <v>2014.0</v>
      </c>
      <c r="AO1203" s="1" t="s">
        <v>1749</v>
      </c>
    </row>
    <row r="1204">
      <c r="A1204" s="5">
        <v>1.0</v>
      </c>
      <c r="B1204" s="1">
        <f t="shared" si="1"/>
        <v>1204</v>
      </c>
      <c r="C1204" s="1" t="s">
        <v>1874</v>
      </c>
      <c r="D1204" s="1" t="s">
        <v>1874</v>
      </c>
      <c r="E1204" s="1" t="s">
        <v>389</v>
      </c>
      <c r="G1204" s="1">
        <v>2.0636E7</v>
      </c>
      <c r="H1204" s="2">
        <v>41800.0</v>
      </c>
      <c r="I1204" s="1" t="s">
        <v>1875</v>
      </c>
      <c r="K1204" s="1" t="s">
        <v>1875</v>
      </c>
      <c r="N1204" s="1" t="s">
        <v>391</v>
      </c>
      <c r="O1204" s="1">
        <v>1600.0</v>
      </c>
      <c r="P1204" s="1" t="s">
        <v>391</v>
      </c>
      <c r="Q1204" s="1" t="str">
        <f>IF(ISERROR(VLOOKUP(P1204,'unique fed agency names'!A:C,3,FALSE)),P1204,VLOOKUP(P1204,'unique fed agency names'!A:C,3,FALSE))
</f>
        <v>U.S. Department of Labor (DOL)</v>
      </c>
      <c r="R1204" s="1">
        <v>9.68755756E8</v>
      </c>
      <c r="S1204" s="1" t="s">
        <v>1806</v>
      </c>
      <c r="T1204" s="1" t="str">
        <f>IF(ISERROR(VLOOKUP(S1204,'unique org names'!A:C,3,FALSE)),S1204,VLOOKUP(S1204,'unique org names'!A:C,3,FALSE))
</f>
        <v>Detroit Employment Solutions Corporation</v>
      </c>
      <c r="V1204" s="1" t="s">
        <v>1807</v>
      </c>
      <c r="W1204" s="1" t="s">
        <v>44</v>
      </c>
      <c r="X1204" s="1" t="s">
        <v>45</v>
      </c>
      <c r="Y1204" s="1">
        <v>4.82262917E8</v>
      </c>
      <c r="AA1204" s="1" t="s">
        <v>46</v>
      </c>
      <c r="AB1204" s="1" t="s">
        <v>45</v>
      </c>
      <c r="AC1204" s="1">
        <v>4.82022943E8</v>
      </c>
      <c r="AF1204" s="1">
        <v>584000.0</v>
      </c>
      <c r="AG1204" s="2">
        <v>41800.0</v>
      </c>
      <c r="AH1204" s="1">
        <v>1600.0</v>
      </c>
      <c r="AI1204" s="1" t="s">
        <v>391</v>
      </c>
      <c r="AJ1204" s="1" t="s">
        <v>1883</v>
      </c>
      <c r="AK1204" s="1" t="s">
        <v>1884</v>
      </c>
      <c r="AL1204" s="1">
        <v>11.0</v>
      </c>
      <c r="AM1204" s="1">
        <v>2014.0</v>
      </c>
      <c r="AN1204" s="1">
        <v>2014.0</v>
      </c>
      <c r="AO1204" s="1" t="s">
        <v>1878</v>
      </c>
    </row>
    <row r="1205">
      <c r="A1205" s="5">
        <v>1.0</v>
      </c>
      <c r="B1205" s="1">
        <f t="shared" si="1"/>
        <v>1205</v>
      </c>
      <c r="C1205" s="1" t="s">
        <v>1874</v>
      </c>
      <c r="D1205" s="1" t="s">
        <v>1874</v>
      </c>
      <c r="E1205" s="1" t="s">
        <v>389</v>
      </c>
      <c r="G1205" s="1">
        <v>2.0636E7</v>
      </c>
      <c r="H1205" s="2">
        <v>41855.0</v>
      </c>
      <c r="I1205" s="1" t="s">
        <v>1875</v>
      </c>
      <c r="K1205" s="1" t="s">
        <v>1875</v>
      </c>
      <c r="N1205" s="1" t="s">
        <v>391</v>
      </c>
      <c r="O1205" s="1">
        <v>1600.0</v>
      </c>
      <c r="P1205" s="1" t="s">
        <v>391</v>
      </c>
      <c r="Q1205" s="1" t="str">
        <f>IF(ISERROR(VLOOKUP(P1205,'unique fed agency names'!A:C,3,FALSE)),P1205,VLOOKUP(P1205,'unique fed agency names'!A:C,3,FALSE))
</f>
        <v>U.S. Department of Labor (DOL)</v>
      </c>
      <c r="R1205" s="1">
        <v>9.68755756E8</v>
      </c>
      <c r="S1205" s="1" t="s">
        <v>1806</v>
      </c>
      <c r="T1205" s="1" t="str">
        <f>IF(ISERROR(VLOOKUP(S1205,'unique org names'!A:C,3,FALSE)),S1205,VLOOKUP(S1205,'unique org names'!A:C,3,FALSE))
</f>
        <v>Detroit Employment Solutions Corporation</v>
      </c>
      <c r="V1205" s="1" t="s">
        <v>1807</v>
      </c>
      <c r="W1205" s="1" t="s">
        <v>44</v>
      </c>
      <c r="X1205" s="1" t="s">
        <v>45</v>
      </c>
      <c r="Y1205" s="1">
        <v>4.82262917E8</v>
      </c>
      <c r="AA1205" s="1" t="s">
        <v>46</v>
      </c>
      <c r="AB1205" s="1" t="s">
        <v>45</v>
      </c>
      <c r="AC1205" s="1">
        <v>4.82022943E8</v>
      </c>
      <c r="AF1205" s="1">
        <v>1443000.0</v>
      </c>
      <c r="AG1205" s="2">
        <v>41855.0</v>
      </c>
      <c r="AH1205" s="1">
        <v>1600.0</v>
      </c>
      <c r="AI1205" s="1" t="s">
        <v>391</v>
      </c>
      <c r="AJ1205" s="1" t="s">
        <v>1879</v>
      </c>
      <c r="AK1205" s="1" t="s">
        <v>1880</v>
      </c>
      <c r="AL1205" s="1">
        <v>11.0</v>
      </c>
      <c r="AM1205" s="1">
        <v>2014.0</v>
      </c>
      <c r="AN1205" s="1">
        <v>2014.0</v>
      </c>
      <c r="AO1205" s="1" t="s">
        <v>1878</v>
      </c>
    </row>
    <row r="1206">
      <c r="A1206" s="5">
        <v>1.0</v>
      </c>
      <c r="B1206" s="1">
        <f t="shared" si="1"/>
        <v>1206</v>
      </c>
      <c r="C1206" s="1" t="s">
        <v>1874</v>
      </c>
      <c r="D1206" s="1" t="s">
        <v>1874</v>
      </c>
      <c r="E1206" s="1" t="s">
        <v>389</v>
      </c>
      <c r="G1206" s="1">
        <v>2.0636E7</v>
      </c>
      <c r="H1206" s="2">
        <v>41551.0</v>
      </c>
      <c r="I1206" s="1" t="s">
        <v>1875</v>
      </c>
      <c r="K1206" s="1" t="s">
        <v>1875</v>
      </c>
      <c r="N1206" s="1" t="s">
        <v>391</v>
      </c>
      <c r="O1206" s="1">
        <v>1600.0</v>
      </c>
      <c r="P1206" s="1" t="s">
        <v>391</v>
      </c>
      <c r="Q1206" s="1" t="str">
        <f>IF(ISERROR(VLOOKUP(P1206,'unique fed agency names'!A:C,3,FALSE)),P1206,VLOOKUP(P1206,'unique fed agency names'!A:C,3,FALSE))
</f>
        <v>U.S. Department of Labor (DOL)</v>
      </c>
      <c r="R1206" s="1">
        <v>9.68755756E8</v>
      </c>
      <c r="S1206" s="1" t="s">
        <v>1806</v>
      </c>
      <c r="T1206" s="1" t="str">
        <f>IF(ISERROR(VLOOKUP(S1206,'unique org names'!A:C,3,FALSE)),S1206,VLOOKUP(S1206,'unique org names'!A:C,3,FALSE))
</f>
        <v>Detroit Employment Solutions Corporation</v>
      </c>
      <c r="V1206" s="1" t="s">
        <v>1807</v>
      </c>
      <c r="W1206" s="1" t="s">
        <v>44</v>
      </c>
      <c r="X1206" s="1" t="s">
        <v>45</v>
      </c>
      <c r="Y1206" s="1">
        <v>4.82262917E8</v>
      </c>
      <c r="AA1206" s="1" t="s">
        <v>46</v>
      </c>
      <c r="AB1206" s="1" t="s">
        <v>45</v>
      </c>
      <c r="AC1206" s="1">
        <v>4.82022943E8</v>
      </c>
      <c r="AF1206" s="1">
        <v>2471400.0</v>
      </c>
      <c r="AG1206" s="2">
        <v>41551.0</v>
      </c>
      <c r="AH1206" s="1">
        <v>1600.0</v>
      </c>
      <c r="AI1206" s="1" t="s">
        <v>391</v>
      </c>
      <c r="AJ1206" s="1" t="s">
        <v>1876</v>
      </c>
      <c r="AK1206" s="1" t="s">
        <v>1877</v>
      </c>
      <c r="AL1206" s="1">
        <v>11.0</v>
      </c>
      <c r="AM1206" s="1">
        <v>2014.0</v>
      </c>
      <c r="AN1206" s="1">
        <v>2014.0</v>
      </c>
      <c r="AO1206" s="1" t="s">
        <v>1878</v>
      </c>
    </row>
    <row r="1207">
      <c r="A1207" s="5">
        <v>1.0</v>
      </c>
      <c r="B1207" s="1">
        <f t="shared" si="1"/>
        <v>1207</v>
      </c>
      <c r="C1207" s="1" t="s">
        <v>2097</v>
      </c>
      <c r="D1207" s="1" t="s">
        <v>2097</v>
      </c>
      <c r="E1207" s="1" t="s">
        <v>964</v>
      </c>
      <c r="G1207" s="1">
        <v>4.2339816E7</v>
      </c>
      <c r="H1207" s="2">
        <v>41548.0</v>
      </c>
      <c r="I1207" s="1" t="s">
        <v>2098</v>
      </c>
      <c r="K1207" s="1" t="s">
        <v>2098</v>
      </c>
      <c r="N1207" s="1" t="s">
        <v>40</v>
      </c>
      <c r="O1207" s="1">
        <v>7500.0</v>
      </c>
      <c r="P1207" s="1" t="s">
        <v>40</v>
      </c>
      <c r="Q1207" s="1" t="str">
        <f>IF(ISERROR(VLOOKUP(P1207,'unique fed agency names'!A:C,3,FALSE)),P1207,VLOOKUP(P1207,'unique fed agency names'!A:C,3,FALSE))
</f>
        <v>U.S. Department of Health and Human Services (DHHS)</v>
      </c>
      <c r="R1207" s="1">
        <v>1.7406606E7</v>
      </c>
      <c r="S1207" s="1" t="s">
        <v>1574</v>
      </c>
      <c r="T1207" s="1" t="str">
        <f>IF(ISERROR(VLOOKUP(S1207,'unique org names'!A:C,3,FALSE)),S1207,VLOOKUP(S1207,'unique org names'!A:C,3,FALSE))
</f>
        <v>Detroit Health Dept</v>
      </c>
      <c r="U1207" s="1" t="s">
        <v>2660</v>
      </c>
      <c r="V1207" s="1" t="s">
        <v>1575</v>
      </c>
      <c r="W1207" s="1" t="s">
        <v>44</v>
      </c>
      <c r="X1207" s="1" t="s">
        <v>45</v>
      </c>
      <c r="Y1207" s="1">
        <v>4.82282826E8</v>
      </c>
      <c r="AA1207" s="1" t="s">
        <v>46</v>
      </c>
      <c r="AB1207" s="1" t="s">
        <v>45</v>
      </c>
      <c r="AC1207" s="1">
        <v>4.82282826E8</v>
      </c>
      <c r="AD1207" s="1">
        <v>1.18715846E8</v>
      </c>
      <c r="AE1207" s="1" t="s">
        <v>2661</v>
      </c>
      <c r="AF1207" s="1">
        <v>315553.0</v>
      </c>
      <c r="AG1207" s="2">
        <v>41548.0</v>
      </c>
      <c r="AH1207" s="1">
        <v>7500.0</v>
      </c>
      <c r="AI1207" s="1" t="s">
        <v>40</v>
      </c>
      <c r="AJ1207" s="1">
        <v>2.0141454E7</v>
      </c>
      <c r="AK1207" s="1" t="s">
        <v>2099</v>
      </c>
      <c r="AL1207" s="1">
        <v>10.0</v>
      </c>
      <c r="AM1207" s="1">
        <v>2010.0</v>
      </c>
      <c r="AN1207" s="1">
        <v>2014.0</v>
      </c>
      <c r="AO1207" s="1" t="s">
        <v>2100</v>
      </c>
    </row>
    <row r="1208">
      <c r="A1208" s="5">
        <v>1.0</v>
      </c>
      <c r="B1208" s="1">
        <f t="shared" si="1"/>
        <v>1208</v>
      </c>
      <c r="C1208" s="1" t="s">
        <v>2097</v>
      </c>
      <c r="D1208" s="1" t="s">
        <v>2097</v>
      </c>
      <c r="E1208" s="1" t="s">
        <v>964</v>
      </c>
      <c r="G1208" s="1">
        <v>4.2339816E7</v>
      </c>
      <c r="H1208" s="2">
        <v>41183.0</v>
      </c>
      <c r="I1208" s="1" t="s">
        <v>2098</v>
      </c>
      <c r="K1208" s="1" t="s">
        <v>2098</v>
      </c>
      <c r="N1208" s="1" t="s">
        <v>40</v>
      </c>
      <c r="O1208" s="1">
        <v>7500.0</v>
      </c>
      <c r="P1208" s="1" t="s">
        <v>40</v>
      </c>
      <c r="Q1208" s="1" t="str">
        <f>IF(ISERROR(VLOOKUP(P1208,'unique fed agency names'!A:C,3,FALSE)),P1208,VLOOKUP(P1208,'unique fed agency names'!A:C,3,FALSE))
</f>
        <v>U.S. Department of Health and Human Services (DHHS)</v>
      </c>
      <c r="R1208" s="1">
        <v>7.8583404E7</v>
      </c>
      <c r="S1208" s="1" t="s">
        <v>65</v>
      </c>
      <c r="T1208" s="1" t="str">
        <f>IF(ISERROR(VLOOKUP(S1208,'unique org names'!A:C,3,FALSE)),S1208,VLOOKUP(S1208,'unique org names'!A:C,3,FALSE))
</f>
        <v>Institute for Population Health Inc.</v>
      </c>
      <c r="V1208" s="1" t="s">
        <v>1573</v>
      </c>
      <c r="W1208" s="1" t="s">
        <v>44</v>
      </c>
      <c r="X1208" s="1" t="s">
        <v>45</v>
      </c>
      <c r="Y1208" s="1">
        <v>4.8207311E8</v>
      </c>
      <c r="AA1208" s="1" t="s">
        <v>46</v>
      </c>
      <c r="AB1208" s="1" t="s">
        <v>45</v>
      </c>
      <c r="AC1208" s="1">
        <v>4.82021732E8</v>
      </c>
      <c r="AD1208" s="1">
        <v>6.0189214E7</v>
      </c>
      <c r="AF1208" s="1">
        <v>314253.0</v>
      </c>
      <c r="AG1208" s="2">
        <v>41183.0</v>
      </c>
      <c r="AH1208" s="1">
        <v>7500.0</v>
      </c>
      <c r="AI1208" s="1" t="s">
        <v>40</v>
      </c>
      <c r="AJ1208" s="1">
        <v>2.01304E7</v>
      </c>
      <c r="AK1208" s="1" t="s">
        <v>2099</v>
      </c>
      <c r="AL1208" s="1">
        <v>10.0</v>
      </c>
      <c r="AM1208" s="1">
        <v>2010.0</v>
      </c>
      <c r="AN1208" s="1">
        <v>2013.0</v>
      </c>
      <c r="AO1208" s="1" t="s">
        <v>2100</v>
      </c>
    </row>
    <row r="1209">
      <c r="A1209" s="5">
        <v>1.0</v>
      </c>
      <c r="B1209" s="1">
        <f t="shared" si="1"/>
        <v>1209</v>
      </c>
      <c r="C1209" s="1" t="s">
        <v>1922</v>
      </c>
      <c r="D1209" s="1" t="s">
        <v>1922</v>
      </c>
      <c r="E1209" s="1" t="s">
        <v>38</v>
      </c>
      <c r="G1209" s="1">
        <v>1.3829118E7</v>
      </c>
      <c r="H1209" s="2">
        <v>41935.0</v>
      </c>
      <c r="I1209" s="1" t="s">
        <v>1923</v>
      </c>
      <c r="K1209" s="1" t="s">
        <v>1923</v>
      </c>
      <c r="N1209" s="1" t="s">
        <v>40</v>
      </c>
      <c r="O1209" s="1">
        <v>7500.0</v>
      </c>
      <c r="P1209" s="1" t="s">
        <v>40</v>
      </c>
      <c r="Q1209" s="1" t="str">
        <f>IF(ISERROR(VLOOKUP(P1209,'unique fed agency names'!A:C,3,FALSE)),P1209,VLOOKUP(P1209,'unique fed agency names'!A:C,3,FALSE))
</f>
        <v>U.S. Department of Health and Human Services (DHHS)</v>
      </c>
      <c r="R1209" s="1">
        <v>1962224.0</v>
      </c>
      <c r="S1209" s="1" t="s">
        <v>52</v>
      </c>
      <c r="T1209" s="1" t="str">
        <f>IF(ISERROR(VLOOKUP(S1209,'unique org names'!A:C,3,FALSE)),S1209,VLOOKUP(S1209,'unique org names'!A:C,3,FALSE))
</f>
        <v>WAYNE STATE UNIVERSITY</v>
      </c>
      <c r="V1209" s="1" t="s">
        <v>53</v>
      </c>
      <c r="W1209" s="1" t="s">
        <v>44</v>
      </c>
      <c r="X1209" s="1" t="s">
        <v>45</v>
      </c>
      <c r="Y1209" s="1">
        <v>4.82023692E8</v>
      </c>
      <c r="AA1209" s="1" t="s">
        <v>46</v>
      </c>
      <c r="AB1209" s="1" t="s">
        <v>45</v>
      </c>
      <c r="AC1209" s="1">
        <v>4.8202405E8</v>
      </c>
      <c r="AD1209" s="1">
        <v>1962224.0</v>
      </c>
      <c r="AE1209" s="1" t="s">
        <v>52</v>
      </c>
      <c r="AF1209" s="1">
        <v>28369.0</v>
      </c>
      <c r="AG1209" s="2">
        <v>41935.0</v>
      </c>
      <c r="AH1209" s="1">
        <v>7500.0</v>
      </c>
      <c r="AI1209" s="1" t="s">
        <v>40</v>
      </c>
      <c r="AJ1209" s="1" t="s">
        <v>2662</v>
      </c>
      <c r="AK1209" s="1" t="s">
        <v>1923</v>
      </c>
      <c r="AL1209" s="1">
        <v>11.0</v>
      </c>
      <c r="AM1209" s="1">
        <v>2014.0</v>
      </c>
      <c r="AN1209" s="1">
        <v>2015.0</v>
      </c>
      <c r="AO1209" s="1" t="s">
        <v>973</v>
      </c>
    </row>
    <row r="1210">
      <c r="A1210" s="5">
        <v>1.0</v>
      </c>
      <c r="B1210" s="1">
        <f t="shared" si="1"/>
        <v>1210</v>
      </c>
      <c r="C1210" s="1" t="s">
        <v>2663</v>
      </c>
      <c r="D1210" s="1" t="s">
        <v>2663</v>
      </c>
      <c r="E1210" s="1" t="s">
        <v>129</v>
      </c>
      <c r="G1210" s="1">
        <v>1516423.0</v>
      </c>
      <c r="H1210" s="2">
        <v>41913.0</v>
      </c>
      <c r="I1210" s="1" t="s">
        <v>2664</v>
      </c>
      <c r="K1210" s="1" t="s">
        <v>2664</v>
      </c>
      <c r="N1210" s="1" t="s">
        <v>40</v>
      </c>
      <c r="O1210" s="1">
        <v>7500.0</v>
      </c>
      <c r="P1210" s="1" t="s">
        <v>40</v>
      </c>
      <c r="Q1210" s="1" t="str">
        <f>IF(ISERROR(VLOOKUP(P1210,'unique fed agency names'!A:C,3,FALSE)),P1210,VLOOKUP(P1210,'unique fed agency names'!A:C,3,FALSE))
</f>
        <v>U.S. Department of Health and Human Services (DHHS)</v>
      </c>
      <c r="R1210" s="1">
        <v>1.41947783E8</v>
      </c>
      <c r="S1210" s="1" t="s">
        <v>144</v>
      </c>
      <c r="T1210" s="1" t="str">
        <f>IF(ISERROR(VLOOKUP(S1210,'unique org names'!A:C,3,FALSE)),S1210,VLOOKUP(S1210,'unique org names'!A:C,3,FALSE))
</f>
        <v>St John Community Health Investment Corporation</v>
      </c>
      <c r="V1210" s="1" t="s">
        <v>145</v>
      </c>
      <c r="W1210" s="1" t="s">
        <v>44</v>
      </c>
      <c r="X1210" s="1" t="s">
        <v>45</v>
      </c>
      <c r="Y1210" s="1">
        <v>4.82362148E8</v>
      </c>
      <c r="AA1210" s="1" t="s">
        <v>46</v>
      </c>
      <c r="AB1210" s="1" t="s">
        <v>45</v>
      </c>
      <c r="AC1210" s="1">
        <v>4.82362148E8</v>
      </c>
      <c r="AF1210" s="1">
        <v>100000.0</v>
      </c>
      <c r="AG1210" s="2">
        <v>41913.0</v>
      </c>
      <c r="AH1210" s="1">
        <v>7500.0</v>
      </c>
      <c r="AI1210" s="1" t="s">
        <v>40</v>
      </c>
      <c r="AJ1210" s="1">
        <v>2.0150177E7</v>
      </c>
      <c r="AK1210" s="1" t="s">
        <v>146</v>
      </c>
      <c r="AL1210" s="1">
        <v>10.0</v>
      </c>
      <c r="AM1210" s="1">
        <v>2014.0</v>
      </c>
      <c r="AN1210" s="1">
        <v>2015.0</v>
      </c>
      <c r="AO1210" s="1" t="s">
        <v>147</v>
      </c>
    </row>
    <row r="1211">
      <c r="A1211" s="5">
        <v>1.0</v>
      </c>
      <c r="B1211" s="1">
        <f t="shared" si="1"/>
        <v>1211</v>
      </c>
      <c r="C1211" s="1" t="s">
        <v>2665</v>
      </c>
      <c r="D1211" s="1" t="s">
        <v>2665</v>
      </c>
      <c r="E1211" s="1" t="s">
        <v>159</v>
      </c>
      <c r="G1211" s="1">
        <v>1759119.0</v>
      </c>
      <c r="H1211" s="2">
        <v>41936.0</v>
      </c>
      <c r="I1211" s="1" t="s">
        <v>2666</v>
      </c>
      <c r="K1211" s="1" t="s">
        <v>2666</v>
      </c>
      <c r="N1211" s="1" t="s">
        <v>40</v>
      </c>
      <c r="O1211" s="1">
        <v>7500.0</v>
      </c>
      <c r="P1211" s="1" t="s">
        <v>40</v>
      </c>
      <c r="Q1211" s="1" t="str">
        <f>IF(ISERROR(VLOOKUP(P1211,'unique fed agency names'!A:C,3,FALSE)),P1211,VLOOKUP(P1211,'unique fed agency names'!A:C,3,FALSE))
</f>
        <v>U.S. Department of Health and Human Services (DHHS)</v>
      </c>
      <c r="R1211" s="1">
        <v>1962224.0</v>
      </c>
      <c r="S1211" s="1" t="s">
        <v>52</v>
      </c>
      <c r="T1211" s="1" t="str">
        <f>IF(ISERROR(VLOOKUP(S1211,'unique org names'!A:C,3,FALSE)),S1211,VLOOKUP(S1211,'unique org names'!A:C,3,FALSE))
</f>
        <v>WAYNE STATE UNIVERSITY</v>
      </c>
      <c r="U1211" s="1" t="s">
        <v>1566</v>
      </c>
      <c r="V1211" s="1" t="s">
        <v>1885</v>
      </c>
      <c r="W1211" s="1" t="s">
        <v>44</v>
      </c>
      <c r="X1211" s="1" t="s">
        <v>45</v>
      </c>
      <c r="Y1211" s="1">
        <v>4.82021347E8</v>
      </c>
      <c r="AA1211" s="1" t="s">
        <v>46</v>
      </c>
      <c r="AB1211" s="1" t="s">
        <v>45</v>
      </c>
      <c r="AC1211" s="1">
        <v>4.8202405E8</v>
      </c>
      <c r="AD1211" s="1">
        <v>1962224.0</v>
      </c>
      <c r="AE1211" s="1" t="s">
        <v>52</v>
      </c>
      <c r="AF1211" s="1">
        <v>27000.0</v>
      </c>
      <c r="AG1211" s="2">
        <v>41936.0</v>
      </c>
      <c r="AH1211" s="1">
        <v>7500.0</v>
      </c>
      <c r="AI1211" s="1" t="s">
        <v>40</v>
      </c>
      <c r="AJ1211" s="1" t="s">
        <v>2667</v>
      </c>
      <c r="AK1211" s="1" t="s">
        <v>2668</v>
      </c>
      <c r="AL1211" s="1">
        <v>11.0</v>
      </c>
      <c r="AM1211" s="1">
        <v>2014.0</v>
      </c>
      <c r="AN1211" s="1">
        <v>2015.0</v>
      </c>
      <c r="AO1211" s="1" t="s">
        <v>2669</v>
      </c>
    </row>
    <row r="1212">
      <c r="A1212" s="5">
        <v>1.0</v>
      </c>
      <c r="B1212" s="1">
        <f t="shared" si="1"/>
        <v>1212</v>
      </c>
      <c r="C1212" s="1" t="s">
        <v>128</v>
      </c>
      <c r="D1212" s="1" t="s">
        <v>128</v>
      </c>
      <c r="E1212" s="1" t="s">
        <v>129</v>
      </c>
      <c r="G1212" s="1">
        <v>2.23784E7</v>
      </c>
      <c r="H1212" s="2">
        <v>41912.0</v>
      </c>
      <c r="I1212" s="1" t="s">
        <v>1584</v>
      </c>
      <c r="K1212" s="1" t="s">
        <v>1584</v>
      </c>
      <c r="N1212" s="1" t="s">
        <v>40</v>
      </c>
      <c r="O1212" s="1">
        <v>7500.0</v>
      </c>
      <c r="P1212" s="1" t="s">
        <v>40</v>
      </c>
      <c r="Q1212" s="1" t="str">
        <f>IF(ISERROR(VLOOKUP(P1212,'unique fed agency names'!A:C,3,FALSE)),P1212,VLOOKUP(P1212,'unique fed agency names'!A:C,3,FALSE))
</f>
        <v>U.S. Department of Health and Human Services (DHHS)</v>
      </c>
      <c r="R1212" s="1">
        <v>6.9840817E7</v>
      </c>
      <c r="S1212" s="1" t="s">
        <v>131</v>
      </c>
      <c r="T1212" s="1" t="str">
        <f>IF(ISERROR(VLOOKUP(S1212,'unique org names'!A:C,3,FALSE)),S1212,VLOOKUP(S1212,'unique org names'!A:C,3,FALSE))
</f>
        <v>LUTHERAN SOCIAL SERVICES OF MICHIGAN</v>
      </c>
      <c r="V1212" s="1" t="s">
        <v>132</v>
      </c>
      <c r="W1212" s="1" t="s">
        <v>44</v>
      </c>
      <c r="X1212" s="1" t="s">
        <v>45</v>
      </c>
      <c r="Y1212" s="1">
        <v>4.8214261E8</v>
      </c>
      <c r="AA1212" s="1" t="s">
        <v>133</v>
      </c>
      <c r="AB1212" s="1" t="s">
        <v>45</v>
      </c>
      <c r="AC1212" s="1">
        <v>4.8214261E8</v>
      </c>
      <c r="AD1212" s="1">
        <v>6.9840817E7</v>
      </c>
      <c r="AE1212" s="1" t="s">
        <v>131</v>
      </c>
      <c r="AF1212" s="1">
        <v>849300.0</v>
      </c>
      <c r="AG1212" s="2">
        <v>41912.0</v>
      </c>
      <c r="AH1212" s="1">
        <v>7500.0</v>
      </c>
      <c r="AI1212" s="1" t="s">
        <v>40</v>
      </c>
      <c r="AJ1212" s="1" t="s">
        <v>2670</v>
      </c>
      <c r="AK1212" s="1" t="s">
        <v>1262</v>
      </c>
      <c r="AL1212" s="1">
        <v>9.0</v>
      </c>
      <c r="AM1212" s="1">
        <v>2014.0</v>
      </c>
      <c r="AN1212" s="1">
        <v>2014.0</v>
      </c>
      <c r="AO1212" s="1" t="s">
        <v>136</v>
      </c>
    </row>
    <row r="1213">
      <c r="A1213" s="5">
        <v>1.0</v>
      </c>
      <c r="B1213" s="1">
        <f t="shared" si="1"/>
        <v>1213</v>
      </c>
      <c r="C1213" s="1" t="s">
        <v>2671</v>
      </c>
      <c r="D1213" s="1" t="s">
        <v>2671</v>
      </c>
      <c r="E1213" s="1" t="s">
        <v>63</v>
      </c>
      <c r="G1213" s="1">
        <v>900000.0</v>
      </c>
      <c r="H1213" s="2">
        <v>41183.0</v>
      </c>
      <c r="I1213" s="1" t="s">
        <v>2672</v>
      </c>
      <c r="K1213" s="1" t="s">
        <v>2672</v>
      </c>
      <c r="N1213" s="1" t="s">
        <v>40</v>
      </c>
      <c r="O1213" s="1">
        <v>7500.0</v>
      </c>
      <c r="P1213" s="1" t="s">
        <v>40</v>
      </c>
      <c r="Q1213" s="1" t="str">
        <f>IF(ISERROR(VLOOKUP(P1213,'unique fed agency names'!A:C,3,FALSE)),P1213,VLOOKUP(P1213,'unique fed agency names'!A:C,3,FALSE))
</f>
        <v>U.S. Department of Health and Human Services (DHHS)</v>
      </c>
      <c r="R1213" s="1">
        <v>1962224.0</v>
      </c>
      <c r="S1213" s="1" t="s">
        <v>52</v>
      </c>
      <c r="T1213" s="1" t="str">
        <f>IF(ISERROR(VLOOKUP(S1213,'unique org names'!A:C,3,FALSE)),S1213,VLOOKUP(S1213,'unique org names'!A:C,3,FALSE))
</f>
        <v>WAYNE STATE UNIVERSITY</v>
      </c>
      <c r="U1213" s="1" t="s">
        <v>1420</v>
      </c>
      <c r="V1213" s="1" t="s">
        <v>1885</v>
      </c>
      <c r="W1213" s="1" t="s">
        <v>44</v>
      </c>
      <c r="X1213" s="1" t="s">
        <v>45</v>
      </c>
      <c r="Y1213" s="1">
        <v>4.82021347E8</v>
      </c>
      <c r="AA1213" s="1" t="s">
        <v>46</v>
      </c>
      <c r="AB1213" s="1" t="s">
        <v>45</v>
      </c>
      <c r="AC1213" s="1">
        <v>4.82023692E8</v>
      </c>
      <c r="AD1213" s="1">
        <v>1962224.0</v>
      </c>
      <c r="AE1213" s="1" t="s">
        <v>52</v>
      </c>
      <c r="AF1213" s="1">
        <v>3000.0</v>
      </c>
      <c r="AG1213" s="2">
        <v>41183.0</v>
      </c>
      <c r="AH1213" s="1">
        <v>7500.0</v>
      </c>
      <c r="AI1213" s="1" t="s">
        <v>40</v>
      </c>
      <c r="AJ1213" s="1">
        <v>2.0131054E7</v>
      </c>
      <c r="AK1213" s="1" t="s">
        <v>2673</v>
      </c>
      <c r="AL1213" s="1">
        <v>10.0</v>
      </c>
      <c r="AM1213" s="1">
        <v>2012.0</v>
      </c>
      <c r="AN1213" s="1">
        <v>2013.0</v>
      </c>
      <c r="AO1213" s="1" t="s">
        <v>2674</v>
      </c>
    </row>
    <row r="1214">
      <c r="A1214" s="5">
        <v>1.0</v>
      </c>
      <c r="B1214" s="1">
        <f t="shared" si="1"/>
        <v>1214</v>
      </c>
      <c r="C1214" s="1" t="s">
        <v>2671</v>
      </c>
      <c r="D1214" s="1" t="s">
        <v>2671</v>
      </c>
      <c r="E1214" s="1" t="s">
        <v>63</v>
      </c>
      <c r="G1214" s="1">
        <v>900000.0</v>
      </c>
      <c r="H1214" s="2">
        <v>41183.0</v>
      </c>
      <c r="I1214" s="1" t="s">
        <v>2672</v>
      </c>
      <c r="K1214" s="1" t="s">
        <v>2672</v>
      </c>
      <c r="N1214" s="1" t="s">
        <v>40</v>
      </c>
      <c r="O1214" s="1">
        <v>7500.0</v>
      </c>
      <c r="P1214" s="1" t="s">
        <v>40</v>
      </c>
      <c r="Q1214" s="1" t="str">
        <f>IF(ISERROR(VLOOKUP(P1214,'unique fed agency names'!A:C,3,FALSE)),P1214,VLOOKUP(P1214,'unique fed agency names'!A:C,3,FALSE))
</f>
        <v>U.S. Department of Health and Human Services (DHHS)</v>
      </c>
      <c r="R1214" s="1">
        <v>1962224.0</v>
      </c>
      <c r="S1214" s="1" t="s">
        <v>52</v>
      </c>
      <c r="T1214" s="1" t="str">
        <f>IF(ISERROR(VLOOKUP(S1214,'unique org names'!A:C,3,FALSE)),S1214,VLOOKUP(S1214,'unique org names'!A:C,3,FALSE))
</f>
        <v>WAYNE STATE UNIVERSITY</v>
      </c>
      <c r="U1214" s="1" t="s">
        <v>1566</v>
      </c>
      <c r="V1214" s="1" t="s">
        <v>1885</v>
      </c>
      <c r="W1214" s="1" t="s">
        <v>44</v>
      </c>
      <c r="X1214" s="1" t="s">
        <v>45</v>
      </c>
      <c r="Y1214" s="1">
        <v>4.82021347E8</v>
      </c>
      <c r="AA1214" s="1" t="s">
        <v>46</v>
      </c>
      <c r="AB1214" s="1" t="s">
        <v>45</v>
      </c>
      <c r="AC1214" s="1">
        <v>4.82023692E8</v>
      </c>
      <c r="AD1214" s="1">
        <v>1962224.0</v>
      </c>
      <c r="AE1214" s="1" t="s">
        <v>52</v>
      </c>
      <c r="AF1214" s="1">
        <v>20000.0</v>
      </c>
      <c r="AG1214" s="2">
        <v>41183.0</v>
      </c>
      <c r="AH1214" s="1">
        <v>7500.0</v>
      </c>
      <c r="AI1214" s="1" t="s">
        <v>40</v>
      </c>
      <c r="AJ1214" s="1">
        <v>2.0131054E7</v>
      </c>
      <c r="AK1214" s="1" t="s">
        <v>2673</v>
      </c>
      <c r="AL1214" s="1">
        <v>10.0</v>
      </c>
      <c r="AM1214" s="1">
        <v>2012.0</v>
      </c>
      <c r="AN1214" s="1">
        <v>2013.0</v>
      </c>
      <c r="AO1214" s="1" t="s">
        <v>2674</v>
      </c>
    </row>
    <row r="1215">
      <c r="A1215" s="5">
        <v>1.0</v>
      </c>
      <c r="B1215" s="1">
        <f t="shared" si="1"/>
        <v>1215</v>
      </c>
      <c r="C1215" s="1" t="s">
        <v>2675</v>
      </c>
      <c r="D1215" s="1" t="s">
        <v>2675</v>
      </c>
      <c r="E1215" s="1" t="s">
        <v>63</v>
      </c>
      <c r="G1215" s="1">
        <v>2216760.0</v>
      </c>
      <c r="H1215" s="2">
        <v>41183.0</v>
      </c>
      <c r="I1215" s="1" t="s">
        <v>2676</v>
      </c>
      <c r="K1215" s="1" t="s">
        <v>2676</v>
      </c>
      <c r="N1215" s="1" t="s">
        <v>40</v>
      </c>
      <c r="O1215" s="1">
        <v>7500.0</v>
      </c>
      <c r="P1215" s="1" t="s">
        <v>40</v>
      </c>
      <c r="Q1215" s="1" t="str">
        <f>IF(ISERROR(VLOOKUP(P1215,'unique fed agency names'!A:C,3,FALSE)),P1215,VLOOKUP(P1215,'unique fed agency names'!A:C,3,FALSE))
</f>
        <v>U.S. Department of Health and Human Services (DHHS)</v>
      </c>
      <c r="R1215" s="1">
        <v>3.8775243E7</v>
      </c>
      <c r="S1215" s="1" t="s">
        <v>209</v>
      </c>
      <c r="T1215" s="1" t="str">
        <f>IF(ISERROR(VLOOKUP(S1215,'unique org names'!A:C,3,FALSE)),S1215,VLOOKUP(S1215,'unique org names'!A:C,3,FALSE))
</f>
        <v>SOUTHEASTERN MICHIGAN HEALTH ASSOCIATION</v>
      </c>
      <c r="U1215" s="1" t="s">
        <v>210</v>
      </c>
      <c r="V1215" s="1" t="s">
        <v>211</v>
      </c>
      <c r="W1215" s="1" t="s">
        <v>44</v>
      </c>
      <c r="X1215" s="1" t="s">
        <v>45</v>
      </c>
      <c r="Y1215" s="1">
        <v>4.82023068E8</v>
      </c>
      <c r="AA1215" s="1" t="s">
        <v>46</v>
      </c>
      <c r="AB1215" s="1" t="s">
        <v>45</v>
      </c>
      <c r="AC1215" s="1">
        <v>4.82023068E8</v>
      </c>
      <c r="AD1215" s="1">
        <v>3.8775243E7</v>
      </c>
      <c r="AE1215" s="1" t="s">
        <v>209</v>
      </c>
      <c r="AF1215" s="1">
        <v>20000.0</v>
      </c>
      <c r="AG1215" s="2">
        <v>41183.0</v>
      </c>
      <c r="AH1215" s="1">
        <v>7500.0</v>
      </c>
      <c r="AI1215" s="1" t="s">
        <v>40</v>
      </c>
      <c r="AJ1215" s="1">
        <v>2.013109E7</v>
      </c>
      <c r="AK1215" s="1" t="s">
        <v>2677</v>
      </c>
      <c r="AL1215" s="1">
        <v>10.0</v>
      </c>
      <c r="AM1215" s="1">
        <v>2010.0</v>
      </c>
      <c r="AN1215" s="1">
        <v>2013.0</v>
      </c>
      <c r="AO1215" s="1" t="s">
        <v>1410</v>
      </c>
    </row>
    <row r="1216">
      <c r="A1216" s="5">
        <v>1.0</v>
      </c>
      <c r="B1216" s="1">
        <f t="shared" si="1"/>
        <v>1216</v>
      </c>
      <c r="C1216" s="1" t="s">
        <v>2678</v>
      </c>
      <c r="D1216" s="1" t="s">
        <v>2678</v>
      </c>
      <c r="E1216" s="1" t="s">
        <v>63</v>
      </c>
      <c r="G1216" s="1">
        <v>2652028.0</v>
      </c>
      <c r="H1216" s="2">
        <v>41548.0</v>
      </c>
      <c r="I1216" s="1" t="s">
        <v>2679</v>
      </c>
      <c r="K1216" s="1" t="s">
        <v>2679</v>
      </c>
      <c r="N1216" s="1" t="s">
        <v>40</v>
      </c>
      <c r="O1216" s="1">
        <v>7500.0</v>
      </c>
      <c r="P1216" s="1" t="s">
        <v>40</v>
      </c>
      <c r="Q1216" s="1" t="str">
        <f>IF(ISERROR(VLOOKUP(P1216,'unique fed agency names'!A:C,3,FALSE)),P1216,VLOOKUP(P1216,'unique fed agency names'!A:C,3,FALSE))
</f>
        <v>U.S. Department of Health and Human Services (DHHS)</v>
      </c>
      <c r="R1216" s="1">
        <v>3.8775243E7</v>
      </c>
      <c r="S1216" s="1" t="s">
        <v>209</v>
      </c>
      <c r="T1216" s="1" t="str">
        <f>IF(ISERROR(VLOOKUP(S1216,'unique org names'!A:C,3,FALSE)),S1216,VLOOKUP(S1216,'unique org names'!A:C,3,FALSE))
</f>
        <v>SOUTHEASTERN MICHIGAN HEALTH ASSOCIATION</v>
      </c>
      <c r="U1216" s="1" t="s">
        <v>210</v>
      </c>
      <c r="V1216" s="1" t="s">
        <v>211</v>
      </c>
      <c r="W1216" s="1" t="s">
        <v>44</v>
      </c>
      <c r="X1216" s="1" t="s">
        <v>45</v>
      </c>
      <c r="Y1216" s="1">
        <v>4.82023068E8</v>
      </c>
      <c r="AA1216" s="1" t="s">
        <v>46</v>
      </c>
      <c r="AB1216" s="1" t="s">
        <v>45</v>
      </c>
      <c r="AC1216" s="1">
        <v>4.82023068E8</v>
      </c>
      <c r="AD1216" s="1">
        <v>3.8775243E7</v>
      </c>
      <c r="AE1216" s="1" t="s">
        <v>209</v>
      </c>
      <c r="AF1216" s="1">
        <v>1156784.17</v>
      </c>
      <c r="AG1216" s="2">
        <v>41548.0</v>
      </c>
      <c r="AH1216" s="1">
        <v>7500.0</v>
      </c>
      <c r="AI1216" s="1" t="s">
        <v>40</v>
      </c>
      <c r="AJ1216" s="1">
        <v>2.0140733E7</v>
      </c>
      <c r="AK1216" s="1" t="s">
        <v>2680</v>
      </c>
      <c r="AL1216" s="1">
        <v>10.0</v>
      </c>
      <c r="AM1216" s="1">
        <v>2013.0</v>
      </c>
      <c r="AN1216" s="1">
        <v>2014.0</v>
      </c>
      <c r="AO1216" s="1" t="s">
        <v>1572</v>
      </c>
    </row>
    <row r="1217">
      <c r="A1217" s="5">
        <v>1.0</v>
      </c>
      <c r="B1217" s="1">
        <f t="shared" si="1"/>
        <v>1217</v>
      </c>
      <c r="C1217" s="1" t="s">
        <v>2681</v>
      </c>
      <c r="D1217" s="1" t="s">
        <v>2681</v>
      </c>
      <c r="E1217" s="1" t="s">
        <v>159</v>
      </c>
      <c r="G1217" s="1">
        <v>1.809661E7</v>
      </c>
      <c r="H1217" s="2">
        <v>41548.0</v>
      </c>
      <c r="I1217" s="1" t="s">
        <v>2682</v>
      </c>
      <c r="K1217" s="1" t="s">
        <v>2682</v>
      </c>
      <c r="N1217" s="1" t="s">
        <v>40</v>
      </c>
      <c r="O1217" s="1">
        <v>7500.0</v>
      </c>
      <c r="P1217" s="1" t="s">
        <v>40</v>
      </c>
      <c r="Q1217" s="1" t="str">
        <f>IF(ISERROR(VLOOKUP(P1217,'unique fed agency names'!A:C,3,FALSE)),P1217,VLOOKUP(P1217,'unique fed agency names'!A:C,3,FALSE))
</f>
        <v>U.S. Department of Health and Human Services (DHHS)</v>
      </c>
      <c r="R1217" s="1">
        <v>7596352.0</v>
      </c>
      <c r="S1217" s="1" t="s">
        <v>73</v>
      </c>
      <c r="T1217" s="1" t="str">
        <f>IF(ISERROR(VLOOKUP(S1217,'unique org names'!A:C,3,FALSE)),S1217,VLOOKUP(S1217,'unique org names'!A:C,3,FALSE))
</f>
        <v>City Of Detroit</v>
      </c>
      <c r="V1217" s="1" t="s">
        <v>1578</v>
      </c>
      <c r="W1217" s="1" t="s">
        <v>44</v>
      </c>
      <c r="X1217" s="1" t="s">
        <v>45</v>
      </c>
      <c r="Y1217" s="1">
        <v>4.82263269E8</v>
      </c>
      <c r="AA1217" s="1" t="s">
        <v>46</v>
      </c>
      <c r="AB1217" s="1" t="s">
        <v>45</v>
      </c>
      <c r="AC1217" s="1">
        <v>4.82263269E8</v>
      </c>
      <c r="AD1217" s="1">
        <v>6530661.0</v>
      </c>
      <c r="AE1217" s="1" t="s">
        <v>76</v>
      </c>
      <c r="AF1217" s="1">
        <v>1351698.17</v>
      </c>
      <c r="AG1217" s="2">
        <v>41548.0</v>
      </c>
      <c r="AH1217" s="1">
        <v>7500.0</v>
      </c>
      <c r="AI1217" s="1" t="s">
        <v>40</v>
      </c>
      <c r="AJ1217" s="1">
        <v>2.0141454E7</v>
      </c>
      <c r="AK1217" s="1" t="s">
        <v>2683</v>
      </c>
      <c r="AL1217" s="1">
        <v>10.0</v>
      </c>
      <c r="AM1217" s="1">
        <v>2012.0</v>
      </c>
      <c r="AN1217" s="1">
        <v>2014.0</v>
      </c>
      <c r="AO1217" s="1" t="s">
        <v>2684</v>
      </c>
    </row>
    <row r="1218">
      <c r="A1218" s="5">
        <v>1.0</v>
      </c>
      <c r="B1218" s="1">
        <f t="shared" si="1"/>
        <v>1218</v>
      </c>
      <c r="C1218" s="1" t="s">
        <v>2681</v>
      </c>
      <c r="D1218" s="1" t="s">
        <v>2681</v>
      </c>
      <c r="E1218" s="1" t="s">
        <v>159</v>
      </c>
      <c r="G1218" s="1">
        <v>1.809661E7</v>
      </c>
      <c r="H1218" s="2">
        <v>41183.0</v>
      </c>
      <c r="I1218" s="1" t="s">
        <v>2682</v>
      </c>
      <c r="K1218" s="1" t="s">
        <v>2682</v>
      </c>
      <c r="N1218" s="1" t="s">
        <v>40</v>
      </c>
      <c r="O1218" s="1">
        <v>7500.0</v>
      </c>
      <c r="P1218" s="1" t="s">
        <v>40</v>
      </c>
      <c r="Q1218" s="1" t="str">
        <f>IF(ISERROR(VLOOKUP(P1218,'unique fed agency names'!A:C,3,FALSE)),P1218,VLOOKUP(P1218,'unique fed agency names'!A:C,3,FALSE))
</f>
        <v>U.S. Department of Health and Human Services (DHHS)</v>
      </c>
      <c r="R1218" s="1">
        <v>1962224.0</v>
      </c>
      <c r="S1218" s="1" t="s">
        <v>52</v>
      </c>
      <c r="T1218" s="1" t="str">
        <f>IF(ISERROR(VLOOKUP(S1218,'unique org names'!A:C,3,FALSE)),S1218,VLOOKUP(S1218,'unique org names'!A:C,3,FALSE))
</f>
        <v>WAYNE STATE UNIVERSITY</v>
      </c>
      <c r="V1218" s="1" t="s">
        <v>1885</v>
      </c>
      <c r="W1218" s="1" t="s">
        <v>44</v>
      </c>
      <c r="X1218" s="1" t="s">
        <v>45</v>
      </c>
      <c r="Y1218" s="1">
        <v>4.82021347E8</v>
      </c>
      <c r="AA1218" s="1" t="s">
        <v>2685</v>
      </c>
      <c r="AB1218" s="1" t="s">
        <v>45</v>
      </c>
      <c r="AC1218" s="1">
        <v>4.82011347E8</v>
      </c>
      <c r="AD1218" s="1">
        <v>1962224.0</v>
      </c>
      <c r="AE1218" s="1" t="s">
        <v>52</v>
      </c>
      <c r="AF1218" s="1">
        <v>20000.0</v>
      </c>
      <c r="AG1218" s="2">
        <v>41183.0</v>
      </c>
      <c r="AH1218" s="1">
        <v>7500.0</v>
      </c>
      <c r="AI1218" s="1" t="s">
        <v>40</v>
      </c>
      <c r="AJ1218" s="1">
        <v>2.0131609E7</v>
      </c>
      <c r="AK1218" s="1" t="s">
        <v>2683</v>
      </c>
      <c r="AL1218" s="1">
        <v>10.0</v>
      </c>
      <c r="AM1218" s="1">
        <v>2012.0</v>
      </c>
      <c r="AN1218" s="1">
        <v>2013.0</v>
      </c>
      <c r="AO1218" s="1" t="s">
        <v>2684</v>
      </c>
    </row>
    <row r="1219">
      <c r="A1219" s="5">
        <v>1.0</v>
      </c>
      <c r="B1219" s="1">
        <f t="shared" si="1"/>
        <v>1219</v>
      </c>
      <c r="C1219" s="1" t="s">
        <v>2681</v>
      </c>
      <c r="D1219" s="1" t="s">
        <v>2681</v>
      </c>
      <c r="E1219" s="1" t="s">
        <v>159</v>
      </c>
      <c r="G1219" s="1">
        <v>1.809661E7</v>
      </c>
      <c r="H1219" s="2">
        <v>41183.0</v>
      </c>
      <c r="I1219" s="1" t="s">
        <v>2682</v>
      </c>
      <c r="K1219" s="1" t="s">
        <v>2682</v>
      </c>
      <c r="N1219" s="1" t="s">
        <v>40</v>
      </c>
      <c r="O1219" s="1">
        <v>7500.0</v>
      </c>
      <c r="P1219" s="1" t="s">
        <v>40</v>
      </c>
      <c r="Q1219" s="1" t="str">
        <f>IF(ISERROR(VLOOKUP(P1219,'unique fed agency names'!A:C,3,FALSE)),P1219,VLOOKUP(P1219,'unique fed agency names'!A:C,3,FALSE))
</f>
        <v>U.S. Department of Health and Human Services (DHHS)</v>
      </c>
      <c r="R1219" s="1">
        <v>3.8775243E7</v>
      </c>
      <c r="S1219" s="1" t="s">
        <v>209</v>
      </c>
      <c r="T1219" s="1" t="str">
        <f>IF(ISERROR(VLOOKUP(S1219,'unique org names'!A:C,3,FALSE)),S1219,VLOOKUP(S1219,'unique org names'!A:C,3,FALSE))
</f>
        <v>SOUTHEASTERN MICHIGAN HEALTH ASSOCIATION</v>
      </c>
      <c r="U1219" s="1" t="s">
        <v>210</v>
      </c>
      <c r="V1219" s="1" t="s">
        <v>211</v>
      </c>
      <c r="W1219" s="1" t="s">
        <v>44</v>
      </c>
      <c r="X1219" s="1" t="s">
        <v>45</v>
      </c>
      <c r="Y1219" s="1">
        <v>4.82023068E8</v>
      </c>
      <c r="AA1219" s="1" t="s">
        <v>46</v>
      </c>
      <c r="AB1219" s="1" t="s">
        <v>45</v>
      </c>
      <c r="AC1219" s="1">
        <v>4.82023068E8</v>
      </c>
      <c r="AD1219" s="1">
        <v>3.8775243E7</v>
      </c>
      <c r="AE1219" s="1" t="s">
        <v>209</v>
      </c>
      <c r="AF1219" s="1">
        <v>0.0</v>
      </c>
      <c r="AG1219" s="2">
        <v>41183.0</v>
      </c>
      <c r="AH1219" s="1">
        <v>7500.0</v>
      </c>
      <c r="AI1219" s="1" t="s">
        <v>40</v>
      </c>
      <c r="AJ1219" s="1">
        <v>2.0131238E7</v>
      </c>
      <c r="AK1219" s="1" t="s">
        <v>2683</v>
      </c>
      <c r="AL1219" s="1">
        <v>10.0</v>
      </c>
      <c r="AM1219" s="1">
        <v>2012.0</v>
      </c>
      <c r="AN1219" s="1">
        <v>2013.0</v>
      </c>
      <c r="AO1219" s="1" t="s">
        <v>2684</v>
      </c>
    </row>
    <row r="1220">
      <c r="A1220" s="5">
        <v>1.0</v>
      </c>
      <c r="B1220" s="1">
        <f t="shared" si="1"/>
        <v>1220</v>
      </c>
      <c r="C1220" s="1" t="s">
        <v>2681</v>
      </c>
      <c r="D1220" s="1" t="s">
        <v>2681</v>
      </c>
      <c r="E1220" s="1" t="s">
        <v>159</v>
      </c>
      <c r="G1220" s="1">
        <v>1.809661E7</v>
      </c>
      <c r="H1220" s="2">
        <v>41183.0</v>
      </c>
      <c r="I1220" s="1" t="s">
        <v>2682</v>
      </c>
      <c r="K1220" s="1" t="s">
        <v>2682</v>
      </c>
      <c r="N1220" s="1" t="s">
        <v>40</v>
      </c>
      <c r="O1220" s="1">
        <v>7500.0</v>
      </c>
      <c r="P1220" s="1" t="s">
        <v>40</v>
      </c>
      <c r="Q1220" s="1" t="str">
        <f>IF(ISERROR(VLOOKUP(P1220,'unique fed agency names'!A:C,3,FALSE)),P1220,VLOOKUP(P1220,'unique fed agency names'!A:C,3,FALSE))
</f>
        <v>U.S. Department of Health and Human Services (DHHS)</v>
      </c>
      <c r="R1220" s="1">
        <v>3.8775243E7</v>
      </c>
      <c r="S1220" s="1" t="s">
        <v>209</v>
      </c>
      <c r="T1220" s="1" t="str">
        <f>IF(ISERROR(VLOOKUP(S1220,'unique org names'!A:C,3,FALSE)),S1220,VLOOKUP(S1220,'unique org names'!A:C,3,FALSE))
</f>
        <v>SOUTHEASTERN MICHIGAN HEALTH ASSOCIATION</v>
      </c>
      <c r="U1220" s="1" t="s">
        <v>210</v>
      </c>
      <c r="V1220" s="1" t="s">
        <v>211</v>
      </c>
      <c r="W1220" s="1" t="s">
        <v>44</v>
      </c>
      <c r="X1220" s="1" t="s">
        <v>45</v>
      </c>
      <c r="Y1220" s="1">
        <v>4.82023068E8</v>
      </c>
      <c r="AA1220" s="1" t="s">
        <v>46</v>
      </c>
      <c r="AB1220" s="1" t="s">
        <v>45</v>
      </c>
      <c r="AC1220" s="1">
        <v>4.82023068E8</v>
      </c>
      <c r="AD1220" s="1">
        <v>3.8775243E7</v>
      </c>
      <c r="AE1220" s="1" t="s">
        <v>209</v>
      </c>
      <c r="AF1220" s="1">
        <v>104600.0</v>
      </c>
      <c r="AG1220" s="2">
        <v>41183.0</v>
      </c>
      <c r="AH1220" s="1">
        <v>7500.0</v>
      </c>
      <c r="AI1220" s="1" t="s">
        <v>40</v>
      </c>
      <c r="AJ1220" s="1">
        <v>2.0131095E7</v>
      </c>
      <c r="AK1220" s="1" t="s">
        <v>2683</v>
      </c>
      <c r="AL1220" s="1">
        <v>10.0</v>
      </c>
      <c r="AM1220" s="1">
        <v>2012.0</v>
      </c>
      <c r="AN1220" s="1">
        <v>2013.0</v>
      </c>
      <c r="AO1220" s="1" t="s">
        <v>2684</v>
      </c>
    </row>
    <row r="1221">
      <c r="A1221" s="5">
        <v>1.0</v>
      </c>
      <c r="B1221" s="1">
        <f t="shared" si="1"/>
        <v>1221</v>
      </c>
      <c r="C1221" s="1" t="s">
        <v>2681</v>
      </c>
      <c r="D1221" s="1" t="s">
        <v>2681</v>
      </c>
      <c r="E1221" s="1" t="s">
        <v>159</v>
      </c>
      <c r="G1221" s="1">
        <v>1.809661E7</v>
      </c>
      <c r="H1221" s="2">
        <v>41183.0</v>
      </c>
      <c r="I1221" s="1" t="s">
        <v>2682</v>
      </c>
      <c r="K1221" s="1" t="s">
        <v>2682</v>
      </c>
      <c r="N1221" s="1" t="s">
        <v>40</v>
      </c>
      <c r="O1221" s="1">
        <v>7500.0</v>
      </c>
      <c r="P1221" s="1" t="s">
        <v>40</v>
      </c>
      <c r="Q1221" s="1" t="str">
        <f>IF(ISERROR(VLOOKUP(P1221,'unique fed agency names'!A:C,3,FALSE)),P1221,VLOOKUP(P1221,'unique fed agency names'!A:C,3,FALSE))
</f>
        <v>U.S. Department of Health and Human Services (DHHS)</v>
      </c>
      <c r="R1221" s="1">
        <v>7.3134603E7</v>
      </c>
      <c r="S1221" s="1" t="s">
        <v>41</v>
      </c>
      <c r="T1221" s="1" t="str">
        <f>IF(ISERROR(VLOOKUP(S1221,'unique org names'!A:C,3,FALSE)),S1221,VLOOKUP(S1221,'unique org names'!A:C,3,FALSE))
</f>
        <v>Henry Ford Health System</v>
      </c>
      <c r="U1221" s="1" t="s">
        <v>252</v>
      </c>
      <c r="V1221" s="1" t="s">
        <v>253</v>
      </c>
      <c r="W1221" s="1" t="s">
        <v>44</v>
      </c>
      <c r="X1221" s="1" t="s">
        <v>45</v>
      </c>
      <c r="Y1221" s="1">
        <v>4.8202345E8</v>
      </c>
      <c r="AA1221" s="1" t="s">
        <v>46</v>
      </c>
      <c r="AB1221" s="1" t="s">
        <v>45</v>
      </c>
      <c r="AC1221" s="1">
        <v>4.8202345E8</v>
      </c>
      <c r="AD1221" s="1">
        <v>7.3134603E7</v>
      </c>
      <c r="AE1221" s="1" t="s">
        <v>41</v>
      </c>
      <c r="AF1221" s="1">
        <v>65000.0</v>
      </c>
      <c r="AG1221" s="2">
        <v>41183.0</v>
      </c>
      <c r="AH1221" s="1">
        <v>7500.0</v>
      </c>
      <c r="AI1221" s="1" t="s">
        <v>40</v>
      </c>
      <c r="AJ1221" s="1">
        <v>2.0130118E7</v>
      </c>
      <c r="AK1221" s="1" t="s">
        <v>2683</v>
      </c>
      <c r="AL1221" s="1">
        <v>10.0</v>
      </c>
      <c r="AM1221" s="1">
        <v>2012.0</v>
      </c>
      <c r="AN1221" s="1">
        <v>2013.0</v>
      </c>
      <c r="AO1221" s="1" t="s">
        <v>2684</v>
      </c>
    </row>
    <row r="1222">
      <c r="A1222" s="5">
        <v>1.0</v>
      </c>
      <c r="B1222" s="1">
        <f t="shared" si="1"/>
        <v>1222</v>
      </c>
      <c r="C1222" s="1" t="s">
        <v>2681</v>
      </c>
      <c r="D1222" s="1" t="s">
        <v>2681</v>
      </c>
      <c r="E1222" s="1" t="s">
        <v>159</v>
      </c>
      <c r="G1222" s="1">
        <v>1.809661E7</v>
      </c>
      <c r="H1222" s="2">
        <v>41183.0</v>
      </c>
      <c r="I1222" s="1" t="s">
        <v>2682</v>
      </c>
      <c r="K1222" s="1" t="s">
        <v>2682</v>
      </c>
      <c r="N1222" s="1" t="s">
        <v>40</v>
      </c>
      <c r="O1222" s="1">
        <v>7500.0</v>
      </c>
      <c r="P1222" s="1" t="s">
        <v>40</v>
      </c>
      <c r="Q1222" s="1" t="str">
        <f>IF(ISERROR(VLOOKUP(P1222,'unique fed agency names'!A:C,3,FALSE)),P1222,VLOOKUP(P1222,'unique fed agency names'!A:C,3,FALSE))
</f>
        <v>U.S. Department of Health and Human Services (DHHS)</v>
      </c>
      <c r="R1222" s="1">
        <v>7.8583404E7</v>
      </c>
      <c r="S1222" s="1" t="s">
        <v>65</v>
      </c>
      <c r="T1222" s="1" t="str">
        <f>IF(ISERROR(VLOOKUP(S1222,'unique org names'!A:C,3,FALSE)),S1222,VLOOKUP(S1222,'unique org names'!A:C,3,FALSE))
</f>
        <v>Institute for Population Health Inc.</v>
      </c>
      <c r="V1222" s="1" t="s">
        <v>1573</v>
      </c>
      <c r="W1222" s="1" t="s">
        <v>44</v>
      </c>
      <c r="X1222" s="1" t="s">
        <v>45</v>
      </c>
      <c r="Y1222" s="1">
        <v>4.8207311E8</v>
      </c>
      <c r="AA1222" s="1" t="s">
        <v>46</v>
      </c>
      <c r="AB1222" s="1" t="s">
        <v>45</v>
      </c>
      <c r="AC1222" s="1">
        <v>4.82021732E8</v>
      </c>
      <c r="AF1222" s="1">
        <v>1114996.0</v>
      </c>
      <c r="AG1222" s="2">
        <v>41183.0</v>
      </c>
      <c r="AH1222" s="1">
        <v>7500.0</v>
      </c>
      <c r="AI1222" s="1" t="s">
        <v>40</v>
      </c>
      <c r="AJ1222" s="1">
        <v>2.01304E7</v>
      </c>
      <c r="AK1222" s="1" t="s">
        <v>2683</v>
      </c>
      <c r="AL1222" s="1">
        <v>10.0</v>
      </c>
      <c r="AM1222" s="1">
        <v>2012.0</v>
      </c>
      <c r="AN1222" s="1">
        <v>2013.0</v>
      </c>
      <c r="AO1222" s="1" t="s">
        <v>2684</v>
      </c>
    </row>
    <row r="1223">
      <c r="A1223" s="5">
        <v>1.0</v>
      </c>
      <c r="B1223" s="1">
        <f t="shared" si="1"/>
        <v>1223</v>
      </c>
      <c r="C1223" s="1" t="s">
        <v>2671</v>
      </c>
      <c r="D1223" s="1" t="s">
        <v>2671</v>
      </c>
      <c r="E1223" s="1" t="s">
        <v>63</v>
      </c>
      <c r="G1223" s="1">
        <v>900000.0</v>
      </c>
      <c r="H1223" s="2">
        <v>41548.0</v>
      </c>
      <c r="I1223" s="1" t="s">
        <v>2672</v>
      </c>
      <c r="K1223" s="1" t="s">
        <v>2672</v>
      </c>
      <c r="N1223" s="1" t="s">
        <v>40</v>
      </c>
      <c r="O1223" s="1">
        <v>7500.0</v>
      </c>
      <c r="P1223" s="1" t="s">
        <v>40</v>
      </c>
      <c r="Q1223" s="1" t="str">
        <f>IF(ISERROR(VLOOKUP(P1223,'unique fed agency names'!A:C,3,FALSE)),P1223,VLOOKUP(P1223,'unique fed agency names'!A:C,3,FALSE))
</f>
        <v>U.S. Department of Health and Human Services (DHHS)</v>
      </c>
      <c r="R1223" s="1">
        <v>1962224.0</v>
      </c>
      <c r="S1223" s="1" t="s">
        <v>52</v>
      </c>
      <c r="T1223" s="1" t="str">
        <f>IF(ISERROR(VLOOKUP(S1223,'unique org names'!A:C,3,FALSE)),S1223,VLOOKUP(S1223,'unique org names'!A:C,3,FALSE))
</f>
        <v>WAYNE STATE UNIVERSITY</v>
      </c>
      <c r="U1223" s="1" t="s">
        <v>1566</v>
      </c>
      <c r="V1223" s="1" t="s">
        <v>1885</v>
      </c>
      <c r="W1223" s="1" t="s">
        <v>44</v>
      </c>
      <c r="X1223" s="1" t="s">
        <v>45</v>
      </c>
      <c r="Y1223" s="1">
        <v>4.82021347E8</v>
      </c>
      <c r="AA1223" s="1" t="s">
        <v>46</v>
      </c>
      <c r="AB1223" s="1" t="s">
        <v>45</v>
      </c>
      <c r="AC1223" s="1">
        <v>4.82023692E8</v>
      </c>
      <c r="AD1223" s="1">
        <v>1962224.0</v>
      </c>
      <c r="AE1223" s="1" t="s">
        <v>52</v>
      </c>
      <c r="AF1223" s="1">
        <v>16000.0</v>
      </c>
      <c r="AG1223" s="2">
        <v>41548.0</v>
      </c>
      <c r="AH1223" s="1">
        <v>7500.0</v>
      </c>
      <c r="AI1223" s="1" t="s">
        <v>40</v>
      </c>
      <c r="AJ1223" s="1">
        <v>2.0141505E7</v>
      </c>
      <c r="AK1223" s="1" t="s">
        <v>2673</v>
      </c>
      <c r="AL1223" s="1">
        <v>10.0</v>
      </c>
      <c r="AM1223" s="1">
        <v>2012.0</v>
      </c>
      <c r="AN1223" s="1">
        <v>2014.0</v>
      </c>
      <c r="AO1223" s="1" t="s">
        <v>2674</v>
      </c>
    </row>
    <row r="1224">
      <c r="A1224" s="5">
        <v>1.0</v>
      </c>
      <c r="B1224" s="1">
        <f t="shared" si="1"/>
        <v>1224</v>
      </c>
      <c r="C1224" s="1" t="s">
        <v>2675</v>
      </c>
      <c r="D1224" s="1" t="s">
        <v>2675</v>
      </c>
      <c r="E1224" s="1" t="s">
        <v>63</v>
      </c>
      <c r="G1224" s="1">
        <v>2216760.0</v>
      </c>
      <c r="H1224" s="2">
        <v>41548.0</v>
      </c>
      <c r="I1224" s="1" t="s">
        <v>2676</v>
      </c>
      <c r="K1224" s="1" t="s">
        <v>2676</v>
      </c>
      <c r="N1224" s="1" t="s">
        <v>40</v>
      </c>
      <c r="O1224" s="1">
        <v>7500.0</v>
      </c>
      <c r="P1224" s="1" t="s">
        <v>40</v>
      </c>
      <c r="Q1224" s="1" t="str">
        <f>IF(ISERROR(VLOOKUP(P1224,'unique fed agency names'!A:C,3,FALSE)),P1224,VLOOKUP(P1224,'unique fed agency names'!A:C,3,FALSE))
</f>
        <v>U.S. Department of Health and Human Services (DHHS)</v>
      </c>
      <c r="R1224" s="1">
        <v>3.8775243E7</v>
      </c>
      <c r="S1224" s="1" t="s">
        <v>209</v>
      </c>
      <c r="T1224" s="1" t="str">
        <f>IF(ISERROR(VLOOKUP(S1224,'unique org names'!A:C,3,FALSE)),S1224,VLOOKUP(S1224,'unique org names'!A:C,3,FALSE))
</f>
        <v>SOUTHEASTERN MICHIGAN HEALTH ASSOCIATION</v>
      </c>
      <c r="U1224" s="1" t="s">
        <v>210</v>
      </c>
      <c r="V1224" s="1" t="s">
        <v>211</v>
      </c>
      <c r="W1224" s="1" t="s">
        <v>44</v>
      </c>
      <c r="X1224" s="1" t="s">
        <v>45</v>
      </c>
      <c r="Y1224" s="1">
        <v>4.82023068E8</v>
      </c>
      <c r="AA1224" s="1" t="s">
        <v>46</v>
      </c>
      <c r="AB1224" s="1" t="s">
        <v>45</v>
      </c>
      <c r="AC1224" s="1">
        <v>4.82023068E8</v>
      </c>
      <c r="AD1224" s="1">
        <v>3.8775243E7</v>
      </c>
      <c r="AE1224" s="1" t="s">
        <v>209</v>
      </c>
      <c r="AF1224" s="1">
        <v>9000.0</v>
      </c>
      <c r="AG1224" s="2">
        <v>41548.0</v>
      </c>
      <c r="AH1224" s="1">
        <v>7500.0</v>
      </c>
      <c r="AI1224" s="1" t="s">
        <v>40</v>
      </c>
      <c r="AJ1224" s="1">
        <v>2.01407E7</v>
      </c>
      <c r="AK1224" s="1" t="s">
        <v>2677</v>
      </c>
      <c r="AL1224" s="1">
        <v>10.0</v>
      </c>
      <c r="AM1224" s="1">
        <v>2010.0</v>
      </c>
      <c r="AN1224" s="1">
        <v>2014.0</v>
      </c>
      <c r="AO1224" s="1" t="s">
        <v>1410</v>
      </c>
    </row>
    <row r="1225">
      <c r="A1225" s="5">
        <v>1.0</v>
      </c>
      <c r="B1225" s="1">
        <f t="shared" si="1"/>
        <v>1225</v>
      </c>
      <c r="C1225" s="1" t="s">
        <v>2686</v>
      </c>
      <c r="D1225" s="1" t="s">
        <v>2686</v>
      </c>
      <c r="E1225" s="1" t="s">
        <v>159</v>
      </c>
      <c r="G1225" s="1">
        <v>867484.0</v>
      </c>
      <c r="H1225" s="2">
        <v>41183.0</v>
      </c>
      <c r="I1225" s="1" t="s">
        <v>2687</v>
      </c>
      <c r="K1225" s="1" t="s">
        <v>2687</v>
      </c>
      <c r="N1225" s="1" t="s">
        <v>40</v>
      </c>
      <c r="O1225" s="1">
        <v>7500.0</v>
      </c>
      <c r="P1225" s="1" t="s">
        <v>40</v>
      </c>
      <c r="Q1225" s="1" t="str">
        <f>IF(ISERROR(VLOOKUP(P1225,'unique fed agency names'!A:C,3,FALSE)),P1225,VLOOKUP(P1225,'unique fed agency names'!A:C,3,FALSE))
</f>
        <v>U.S. Department of Health and Human Services (DHHS)</v>
      </c>
      <c r="R1225" s="1">
        <v>3.8775243E7</v>
      </c>
      <c r="S1225" s="1" t="s">
        <v>209</v>
      </c>
      <c r="T1225" s="1" t="str">
        <f>IF(ISERROR(VLOOKUP(S1225,'unique org names'!A:C,3,FALSE)),S1225,VLOOKUP(S1225,'unique org names'!A:C,3,FALSE))
</f>
        <v>SOUTHEASTERN MICHIGAN HEALTH ASSOCIATION</v>
      </c>
      <c r="U1225" s="1" t="s">
        <v>210</v>
      </c>
      <c r="V1225" s="1" t="s">
        <v>211</v>
      </c>
      <c r="W1225" s="1" t="s">
        <v>44</v>
      </c>
      <c r="X1225" s="1" t="s">
        <v>45</v>
      </c>
      <c r="Y1225" s="1">
        <v>4.82023068E8</v>
      </c>
      <c r="AA1225" s="1" t="s">
        <v>46</v>
      </c>
      <c r="AB1225" s="1" t="s">
        <v>45</v>
      </c>
      <c r="AC1225" s="1">
        <v>4.82023068E8</v>
      </c>
      <c r="AD1225" s="1">
        <v>3.8775243E7</v>
      </c>
      <c r="AE1225" s="1" t="s">
        <v>209</v>
      </c>
      <c r="AF1225" s="1">
        <v>302484.0</v>
      </c>
      <c r="AG1225" s="2">
        <v>41183.0</v>
      </c>
      <c r="AH1225" s="1">
        <v>7500.0</v>
      </c>
      <c r="AI1225" s="1" t="s">
        <v>40</v>
      </c>
      <c r="AJ1225" s="1">
        <v>2.0130194E7</v>
      </c>
      <c r="AK1225" s="1" t="s">
        <v>2688</v>
      </c>
      <c r="AL1225" s="1">
        <v>10.0</v>
      </c>
      <c r="AM1225" s="1">
        <v>2011.0</v>
      </c>
      <c r="AN1225" s="1">
        <v>2013.0</v>
      </c>
      <c r="AO1225" s="1" t="s">
        <v>162</v>
      </c>
    </row>
    <row r="1226">
      <c r="A1226" s="5">
        <v>1.0</v>
      </c>
      <c r="B1226" s="1">
        <f t="shared" si="1"/>
        <v>1226</v>
      </c>
      <c r="C1226" s="1" t="s">
        <v>2686</v>
      </c>
      <c r="D1226" s="1" t="s">
        <v>2686</v>
      </c>
      <c r="E1226" s="1" t="s">
        <v>159</v>
      </c>
      <c r="G1226" s="1">
        <v>867484.0</v>
      </c>
      <c r="H1226" s="2">
        <v>41548.0</v>
      </c>
      <c r="I1226" s="1" t="s">
        <v>2687</v>
      </c>
      <c r="K1226" s="1" t="s">
        <v>2687</v>
      </c>
      <c r="N1226" s="1" t="s">
        <v>40</v>
      </c>
      <c r="O1226" s="1">
        <v>7500.0</v>
      </c>
      <c r="P1226" s="1" t="s">
        <v>40</v>
      </c>
      <c r="Q1226" s="1" t="str">
        <f>IF(ISERROR(VLOOKUP(P1226,'unique fed agency names'!A:C,3,FALSE)),P1226,VLOOKUP(P1226,'unique fed agency names'!A:C,3,FALSE))
</f>
        <v>U.S. Department of Health and Human Services (DHHS)</v>
      </c>
      <c r="R1226" s="1">
        <v>3.8775243E7</v>
      </c>
      <c r="S1226" s="1" t="s">
        <v>209</v>
      </c>
      <c r="T1226" s="1" t="str">
        <f>IF(ISERROR(VLOOKUP(S1226,'unique org names'!A:C,3,FALSE)),S1226,VLOOKUP(S1226,'unique org names'!A:C,3,FALSE))
</f>
        <v>SOUTHEASTERN MICHIGAN HEALTH ASSOCIATION</v>
      </c>
      <c r="U1226" s="1" t="s">
        <v>210</v>
      </c>
      <c r="V1226" s="1" t="s">
        <v>211</v>
      </c>
      <c r="W1226" s="1" t="s">
        <v>44</v>
      </c>
      <c r="X1226" s="1" t="s">
        <v>45</v>
      </c>
      <c r="Y1226" s="1">
        <v>4.82023068E8</v>
      </c>
      <c r="AA1226" s="1" t="s">
        <v>46</v>
      </c>
      <c r="AB1226" s="1" t="s">
        <v>45</v>
      </c>
      <c r="AC1226" s="1">
        <v>4.82023068E8</v>
      </c>
      <c r="AD1226" s="1">
        <v>3.8775243E7</v>
      </c>
      <c r="AE1226" s="1" t="s">
        <v>209</v>
      </c>
      <c r="AF1226" s="1">
        <v>75000.0</v>
      </c>
      <c r="AG1226" s="2">
        <v>41548.0</v>
      </c>
      <c r="AH1226" s="1">
        <v>7500.0</v>
      </c>
      <c r="AI1226" s="1" t="s">
        <v>40</v>
      </c>
      <c r="AJ1226" s="1">
        <v>2.0140705E7</v>
      </c>
      <c r="AK1226" s="1" t="s">
        <v>2688</v>
      </c>
      <c r="AL1226" s="1">
        <v>10.0</v>
      </c>
      <c r="AM1226" s="1">
        <v>2011.0</v>
      </c>
      <c r="AN1226" s="1">
        <v>2014.0</v>
      </c>
      <c r="AO1226" s="1" t="s">
        <v>162</v>
      </c>
    </row>
    <row r="1227">
      <c r="A1227" s="5">
        <v>1.0</v>
      </c>
      <c r="B1227" s="1">
        <f t="shared" si="1"/>
        <v>1227</v>
      </c>
      <c r="C1227" s="1" t="s">
        <v>2689</v>
      </c>
      <c r="D1227" s="1" t="s">
        <v>2689</v>
      </c>
      <c r="E1227" s="1" t="s">
        <v>224</v>
      </c>
      <c r="G1227" s="1">
        <v>1118336.0</v>
      </c>
      <c r="H1227" s="2">
        <v>41368.0</v>
      </c>
      <c r="I1227" s="1" t="s">
        <v>2690</v>
      </c>
      <c r="K1227" s="1" t="s">
        <v>2690</v>
      </c>
      <c r="N1227" s="1" t="s">
        <v>151</v>
      </c>
      <c r="O1227" s="1">
        <v>6900.0</v>
      </c>
      <c r="P1227" s="1" t="s">
        <v>151</v>
      </c>
      <c r="Q1227" s="1" t="str">
        <f>IF(ISERROR(VLOOKUP(P1227,'unique fed agency names'!A:C,3,FALSE)),P1227,VLOOKUP(P1227,'unique fed agency names'!A:C,3,FALSE))
</f>
        <v>U.S. Department of Transportation (DOT)</v>
      </c>
      <c r="R1227" s="1">
        <v>1.1855476E8</v>
      </c>
      <c r="S1227" s="1" t="s">
        <v>73</v>
      </c>
      <c r="T1227" s="1" t="str">
        <f>IF(ISERROR(VLOOKUP(S1227,'unique org names'!A:C,3,FALSE)),S1227,VLOOKUP(S1227,'unique org names'!A:C,3,FALSE))
</f>
        <v>City Of Detroit</v>
      </c>
      <c r="U1227" s="1" t="s">
        <v>226</v>
      </c>
      <c r="V1227" s="1" t="s">
        <v>227</v>
      </c>
      <c r="W1227" s="1" t="s">
        <v>44</v>
      </c>
      <c r="X1227" s="1" t="s">
        <v>45</v>
      </c>
      <c r="Y1227" s="1">
        <v>4.82262886E8</v>
      </c>
      <c r="AA1227" s="1" t="s">
        <v>46</v>
      </c>
      <c r="AB1227" s="1" t="s">
        <v>45</v>
      </c>
      <c r="AC1227" s="1">
        <v>4.82262886E8</v>
      </c>
      <c r="AD1227" s="1">
        <v>6530661.0</v>
      </c>
      <c r="AE1227" s="1" t="s">
        <v>76</v>
      </c>
      <c r="AF1227" s="1">
        <v>1118336.03</v>
      </c>
      <c r="AG1227" s="2">
        <v>41368.0</v>
      </c>
      <c r="AH1227" s="1">
        <v>6900.0</v>
      </c>
      <c r="AI1227" s="1" t="s">
        <v>151</v>
      </c>
      <c r="AJ1227" s="1">
        <v>1.0</v>
      </c>
      <c r="AK1227" s="1" t="s">
        <v>2691</v>
      </c>
      <c r="AL1227" s="1">
        <v>10.0</v>
      </c>
      <c r="AM1227" s="1">
        <v>2014.0</v>
      </c>
      <c r="AN1227" s="1">
        <v>2013.0</v>
      </c>
      <c r="AO1227" s="1" t="s">
        <v>229</v>
      </c>
    </row>
    <row r="1228">
      <c r="A1228" s="5">
        <v>1.0</v>
      </c>
      <c r="B1228" s="1">
        <f t="shared" si="1"/>
        <v>1228</v>
      </c>
      <c r="C1228" s="1" t="s">
        <v>2681</v>
      </c>
      <c r="D1228" s="1" t="s">
        <v>2681</v>
      </c>
      <c r="E1228" s="1" t="s">
        <v>159</v>
      </c>
      <c r="G1228" s="1">
        <v>1.809661E7</v>
      </c>
      <c r="H1228" s="2">
        <v>41183.0</v>
      </c>
      <c r="I1228" s="1" t="s">
        <v>2682</v>
      </c>
      <c r="K1228" s="1" t="s">
        <v>2682</v>
      </c>
      <c r="N1228" s="1" t="s">
        <v>40</v>
      </c>
      <c r="O1228" s="1">
        <v>7500.0</v>
      </c>
      <c r="P1228" s="1" t="s">
        <v>40</v>
      </c>
      <c r="Q1228" s="1" t="str">
        <f>IF(ISERROR(VLOOKUP(P1228,'unique fed agency names'!A:C,3,FALSE)),P1228,VLOOKUP(P1228,'unique fed agency names'!A:C,3,FALSE))
</f>
        <v>U.S. Department of Health and Human Services (DHHS)</v>
      </c>
      <c r="R1228" s="1">
        <v>7.6377316E7</v>
      </c>
      <c r="S1228" s="1" t="s">
        <v>2302</v>
      </c>
      <c r="T1228" s="1" t="str">
        <f>IF(ISERROR(VLOOKUP(S1228,'unique org names'!A:C,3,FALSE)),S1228,VLOOKUP(S1228,'unique org names'!A:C,3,FALSE))
</f>
        <v>VHS CHILDREN'S HOSPITAL OF MICHIGAN, INC.</v>
      </c>
      <c r="V1228" s="1" t="s">
        <v>2303</v>
      </c>
      <c r="W1228" s="1" t="s">
        <v>44</v>
      </c>
      <c r="X1228" s="1" t="s">
        <v>45</v>
      </c>
      <c r="Y1228" s="1">
        <v>4.82012119E8</v>
      </c>
      <c r="AA1228" s="1" t="s">
        <v>46</v>
      </c>
      <c r="AB1228" s="1" t="s">
        <v>45</v>
      </c>
      <c r="AC1228" s="1">
        <v>4.82012119E8</v>
      </c>
      <c r="AD1228" s="1">
        <v>5.3866661E7</v>
      </c>
      <c r="AF1228" s="1">
        <v>16500.0</v>
      </c>
      <c r="AG1228" s="2">
        <v>41183.0</v>
      </c>
      <c r="AH1228" s="1">
        <v>7500.0</v>
      </c>
      <c r="AI1228" s="1" t="s">
        <v>40</v>
      </c>
      <c r="AJ1228" s="1">
        <v>2.0131017E7</v>
      </c>
      <c r="AK1228" s="1" t="s">
        <v>2683</v>
      </c>
      <c r="AL1228" s="1">
        <v>10.0</v>
      </c>
      <c r="AM1228" s="1">
        <v>2012.0</v>
      </c>
      <c r="AN1228" s="1">
        <v>2013.0</v>
      </c>
      <c r="AO1228" s="1" t="s">
        <v>2684</v>
      </c>
    </row>
    <row r="1229">
      <c r="A1229" s="5">
        <v>1.0</v>
      </c>
      <c r="B1229" s="1">
        <f t="shared" si="1"/>
        <v>1229</v>
      </c>
      <c r="C1229" s="1" t="s">
        <v>2692</v>
      </c>
      <c r="D1229" s="1" t="s">
        <v>2692</v>
      </c>
      <c r="E1229" s="1" t="s">
        <v>389</v>
      </c>
      <c r="G1229" s="1">
        <v>2.4080564E7</v>
      </c>
      <c r="H1229" s="2">
        <v>41456.0</v>
      </c>
      <c r="I1229" s="1" t="s">
        <v>390</v>
      </c>
      <c r="K1229" s="1" t="s">
        <v>390</v>
      </c>
      <c r="N1229" s="1" t="s">
        <v>391</v>
      </c>
      <c r="O1229" s="1">
        <v>1600.0</v>
      </c>
      <c r="P1229" s="1" t="s">
        <v>391</v>
      </c>
      <c r="Q1229" s="1" t="str">
        <f>IF(ISERROR(VLOOKUP(P1229,'unique fed agency names'!A:C,3,FALSE)),P1229,VLOOKUP(P1229,'unique fed agency names'!A:C,3,FALSE))
</f>
        <v>U.S. Department of Labor (DOL)</v>
      </c>
      <c r="R1229" s="1">
        <v>1.4193515E8</v>
      </c>
      <c r="S1229" s="1" t="s">
        <v>877</v>
      </c>
      <c r="T1229" s="1" t="str">
        <f>IF(ISERROR(VLOOKUP(S1229,'unique org names'!A:C,3,FALSE)),S1229,VLOOKUP(S1229,'unique org names'!A:C,3,FALSE))
</f>
        <v>CENTRAL STATES SER, JOBS FOR PROGRESS, INC.</v>
      </c>
      <c r="V1229" s="1" t="s">
        <v>878</v>
      </c>
      <c r="W1229" s="1" t="s">
        <v>44</v>
      </c>
      <c r="X1229" s="1" t="s">
        <v>45</v>
      </c>
      <c r="Y1229" s="1">
        <v>4.82102038E8</v>
      </c>
      <c r="AA1229" s="1" t="s">
        <v>2693</v>
      </c>
      <c r="AB1229" s="1" t="s">
        <v>880</v>
      </c>
      <c r="AC1229" s="1">
        <v>6.06233738E8</v>
      </c>
      <c r="AF1229" s="1">
        <v>114000.0</v>
      </c>
      <c r="AG1229" s="2">
        <v>41456.0</v>
      </c>
      <c r="AH1229" s="1">
        <v>1600.0</v>
      </c>
      <c r="AI1229" s="1" t="s">
        <v>391</v>
      </c>
      <c r="AJ1229" s="1" t="s">
        <v>2694</v>
      </c>
      <c r="AK1229" s="1" t="s">
        <v>2695</v>
      </c>
      <c r="AL1229" s="1">
        <v>10.0</v>
      </c>
      <c r="AM1229" s="1">
        <v>2014.0</v>
      </c>
      <c r="AN1229" s="1">
        <v>2013.0</v>
      </c>
      <c r="AO1229" s="1" t="s">
        <v>393</v>
      </c>
    </row>
    <row r="1230">
      <c r="A1230" s="5">
        <v>1.0</v>
      </c>
      <c r="B1230" s="1">
        <f t="shared" si="1"/>
        <v>1230</v>
      </c>
      <c r="C1230" s="1" t="s">
        <v>2696</v>
      </c>
      <c r="D1230" s="1" t="s">
        <v>2696</v>
      </c>
      <c r="E1230" s="1" t="s">
        <v>224</v>
      </c>
      <c r="G1230" s="1">
        <v>169021.0</v>
      </c>
      <c r="H1230" s="2">
        <v>41368.0</v>
      </c>
      <c r="I1230" s="1" t="s">
        <v>2690</v>
      </c>
      <c r="K1230" s="1" t="s">
        <v>2690</v>
      </c>
      <c r="N1230" s="1" t="s">
        <v>151</v>
      </c>
      <c r="O1230" s="1">
        <v>6900.0</v>
      </c>
      <c r="P1230" s="1" t="s">
        <v>151</v>
      </c>
      <c r="Q1230" s="1" t="str">
        <f>IF(ISERROR(VLOOKUP(P1230,'unique fed agency names'!A:C,3,FALSE)),P1230,VLOOKUP(P1230,'unique fed agency names'!A:C,3,FALSE))
</f>
        <v>U.S. Department of Transportation (DOT)</v>
      </c>
      <c r="R1230" s="1">
        <v>1.1855476E8</v>
      </c>
      <c r="S1230" s="1" t="s">
        <v>73</v>
      </c>
      <c r="T1230" s="1" t="str">
        <f>IF(ISERROR(VLOOKUP(S1230,'unique org names'!A:C,3,FALSE)),S1230,VLOOKUP(S1230,'unique org names'!A:C,3,FALSE))
</f>
        <v>City Of Detroit</v>
      </c>
      <c r="U1230" s="1" t="s">
        <v>226</v>
      </c>
      <c r="V1230" s="1" t="s">
        <v>227</v>
      </c>
      <c r="W1230" s="1" t="s">
        <v>44</v>
      </c>
      <c r="X1230" s="1" t="s">
        <v>45</v>
      </c>
      <c r="Y1230" s="1">
        <v>4.82262886E8</v>
      </c>
      <c r="AA1230" s="1" t="s">
        <v>46</v>
      </c>
      <c r="AB1230" s="1" t="s">
        <v>45</v>
      </c>
      <c r="AC1230" s="1">
        <v>4.82262886E8</v>
      </c>
      <c r="AD1230" s="1">
        <v>6530661.0</v>
      </c>
      <c r="AE1230" s="1" t="s">
        <v>76</v>
      </c>
      <c r="AF1230" s="1">
        <v>169021.23</v>
      </c>
      <c r="AG1230" s="2">
        <v>41368.0</v>
      </c>
      <c r="AH1230" s="1">
        <v>6900.0</v>
      </c>
      <c r="AI1230" s="1" t="s">
        <v>151</v>
      </c>
      <c r="AJ1230" s="1">
        <v>1.0</v>
      </c>
      <c r="AK1230" s="1" t="s">
        <v>2691</v>
      </c>
      <c r="AL1230" s="1">
        <v>10.0</v>
      </c>
      <c r="AM1230" s="1">
        <v>2014.0</v>
      </c>
      <c r="AN1230" s="1">
        <v>2013.0</v>
      </c>
      <c r="AO1230" s="1" t="s">
        <v>229</v>
      </c>
    </row>
    <row r="1231">
      <c r="A1231" s="5">
        <v>1.0</v>
      </c>
      <c r="B1231" s="1">
        <f t="shared" si="1"/>
        <v>1231</v>
      </c>
      <c r="C1231" s="1" t="s">
        <v>2697</v>
      </c>
      <c r="D1231" s="1" t="s">
        <v>2697</v>
      </c>
      <c r="E1231" s="1" t="s">
        <v>85</v>
      </c>
      <c r="G1231" s="1">
        <v>1984000.0</v>
      </c>
      <c r="H1231" s="2">
        <v>41183.0</v>
      </c>
      <c r="I1231" s="1" t="s">
        <v>2605</v>
      </c>
      <c r="K1231" s="1" t="s">
        <v>2605</v>
      </c>
      <c r="N1231" s="1" t="s">
        <v>40</v>
      </c>
      <c r="O1231" s="1">
        <v>7500.0</v>
      </c>
      <c r="P1231" s="1" t="s">
        <v>40</v>
      </c>
      <c r="Q1231" s="1" t="str">
        <f>IF(ISERROR(VLOOKUP(P1231,'unique fed agency names'!A:C,3,FALSE)),P1231,VLOOKUP(P1231,'unique fed agency names'!A:C,3,FALSE))
</f>
        <v>U.S. Department of Health and Human Services (DHHS)</v>
      </c>
      <c r="R1231" s="1">
        <v>7.914812E7</v>
      </c>
      <c r="S1231" s="1" t="s">
        <v>1944</v>
      </c>
      <c r="T1231" s="1" t="str">
        <f>IF(ISERROR(VLOOKUP(S1231,'unique org names'!A:C,3,FALSE)),S1231,VLOOKUP(S1231,'unique org names'!A:C,3,FALSE))
</f>
        <v>DETROIT WAYNE MENTAL HEALTH AUTHORITY</v>
      </c>
      <c r="V1231" s="1" t="s">
        <v>1945</v>
      </c>
      <c r="W1231" s="1" t="s">
        <v>44</v>
      </c>
      <c r="X1231" s="1" t="s">
        <v>45</v>
      </c>
      <c r="Y1231" s="1">
        <v>4.820125E8</v>
      </c>
      <c r="AA1231" s="1" t="s">
        <v>46</v>
      </c>
      <c r="AB1231" s="1" t="s">
        <v>45</v>
      </c>
      <c r="AC1231" s="1">
        <v>4.820125E8</v>
      </c>
      <c r="AD1231" s="1">
        <v>7.3134884E7</v>
      </c>
      <c r="AE1231" s="1" t="s">
        <v>1796</v>
      </c>
      <c r="AF1231" s="1">
        <v>42702.84</v>
      </c>
      <c r="AG1231" s="2">
        <v>41183.0</v>
      </c>
      <c r="AH1231" s="1">
        <v>7500.0</v>
      </c>
      <c r="AI1231" s="1" t="s">
        <v>40</v>
      </c>
      <c r="AJ1231" s="1">
        <v>2.0130304E7</v>
      </c>
      <c r="AK1231" s="1" t="s">
        <v>2698</v>
      </c>
      <c r="AL1231" s="1">
        <v>10.0</v>
      </c>
      <c r="AM1231" s="1">
        <v>2011.0</v>
      </c>
      <c r="AN1231" s="1">
        <v>2013.0</v>
      </c>
      <c r="AO1231" s="1" t="s">
        <v>2699</v>
      </c>
    </row>
    <row r="1232">
      <c r="A1232" s="5">
        <v>1.0</v>
      </c>
      <c r="B1232" s="1">
        <f t="shared" si="1"/>
        <v>1232</v>
      </c>
      <c r="C1232" s="1" t="s">
        <v>2697</v>
      </c>
      <c r="D1232" s="1" t="s">
        <v>2697</v>
      </c>
      <c r="E1232" s="1" t="s">
        <v>85</v>
      </c>
      <c r="G1232" s="1">
        <v>1984000.0</v>
      </c>
      <c r="H1232" s="2">
        <v>41183.0</v>
      </c>
      <c r="I1232" s="1" t="s">
        <v>2605</v>
      </c>
      <c r="K1232" s="1" t="s">
        <v>2605</v>
      </c>
      <c r="N1232" s="1" t="s">
        <v>40</v>
      </c>
      <c r="O1232" s="1">
        <v>7500.0</v>
      </c>
      <c r="P1232" s="1" t="s">
        <v>40</v>
      </c>
      <c r="Q1232" s="1" t="str">
        <f>IF(ISERROR(VLOOKUP(P1232,'unique fed agency names'!A:C,3,FALSE)),P1232,VLOOKUP(P1232,'unique fed agency names'!A:C,3,FALSE))
</f>
        <v>U.S. Department of Health and Human Services (DHHS)</v>
      </c>
      <c r="R1232" s="1">
        <v>7.914812E7</v>
      </c>
      <c r="S1232" s="1" t="s">
        <v>1944</v>
      </c>
      <c r="T1232" s="1" t="str">
        <f>IF(ISERROR(VLOOKUP(S1232,'unique org names'!A:C,3,FALSE)),S1232,VLOOKUP(S1232,'unique org names'!A:C,3,FALSE))
</f>
        <v>DETROIT WAYNE MENTAL HEALTH AUTHORITY</v>
      </c>
      <c r="U1232" s="1" t="s">
        <v>2700</v>
      </c>
      <c r="V1232" s="1" t="s">
        <v>1945</v>
      </c>
      <c r="W1232" s="1" t="s">
        <v>44</v>
      </c>
      <c r="X1232" s="1" t="s">
        <v>45</v>
      </c>
      <c r="Y1232" s="1">
        <v>4.820125E8</v>
      </c>
      <c r="AA1232" s="1" t="s">
        <v>46</v>
      </c>
      <c r="AB1232" s="1" t="s">
        <v>45</v>
      </c>
      <c r="AC1232" s="1">
        <v>4.820125E8</v>
      </c>
      <c r="AD1232" s="1">
        <v>1.18714237E8</v>
      </c>
      <c r="AE1232" s="1" t="s">
        <v>2701</v>
      </c>
      <c r="AF1232" s="1">
        <v>28853.0</v>
      </c>
      <c r="AG1232" s="2">
        <v>41183.0</v>
      </c>
      <c r="AH1232" s="1">
        <v>7500.0</v>
      </c>
      <c r="AI1232" s="1" t="s">
        <v>40</v>
      </c>
      <c r="AJ1232" s="1">
        <v>2.0130307E7</v>
      </c>
      <c r="AK1232" s="1" t="s">
        <v>2698</v>
      </c>
      <c r="AL1232" s="1">
        <v>10.0</v>
      </c>
      <c r="AM1232" s="1">
        <v>2011.0</v>
      </c>
      <c r="AN1232" s="1">
        <v>2013.0</v>
      </c>
      <c r="AO1232" s="1" t="s">
        <v>2699</v>
      </c>
    </row>
    <row r="1233">
      <c r="A1233" s="5">
        <v>1.0</v>
      </c>
      <c r="B1233" s="1">
        <f t="shared" si="1"/>
        <v>1233</v>
      </c>
      <c r="C1233" s="1" t="s">
        <v>2702</v>
      </c>
      <c r="D1233" s="1" t="s">
        <v>2702</v>
      </c>
      <c r="E1233" s="1" t="s">
        <v>85</v>
      </c>
      <c r="G1233" s="1">
        <v>1863000.0</v>
      </c>
      <c r="H1233" s="2">
        <v>41548.0</v>
      </c>
      <c r="I1233" s="1" t="s">
        <v>2605</v>
      </c>
      <c r="K1233" s="1" t="s">
        <v>2605</v>
      </c>
      <c r="N1233" s="1" t="s">
        <v>40</v>
      </c>
      <c r="O1233" s="1">
        <v>7500.0</v>
      </c>
      <c r="P1233" s="1" t="s">
        <v>40</v>
      </c>
      <c r="Q1233" s="1" t="str">
        <f>IF(ISERROR(VLOOKUP(P1233,'unique fed agency names'!A:C,3,FALSE)),P1233,VLOOKUP(P1233,'unique fed agency names'!A:C,3,FALSE))
</f>
        <v>U.S. Department of Health and Human Services (DHHS)</v>
      </c>
      <c r="R1233" s="1">
        <v>7.6385699E7</v>
      </c>
      <c r="S1233" s="1" t="s">
        <v>106</v>
      </c>
      <c r="T1233" s="1" t="str">
        <f>IF(ISERROR(VLOOKUP(S1233,'unique org names'!A:C,3,FALSE)),S1233,VLOOKUP(S1233,'unique org names'!A:C,3,FALSE))
</f>
        <v>Southwest Counseling Solutions, Inc</v>
      </c>
      <c r="U1233" s="1" t="s">
        <v>1005</v>
      </c>
      <c r="V1233" s="1" t="s">
        <v>1006</v>
      </c>
      <c r="W1233" s="1" t="s">
        <v>44</v>
      </c>
      <c r="X1233" s="1" t="s">
        <v>45</v>
      </c>
      <c r="Y1233" s="1">
        <v>4.82092022E8</v>
      </c>
      <c r="AA1233" s="1" t="s">
        <v>46</v>
      </c>
      <c r="AB1233" s="1" t="s">
        <v>45</v>
      </c>
      <c r="AC1233" s="1">
        <v>4.82092022E8</v>
      </c>
      <c r="AD1233" s="1">
        <v>7.6385699E7</v>
      </c>
      <c r="AE1233" s="1" t="s">
        <v>106</v>
      </c>
      <c r="AF1233" s="1">
        <v>46750.0</v>
      </c>
      <c r="AG1233" s="2">
        <v>41548.0</v>
      </c>
      <c r="AH1233" s="1">
        <v>7500.0</v>
      </c>
      <c r="AI1233" s="1" t="s">
        <v>40</v>
      </c>
      <c r="AJ1233" s="1">
        <v>2.0141749E7</v>
      </c>
      <c r="AK1233" s="1" t="s">
        <v>2698</v>
      </c>
      <c r="AL1233" s="1">
        <v>10.0</v>
      </c>
      <c r="AM1233" s="1">
        <v>2012.0</v>
      </c>
      <c r="AN1233" s="1">
        <v>2014.0</v>
      </c>
      <c r="AO1233" s="1" t="s">
        <v>2699</v>
      </c>
    </row>
    <row r="1234">
      <c r="A1234" s="5">
        <v>1.0</v>
      </c>
      <c r="B1234" s="1">
        <f t="shared" si="1"/>
        <v>1234</v>
      </c>
      <c r="C1234" s="1" t="s">
        <v>2702</v>
      </c>
      <c r="D1234" s="1" t="s">
        <v>2702</v>
      </c>
      <c r="E1234" s="1" t="s">
        <v>85</v>
      </c>
      <c r="G1234" s="1">
        <v>1863000.0</v>
      </c>
      <c r="H1234" s="2">
        <v>41548.0</v>
      </c>
      <c r="I1234" s="1" t="s">
        <v>2605</v>
      </c>
      <c r="K1234" s="1" t="s">
        <v>2605</v>
      </c>
      <c r="N1234" s="1" t="s">
        <v>40</v>
      </c>
      <c r="O1234" s="1">
        <v>7500.0</v>
      </c>
      <c r="P1234" s="1" t="s">
        <v>40</v>
      </c>
      <c r="Q1234" s="1" t="str">
        <f>IF(ISERROR(VLOOKUP(P1234,'unique fed agency names'!A:C,3,FALSE)),P1234,VLOOKUP(P1234,'unique fed agency names'!A:C,3,FALSE))
</f>
        <v>U.S. Department of Health and Human Services (DHHS)</v>
      </c>
      <c r="R1234" s="1">
        <v>7.914812E7</v>
      </c>
      <c r="S1234" s="1" t="s">
        <v>1944</v>
      </c>
      <c r="T1234" s="1" t="str">
        <f>IF(ISERROR(VLOOKUP(S1234,'unique org names'!A:C,3,FALSE)),S1234,VLOOKUP(S1234,'unique org names'!A:C,3,FALSE))
</f>
        <v>DETROIT WAYNE MENTAL HEALTH AUTHORITY</v>
      </c>
      <c r="V1234" s="1" t="s">
        <v>1945</v>
      </c>
      <c r="W1234" s="1" t="s">
        <v>44</v>
      </c>
      <c r="X1234" s="1" t="s">
        <v>45</v>
      </c>
      <c r="Y1234" s="1">
        <v>4.820125E8</v>
      </c>
      <c r="AA1234" s="1" t="s">
        <v>46</v>
      </c>
      <c r="AB1234" s="1" t="s">
        <v>45</v>
      </c>
      <c r="AC1234" s="1">
        <v>4.8226348E8</v>
      </c>
      <c r="AF1234" s="1">
        <v>43477.0</v>
      </c>
      <c r="AG1234" s="2">
        <v>41548.0</v>
      </c>
      <c r="AH1234" s="1">
        <v>7500.0</v>
      </c>
      <c r="AI1234" s="1" t="s">
        <v>40</v>
      </c>
      <c r="AJ1234" s="1">
        <v>2.0141736E7</v>
      </c>
      <c r="AK1234" s="1" t="s">
        <v>2698</v>
      </c>
      <c r="AL1234" s="1">
        <v>10.0</v>
      </c>
      <c r="AM1234" s="1">
        <v>2012.0</v>
      </c>
      <c r="AN1234" s="1">
        <v>2014.0</v>
      </c>
      <c r="AO1234" s="1" t="s">
        <v>2699</v>
      </c>
    </row>
    <row r="1235">
      <c r="A1235" s="5">
        <v>1.0</v>
      </c>
      <c r="B1235" s="1">
        <f t="shared" si="1"/>
        <v>1235</v>
      </c>
      <c r="C1235" s="1" t="s">
        <v>2671</v>
      </c>
      <c r="D1235" s="1" t="s">
        <v>2671</v>
      </c>
      <c r="E1235" s="1" t="s">
        <v>63</v>
      </c>
      <c r="G1235" s="1">
        <v>900000.0</v>
      </c>
      <c r="H1235" s="2">
        <v>41913.0</v>
      </c>
      <c r="I1235" s="1" t="s">
        <v>2672</v>
      </c>
      <c r="K1235" s="1" t="s">
        <v>2672</v>
      </c>
      <c r="N1235" s="1" t="s">
        <v>40</v>
      </c>
      <c r="O1235" s="1">
        <v>7500.0</v>
      </c>
      <c r="P1235" s="1" t="s">
        <v>40</v>
      </c>
      <c r="Q1235" s="1" t="str">
        <f>IF(ISERROR(VLOOKUP(P1235,'unique fed agency names'!A:C,3,FALSE)),P1235,VLOOKUP(P1235,'unique fed agency names'!A:C,3,FALSE))
</f>
        <v>U.S. Department of Health and Human Services (DHHS)</v>
      </c>
      <c r="R1235" s="1">
        <v>1962224.0</v>
      </c>
      <c r="S1235" s="1" t="s">
        <v>52</v>
      </c>
      <c r="T1235" s="1" t="str">
        <f>IF(ISERROR(VLOOKUP(S1235,'unique org names'!A:C,3,FALSE)),S1235,VLOOKUP(S1235,'unique org names'!A:C,3,FALSE))
</f>
        <v>WAYNE STATE UNIVERSITY</v>
      </c>
      <c r="U1235" s="1" t="s">
        <v>1566</v>
      </c>
      <c r="V1235" s="1" t="s">
        <v>1885</v>
      </c>
      <c r="W1235" s="1" t="s">
        <v>44</v>
      </c>
      <c r="X1235" s="1" t="s">
        <v>45</v>
      </c>
      <c r="Y1235" s="1">
        <v>4.82021347E8</v>
      </c>
      <c r="AA1235" s="1" t="s">
        <v>46</v>
      </c>
      <c r="AB1235" s="1" t="s">
        <v>45</v>
      </c>
      <c r="AC1235" s="1">
        <v>4.82023692E8</v>
      </c>
      <c r="AD1235" s="1">
        <v>1962224.0</v>
      </c>
      <c r="AE1235" s="1" t="s">
        <v>52</v>
      </c>
      <c r="AF1235" s="1">
        <v>4000.0</v>
      </c>
      <c r="AG1235" s="2">
        <v>41913.0</v>
      </c>
      <c r="AH1235" s="1">
        <v>7500.0</v>
      </c>
      <c r="AI1235" s="1" t="s">
        <v>40</v>
      </c>
      <c r="AJ1235" s="1">
        <v>2.0141505E7</v>
      </c>
      <c r="AK1235" s="1" t="s">
        <v>2673</v>
      </c>
      <c r="AL1235" s="1">
        <v>10.0</v>
      </c>
      <c r="AM1235" s="1">
        <v>2012.0</v>
      </c>
      <c r="AN1235" s="1">
        <v>2015.0</v>
      </c>
      <c r="AO1235" s="1" t="s">
        <v>2674</v>
      </c>
    </row>
    <row r="1236">
      <c r="A1236" s="5">
        <v>1.0</v>
      </c>
      <c r="B1236" s="1">
        <f t="shared" si="1"/>
        <v>1236</v>
      </c>
      <c r="C1236" s="1" t="s">
        <v>2671</v>
      </c>
      <c r="D1236" s="1" t="s">
        <v>2671</v>
      </c>
      <c r="E1236" s="1" t="s">
        <v>63</v>
      </c>
      <c r="G1236" s="1">
        <v>900000.0</v>
      </c>
      <c r="H1236" s="2">
        <v>41548.0</v>
      </c>
      <c r="I1236" s="1" t="s">
        <v>2672</v>
      </c>
      <c r="K1236" s="1" t="s">
        <v>2672</v>
      </c>
      <c r="N1236" s="1" t="s">
        <v>40</v>
      </c>
      <c r="O1236" s="1">
        <v>7500.0</v>
      </c>
      <c r="P1236" s="1" t="s">
        <v>40</v>
      </c>
      <c r="Q1236" s="1" t="str">
        <f>IF(ISERROR(VLOOKUP(P1236,'unique fed agency names'!A:C,3,FALSE)),P1236,VLOOKUP(P1236,'unique fed agency names'!A:C,3,FALSE))
</f>
        <v>U.S. Department of Health and Human Services (DHHS)</v>
      </c>
      <c r="R1236" s="1">
        <v>3.8775243E7</v>
      </c>
      <c r="S1236" s="1" t="s">
        <v>209</v>
      </c>
      <c r="T1236" s="1" t="str">
        <f>IF(ISERROR(VLOOKUP(S1236,'unique org names'!A:C,3,FALSE)),S1236,VLOOKUP(S1236,'unique org names'!A:C,3,FALSE))
</f>
        <v>SOUTHEASTERN MICHIGAN HEALTH ASSOCIATION</v>
      </c>
      <c r="U1236" s="1" t="s">
        <v>210</v>
      </c>
      <c r="V1236" s="1" t="s">
        <v>211</v>
      </c>
      <c r="W1236" s="1" t="s">
        <v>44</v>
      </c>
      <c r="X1236" s="1" t="s">
        <v>45</v>
      </c>
      <c r="Y1236" s="1">
        <v>4.82023068E8</v>
      </c>
      <c r="AA1236" s="1" t="s">
        <v>46</v>
      </c>
      <c r="AB1236" s="1" t="s">
        <v>45</v>
      </c>
      <c r="AC1236" s="1">
        <v>4.82013096E8</v>
      </c>
      <c r="AD1236" s="1">
        <v>3.8775243E7</v>
      </c>
      <c r="AE1236" s="1" t="s">
        <v>209</v>
      </c>
      <c r="AF1236" s="1">
        <v>18462.0</v>
      </c>
      <c r="AG1236" s="2">
        <v>41548.0</v>
      </c>
      <c r="AH1236" s="1">
        <v>7500.0</v>
      </c>
      <c r="AI1236" s="1" t="s">
        <v>40</v>
      </c>
      <c r="AJ1236" s="1">
        <v>2.0140708E7</v>
      </c>
      <c r="AK1236" s="1" t="s">
        <v>2673</v>
      </c>
      <c r="AL1236" s="1">
        <v>10.0</v>
      </c>
      <c r="AM1236" s="1">
        <v>2012.0</v>
      </c>
      <c r="AN1236" s="1">
        <v>2014.0</v>
      </c>
      <c r="AO1236" s="1" t="s">
        <v>2674</v>
      </c>
    </row>
    <row r="1237">
      <c r="A1237" s="5">
        <v>1.0</v>
      </c>
      <c r="B1237" s="1">
        <f t="shared" si="1"/>
        <v>1237</v>
      </c>
      <c r="C1237" s="1" t="s">
        <v>2703</v>
      </c>
      <c r="D1237" s="1" t="s">
        <v>2703</v>
      </c>
      <c r="E1237" s="1" t="s">
        <v>389</v>
      </c>
      <c r="G1237" s="1">
        <v>2.449984E7</v>
      </c>
      <c r="H1237" s="2">
        <v>41821.0</v>
      </c>
      <c r="I1237" s="1" t="s">
        <v>390</v>
      </c>
      <c r="K1237" s="1" t="s">
        <v>390</v>
      </c>
      <c r="N1237" s="1" t="s">
        <v>391</v>
      </c>
      <c r="O1237" s="1">
        <v>1600.0</v>
      </c>
      <c r="P1237" s="1" t="s">
        <v>391</v>
      </c>
      <c r="Q1237" s="1" t="str">
        <f>IF(ISERROR(VLOOKUP(P1237,'unique fed agency names'!A:C,3,FALSE)),P1237,VLOOKUP(P1237,'unique fed agency names'!A:C,3,FALSE))
</f>
        <v>U.S. Department of Labor (DOL)</v>
      </c>
      <c r="R1237" s="1">
        <v>1.4193515E8</v>
      </c>
      <c r="S1237" s="1" t="s">
        <v>877</v>
      </c>
      <c r="T1237" s="1" t="str">
        <f>IF(ISERROR(VLOOKUP(S1237,'unique org names'!A:C,3,FALSE)),S1237,VLOOKUP(S1237,'unique org names'!A:C,3,FALSE))
</f>
        <v>CENTRAL STATES SER, JOBS FOR PROGRESS, INC.</v>
      </c>
      <c r="V1237" s="1" t="s">
        <v>878</v>
      </c>
      <c r="W1237" s="1" t="s">
        <v>44</v>
      </c>
      <c r="X1237" s="1" t="s">
        <v>45</v>
      </c>
      <c r="Y1237" s="1">
        <v>4.82102038E8</v>
      </c>
      <c r="AA1237" s="1" t="s">
        <v>2693</v>
      </c>
      <c r="AB1237" s="1" t="s">
        <v>880</v>
      </c>
      <c r="AC1237" s="1">
        <v>6.06233738E8</v>
      </c>
      <c r="AF1237" s="1">
        <v>114000.0</v>
      </c>
      <c r="AG1237" s="2">
        <v>41821.0</v>
      </c>
      <c r="AH1237" s="1">
        <v>1600.0</v>
      </c>
      <c r="AI1237" s="1" t="s">
        <v>391</v>
      </c>
      <c r="AJ1237" s="1" t="s">
        <v>2704</v>
      </c>
      <c r="AK1237" s="1" t="s">
        <v>2695</v>
      </c>
      <c r="AL1237" s="1">
        <v>10.0</v>
      </c>
      <c r="AM1237" s="1">
        <v>2014.0</v>
      </c>
      <c r="AN1237" s="1">
        <v>2014.0</v>
      </c>
      <c r="AO1237" s="1" t="s">
        <v>393</v>
      </c>
    </row>
    <row r="1238">
      <c r="A1238" s="5">
        <v>1.0</v>
      </c>
      <c r="B1238" s="1">
        <f t="shared" si="1"/>
        <v>1238</v>
      </c>
      <c r="C1238" s="1" t="s">
        <v>2705</v>
      </c>
      <c r="D1238" s="1" t="s">
        <v>2705</v>
      </c>
      <c r="E1238" s="1" t="s">
        <v>159</v>
      </c>
      <c r="G1238" s="1">
        <v>5682507.0</v>
      </c>
      <c r="H1238" s="2">
        <v>41548.0</v>
      </c>
      <c r="I1238" s="1" t="s">
        <v>2706</v>
      </c>
      <c r="K1238" s="1" t="s">
        <v>2706</v>
      </c>
      <c r="N1238" s="1" t="s">
        <v>40</v>
      </c>
      <c r="O1238" s="1">
        <v>7500.0</v>
      </c>
      <c r="P1238" s="1" t="s">
        <v>40</v>
      </c>
      <c r="Q1238" s="1" t="str">
        <f>IF(ISERROR(VLOOKUP(P1238,'unique fed agency names'!A:C,3,FALSE)),P1238,VLOOKUP(P1238,'unique fed agency names'!A:C,3,FALSE))
</f>
        <v>U.S. Department of Health and Human Services (DHHS)</v>
      </c>
      <c r="R1238" s="1">
        <v>8.09204196E8</v>
      </c>
      <c r="S1238" s="1" t="s">
        <v>175</v>
      </c>
      <c r="T1238" s="1" t="str">
        <f>IF(ISERROR(VLOOKUP(S1238,'unique org names'!A:C,3,FALSE)),S1238,VLOOKUP(S1238,'unique org names'!A:C,3,FALSE))
</f>
        <v>DETROIT WAYNE COUNTY HEALTH AUTHORITY</v>
      </c>
      <c r="U1238" s="1" t="s">
        <v>2707</v>
      </c>
      <c r="V1238" s="1" t="s">
        <v>2078</v>
      </c>
      <c r="W1238" s="1" t="s">
        <v>44</v>
      </c>
      <c r="X1238" s="1" t="s">
        <v>45</v>
      </c>
      <c r="Y1238" s="1">
        <v>4.82023026E8</v>
      </c>
      <c r="AA1238" s="1" t="s">
        <v>46</v>
      </c>
      <c r="AB1238" s="1" t="s">
        <v>45</v>
      </c>
      <c r="AC1238" s="1">
        <v>4.82023025E8</v>
      </c>
      <c r="AD1238" s="1">
        <v>8.09204196E8</v>
      </c>
      <c r="AE1238" s="1" t="s">
        <v>175</v>
      </c>
      <c r="AF1238" s="1">
        <v>10750.0</v>
      </c>
      <c r="AG1238" s="2">
        <v>41548.0</v>
      </c>
      <c r="AH1238" s="1">
        <v>7500.0</v>
      </c>
      <c r="AI1238" s="1" t="s">
        <v>40</v>
      </c>
      <c r="AJ1238" s="1">
        <v>2.014029E7</v>
      </c>
      <c r="AK1238" s="1" t="s">
        <v>2708</v>
      </c>
      <c r="AL1238" s="1">
        <v>10.0</v>
      </c>
      <c r="AM1238" s="1">
        <v>2011.0</v>
      </c>
      <c r="AN1238" s="1">
        <v>2014.0</v>
      </c>
      <c r="AO1238" s="1" t="s">
        <v>2654</v>
      </c>
    </row>
    <row r="1239">
      <c r="A1239" s="5">
        <v>1.0</v>
      </c>
      <c r="B1239" s="1">
        <f t="shared" si="1"/>
        <v>1239</v>
      </c>
      <c r="C1239" s="1" t="s">
        <v>2705</v>
      </c>
      <c r="D1239" s="1" t="s">
        <v>2705</v>
      </c>
      <c r="E1239" s="1" t="s">
        <v>159</v>
      </c>
      <c r="G1239" s="1">
        <v>5682507.0</v>
      </c>
      <c r="H1239" s="2">
        <v>41548.0</v>
      </c>
      <c r="I1239" s="1" t="s">
        <v>2706</v>
      </c>
      <c r="K1239" s="1" t="s">
        <v>2706</v>
      </c>
      <c r="N1239" s="1" t="s">
        <v>40</v>
      </c>
      <c r="O1239" s="1">
        <v>7500.0</v>
      </c>
      <c r="P1239" s="1" t="s">
        <v>40</v>
      </c>
      <c r="Q1239" s="1" t="str">
        <f>IF(ISERROR(VLOOKUP(P1239,'unique fed agency names'!A:C,3,FALSE)),P1239,VLOOKUP(P1239,'unique fed agency names'!A:C,3,FALSE))
</f>
        <v>U.S. Department of Health and Human Services (DHHS)</v>
      </c>
      <c r="R1239" s="1">
        <v>3.8775243E7</v>
      </c>
      <c r="S1239" s="1" t="s">
        <v>209</v>
      </c>
      <c r="T1239" s="1" t="str">
        <f>IF(ISERROR(VLOOKUP(S1239,'unique org names'!A:C,3,FALSE)),S1239,VLOOKUP(S1239,'unique org names'!A:C,3,FALSE))
</f>
        <v>SOUTHEASTERN MICHIGAN HEALTH ASSOCIATION</v>
      </c>
      <c r="U1239" s="1" t="s">
        <v>210</v>
      </c>
      <c r="V1239" s="1" t="s">
        <v>211</v>
      </c>
      <c r="W1239" s="1" t="s">
        <v>44</v>
      </c>
      <c r="X1239" s="1" t="s">
        <v>45</v>
      </c>
      <c r="Y1239" s="1">
        <v>4.82023068E8</v>
      </c>
      <c r="AA1239" s="1" t="s">
        <v>46</v>
      </c>
      <c r="AB1239" s="1" t="s">
        <v>45</v>
      </c>
      <c r="AC1239" s="1">
        <v>4.82013096E8</v>
      </c>
      <c r="AD1239" s="1">
        <v>3.8775243E7</v>
      </c>
      <c r="AE1239" s="1" t="s">
        <v>209</v>
      </c>
      <c r="AF1239" s="1">
        <v>0.0</v>
      </c>
      <c r="AG1239" s="2">
        <v>41548.0</v>
      </c>
      <c r="AH1239" s="1">
        <v>7500.0</v>
      </c>
      <c r="AI1239" s="1" t="s">
        <v>40</v>
      </c>
      <c r="AJ1239" s="1">
        <v>2.0140716E7</v>
      </c>
      <c r="AK1239" s="1" t="s">
        <v>2708</v>
      </c>
      <c r="AL1239" s="1">
        <v>10.0</v>
      </c>
      <c r="AM1239" s="1">
        <v>2011.0</v>
      </c>
      <c r="AN1239" s="1">
        <v>2014.0</v>
      </c>
      <c r="AO1239" s="1" t="s">
        <v>2654</v>
      </c>
    </row>
    <row r="1240">
      <c r="A1240" s="5">
        <v>1.0</v>
      </c>
      <c r="B1240" s="1">
        <f t="shared" si="1"/>
        <v>1240</v>
      </c>
      <c r="C1240" s="1" t="s">
        <v>2705</v>
      </c>
      <c r="D1240" s="1" t="s">
        <v>2705</v>
      </c>
      <c r="E1240" s="1" t="s">
        <v>159</v>
      </c>
      <c r="G1240" s="1">
        <v>5682507.0</v>
      </c>
      <c r="H1240" s="2">
        <v>41183.0</v>
      </c>
      <c r="I1240" s="1" t="s">
        <v>2706</v>
      </c>
      <c r="K1240" s="1" t="s">
        <v>2706</v>
      </c>
      <c r="N1240" s="1" t="s">
        <v>40</v>
      </c>
      <c r="O1240" s="1">
        <v>7500.0</v>
      </c>
      <c r="P1240" s="1" t="s">
        <v>40</v>
      </c>
      <c r="Q1240" s="1" t="str">
        <f>IF(ISERROR(VLOOKUP(P1240,'unique fed agency names'!A:C,3,FALSE)),P1240,VLOOKUP(P1240,'unique fed agency names'!A:C,3,FALSE))
</f>
        <v>U.S. Department of Health and Human Services (DHHS)</v>
      </c>
      <c r="R1240" s="1">
        <v>1962224.0</v>
      </c>
      <c r="S1240" s="1" t="s">
        <v>52</v>
      </c>
      <c r="T1240" s="1" t="str">
        <f>IF(ISERROR(VLOOKUP(S1240,'unique org names'!A:C,3,FALSE)),S1240,VLOOKUP(S1240,'unique org names'!A:C,3,FALSE))
</f>
        <v>WAYNE STATE UNIVERSITY</v>
      </c>
      <c r="U1240" s="1" t="s">
        <v>1408</v>
      </c>
      <c r="V1240" s="1" t="s">
        <v>1885</v>
      </c>
      <c r="W1240" s="1" t="s">
        <v>44</v>
      </c>
      <c r="X1240" s="1" t="s">
        <v>45</v>
      </c>
      <c r="Y1240" s="1">
        <v>4.82021347E8</v>
      </c>
      <c r="AA1240" s="1" t="s">
        <v>46</v>
      </c>
      <c r="AB1240" s="1" t="s">
        <v>45</v>
      </c>
      <c r="AC1240" s="1">
        <v>4.82011347E8</v>
      </c>
      <c r="AD1240" s="1">
        <v>1962224.0</v>
      </c>
      <c r="AE1240" s="1" t="s">
        <v>52</v>
      </c>
      <c r="AF1240" s="1">
        <v>20000.0</v>
      </c>
      <c r="AG1240" s="2">
        <v>41183.0</v>
      </c>
      <c r="AH1240" s="1">
        <v>7500.0</v>
      </c>
      <c r="AI1240" s="1" t="s">
        <v>40</v>
      </c>
      <c r="AJ1240" s="1">
        <v>2.0131609E7</v>
      </c>
      <c r="AK1240" s="1" t="s">
        <v>2708</v>
      </c>
      <c r="AL1240" s="1">
        <v>10.0</v>
      </c>
      <c r="AM1240" s="1">
        <v>2011.0</v>
      </c>
      <c r="AN1240" s="1">
        <v>2013.0</v>
      </c>
      <c r="AO1240" s="1" t="s">
        <v>2654</v>
      </c>
    </row>
    <row r="1241">
      <c r="A1241" s="5">
        <v>1.0</v>
      </c>
      <c r="B1241" s="1">
        <f t="shared" si="1"/>
        <v>1241</v>
      </c>
      <c r="C1241" s="1" t="s">
        <v>2675</v>
      </c>
      <c r="D1241" s="1" t="s">
        <v>2675</v>
      </c>
      <c r="E1241" s="1" t="s">
        <v>63</v>
      </c>
      <c r="G1241" s="1">
        <v>2216760.0</v>
      </c>
      <c r="H1241" s="2">
        <v>41548.0</v>
      </c>
      <c r="I1241" s="1" t="s">
        <v>2676</v>
      </c>
      <c r="K1241" s="1" t="s">
        <v>2676</v>
      </c>
      <c r="N1241" s="1" t="s">
        <v>40</v>
      </c>
      <c r="O1241" s="1">
        <v>7500.0</v>
      </c>
      <c r="P1241" s="1" t="s">
        <v>40</v>
      </c>
      <c r="Q1241" s="1" t="str">
        <f>IF(ISERROR(VLOOKUP(P1241,'unique fed agency names'!A:C,3,FALSE)),P1241,VLOOKUP(P1241,'unique fed agency names'!A:C,3,FALSE))
</f>
        <v>U.S. Department of Health and Human Services (DHHS)</v>
      </c>
      <c r="R1241" s="1">
        <v>3.8775243E7</v>
      </c>
      <c r="S1241" s="1" t="s">
        <v>209</v>
      </c>
      <c r="T1241" s="1" t="str">
        <f>IF(ISERROR(VLOOKUP(S1241,'unique org names'!A:C,3,FALSE)),S1241,VLOOKUP(S1241,'unique org names'!A:C,3,FALSE))
</f>
        <v>SOUTHEASTERN MICHIGAN HEALTH ASSOCIATION</v>
      </c>
      <c r="U1241" s="1" t="s">
        <v>210</v>
      </c>
      <c r="V1241" s="1" t="s">
        <v>211</v>
      </c>
      <c r="W1241" s="1" t="s">
        <v>44</v>
      </c>
      <c r="X1241" s="1" t="s">
        <v>45</v>
      </c>
      <c r="Y1241" s="1">
        <v>4.82023068E8</v>
      </c>
      <c r="AA1241" s="1" t="s">
        <v>46</v>
      </c>
      <c r="AB1241" s="1" t="s">
        <v>45</v>
      </c>
      <c r="AC1241" s="1">
        <v>4.82023068E8</v>
      </c>
      <c r="AD1241" s="1">
        <v>3.8775243E7</v>
      </c>
      <c r="AE1241" s="1" t="s">
        <v>209</v>
      </c>
      <c r="AF1241" s="1">
        <v>32667.0</v>
      </c>
      <c r="AG1241" s="2">
        <v>41548.0</v>
      </c>
      <c r="AH1241" s="1">
        <v>7500.0</v>
      </c>
      <c r="AI1241" s="1" t="s">
        <v>40</v>
      </c>
      <c r="AJ1241" s="1">
        <v>2.0140708E7</v>
      </c>
      <c r="AK1241" s="1" t="s">
        <v>2677</v>
      </c>
      <c r="AL1241" s="1">
        <v>10.0</v>
      </c>
      <c r="AM1241" s="1">
        <v>2010.0</v>
      </c>
      <c r="AN1241" s="1">
        <v>2014.0</v>
      </c>
      <c r="AO1241" s="1" t="s">
        <v>1410</v>
      </c>
    </row>
    <row r="1242">
      <c r="A1242" s="5">
        <v>1.0</v>
      </c>
      <c r="B1242" s="1">
        <f t="shared" si="1"/>
        <v>1242</v>
      </c>
      <c r="C1242" s="1" t="s">
        <v>2675</v>
      </c>
      <c r="D1242" s="1" t="s">
        <v>2675</v>
      </c>
      <c r="E1242" s="1" t="s">
        <v>63</v>
      </c>
      <c r="G1242" s="1">
        <v>2216760.0</v>
      </c>
      <c r="H1242" s="2">
        <v>41183.0</v>
      </c>
      <c r="I1242" s="1" t="s">
        <v>2676</v>
      </c>
      <c r="K1242" s="1" t="s">
        <v>2676</v>
      </c>
      <c r="N1242" s="1" t="s">
        <v>40</v>
      </c>
      <c r="O1242" s="1">
        <v>7500.0</v>
      </c>
      <c r="P1242" s="1" t="s">
        <v>40</v>
      </c>
      <c r="Q1242" s="1" t="str">
        <f>IF(ISERROR(VLOOKUP(P1242,'unique fed agency names'!A:C,3,FALSE)),P1242,VLOOKUP(P1242,'unique fed agency names'!A:C,3,FALSE))
</f>
        <v>U.S. Department of Health and Human Services (DHHS)</v>
      </c>
      <c r="R1242" s="1">
        <v>3.8775243E7</v>
      </c>
      <c r="S1242" s="1" t="s">
        <v>209</v>
      </c>
      <c r="T1242" s="1" t="str">
        <f>IF(ISERROR(VLOOKUP(S1242,'unique org names'!A:C,3,FALSE)),S1242,VLOOKUP(S1242,'unique org names'!A:C,3,FALSE))
</f>
        <v>SOUTHEASTERN MICHIGAN HEALTH ASSOCIATION</v>
      </c>
      <c r="U1242" s="1" t="s">
        <v>210</v>
      </c>
      <c r="V1242" s="1" t="s">
        <v>211</v>
      </c>
      <c r="W1242" s="1" t="s">
        <v>44</v>
      </c>
      <c r="X1242" s="1" t="s">
        <v>45</v>
      </c>
      <c r="Y1242" s="1">
        <v>4.82023068E8</v>
      </c>
      <c r="AA1242" s="1" t="s">
        <v>46</v>
      </c>
      <c r="AB1242" s="1" t="s">
        <v>45</v>
      </c>
      <c r="AC1242" s="1">
        <v>4.82023068E8</v>
      </c>
      <c r="AD1242" s="1">
        <v>3.8775243E7</v>
      </c>
      <c r="AE1242" s="1" t="s">
        <v>209</v>
      </c>
      <c r="AF1242" s="1">
        <v>16611.0</v>
      </c>
      <c r="AG1242" s="2">
        <v>41183.0</v>
      </c>
      <c r="AH1242" s="1">
        <v>7500.0</v>
      </c>
      <c r="AI1242" s="1" t="s">
        <v>40</v>
      </c>
      <c r="AJ1242" s="1">
        <v>2.0131224E7</v>
      </c>
      <c r="AK1242" s="1" t="s">
        <v>2677</v>
      </c>
      <c r="AL1242" s="1">
        <v>10.0</v>
      </c>
      <c r="AM1242" s="1">
        <v>2010.0</v>
      </c>
      <c r="AN1242" s="1">
        <v>2013.0</v>
      </c>
      <c r="AO1242" s="1" t="s">
        <v>1410</v>
      </c>
    </row>
    <row r="1243">
      <c r="A1243" s="5">
        <v>1.0</v>
      </c>
      <c r="B1243" s="1">
        <f t="shared" si="1"/>
        <v>1243</v>
      </c>
      <c r="C1243" s="1" t="s">
        <v>2678</v>
      </c>
      <c r="D1243" s="1" t="s">
        <v>2678</v>
      </c>
      <c r="E1243" s="1" t="s">
        <v>63</v>
      </c>
      <c r="G1243" s="1">
        <v>2652028.0</v>
      </c>
      <c r="H1243" s="2">
        <v>41548.0</v>
      </c>
      <c r="I1243" s="1" t="s">
        <v>2679</v>
      </c>
      <c r="K1243" s="1" t="s">
        <v>2679</v>
      </c>
      <c r="N1243" s="1" t="s">
        <v>40</v>
      </c>
      <c r="O1243" s="1">
        <v>7500.0</v>
      </c>
      <c r="P1243" s="1" t="s">
        <v>40</v>
      </c>
      <c r="Q1243" s="1" t="str">
        <f>IF(ISERROR(VLOOKUP(P1243,'unique fed agency names'!A:C,3,FALSE)),P1243,VLOOKUP(P1243,'unique fed agency names'!A:C,3,FALSE))
</f>
        <v>U.S. Department of Health and Human Services (DHHS)</v>
      </c>
      <c r="R1243" s="1">
        <v>1962224.0</v>
      </c>
      <c r="S1243" s="1" t="s">
        <v>52</v>
      </c>
      <c r="T1243" s="1" t="str">
        <f>IF(ISERROR(VLOOKUP(S1243,'unique org names'!A:C,3,FALSE)),S1243,VLOOKUP(S1243,'unique org names'!A:C,3,FALSE))
</f>
        <v>WAYNE STATE UNIVERSITY</v>
      </c>
      <c r="U1243" s="1" t="s">
        <v>1408</v>
      </c>
      <c r="V1243" s="1" t="s">
        <v>1885</v>
      </c>
      <c r="W1243" s="1" t="s">
        <v>44</v>
      </c>
      <c r="X1243" s="1" t="s">
        <v>45</v>
      </c>
      <c r="Y1243" s="1">
        <v>4.82021347E8</v>
      </c>
      <c r="AA1243" s="1" t="s">
        <v>46</v>
      </c>
      <c r="AB1243" s="1" t="s">
        <v>45</v>
      </c>
      <c r="AC1243" s="1">
        <v>4.82024123E8</v>
      </c>
      <c r="AD1243" s="1">
        <v>1962224.0</v>
      </c>
      <c r="AE1243" s="1" t="s">
        <v>52</v>
      </c>
      <c r="AF1243" s="1">
        <v>9916.35</v>
      </c>
      <c r="AG1243" s="2">
        <v>41548.0</v>
      </c>
      <c r="AH1243" s="1">
        <v>7500.0</v>
      </c>
      <c r="AI1243" s="1" t="s">
        <v>40</v>
      </c>
      <c r="AJ1243" s="1">
        <v>2.0141501E7</v>
      </c>
      <c r="AK1243" s="1" t="s">
        <v>2680</v>
      </c>
      <c r="AL1243" s="1">
        <v>10.0</v>
      </c>
      <c r="AM1243" s="1">
        <v>2013.0</v>
      </c>
      <c r="AN1243" s="1">
        <v>2014.0</v>
      </c>
      <c r="AO1243" s="1" t="s">
        <v>1572</v>
      </c>
    </row>
    <row r="1244">
      <c r="A1244" s="5">
        <v>1.0</v>
      </c>
      <c r="B1244" s="1">
        <f t="shared" si="1"/>
        <v>1244</v>
      </c>
      <c r="C1244" s="1" t="s">
        <v>2678</v>
      </c>
      <c r="D1244" s="1" t="s">
        <v>2678</v>
      </c>
      <c r="E1244" s="1" t="s">
        <v>63</v>
      </c>
      <c r="G1244" s="1">
        <v>2652028.0</v>
      </c>
      <c r="H1244" s="2">
        <v>41548.0</v>
      </c>
      <c r="I1244" s="1" t="s">
        <v>2679</v>
      </c>
      <c r="K1244" s="1" t="s">
        <v>2679</v>
      </c>
      <c r="N1244" s="1" t="s">
        <v>40</v>
      </c>
      <c r="O1244" s="1">
        <v>7500.0</v>
      </c>
      <c r="P1244" s="1" t="s">
        <v>40</v>
      </c>
      <c r="Q1244" s="1" t="str">
        <f>IF(ISERROR(VLOOKUP(P1244,'unique fed agency names'!A:C,3,FALSE)),P1244,VLOOKUP(P1244,'unique fed agency names'!A:C,3,FALSE))
</f>
        <v>U.S. Department of Health and Human Services (DHHS)</v>
      </c>
      <c r="R1244" s="1">
        <v>6530661.0</v>
      </c>
      <c r="S1244" s="1" t="s">
        <v>73</v>
      </c>
      <c r="T1244" s="1" t="str">
        <f>IF(ISERROR(VLOOKUP(S1244,'unique org names'!A:C,3,FALSE)),S1244,VLOOKUP(S1244,'unique org names'!A:C,3,FALSE))
</f>
        <v>City Of Detroit</v>
      </c>
      <c r="U1244" s="1" t="s">
        <v>323</v>
      </c>
      <c r="V1244" s="1" t="s">
        <v>1961</v>
      </c>
      <c r="W1244" s="1" t="s">
        <v>44</v>
      </c>
      <c r="X1244" s="1" t="s">
        <v>45</v>
      </c>
      <c r="Y1244" s="1">
        <v>4.82263443E8</v>
      </c>
      <c r="AA1244" s="1" t="s">
        <v>46</v>
      </c>
      <c r="AB1244" s="1" t="s">
        <v>45</v>
      </c>
      <c r="AC1244" s="1">
        <v>4.82021732E8</v>
      </c>
      <c r="AD1244" s="1">
        <v>6530661.0</v>
      </c>
      <c r="AE1244" s="1" t="s">
        <v>76</v>
      </c>
      <c r="AF1244" s="1">
        <v>268200.0</v>
      </c>
      <c r="AG1244" s="2">
        <v>41548.0</v>
      </c>
      <c r="AH1244" s="1">
        <v>7500.0</v>
      </c>
      <c r="AI1244" s="1" t="s">
        <v>40</v>
      </c>
      <c r="AJ1244" s="1">
        <v>2.0141454E7</v>
      </c>
      <c r="AK1244" s="1" t="s">
        <v>2680</v>
      </c>
      <c r="AL1244" s="1">
        <v>10.0</v>
      </c>
      <c r="AM1244" s="1">
        <v>2013.0</v>
      </c>
      <c r="AN1244" s="1">
        <v>2014.0</v>
      </c>
      <c r="AO1244" s="1" t="s">
        <v>1572</v>
      </c>
    </row>
    <row r="1245">
      <c r="A1245" s="5">
        <v>1.0</v>
      </c>
      <c r="B1245" s="1">
        <f t="shared" si="1"/>
        <v>1245</v>
      </c>
      <c r="C1245" s="1" t="s">
        <v>2697</v>
      </c>
      <c r="D1245" s="1" t="s">
        <v>2697</v>
      </c>
      <c r="E1245" s="1" t="s">
        <v>85</v>
      </c>
      <c r="G1245" s="1">
        <v>1984000.0</v>
      </c>
      <c r="H1245" s="2">
        <v>41548.0</v>
      </c>
      <c r="I1245" s="1" t="s">
        <v>2605</v>
      </c>
      <c r="K1245" s="1" t="s">
        <v>2605</v>
      </c>
      <c r="N1245" s="1" t="s">
        <v>40</v>
      </c>
      <c r="O1245" s="1">
        <v>7500.0</v>
      </c>
      <c r="P1245" s="1" t="s">
        <v>40</v>
      </c>
      <c r="Q1245" s="1" t="str">
        <f>IF(ISERROR(VLOOKUP(P1245,'unique fed agency names'!A:C,3,FALSE)),P1245,VLOOKUP(P1245,'unique fed agency names'!A:C,3,FALSE))
</f>
        <v>U.S. Department of Health and Human Services (DHHS)</v>
      </c>
      <c r="R1245" s="1">
        <v>7.914812E7</v>
      </c>
      <c r="S1245" s="1" t="s">
        <v>1944</v>
      </c>
      <c r="T1245" s="1" t="str">
        <f>IF(ISERROR(VLOOKUP(S1245,'unique org names'!A:C,3,FALSE)),S1245,VLOOKUP(S1245,'unique org names'!A:C,3,FALSE))
</f>
        <v>DETROIT WAYNE MENTAL HEALTH AUTHORITY</v>
      </c>
      <c r="V1245" s="1" t="s">
        <v>1945</v>
      </c>
      <c r="W1245" s="1" t="s">
        <v>44</v>
      </c>
      <c r="X1245" s="1" t="s">
        <v>45</v>
      </c>
      <c r="Y1245" s="1">
        <v>4.820125E8</v>
      </c>
      <c r="AA1245" s="1" t="s">
        <v>46</v>
      </c>
      <c r="AB1245" s="1" t="s">
        <v>45</v>
      </c>
      <c r="AC1245" s="1">
        <v>4.820125E8</v>
      </c>
      <c r="AD1245" s="1">
        <v>1.26212617E8</v>
      </c>
      <c r="AF1245" s="1">
        <v>71316.0</v>
      </c>
      <c r="AG1245" s="2">
        <v>41548.0</v>
      </c>
      <c r="AH1245" s="1">
        <v>7500.0</v>
      </c>
      <c r="AI1245" s="1" t="s">
        <v>40</v>
      </c>
      <c r="AJ1245" s="1">
        <v>2.0141738E7</v>
      </c>
      <c r="AK1245" s="1" t="s">
        <v>2698</v>
      </c>
      <c r="AL1245" s="1">
        <v>10.0</v>
      </c>
      <c r="AM1245" s="1">
        <v>2011.0</v>
      </c>
      <c r="AN1245" s="1">
        <v>2014.0</v>
      </c>
      <c r="AO1245" s="1" t="s">
        <v>2699</v>
      </c>
    </row>
    <row r="1246">
      <c r="A1246" s="5">
        <v>1.0</v>
      </c>
      <c r="B1246" s="1">
        <f t="shared" si="1"/>
        <v>1246</v>
      </c>
      <c r="C1246" s="1" t="s">
        <v>2697</v>
      </c>
      <c r="D1246" s="1" t="s">
        <v>2697</v>
      </c>
      <c r="E1246" s="1" t="s">
        <v>85</v>
      </c>
      <c r="G1246" s="1">
        <v>1984000.0</v>
      </c>
      <c r="H1246" s="2">
        <v>41183.0</v>
      </c>
      <c r="I1246" s="1" t="s">
        <v>2605</v>
      </c>
      <c r="K1246" s="1" t="s">
        <v>2605</v>
      </c>
      <c r="N1246" s="1" t="s">
        <v>40</v>
      </c>
      <c r="O1246" s="1">
        <v>7500.0</v>
      </c>
      <c r="P1246" s="1" t="s">
        <v>40</v>
      </c>
      <c r="Q1246" s="1" t="str">
        <f>IF(ISERROR(VLOOKUP(P1246,'unique fed agency names'!A:C,3,FALSE)),P1246,VLOOKUP(P1246,'unique fed agency names'!A:C,3,FALSE))
</f>
        <v>U.S. Department of Health and Human Services (DHHS)</v>
      </c>
      <c r="R1246" s="1">
        <v>7.6385699E7</v>
      </c>
      <c r="S1246" s="1" t="s">
        <v>106</v>
      </c>
      <c r="T1246" s="1" t="str">
        <f>IF(ISERROR(VLOOKUP(S1246,'unique org names'!A:C,3,FALSE)),S1246,VLOOKUP(S1246,'unique org names'!A:C,3,FALSE))
</f>
        <v>Southwest Counseling Solutions, Inc</v>
      </c>
      <c r="U1246" s="1" t="s">
        <v>1005</v>
      </c>
      <c r="V1246" s="1" t="s">
        <v>1006</v>
      </c>
      <c r="W1246" s="1" t="s">
        <v>44</v>
      </c>
      <c r="X1246" s="1" t="s">
        <v>45</v>
      </c>
      <c r="Y1246" s="1">
        <v>4.82092022E8</v>
      </c>
      <c r="AA1246" s="1" t="s">
        <v>46</v>
      </c>
      <c r="AB1246" s="1" t="s">
        <v>45</v>
      </c>
      <c r="AC1246" s="1">
        <v>4.82092022E8</v>
      </c>
      <c r="AD1246" s="1">
        <v>7.6385699E7</v>
      </c>
      <c r="AE1246" s="1" t="s">
        <v>106</v>
      </c>
      <c r="AF1246" s="1">
        <v>50000.0</v>
      </c>
      <c r="AG1246" s="2">
        <v>41183.0</v>
      </c>
      <c r="AH1246" s="1">
        <v>7500.0</v>
      </c>
      <c r="AI1246" s="1" t="s">
        <v>40</v>
      </c>
      <c r="AJ1246" s="1">
        <v>2.0130319E7</v>
      </c>
      <c r="AK1246" s="1" t="s">
        <v>2698</v>
      </c>
      <c r="AL1246" s="1">
        <v>10.0</v>
      </c>
      <c r="AM1246" s="1">
        <v>2011.0</v>
      </c>
      <c r="AN1246" s="1">
        <v>2013.0</v>
      </c>
      <c r="AO1246" s="1" t="s">
        <v>2699</v>
      </c>
    </row>
    <row r="1247">
      <c r="A1247" s="5">
        <v>1.0</v>
      </c>
      <c r="B1247" s="1">
        <f t="shared" si="1"/>
        <v>1247</v>
      </c>
      <c r="C1247" s="1" t="s">
        <v>2697</v>
      </c>
      <c r="D1247" s="1" t="s">
        <v>2697</v>
      </c>
      <c r="E1247" s="1" t="s">
        <v>85</v>
      </c>
      <c r="G1247" s="1">
        <v>1984000.0</v>
      </c>
      <c r="H1247" s="2">
        <v>41183.0</v>
      </c>
      <c r="I1247" s="1" t="s">
        <v>2605</v>
      </c>
      <c r="K1247" s="1" t="s">
        <v>2605</v>
      </c>
      <c r="N1247" s="1" t="s">
        <v>40</v>
      </c>
      <c r="O1247" s="1">
        <v>7500.0</v>
      </c>
      <c r="P1247" s="1" t="s">
        <v>40</v>
      </c>
      <c r="Q1247" s="1" t="str">
        <f>IF(ISERROR(VLOOKUP(P1247,'unique fed agency names'!A:C,3,FALSE)),P1247,VLOOKUP(P1247,'unique fed agency names'!A:C,3,FALSE))
</f>
        <v>U.S. Department of Health and Human Services (DHHS)</v>
      </c>
      <c r="R1247" s="1">
        <v>7.914812E7</v>
      </c>
      <c r="S1247" s="1" t="s">
        <v>1944</v>
      </c>
      <c r="T1247" s="1" t="str">
        <f>IF(ISERROR(VLOOKUP(S1247,'unique org names'!A:C,3,FALSE)),S1247,VLOOKUP(S1247,'unique org names'!A:C,3,FALSE))
</f>
        <v>DETROIT WAYNE MENTAL HEALTH AUTHORITY</v>
      </c>
      <c r="V1247" s="1" t="s">
        <v>1945</v>
      </c>
      <c r="W1247" s="1" t="s">
        <v>44</v>
      </c>
      <c r="X1247" s="1" t="s">
        <v>45</v>
      </c>
      <c r="Y1247" s="1">
        <v>4.820125E8</v>
      </c>
      <c r="AA1247" s="1" t="s">
        <v>46</v>
      </c>
      <c r="AB1247" s="1" t="s">
        <v>45</v>
      </c>
      <c r="AC1247" s="1">
        <v>4.820125E8</v>
      </c>
      <c r="AD1247" s="1">
        <v>7.3134884E7</v>
      </c>
      <c r="AE1247" s="1" t="s">
        <v>1796</v>
      </c>
      <c r="AF1247" s="1">
        <v>4188.0</v>
      </c>
      <c r="AG1247" s="2">
        <v>41183.0</v>
      </c>
      <c r="AH1247" s="1">
        <v>7500.0</v>
      </c>
      <c r="AI1247" s="1" t="s">
        <v>40</v>
      </c>
      <c r="AJ1247" s="1">
        <v>2.0131101E7</v>
      </c>
      <c r="AK1247" s="1" t="s">
        <v>2698</v>
      </c>
      <c r="AL1247" s="1">
        <v>10.0</v>
      </c>
      <c r="AM1247" s="1">
        <v>2011.0</v>
      </c>
      <c r="AN1247" s="1">
        <v>2013.0</v>
      </c>
      <c r="AO1247" s="1" t="s">
        <v>2699</v>
      </c>
    </row>
    <row r="1248">
      <c r="A1248" s="5">
        <v>1.0</v>
      </c>
      <c r="B1248" s="1">
        <f t="shared" si="1"/>
        <v>1248</v>
      </c>
      <c r="C1248" s="1" t="s">
        <v>2697</v>
      </c>
      <c r="D1248" s="1" t="s">
        <v>2697</v>
      </c>
      <c r="E1248" s="1" t="s">
        <v>85</v>
      </c>
      <c r="G1248" s="1">
        <v>1984000.0</v>
      </c>
      <c r="H1248" s="2">
        <v>41183.0</v>
      </c>
      <c r="I1248" s="1" t="s">
        <v>2605</v>
      </c>
      <c r="K1248" s="1" t="s">
        <v>2605</v>
      </c>
      <c r="N1248" s="1" t="s">
        <v>40</v>
      </c>
      <c r="O1248" s="1">
        <v>7500.0</v>
      </c>
      <c r="P1248" s="1" t="s">
        <v>40</v>
      </c>
      <c r="Q1248" s="1" t="str">
        <f>IF(ISERROR(VLOOKUP(P1248,'unique fed agency names'!A:C,3,FALSE)),P1248,VLOOKUP(P1248,'unique fed agency names'!A:C,3,FALSE))
</f>
        <v>U.S. Department of Health and Human Services (DHHS)</v>
      </c>
      <c r="R1248" s="1">
        <v>7.914812E7</v>
      </c>
      <c r="S1248" s="1" t="s">
        <v>1944</v>
      </c>
      <c r="T1248" s="1" t="str">
        <f>IF(ISERROR(VLOOKUP(S1248,'unique org names'!A:C,3,FALSE)),S1248,VLOOKUP(S1248,'unique org names'!A:C,3,FALSE))
</f>
        <v>DETROIT WAYNE MENTAL HEALTH AUTHORITY</v>
      </c>
      <c r="V1248" s="1" t="s">
        <v>1945</v>
      </c>
      <c r="W1248" s="1" t="s">
        <v>44</v>
      </c>
      <c r="X1248" s="1" t="s">
        <v>45</v>
      </c>
      <c r="Y1248" s="1">
        <v>4.820125E8</v>
      </c>
      <c r="AA1248" s="1" t="s">
        <v>46</v>
      </c>
      <c r="AB1248" s="1" t="s">
        <v>45</v>
      </c>
      <c r="AC1248" s="1">
        <v>4.820125E8</v>
      </c>
      <c r="AD1248" s="1">
        <v>1.63854E7</v>
      </c>
      <c r="AE1248" s="1" t="s">
        <v>2709</v>
      </c>
      <c r="AF1248" s="1">
        <v>17626.0</v>
      </c>
      <c r="AG1248" s="2">
        <v>41183.0</v>
      </c>
      <c r="AH1248" s="1">
        <v>7500.0</v>
      </c>
      <c r="AI1248" s="1" t="s">
        <v>40</v>
      </c>
      <c r="AJ1248" s="1">
        <v>2.0130306E7</v>
      </c>
      <c r="AK1248" s="1" t="s">
        <v>2698</v>
      </c>
      <c r="AL1248" s="1">
        <v>10.0</v>
      </c>
      <c r="AM1248" s="1">
        <v>2011.0</v>
      </c>
      <c r="AN1248" s="1">
        <v>2013.0</v>
      </c>
      <c r="AO1248" s="1" t="s">
        <v>2699</v>
      </c>
    </row>
    <row r="1249">
      <c r="A1249" s="5">
        <v>1.0</v>
      </c>
      <c r="B1249" s="1">
        <f t="shared" si="1"/>
        <v>1249</v>
      </c>
      <c r="C1249" s="1" t="s">
        <v>2702</v>
      </c>
      <c r="D1249" s="1" t="s">
        <v>2702</v>
      </c>
      <c r="E1249" s="1" t="s">
        <v>85</v>
      </c>
      <c r="G1249" s="1">
        <v>1863000.0</v>
      </c>
      <c r="H1249" s="2">
        <v>41548.0</v>
      </c>
      <c r="I1249" s="1" t="s">
        <v>2605</v>
      </c>
      <c r="K1249" s="1" t="s">
        <v>2605</v>
      </c>
      <c r="N1249" s="1" t="s">
        <v>40</v>
      </c>
      <c r="O1249" s="1">
        <v>7500.0</v>
      </c>
      <c r="P1249" s="1" t="s">
        <v>40</v>
      </c>
      <c r="Q1249" s="1" t="str">
        <f>IF(ISERROR(VLOOKUP(P1249,'unique fed agency names'!A:C,3,FALSE)),P1249,VLOOKUP(P1249,'unique fed agency names'!A:C,3,FALSE))
</f>
        <v>U.S. Department of Health and Human Services (DHHS)</v>
      </c>
      <c r="R1249" s="1">
        <v>7.914812E7</v>
      </c>
      <c r="S1249" s="1" t="s">
        <v>1944</v>
      </c>
      <c r="T1249" s="1" t="str">
        <f>IF(ISERROR(VLOOKUP(S1249,'unique org names'!A:C,3,FALSE)),S1249,VLOOKUP(S1249,'unique org names'!A:C,3,FALSE))
</f>
        <v>DETROIT WAYNE MENTAL HEALTH AUTHORITY</v>
      </c>
      <c r="V1249" s="1" t="s">
        <v>1945</v>
      </c>
      <c r="W1249" s="1" t="s">
        <v>44</v>
      </c>
      <c r="X1249" s="1" t="s">
        <v>45</v>
      </c>
      <c r="Y1249" s="1">
        <v>4.820125E8</v>
      </c>
      <c r="AA1249" s="1" t="s">
        <v>46</v>
      </c>
      <c r="AB1249" s="1" t="s">
        <v>45</v>
      </c>
      <c r="AC1249" s="1">
        <v>4.8226348E8</v>
      </c>
      <c r="AF1249" s="1">
        <v>157547.0</v>
      </c>
      <c r="AG1249" s="2">
        <v>41548.0</v>
      </c>
      <c r="AH1249" s="1">
        <v>7500.0</v>
      </c>
      <c r="AI1249" s="1" t="s">
        <v>40</v>
      </c>
      <c r="AJ1249" s="1">
        <v>2.0141739E7</v>
      </c>
      <c r="AK1249" s="1" t="s">
        <v>2698</v>
      </c>
      <c r="AL1249" s="1">
        <v>10.0</v>
      </c>
      <c r="AM1249" s="1">
        <v>2012.0</v>
      </c>
      <c r="AN1249" s="1">
        <v>2014.0</v>
      </c>
      <c r="AO1249" s="1" t="s">
        <v>2699</v>
      </c>
    </row>
    <row r="1250">
      <c r="A1250" s="5">
        <v>1.0</v>
      </c>
      <c r="B1250" s="1">
        <f t="shared" si="1"/>
        <v>1250</v>
      </c>
      <c r="C1250" s="1" t="s">
        <v>2702</v>
      </c>
      <c r="D1250" s="1" t="s">
        <v>2702</v>
      </c>
      <c r="E1250" s="1" t="s">
        <v>85</v>
      </c>
      <c r="G1250" s="1">
        <v>1863000.0</v>
      </c>
      <c r="H1250" s="2">
        <v>41548.0</v>
      </c>
      <c r="I1250" s="1" t="s">
        <v>2605</v>
      </c>
      <c r="K1250" s="1" t="s">
        <v>2605</v>
      </c>
      <c r="N1250" s="1" t="s">
        <v>40</v>
      </c>
      <c r="O1250" s="1">
        <v>7500.0</v>
      </c>
      <c r="P1250" s="1" t="s">
        <v>40</v>
      </c>
      <c r="Q1250" s="1" t="str">
        <f>IF(ISERROR(VLOOKUP(P1250,'unique fed agency names'!A:C,3,FALSE)),P1250,VLOOKUP(P1250,'unique fed agency names'!A:C,3,FALSE))
</f>
        <v>U.S. Department of Health and Human Services (DHHS)</v>
      </c>
      <c r="R1250" s="1">
        <v>7.914812E7</v>
      </c>
      <c r="S1250" s="1" t="s">
        <v>1944</v>
      </c>
      <c r="T1250" s="1" t="str">
        <f>IF(ISERROR(VLOOKUP(S1250,'unique org names'!A:C,3,FALSE)),S1250,VLOOKUP(S1250,'unique org names'!A:C,3,FALSE))
</f>
        <v>DETROIT WAYNE MENTAL HEALTH AUTHORITY</v>
      </c>
      <c r="V1250" s="1" t="s">
        <v>1945</v>
      </c>
      <c r="W1250" s="1" t="s">
        <v>44</v>
      </c>
      <c r="X1250" s="1" t="s">
        <v>45</v>
      </c>
      <c r="Y1250" s="1">
        <v>4.820125E8</v>
      </c>
      <c r="AA1250" s="1" t="s">
        <v>46</v>
      </c>
      <c r="AB1250" s="1" t="s">
        <v>45</v>
      </c>
      <c r="AC1250" s="1">
        <v>4.8226348E8</v>
      </c>
      <c r="AF1250" s="1">
        <v>37470.0</v>
      </c>
      <c r="AG1250" s="2">
        <v>41548.0</v>
      </c>
      <c r="AH1250" s="1">
        <v>7500.0</v>
      </c>
      <c r="AI1250" s="1" t="s">
        <v>40</v>
      </c>
      <c r="AJ1250" s="1">
        <v>2.0141737E7</v>
      </c>
      <c r="AK1250" s="1" t="s">
        <v>2698</v>
      </c>
      <c r="AL1250" s="1">
        <v>10.0</v>
      </c>
      <c r="AM1250" s="1">
        <v>2012.0</v>
      </c>
      <c r="AN1250" s="1">
        <v>2014.0</v>
      </c>
      <c r="AO1250" s="1" t="s">
        <v>2699</v>
      </c>
    </row>
    <row r="1251">
      <c r="A1251" s="5">
        <v>1.0</v>
      </c>
      <c r="B1251" s="1">
        <f t="shared" si="1"/>
        <v>1251</v>
      </c>
      <c r="C1251" s="1" t="s">
        <v>2697</v>
      </c>
      <c r="D1251" s="1" t="s">
        <v>2697</v>
      </c>
      <c r="E1251" s="1" t="s">
        <v>85</v>
      </c>
      <c r="G1251" s="1">
        <v>1984000.0</v>
      </c>
      <c r="H1251" s="2">
        <v>41183.0</v>
      </c>
      <c r="I1251" s="1" t="s">
        <v>2605</v>
      </c>
      <c r="K1251" s="1" t="s">
        <v>2605</v>
      </c>
      <c r="N1251" s="1" t="s">
        <v>40</v>
      </c>
      <c r="O1251" s="1">
        <v>7500.0</v>
      </c>
      <c r="P1251" s="1" t="s">
        <v>40</v>
      </c>
      <c r="Q1251" s="1" t="str">
        <f>IF(ISERROR(VLOOKUP(P1251,'unique fed agency names'!A:C,3,FALSE)),P1251,VLOOKUP(P1251,'unique fed agency names'!A:C,3,FALSE))
</f>
        <v>U.S. Department of Health and Human Services (DHHS)</v>
      </c>
      <c r="R1251" s="1">
        <v>7.914812E7</v>
      </c>
      <c r="S1251" s="1" t="s">
        <v>1944</v>
      </c>
      <c r="T1251" s="1" t="str">
        <f>IF(ISERROR(VLOOKUP(S1251,'unique org names'!A:C,3,FALSE)),S1251,VLOOKUP(S1251,'unique org names'!A:C,3,FALSE))
</f>
        <v>DETROIT WAYNE MENTAL HEALTH AUTHORITY</v>
      </c>
      <c r="V1251" s="1" t="s">
        <v>1945</v>
      </c>
      <c r="W1251" s="1" t="s">
        <v>44</v>
      </c>
      <c r="X1251" s="1" t="s">
        <v>45</v>
      </c>
      <c r="Y1251" s="1">
        <v>4.820125E8</v>
      </c>
      <c r="AA1251" s="1" t="s">
        <v>46</v>
      </c>
      <c r="AB1251" s="1" t="s">
        <v>45</v>
      </c>
      <c r="AC1251" s="1">
        <v>4.820125E8</v>
      </c>
      <c r="AD1251" s="1">
        <v>1.0879989E7</v>
      </c>
      <c r="AE1251" s="1" t="s">
        <v>2710</v>
      </c>
      <c r="AF1251" s="1">
        <v>23019.0</v>
      </c>
      <c r="AG1251" s="2">
        <v>41183.0</v>
      </c>
      <c r="AH1251" s="1">
        <v>7500.0</v>
      </c>
      <c r="AI1251" s="1" t="s">
        <v>40</v>
      </c>
      <c r="AJ1251" s="1">
        <v>2.0130305E7</v>
      </c>
      <c r="AK1251" s="1" t="s">
        <v>2698</v>
      </c>
      <c r="AL1251" s="1">
        <v>10.0</v>
      </c>
      <c r="AM1251" s="1">
        <v>2011.0</v>
      </c>
      <c r="AN1251" s="1">
        <v>2013.0</v>
      </c>
      <c r="AO1251" s="1" t="s">
        <v>2699</v>
      </c>
    </row>
    <row r="1252">
      <c r="A1252" s="5">
        <v>1.0</v>
      </c>
      <c r="B1252" s="1">
        <f t="shared" si="1"/>
        <v>1252</v>
      </c>
      <c r="C1252" s="1" t="s">
        <v>2697</v>
      </c>
      <c r="D1252" s="1" t="s">
        <v>2697</v>
      </c>
      <c r="E1252" s="1" t="s">
        <v>85</v>
      </c>
      <c r="G1252" s="1">
        <v>1984000.0</v>
      </c>
      <c r="H1252" s="2">
        <v>41183.0</v>
      </c>
      <c r="I1252" s="1" t="s">
        <v>2605</v>
      </c>
      <c r="K1252" s="1" t="s">
        <v>2605</v>
      </c>
      <c r="N1252" s="1" t="s">
        <v>40</v>
      </c>
      <c r="O1252" s="1">
        <v>7500.0</v>
      </c>
      <c r="P1252" s="1" t="s">
        <v>40</v>
      </c>
      <c r="Q1252" s="1" t="str">
        <f>IF(ISERROR(VLOOKUP(P1252,'unique fed agency names'!A:C,3,FALSE)),P1252,VLOOKUP(P1252,'unique fed agency names'!A:C,3,FALSE))
</f>
        <v>U.S. Department of Health and Human Services (DHHS)</v>
      </c>
      <c r="R1252" s="1">
        <v>7.914812E7</v>
      </c>
      <c r="S1252" s="1" t="s">
        <v>1944</v>
      </c>
      <c r="T1252" s="1" t="str">
        <f>IF(ISERROR(VLOOKUP(S1252,'unique org names'!A:C,3,FALSE)),S1252,VLOOKUP(S1252,'unique org names'!A:C,3,FALSE))
</f>
        <v>DETROIT WAYNE MENTAL HEALTH AUTHORITY</v>
      </c>
      <c r="V1252" s="1" t="s">
        <v>1945</v>
      </c>
      <c r="W1252" s="1" t="s">
        <v>44</v>
      </c>
      <c r="X1252" s="1" t="s">
        <v>45</v>
      </c>
      <c r="Y1252" s="1">
        <v>4.820125E8</v>
      </c>
      <c r="AA1252" s="1" t="s">
        <v>46</v>
      </c>
      <c r="AB1252" s="1" t="s">
        <v>45</v>
      </c>
      <c r="AC1252" s="1">
        <v>4.820125E8</v>
      </c>
      <c r="AD1252" s="1">
        <v>1.63854E7</v>
      </c>
      <c r="AE1252" s="1" t="s">
        <v>2709</v>
      </c>
      <c r="AF1252" s="1">
        <v>66383.0</v>
      </c>
      <c r="AG1252" s="2">
        <v>41183.0</v>
      </c>
      <c r="AH1252" s="1">
        <v>7500.0</v>
      </c>
      <c r="AI1252" s="1" t="s">
        <v>40</v>
      </c>
      <c r="AJ1252" s="1">
        <v>2.0130346E7</v>
      </c>
      <c r="AK1252" s="1" t="s">
        <v>2698</v>
      </c>
      <c r="AL1252" s="1">
        <v>10.0</v>
      </c>
      <c r="AM1252" s="1">
        <v>2011.0</v>
      </c>
      <c r="AN1252" s="1">
        <v>2013.0</v>
      </c>
      <c r="AO1252" s="1" t="s">
        <v>2699</v>
      </c>
    </row>
    <row r="1253">
      <c r="A1253" s="5">
        <v>1.0</v>
      </c>
      <c r="B1253" s="1">
        <f t="shared" si="1"/>
        <v>1253</v>
      </c>
      <c r="C1253" s="1" t="s">
        <v>2702</v>
      </c>
      <c r="D1253" s="1" t="s">
        <v>2702</v>
      </c>
      <c r="E1253" s="1" t="s">
        <v>85</v>
      </c>
      <c r="G1253" s="1">
        <v>1863000.0</v>
      </c>
      <c r="H1253" s="2">
        <v>41548.0</v>
      </c>
      <c r="I1253" s="1" t="s">
        <v>2605</v>
      </c>
      <c r="K1253" s="1" t="s">
        <v>2605</v>
      </c>
      <c r="N1253" s="1" t="s">
        <v>40</v>
      </c>
      <c r="O1253" s="1">
        <v>7500.0</v>
      </c>
      <c r="P1253" s="1" t="s">
        <v>40</v>
      </c>
      <c r="Q1253" s="1" t="str">
        <f>IF(ISERROR(VLOOKUP(P1253,'unique fed agency names'!A:C,3,FALSE)),P1253,VLOOKUP(P1253,'unique fed agency names'!A:C,3,FALSE))
</f>
        <v>U.S. Department of Health and Human Services (DHHS)</v>
      </c>
      <c r="R1253" s="1">
        <v>7.914812E7</v>
      </c>
      <c r="S1253" s="1" t="s">
        <v>1944</v>
      </c>
      <c r="T1253" s="1" t="str">
        <f>IF(ISERROR(VLOOKUP(S1253,'unique org names'!A:C,3,FALSE)),S1253,VLOOKUP(S1253,'unique org names'!A:C,3,FALSE))
</f>
        <v>DETROIT WAYNE MENTAL HEALTH AUTHORITY</v>
      </c>
      <c r="V1253" s="1" t="s">
        <v>1945</v>
      </c>
      <c r="W1253" s="1" t="s">
        <v>44</v>
      </c>
      <c r="X1253" s="1" t="s">
        <v>45</v>
      </c>
      <c r="Y1253" s="1">
        <v>4.820125E8</v>
      </c>
      <c r="AA1253" s="1" t="s">
        <v>46</v>
      </c>
      <c r="AB1253" s="1" t="s">
        <v>45</v>
      </c>
      <c r="AC1253" s="1">
        <v>4.8226348E8</v>
      </c>
      <c r="AF1253" s="1">
        <v>86487.0</v>
      </c>
      <c r="AG1253" s="2">
        <v>41548.0</v>
      </c>
      <c r="AH1253" s="1">
        <v>7500.0</v>
      </c>
      <c r="AI1253" s="1" t="s">
        <v>40</v>
      </c>
      <c r="AJ1253" s="1">
        <v>2.014174E7</v>
      </c>
      <c r="AK1253" s="1" t="s">
        <v>2698</v>
      </c>
      <c r="AL1253" s="1">
        <v>10.0</v>
      </c>
      <c r="AM1253" s="1">
        <v>2012.0</v>
      </c>
      <c r="AN1253" s="1">
        <v>2014.0</v>
      </c>
      <c r="AO1253" s="1" t="s">
        <v>2699</v>
      </c>
    </row>
    <row r="1254">
      <c r="A1254" s="5">
        <v>1.0</v>
      </c>
      <c r="B1254" s="1">
        <f t="shared" si="1"/>
        <v>1254</v>
      </c>
      <c r="C1254" s="1" t="s">
        <v>2702</v>
      </c>
      <c r="D1254" s="1" t="s">
        <v>2702</v>
      </c>
      <c r="E1254" s="1" t="s">
        <v>85</v>
      </c>
      <c r="G1254" s="1">
        <v>1863000.0</v>
      </c>
      <c r="H1254" s="2">
        <v>41548.0</v>
      </c>
      <c r="I1254" s="1" t="s">
        <v>2605</v>
      </c>
      <c r="K1254" s="1" t="s">
        <v>2605</v>
      </c>
      <c r="N1254" s="1" t="s">
        <v>40</v>
      </c>
      <c r="O1254" s="1">
        <v>7500.0</v>
      </c>
      <c r="P1254" s="1" t="s">
        <v>40</v>
      </c>
      <c r="Q1254" s="1" t="str">
        <f>IF(ISERROR(VLOOKUP(P1254,'unique fed agency names'!A:C,3,FALSE)),P1254,VLOOKUP(P1254,'unique fed agency names'!A:C,3,FALSE))
</f>
        <v>U.S. Department of Health and Human Services (DHHS)</v>
      </c>
      <c r="R1254" s="1">
        <v>7.914812E7</v>
      </c>
      <c r="S1254" s="1" t="s">
        <v>1944</v>
      </c>
      <c r="T1254" s="1" t="str">
        <f>IF(ISERROR(VLOOKUP(S1254,'unique org names'!A:C,3,FALSE)),S1254,VLOOKUP(S1254,'unique org names'!A:C,3,FALSE))
</f>
        <v>DETROIT WAYNE MENTAL HEALTH AUTHORITY</v>
      </c>
      <c r="V1254" s="1" t="s">
        <v>1945</v>
      </c>
      <c r="W1254" s="1" t="s">
        <v>44</v>
      </c>
      <c r="X1254" s="1" t="s">
        <v>45</v>
      </c>
      <c r="Y1254" s="1">
        <v>4.820125E8</v>
      </c>
      <c r="AA1254" s="1" t="s">
        <v>46</v>
      </c>
      <c r="AB1254" s="1" t="s">
        <v>45</v>
      </c>
      <c r="AC1254" s="1">
        <v>4.8226348E8</v>
      </c>
      <c r="AF1254" s="1">
        <v>56311.0</v>
      </c>
      <c r="AG1254" s="2">
        <v>41548.0</v>
      </c>
      <c r="AH1254" s="1">
        <v>7500.0</v>
      </c>
      <c r="AI1254" s="1" t="s">
        <v>40</v>
      </c>
      <c r="AJ1254" s="1">
        <v>2.0141738E7</v>
      </c>
      <c r="AK1254" s="1" t="s">
        <v>2698</v>
      </c>
      <c r="AL1254" s="1">
        <v>10.0</v>
      </c>
      <c r="AM1254" s="1">
        <v>2012.0</v>
      </c>
      <c r="AN1254" s="1">
        <v>2014.0</v>
      </c>
      <c r="AO1254" s="1" t="s">
        <v>2699</v>
      </c>
    </row>
    <row r="1255">
      <c r="A1255" s="5">
        <v>1.0</v>
      </c>
      <c r="B1255" s="1">
        <f t="shared" si="1"/>
        <v>1255</v>
      </c>
      <c r="C1255" s="1" t="s">
        <v>2711</v>
      </c>
      <c r="D1255" s="1" t="s">
        <v>2711</v>
      </c>
      <c r="E1255" s="1" t="s">
        <v>38</v>
      </c>
      <c r="G1255" s="1">
        <v>243376.0</v>
      </c>
      <c r="H1255" s="2">
        <v>41906.0</v>
      </c>
      <c r="I1255" s="1" t="s">
        <v>2712</v>
      </c>
      <c r="K1255" s="1" t="s">
        <v>2712</v>
      </c>
      <c r="N1255" s="1" t="s">
        <v>40</v>
      </c>
      <c r="O1255" s="1">
        <v>7500.0</v>
      </c>
      <c r="P1255" s="1" t="s">
        <v>40</v>
      </c>
      <c r="Q1255" s="1" t="str">
        <f>IF(ISERROR(VLOOKUP(P1255,'unique fed agency names'!A:C,3,FALSE)),P1255,VLOOKUP(P1255,'unique fed agency names'!A:C,3,FALSE))
</f>
        <v>U.S. Department of Health and Human Services (DHHS)</v>
      </c>
      <c r="R1255" s="1">
        <v>1962224.0</v>
      </c>
      <c r="S1255" s="1" t="s">
        <v>52</v>
      </c>
      <c r="T1255" s="1" t="str">
        <f>IF(ISERROR(VLOOKUP(S1255,'unique org names'!A:C,3,FALSE)),S1255,VLOOKUP(S1255,'unique org names'!A:C,3,FALSE))
</f>
        <v>WAYNE STATE UNIVERSITY</v>
      </c>
      <c r="V1255" s="1" t="s">
        <v>1885</v>
      </c>
      <c r="W1255" s="1" t="s">
        <v>44</v>
      </c>
      <c r="X1255" s="1" t="s">
        <v>45</v>
      </c>
      <c r="Y1255" s="1">
        <v>4.82021347E8</v>
      </c>
      <c r="AA1255" s="1" t="s">
        <v>46</v>
      </c>
      <c r="AB1255" s="1" t="s">
        <v>45</v>
      </c>
      <c r="AC1255" s="1">
        <v>4.8202405E8</v>
      </c>
      <c r="AD1255" s="1">
        <v>1962224.0</v>
      </c>
      <c r="AE1255" s="1" t="s">
        <v>52</v>
      </c>
      <c r="AF1255" s="1">
        <v>27033.0</v>
      </c>
      <c r="AG1255" s="2">
        <v>41906.0</v>
      </c>
      <c r="AH1255" s="1">
        <v>7500.0</v>
      </c>
      <c r="AI1255" s="1" t="s">
        <v>40</v>
      </c>
      <c r="AJ1255" s="1" t="s">
        <v>2713</v>
      </c>
      <c r="AK1255" s="1" t="s">
        <v>2714</v>
      </c>
      <c r="AL1255" s="1">
        <v>10.0</v>
      </c>
      <c r="AM1255" s="1">
        <v>2014.0</v>
      </c>
      <c r="AN1255" s="1">
        <v>2014.0</v>
      </c>
      <c r="AO1255" s="1" t="s">
        <v>2715</v>
      </c>
    </row>
    <row r="1256">
      <c r="A1256" s="5">
        <v>1.0</v>
      </c>
      <c r="B1256" s="1">
        <f t="shared" si="1"/>
        <v>1256</v>
      </c>
      <c r="C1256" s="1" t="s">
        <v>142</v>
      </c>
      <c r="D1256" s="1" t="s">
        <v>142</v>
      </c>
      <c r="E1256" s="1" t="s">
        <v>129</v>
      </c>
      <c r="G1256" s="1">
        <v>1566217.0</v>
      </c>
      <c r="H1256" s="2">
        <v>41183.0</v>
      </c>
      <c r="I1256" s="1" t="s">
        <v>143</v>
      </c>
      <c r="K1256" s="1" t="s">
        <v>143</v>
      </c>
      <c r="N1256" s="1" t="s">
        <v>40</v>
      </c>
      <c r="O1256" s="1">
        <v>7500.0</v>
      </c>
      <c r="P1256" s="1" t="s">
        <v>40</v>
      </c>
      <c r="Q1256" s="1" t="str">
        <f>IF(ISERROR(VLOOKUP(P1256,'unique fed agency names'!A:C,3,FALSE)),P1256,VLOOKUP(P1256,'unique fed agency names'!A:C,3,FALSE))
</f>
        <v>U.S. Department of Health and Human Services (DHHS)</v>
      </c>
      <c r="R1256" s="1">
        <v>1.41947783E8</v>
      </c>
      <c r="S1256" s="1" t="s">
        <v>144</v>
      </c>
      <c r="T1256" s="1" t="str">
        <f>IF(ISERROR(VLOOKUP(S1256,'unique org names'!A:C,3,FALSE)),S1256,VLOOKUP(S1256,'unique org names'!A:C,3,FALSE))
</f>
        <v>St John Community Health Investment Corporation</v>
      </c>
      <c r="V1256" s="1" t="s">
        <v>145</v>
      </c>
      <c r="W1256" s="1" t="s">
        <v>44</v>
      </c>
      <c r="X1256" s="1" t="s">
        <v>45</v>
      </c>
      <c r="Y1256" s="1">
        <v>4.82362148E8</v>
      </c>
      <c r="AA1256" s="1" t="s">
        <v>46</v>
      </c>
      <c r="AB1256" s="1" t="s">
        <v>45</v>
      </c>
      <c r="AC1256" s="1">
        <v>4.82362148E8</v>
      </c>
      <c r="AF1256" s="1">
        <v>0.0</v>
      </c>
      <c r="AG1256" s="2">
        <v>41183.0</v>
      </c>
      <c r="AH1256" s="1">
        <v>7500.0</v>
      </c>
      <c r="AI1256" s="1" t="s">
        <v>40</v>
      </c>
      <c r="AJ1256" s="1">
        <v>2.0130452E7</v>
      </c>
      <c r="AK1256" s="1" t="s">
        <v>146</v>
      </c>
      <c r="AL1256" s="1">
        <v>11.0</v>
      </c>
      <c r="AM1256" s="1">
        <v>2012.0</v>
      </c>
      <c r="AN1256" s="1">
        <v>2013.0</v>
      </c>
      <c r="AO1256" s="1" t="s">
        <v>147</v>
      </c>
    </row>
    <row r="1257">
      <c r="A1257" s="5">
        <v>1.0</v>
      </c>
      <c r="B1257" s="1">
        <f t="shared" si="1"/>
        <v>1257</v>
      </c>
      <c r="C1257" s="1" t="s">
        <v>2716</v>
      </c>
      <c r="D1257" s="1" t="s">
        <v>2716</v>
      </c>
      <c r="E1257" s="1" t="s">
        <v>85</v>
      </c>
      <c r="G1257" s="1">
        <v>1707551.0</v>
      </c>
      <c r="H1257" s="2">
        <v>41548.0</v>
      </c>
      <c r="I1257" s="1" t="s">
        <v>2717</v>
      </c>
      <c r="K1257" s="1" t="s">
        <v>2717</v>
      </c>
      <c r="N1257" s="1" t="s">
        <v>40</v>
      </c>
      <c r="O1257" s="1">
        <v>7500.0</v>
      </c>
      <c r="P1257" s="1" t="s">
        <v>40</v>
      </c>
      <c r="Q1257" s="1" t="str">
        <f>IF(ISERROR(VLOOKUP(P1257,'unique fed agency names'!A:C,3,FALSE)),P1257,VLOOKUP(P1257,'unique fed agency names'!A:C,3,FALSE))
</f>
        <v>U.S. Department of Health and Human Services (DHHS)</v>
      </c>
      <c r="R1257" s="1">
        <v>7.6385699E7</v>
      </c>
      <c r="S1257" s="1" t="s">
        <v>106</v>
      </c>
      <c r="T1257" s="1" t="str">
        <f>IF(ISERROR(VLOOKUP(S1257,'unique org names'!A:C,3,FALSE)),S1257,VLOOKUP(S1257,'unique org names'!A:C,3,FALSE))
</f>
        <v>Southwest Counseling Solutions, Inc</v>
      </c>
      <c r="U1257" s="1" t="s">
        <v>1005</v>
      </c>
      <c r="V1257" s="1" t="s">
        <v>1006</v>
      </c>
      <c r="W1257" s="1" t="s">
        <v>44</v>
      </c>
      <c r="X1257" s="1" t="s">
        <v>45</v>
      </c>
      <c r="Y1257" s="1">
        <v>4.82092022E8</v>
      </c>
      <c r="AA1257" s="1" t="s">
        <v>46</v>
      </c>
      <c r="AB1257" s="1" t="s">
        <v>45</v>
      </c>
      <c r="AC1257" s="1">
        <v>4.82092022E8</v>
      </c>
      <c r="AD1257" s="1">
        <v>7.6385699E7</v>
      </c>
      <c r="AE1257" s="1" t="s">
        <v>106</v>
      </c>
      <c r="AF1257" s="1">
        <v>317764.0</v>
      </c>
      <c r="AG1257" s="2">
        <v>41548.0</v>
      </c>
      <c r="AH1257" s="1">
        <v>7500.0</v>
      </c>
      <c r="AI1257" s="1" t="s">
        <v>40</v>
      </c>
      <c r="AJ1257" s="1">
        <v>2.014316E7</v>
      </c>
      <c r="AK1257" s="1" t="s">
        <v>1359</v>
      </c>
      <c r="AL1257" s="1">
        <v>10.0</v>
      </c>
      <c r="AM1257" s="1">
        <v>2012.0</v>
      </c>
      <c r="AN1257" s="1">
        <v>2014.0</v>
      </c>
      <c r="AO1257" s="1" t="s">
        <v>88</v>
      </c>
    </row>
    <row r="1258">
      <c r="A1258" s="5">
        <v>1.0</v>
      </c>
      <c r="B1258" s="1">
        <f t="shared" si="1"/>
        <v>1258</v>
      </c>
      <c r="C1258" s="1" t="s">
        <v>2716</v>
      </c>
      <c r="D1258" s="1" t="s">
        <v>2716</v>
      </c>
      <c r="E1258" s="1" t="s">
        <v>85</v>
      </c>
      <c r="G1258" s="1">
        <v>1707551.0</v>
      </c>
      <c r="H1258" s="2">
        <v>41548.0</v>
      </c>
      <c r="I1258" s="1" t="s">
        <v>2717</v>
      </c>
      <c r="K1258" s="1" t="s">
        <v>2717</v>
      </c>
      <c r="N1258" s="1" t="s">
        <v>40</v>
      </c>
      <c r="O1258" s="1">
        <v>7500.0</v>
      </c>
      <c r="P1258" s="1" t="s">
        <v>40</v>
      </c>
      <c r="Q1258" s="1" t="str">
        <f>IF(ISERROR(VLOOKUP(P1258,'unique fed agency names'!A:C,3,FALSE)),P1258,VLOOKUP(P1258,'unique fed agency names'!A:C,3,FALSE))
</f>
        <v>U.S. Department of Health and Human Services (DHHS)</v>
      </c>
      <c r="R1258" s="1">
        <v>1.35021181E8</v>
      </c>
      <c r="S1258" s="1" t="s">
        <v>979</v>
      </c>
      <c r="T1258" s="1" t="str">
        <f>IF(ISERROR(VLOOKUP(S1258,'unique org names'!A:C,3,FALSE)),S1258,VLOOKUP(S1258,'unique org names'!A:C,3,FALSE))
</f>
        <v>NEIGHBORHOOD SERVICE ORGANIZATION</v>
      </c>
      <c r="V1258" s="1" t="s">
        <v>980</v>
      </c>
      <c r="W1258" s="1" t="s">
        <v>44</v>
      </c>
      <c r="X1258" s="1" t="s">
        <v>45</v>
      </c>
      <c r="Y1258" s="1">
        <v>4.82261412E8</v>
      </c>
      <c r="AA1258" s="1" t="s">
        <v>46</v>
      </c>
      <c r="AB1258" s="1" t="s">
        <v>45</v>
      </c>
      <c r="AC1258" s="1">
        <v>4.82261412E8</v>
      </c>
      <c r="AD1258" s="1">
        <v>4.3419399E7</v>
      </c>
      <c r="AE1258" s="1" t="s">
        <v>979</v>
      </c>
      <c r="AF1258" s="1">
        <v>251000.0</v>
      </c>
      <c r="AG1258" s="2">
        <v>41548.0</v>
      </c>
      <c r="AH1258" s="1">
        <v>7500.0</v>
      </c>
      <c r="AI1258" s="1" t="s">
        <v>40</v>
      </c>
      <c r="AJ1258" s="1">
        <v>2.0143111E7</v>
      </c>
      <c r="AK1258" s="1" t="s">
        <v>1359</v>
      </c>
      <c r="AL1258" s="1">
        <v>10.0</v>
      </c>
      <c r="AM1258" s="1">
        <v>2012.0</v>
      </c>
      <c r="AN1258" s="1">
        <v>2014.0</v>
      </c>
      <c r="AO1258" s="1" t="s">
        <v>88</v>
      </c>
    </row>
    <row r="1259">
      <c r="A1259" s="5">
        <v>1.0</v>
      </c>
      <c r="B1259" s="1">
        <f t="shared" si="1"/>
        <v>1259</v>
      </c>
      <c r="C1259" s="1">
        <v>1346688.0</v>
      </c>
      <c r="D1259" s="1">
        <v>1346688.0</v>
      </c>
      <c r="E1259" s="1" t="s">
        <v>109</v>
      </c>
      <c r="G1259" s="1">
        <v>7428610.0</v>
      </c>
      <c r="H1259" s="2">
        <v>41920.0</v>
      </c>
      <c r="I1259" s="1" t="s">
        <v>1786</v>
      </c>
      <c r="K1259" s="1" t="s">
        <v>1786</v>
      </c>
      <c r="N1259" s="1" t="s">
        <v>109</v>
      </c>
      <c r="O1259" s="1">
        <v>4900.0</v>
      </c>
      <c r="P1259" s="1" t="s">
        <v>109</v>
      </c>
      <c r="Q1259" s="1" t="str">
        <f>IF(ISERROR(VLOOKUP(P1259,'unique fed agency names'!A:C,3,FALSE)),P1259,VLOOKUP(P1259,'unique fed agency names'!A:C,3,FALSE))
</f>
        <v>National Science Foundation</v>
      </c>
      <c r="R1259" s="1">
        <v>1962224.0</v>
      </c>
      <c r="S1259" s="1" t="s">
        <v>52</v>
      </c>
      <c r="T1259" s="1" t="str">
        <f>IF(ISERROR(VLOOKUP(S1259,'unique org names'!A:C,3,FALSE)),S1259,VLOOKUP(S1259,'unique org names'!A:C,3,FALSE))
</f>
        <v>WAYNE STATE UNIVERSITY</v>
      </c>
      <c r="V1259" s="1" t="s">
        <v>1885</v>
      </c>
      <c r="W1259" s="1" t="s">
        <v>44</v>
      </c>
      <c r="X1259" s="1" t="s">
        <v>45</v>
      </c>
      <c r="Y1259" s="1">
        <v>4.82021347E8</v>
      </c>
      <c r="AA1259" s="1" t="s">
        <v>46</v>
      </c>
      <c r="AB1259" s="1" t="s">
        <v>45</v>
      </c>
      <c r="AC1259" s="1">
        <v>4.8202405E8</v>
      </c>
      <c r="AD1259" s="1">
        <v>1962224.0</v>
      </c>
      <c r="AE1259" s="1" t="s">
        <v>52</v>
      </c>
      <c r="AF1259" s="1">
        <v>88678.0</v>
      </c>
      <c r="AG1259" s="2">
        <v>41920.0</v>
      </c>
      <c r="AH1259" s="1">
        <v>4900.0</v>
      </c>
      <c r="AI1259" s="1" t="s">
        <v>109</v>
      </c>
      <c r="AJ1259" s="1" t="s">
        <v>1787</v>
      </c>
      <c r="AK1259" s="1" t="s">
        <v>1788</v>
      </c>
      <c r="AL1259" s="1">
        <v>10.0</v>
      </c>
      <c r="AM1259" s="1">
        <v>2014.0</v>
      </c>
      <c r="AN1259" s="1">
        <v>2015.0</v>
      </c>
      <c r="AO1259" s="1" t="s">
        <v>113</v>
      </c>
    </row>
    <row r="1260">
      <c r="A1260" s="5">
        <v>1.0</v>
      </c>
      <c r="B1260" s="1">
        <f t="shared" si="1"/>
        <v>1260</v>
      </c>
      <c r="C1260" s="1" t="s">
        <v>2718</v>
      </c>
      <c r="D1260" s="1" t="s">
        <v>2718</v>
      </c>
      <c r="E1260" s="1" t="s">
        <v>224</v>
      </c>
      <c r="G1260" s="1">
        <v>750000.0</v>
      </c>
      <c r="H1260" s="2">
        <v>41906.0</v>
      </c>
      <c r="I1260" s="1" t="s">
        <v>2719</v>
      </c>
      <c r="K1260" s="1" t="s">
        <v>2719</v>
      </c>
      <c r="N1260" s="1" t="s">
        <v>151</v>
      </c>
      <c r="O1260" s="1">
        <v>6900.0</v>
      </c>
      <c r="P1260" s="1" t="s">
        <v>151</v>
      </c>
      <c r="Q1260" s="1" t="str">
        <f>IF(ISERROR(VLOOKUP(P1260,'unique fed agency names'!A:C,3,FALSE)),P1260,VLOOKUP(P1260,'unique fed agency names'!A:C,3,FALSE))
</f>
        <v>U.S. Department of Transportation (DOT)</v>
      </c>
      <c r="R1260" s="1">
        <v>1.1855476E8</v>
      </c>
      <c r="S1260" s="1" t="s">
        <v>983</v>
      </c>
      <c r="T1260" s="1" t="str">
        <f>IF(ISERROR(VLOOKUP(S1260,'unique org names'!A:C,3,FALSE)),S1260,VLOOKUP(S1260,'unique org names'!A:C,3,FALSE))
</f>
        <v>City of Detroit</v>
      </c>
      <c r="U1260" s="1" t="s">
        <v>984</v>
      </c>
      <c r="V1260" s="1" t="s">
        <v>227</v>
      </c>
      <c r="W1260" s="1" t="s">
        <v>44</v>
      </c>
      <c r="X1260" s="1" t="s">
        <v>45</v>
      </c>
      <c r="Y1260" s="1">
        <v>4.82262886E8</v>
      </c>
      <c r="AA1260" s="1" t="s">
        <v>46</v>
      </c>
      <c r="AB1260" s="1" t="s">
        <v>45</v>
      </c>
      <c r="AC1260" s="1">
        <v>4.82262886E8</v>
      </c>
      <c r="AD1260" s="1">
        <v>6530661.0</v>
      </c>
      <c r="AE1260" s="1" t="s">
        <v>76</v>
      </c>
      <c r="AF1260" s="1">
        <v>750000.0</v>
      </c>
      <c r="AG1260" s="2">
        <v>41906.0</v>
      </c>
      <c r="AH1260" s="1">
        <v>6900.0</v>
      </c>
      <c r="AI1260" s="1" t="s">
        <v>151</v>
      </c>
      <c r="AJ1260" s="1">
        <v>1.0</v>
      </c>
      <c r="AK1260" s="1" t="s">
        <v>2720</v>
      </c>
      <c r="AL1260" s="1">
        <v>10.0</v>
      </c>
      <c r="AM1260" s="1">
        <v>2014.0</v>
      </c>
      <c r="AN1260" s="1">
        <v>2014.0</v>
      </c>
      <c r="AO1260" s="1" t="s">
        <v>229</v>
      </c>
    </row>
    <row r="1261">
      <c r="A1261" s="5">
        <v>1.0</v>
      </c>
      <c r="B1261" s="1">
        <f t="shared" si="1"/>
        <v>1261</v>
      </c>
      <c r="C1261" s="1" t="s">
        <v>2721</v>
      </c>
      <c r="D1261" s="1" t="s">
        <v>2721</v>
      </c>
      <c r="E1261" s="1" t="s">
        <v>194</v>
      </c>
      <c r="G1261" s="1">
        <v>1.3188316E7</v>
      </c>
      <c r="H1261" s="2">
        <v>41690.0</v>
      </c>
      <c r="I1261" s="1" t="s">
        <v>1228</v>
      </c>
      <c r="K1261" s="1" t="s">
        <v>1228</v>
      </c>
      <c r="N1261" s="1" t="s">
        <v>194</v>
      </c>
      <c r="O1261" s="1">
        <v>9100.0</v>
      </c>
      <c r="P1261" s="1" t="s">
        <v>194</v>
      </c>
      <c r="Q1261" s="1" t="str">
        <f>IF(ISERROR(VLOOKUP(P1261,'unique fed agency names'!A:C,3,FALSE)),P1261,VLOOKUP(P1261,'unique fed agency names'!A:C,3,FALSE))
</f>
        <v>U.S. Department of Education (ED)</v>
      </c>
      <c r="R1261" s="1">
        <v>7.6340843E7</v>
      </c>
      <c r="S1261" s="1" t="s">
        <v>461</v>
      </c>
      <c r="T1261" s="1" t="str">
        <f>IF(ISERROR(VLOOKUP(S1261,'unique org names'!A:C,3,FALSE)),S1261,VLOOKUP(S1261,'unique org names'!A:C,3,FALSE))
</f>
        <v>BOARD OF EDUCATION OF THE CITY OF DETROIT</v>
      </c>
      <c r="V1261" s="1" t="s">
        <v>1599</v>
      </c>
      <c r="W1261" s="1" t="s">
        <v>44</v>
      </c>
      <c r="X1261" s="1" t="s">
        <v>45</v>
      </c>
      <c r="Y1261" s="1">
        <v>4.8202301E8</v>
      </c>
      <c r="AA1261" s="1" t="s">
        <v>44</v>
      </c>
      <c r="AB1261" s="1" t="s">
        <v>45</v>
      </c>
      <c r="AC1261" s="1">
        <v>4.82023096E8</v>
      </c>
      <c r="AD1261" s="1">
        <v>7.6340843E7</v>
      </c>
      <c r="AE1261" s="1" t="s">
        <v>461</v>
      </c>
      <c r="AF1261" s="1">
        <v>60000.0</v>
      </c>
      <c r="AG1261" s="2">
        <v>41690.0</v>
      </c>
      <c r="AH1261" s="1">
        <v>9100.0</v>
      </c>
      <c r="AI1261" s="1" t="s">
        <v>194</v>
      </c>
      <c r="AJ1261" s="1" t="s">
        <v>2722</v>
      </c>
      <c r="AK1261" s="1" t="s">
        <v>1232</v>
      </c>
      <c r="AL1261" s="1">
        <v>10.0</v>
      </c>
      <c r="AM1261" s="1">
        <v>2014.0</v>
      </c>
      <c r="AN1261" s="1">
        <v>2014.0</v>
      </c>
      <c r="AO1261" s="1" t="s">
        <v>1233</v>
      </c>
    </row>
    <row r="1262">
      <c r="A1262" s="5">
        <v>1.0</v>
      </c>
      <c r="B1262" s="1">
        <f t="shared" si="1"/>
        <v>1262</v>
      </c>
      <c r="C1262" s="1" t="s">
        <v>142</v>
      </c>
      <c r="D1262" s="1" t="s">
        <v>142</v>
      </c>
      <c r="E1262" s="1" t="s">
        <v>129</v>
      </c>
      <c r="G1262" s="1">
        <v>1566217.0</v>
      </c>
      <c r="H1262" s="2">
        <v>41548.0</v>
      </c>
      <c r="I1262" s="1" t="s">
        <v>143</v>
      </c>
      <c r="K1262" s="1" t="s">
        <v>143</v>
      </c>
      <c r="N1262" s="1" t="s">
        <v>40</v>
      </c>
      <c r="O1262" s="1">
        <v>7500.0</v>
      </c>
      <c r="P1262" s="1" t="s">
        <v>40</v>
      </c>
      <c r="Q1262" s="1" t="str">
        <f>IF(ISERROR(VLOOKUP(P1262,'unique fed agency names'!A:C,3,FALSE)),P1262,VLOOKUP(P1262,'unique fed agency names'!A:C,3,FALSE))
</f>
        <v>U.S. Department of Health and Human Services (DHHS)</v>
      </c>
      <c r="R1262" s="1">
        <v>1.41947783E8</v>
      </c>
      <c r="S1262" s="1" t="s">
        <v>144</v>
      </c>
      <c r="T1262" s="1" t="str">
        <f>IF(ISERROR(VLOOKUP(S1262,'unique org names'!A:C,3,FALSE)),S1262,VLOOKUP(S1262,'unique org names'!A:C,3,FALSE))
</f>
        <v>St John Community Health Investment Corporation</v>
      </c>
      <c r="V1262" s="1" t="s">
        <v>145</v>
      </c>
      <c r="W1262" s="1" t="s">
        <v>44</v>
      </c>
      <c r="X1262" s="1" t="s">
        <v>45</v>
      </c>
      <c r="Y1262" s="1">
        <v>4.82362148E8</v>
      </c>
      <c r="AA1262" s="1" t="s">
        <v>46</v>
      </c>
      <c r="AB1262" s="1" t="s">
        <v>45</v>
      </c>
      <c r="AC1262" s="1">
        <v>4.82362148E8</v>
      </c>
      <c r="AF1262" s="1">
        <v>100000.0</v>
      </c>
      <c r="AG1262" s="2">
        <v>41548.0</v>
      </c>
      <c r="AH1262" s="1">
        <v>7500.0</v>
      </c>
      <c r="AI1262" s="1" t="s">
        <v>40</v>
      </c>
      <c r="AJ1262" s="1">
        <v>2.0140005E7</v>
      </c>
      <c r="AK1262" s="1" t="s">
        <v>146</v>
      </c>
      <c r="AL1262" s="1">
        <v>11.0</v>
      </c>
      <c r="AM1262" s="1">
        <v>2012.0</v>
      </c>
      <c r="AN1262" s="1">
        <v>2014.0</v>
      </c>
      <c r="AO1262" s="1" t="s">
        <v>147</v>
      </c>
    </row>
    <row r="1263">
      <c r="A1263" s="5">
        <v>1.0</v>
      </c>
      <c r="B1263" s="1">
        <f t="shared" si="1"/>
        <v>1263</v>
      </c>
      <c r="C1263" s="1" t="s">
        <v>2721</v>
      </c>
      <c r="D1263" s="1" t="s">
        <v>2721</v>
      </c>
      <c r="E1263" s="1" t="s">
        <v>194</v>
      </c>
      <c r="G1263" s="1">
        <v>1.3188316E7</v>
      </c>
      <c r="H1263" s="2">
        <v>41513.0</v>
      </c>
      <c r="I1263" s="1" t="s">
        <v>1228</v>
      </c>
      <c r="K1263" s="1" t="s">
        <v>1228</v>
      </c>
      <c r="N1263" s="1" t="s">
        <v>194</v>
      </c>
      <c r="O1263" s="1">
        <v>9100.0</v>
      </c>
      <c r="P1263" s="1" t="s">
        <v>194</v>
      </c>
      <c r="Q1263" s="1" t="str">
        <f>IF(ISERROR(VLOOKUP(P1263,'unique fed agency names'!A:C,3,FALSE)),P1263,VLOOKUP(P1263,'unique fed agency names'!A:C,3,FALSE))
</f>
        <v>U.S. Department of Education (ED)</v>
      </c>
      <c r="R1263" s="1">
        <v>9.58138059E8</v>
      </c>
      <c r="S1263" s="1" t="s">
        <v>2723</v>
      </c>
      <c r="T1263" s="1" t="str">
        <f>IF(ISERROR(VLOOKUP(S1263,'unique org names'!A:C,3,FALSE)),S1263,VLOOKUP(S1263,'unique org names'!A:C,3,FALSE))
</f>
        <v>Siena Literacy Center Inc</v>
      </c>
      <c r="V1263" s="1" t="s">
        <v>2724</v>
      </c>
      <c r="W1263" s="1" t="s">
        <v>44</v>
      </c>
      <c r="X1263" s="1" t="s">
        <v>45</v>
      </c>
      <c r="Y1263" s="1">
        <v>4.82193968E8</v>
      </c>
      <c r="AA1263" s="1" t="s">
        <v>44</v>
      </c>
      <c r="AB1263" s="1" t="s">
        <v>45</v>
      </c>
      <c r="AC1263" s="1">
        <v>4.8219363E8</v>
      </c>
      <c r="AF1263" s="1">
        <v>80000.0</v>
      </c>
      <c r="AG1263" s="2">
        <v>41513.0</v>
      </c>
      <c r="AH1263" s="1">
        <v>9100.0</v>
      </c>
      <c r="AI1263" s="1" t="s">
        <v>194</v>
      </c>
      <c r="AJ1263" s="1" t="s">
        <v>2725</v>
      </c>
      <c r="AK1263" s="1" t="s">
        <v>1232</v>
      </c>
      <c r="AL1263" s="1">
        <v>10.0</v>
      </c>
      <c r="AM1263" s="1">
        <v>2014.0</v>
      </c>
      <c r="AN1263" s="1">
        <v>2013.0</v>
      </c>
      <c r="AO1263" s="1" t="s">
        <v>1233</v>
      </c>
    </row>
    <row r="1264">
      <c r="A1264" s="5">
        <v>1.0</v>
      </c>
      <c r="B1264" s="1">
        <f t="shared" si="1"/>
        <v>1264</v>
      </c>
      <c r="C1264" s="1" t="s">
        <v>2721</v>
      </c>
      <c r="D1264" s="1" t="s">
        <v>2721</v>
      </c>
      <c r="E1264" s="1" t="s">
        <v>194</v>
      </c>
      <c r="G1264" s="1">
        <v>1.3188316E7</v>
      </c>
      <c r="H1264" s="2">
        <v>41717.0</v>
      </c>
      <c r="I1264" s="1" t="s">
        <v>1228</v>
      </c>
      <c r="K1264" s="1" t="s">
        <v>1228</v>
      </c>
      <c r="N1264" s="1" t="s">
        <v>194</v>
      </c>
      <c r="O1264" s="1">
        <v>9100.0</v>
      </c>
      <c r="P1264" s="1" t="s">
        <v>194</v>
      </c>
      <c r="Q1264" s="1" t="str">
        <f>IF(ISERROR(VLOOKUP(P1264,'unique fed agency names'!A:C,3,FALSE)),P1264,VLOOKUP(P1264,'unique fed agency names'!A:C,3,FALSE))
</f>
        <v>U.S. Department of Education (ED)</v>
      </c>
      <c r="R1264" s="1">
        <v>1962224.0</v>
      </c>
      <c r="S1264" s="1" t="s">
        <v>52</v>
      </c>
      <c r="T1264" s="1" t="str">
        <f>IF(ISERROR(VLOOKUP(S1264,'unique org names'!A:C,3,FALSE)),S1264,VLOOKUP(S1264,'unique org names'!A:C,3,FALSE))
</f>
        <v>WAYNE STATE UNIVERSITY</v>
      </c>
      <c r="V1264" s="1" t="s">
        <v>1885</v>
      </c>
      <c r="W1264" s="1" t="s">
        <v>44</v>
      </c>
      <c r="X1264" s="1" t="s">
        <v>45</v>
      </c>
      <c r="Y1264" s="1">
        <v>4.82021347E8</v>
      </c>
      <c r="AA1264" s="1" t="s">
        <v>44</v>
      </c>
      <c r="AB1264" s="1" t="s">
        <v>45</v>
      </c>
      <c r="AC1264" s="1">
        <v>4.82023424E8</v>
      </c>
      <c r="AD1264" s="1">
        <v>1962224.0</v>
      </c>
      <c r="AE1264" s="1" t="s">
        <v>52</v>
      </c>
      <c r="AF1264" s="1">
        <v>85000.0</v>
      </c>
      <c r="AG1264" s="2">
        <v>41717.0</v>
      </c>
      <c r="AH1264" s="1">
        <v>9100.0</v>
      </c>
      <c r="AI1264" s="1" t="s">
        <v>194</v>
      </c>
      <c r="AJ1264" s="1" t="s">
        <v>2726</v>
      </c>
      <c r="AK1264" s="1" t="s">
        <v>1232</v>
      </c>
      <c r="AL1264" s="1">
        <v>10.0</v>
      </c>
      <c r="AM1264" s="1">
        <v>2014.0</v>
      </c>
      <c r="AN1264" s="1">
        <v>2014.0</v>
      </c>
      <c r="AO1264" s="1" t="s">
        <v>1233</v>
      </c>
    </row>
    <row r="1265">
      <c r="A1265" s="5">
        <v>1.0</v>
      </c>
      <c r="B1265" s="1">
        <f t="shared" si="1"/>
        <v>1265</v>
      </c>
      <c r="C1265" s="1" t="s">
        <v>2727</v>
      </c>
      <c r="D1265" s="1" t="s">
        <v>2727</v>
      </c>
      <c r="E1265" s="1" t="s">
        <v>431</v>
      </c>
      <c r="G1265" s="1">
        <v>1629960.0</v>
      </c>
      <c r="H1265" s="2">
        <v>41887.0</v>
      </c>
      <c r="I1265" s="1" t="s">
        <v>2728</v>
      </c>
      <c r="K1265" s="1" t="s">
        <v>2728</v>
      </c>
      <c r="N1265" s="1" t="s">
        <v>431</v>
      </c>
      <c r="O1265" s="1">
        <v>9700.0</v>
      </c>
      <c r="P1265" s="1" t="s">
        <v>431</v>
      </c>
      <c r="Q1265" s="1" t="str">
        <f>IF(ISERROR(VLOOKUP(P1265,'unique fed agency names'!A:C,3,FALSE)),P1265,VLOOKUP(P1265,'unique fed agency names'!A:C,3,FALSE))
</f>
        <v>U.S. Department of Defense (DOD)</v>
      </c>
      <c r="R1265" s="1">
        <v>1962224.0</v>
      </c>
      <c r="S1265" s="1" t="s">
        <v>52</v>
      </c>
      <c r="T1265" s="1" t="str">
        <f>IF(ISERROR(VLOOKUP(S1265,'unique org names'!A:C,3,FALSE)),S1265,VLOOKUP(S1265,'unique org names'!A:C,3,FALSE))
</f>
        <v>WAYNE STATE UNIVERSITY</v>
      </c>
      <c r="V1265" s="1" t="s">
        <v>1885</v>
      </c>
      <c r="W1265" s="1" t="s">
        <v>44</v>
      </c>
      <c r="X1265" s="1" t="s">
        <v>45</v>
      </c>
      <c r="Y1265" s="1">
        <v>4.82021347E8</v>
      </c>
      <c r="AA1265" s="1" t="s">
        <v>46</v>
      </c>
      <c r="AB1265" s="1" t="s">
        <v>45</v>
      </c>
      <c r="AC1265" s="1">
        <v>4.8202405E8</v>
      </c>
      <c r="AD1265" s="1">
        <v>1962224.0</v>
      </c>
      <c r="AE1265" s="1" t="s">
        <v>52</v>
      </c>
      <c r="AF1265" s="1">
        <v>48603.0</v>
      </c>
      <c r="AG1265" s="2">
        <v>41887.0</v>
      </c>
      <c r="AH1265" s="1">
        <v>9700.0</v>
      </c>
      <c r="AI1265" s="1" t="s">
        <v>431</v>
      </c>
      <c r="AJ1265" s="1" t="s">
        <v>2729</v>
      </c>
      <c r="AK1265" s="1" t="s">
        <v>2730</v>
      </c>
      <c r="AL1265" s="1">
        <v>10.0</v>
      </c>
      <c r="AM1265" s="1">
        <v>2014.0</v>
      </c>
      <c r="AN1265" s="1">
        <v>2014.0</v>
      </c>
      <c r="AO1265" s="1" t="s">
        <v>1094</v>
      </c>
    </row>
    <row r="1266">
      <c r="A1266" s="5">
        <v>1.0</v>
      </c>
      <c r="B1266" s="1">
        <f t="shared" si="1"/>
        <v>1266</v>
      </c>
      <c r="C1266" s="1" t="s">
        <v>2721</v>
      </c>
      <c r="D1266" s="1" t="s">
        <v>2721</v>
      </c>
      <c r="E1266" s="1" t="s">
        <v>194</v>
      </c>
      <c r="G1266" s="1">
        <v>1.3188316E7</v>
      </c>
      <c r="H1266" s="2">
        <v>41592.0</v>
      </c>
      <c r="I1266" s="1" t="s">
        <v>1228</v>
      </c>
      <c r="K1266" s="1" t="s">
        <v>1228</v>
      </c>
      <c r="N1266" s="1" t="s">
        <v>194</v>
      </c>
      <c r="O1266" s="1">
        <v>9100.0</v>
      </c>
      <c r="P1266" s="1" t="s">
        <v>194</v>
      </c>
      <c r="Q1266" s="1" t="str">
        <f>IF(ISERROR(VLOOKUP(P1266,'unique fed agency names'!A:C,3,FALSE)),P1266,VLOOKUP(P1266,'unique fed agency names'!A:C,3,FALSE))
</f>
        <v>U.S. Department of Education (ED)</v>
      </c>
      <c r="R1266" s="1">
        <v>6.07770427E8</v>
      </c>
      <c r="S1266" s="1" t="s">
        <v>1249</v>
      </c>
      <c r="T1266" s="1" t="str">
        <f>IF(ISERROR(VLOOKUP(S1266,'unique org names'!A:C,3,FALSE)),S1266,VLOOKUP(S1266,'unique org names'!A:C,3,FALSE))
</f>
        <v>Dominican Literacy Center</v>
      </c>
      <c r="V1266" s="1" t="s">
        <v>1250</v>
      </c>
      <c r="W1266" s="1" t="s">
        <v>44</v>
      </c>
      <c r="X1266" s="1" t="s">
        <v>45</v>
      </c>
      <c r="Y1266" s="1">
        <v>4.82133364E8</v>
      </c>
      <c r="AA1266" s="1" t="s">
        <v>44</v>
      </c>
      <c r="AB1266" s="1" t="s">
        <v>45</v>
      </c>
      <c r="AC1266" s="1">
        <v>4.82242517E8</v>
      </c>
      <c r="AF1266" s="1">
        <v>397341.0</v>
      </c>
      <c r="AG1266" s="2">
        <v>41592.0</v>
      </c>
      <c r="AH1266" s="1">
        <v>9100.0</v>
      </c>
      <c r="AI1266" s="1" t="s">
        <v>194</v>
      </c>
      <c r="AJ1266" s="1" t="s">
        <v>2731</v>
      </c>
      <c r="AK1266" s="1" t="s">
        <v>1232</v>
      </c>
      <c r="AL1266" s="1">
        <v>10.0</v>
      </c>
      <c r="AM1266" s="1">
        <v>2014.0</v>
      </c>
      <c r="AN1266" s="1">
        <v>2014.0</v>
      </c>
      <c r="AO1266" s="1" t="s">
        <v>1233</v>
      </c>
    </row>
    <row r="1267">
      <c r="A1267" s="5">
        <v>1.0</v>
      </c>
      <c r="B1267" s="1">
        <f t="shared" si="1"/>
        <v>1267</v>
      </c>
      <c r="C1267" s="1" t="s">
        <v>2721</v>
      </c>
      <c r="D1267" s="1" t="s">
        <v>2721</v>
      </c>
      <c r="E1267" s="1" t="s">
        <v>194</v>
      </c>
      <c r="G1267" s="1">
        <v>1.3188316E7</v>
      </c>
      <c r="H1267" s="2">
        <v>41813.0</v>
      </c>
      <c r="I1267" s="1" t="s">
        <v>1228</v>
      </c>
      <c r="K1267" s="1" t="s">
        <v>1228</v>
      </c>
      <c r="N1267" s="1" t="s">
        <v>194</v>
      </c>
      <c r="O1267" s="1">
        <v>9100.0</v>
      </c>
      <c r="P1267" s="1" t="s">
        <v>194</v>
      </c>
      <c r="Q1267" s="1" t="str">
        <f>IF(ISERROR(VLOOKUP(P1267,'unique fed agency names'!A:C,3,FALSE)),P1267,VLOOKUP(P1267,'unique fed agency names'!A:C,3,FALSE))
</f>
        <v>U.S. Department of Education (ED)</v>
      </c>
      <c r="R1267" s="1">
        <v>6.2962068E7</v>
      </c>
      <c r="S1267" s="1" t="s">
        <v>1252</v>
      </c>
      <c r="T1267" s="1" t="str">
        <f>IF(ISERROR(VLOOKUP(S1267,'unique org names'!A:C,3,FALSE)),S1267,VLOOKUP(S1267,'unique org names'!A:C,3,FALSE))
</f>
        <v>MERCY EDUCATION PROJECT</v>
      </c>
      <c r="V1267" s="1" t="s">
        <v>1253</v>
      </c>
      <c r="W1267" s="1" t="s">
        <v>44</v>
      </c>
      <c r="X1267" s="1" t="s">
        <v>45</v>
      </c>
      <c r="Y1267" s="1">
        <v>4.82161917E8</v>
      </c>
      <c r="AA1267" s="1" t="s">
        <v>44</v>
      </c>
      <c r="AB1267" s="1" t="s">
        <v>45</v>
      </c>
      <c r="AC1267" s="1">
        <v>4.82161917E8</v>
      </c>
      <c r="AF1267" s="1">
        <v>60000.0</v>
      </c>
      <c r="AG1267" s="2">
        <v>41813.0</v>
      </c>
      <c r="AH1267" s="1">
        <v>9100.0</v>
      </c>
      <c r="AI1267" s="1" t="s">
        <v>194</v>
      </c>
      <c r="AJ1267" s="1" t="s">
        <v>2732</v>
      </c>
      <c r="AK1267" s="1" t="s">
        <v>1232</v>
      </c>
      <c r="AL1267" s="1">
        <v>10.0</v>
      </c>
      <c r="AM1267" s="1">
        <v>2014.0</v>
      </c>
      <c r="AN1267" s="1">
        <v>2014.0</v>
      </c>
      <c r="AO1267" s="1" t="s">
        <v>1233</v>
      </c>
    </row>
    <row r="1268">
      <c r="A1268" s="5">
        <v>1.0</v>
      </c>
      <c r="B1268" s="1">
        <f t="shared" si="1"/>
        <v>1268</v>
      </c>
      <c r="C1268" s="1" t="s">
        <v>2721</v>
      </c>
      <c r="D1268" s="1" t="s">
        <v>2721</v>
      </c>
      <c r="E1268" s="1" t="s">
        <v>194</v>
      </c>
      <c r="G1268" s="1">
        <v>1.3188316E7</v>
      </c>
      <c r="H1268" s="2">
        <v>41481.0</v>
      </c>
      <c r="I1268" s="1" t="s">
        <v>1228</v>
      </c>
      <c r="K1268" s="1" t="s">
        <v>1228</v>
      </c>
      <c r="N1268" s="1" t="s">
        <v>194</v>
      </c>
      <c r="O1268" s="1">
        <v>9100.0</v>
      </c>
      <c r="P1268" s="1" t="s">
        <v>194</v>
      </c>
      <c r="Q1268" s="1" t="str">
        <f>IF(ISERROR(VLOOKUP(P1268,'unique fed agency names'!A:C,3,FALSE)),P1268,VLOOKUP(P1268,'unique fed agency names'!A:C,3,FALSE))
</f>
        <v>U.S. Department of Education (ED)</v>
      </c>
      <c r="R1268" s="1">
        <v>7840122.0</v>
      </c>
      <c r="S1268" s="1" t="s">
        <v>1246</v>
      </c>
      <c r="T1268" s="1" t="str">
        <f>IF(ISERROR(VLOOKUP(S1268,'unique org names'!A:C,3,FALSE)),S1268,VLOOKUP(S1268,'unique org names'!A:C,3,FALSE))
</f>
        <v>DETROIT HISPANIC DEVELOPMENT CORPORATION</v>
      </c>
      <c r="V1268" s="1" t="s">
        <v>1247</v>
      </c>
      <c r="W1268" s="1" t="s">
        <v>44</v>
      </c>
      <c r="X1268" s="1" t="s">
        <v>45</v>
      </c>
      <c r="Y1268" s="1">
        <v>4.8216194E8</v>
      </c>
      <c r="AA1268" s="1" t="s">
        <v>44</v>
      </c>
      <c r="AB1268" s="1" t="s">
        <v>45</v>
      </c>
      <c r="AC1268" s="1">
        <v>4.8216194E8</v>
      </c>
      <c r="AF1268" s="1">
        <v>80000.0</v>
      </c>
      <c r="AG1268" s="2">
        <v>41481.0</v>
      </c>
      <c r="AH1268" s="1">
        <v>9100.0</v>
      </c>
      <c r="AI1268" s="1" t="s">
        <v>194</v>
      </c>
      <c r="AJ1268" s="1" t="s">
        <v>2733</v>
      </c>
      <c r="AK1268" s="1" t="s">
        <v>1232</v>
      </c>
      <c r="AL1268" s="1">
        <v>10.0</v>
      </c>
      <c r="AM1268" s="1">
        <v>2014.0</v>
      </c>
      <c r="AN1268" s="1">
        <v>2013.0</v>
      </c>
      <c r="AO1268" s="1" t="s">
        <v>1233</v>
      </c>
    </row>
    <row r="1269">
      <c r="A1269" s="5">
        <v>1.0</v>
      </c>
      <c r="B1269" s="1">
        <f t="shared" si="1"/>
        <v>1269</v>
      </c>
      <c r="C1269" s="1" t="s">
        <v>2734</v>
      </c>
      <c r="D1269" s="1" t="s">
        <v>2734</v>
      </c>
      <c r="E1269" s="1" t="s">
        <v>224</v>
      </c>
      <c r="G1269" s="1">
        <v>123048.0</v>
      </c>
      <c r="H1269" s="2">
        <v>41891.0</v>
      </c>
      <c r="I1269" s="1" t="s">
        <v>2735</v>
      </c>
      <c r="K1269" s="1" t="s">
        <v>2735</v>
      </c>
      <c r="N1269" s="1" t="s">
        <v>151</v>
      </c>
      <c r="O1269" s="1">
        <v>6900.0</v>
      </c>
      <c r="P1269" s="1" t="s">
        <v>151</v>
      </c>
      <c r="Q1269" s="1" t="str">
        <f>IF(ISERROR(VLOOKUP(P1269,'unique fed agency names'!A:C,3,FALSE)),P1269,VLOOKUP(P1269,'unique fed agency names'!A:C,3,FALSE))
</f>
        <v>U.S. Department of Transportation (DOT)</v>
      </c>
      <c r="R1269" s="1">
        <v>9.63886101E8</v>
      </c>
      <c r="S1269" s="1" t="s">
        <v>259</v>
      </c>
      <c r="T1269" s="1" t="str">
        <f>IF(ISERROR(VLOOKUP(S1269,'unique org names'!A:C,3,FALSE)),S1269,VLOOKUP(S1269,'unique org names'!A:C,3,FALSE))
</f>
        <v>Wayne County</v>
      </c>
      <c r="U1269" s="1" t="s">
        <v>1795</v>
      </c>
      <c r="V1269" s="1" t="s">
        <v>260</v>
      </c>
      <c r="W1269" s="1" t="s">
        <v>44</v>
      </c>
      <c r="X1269" s="1" t="s">
        <v>45</v>
      </c>
      <c r="Y1269" s="1">
        <v>4.8226348E8</v>
      </c>
      <c r="AA1269" s="1" t="s">
        <v>46</v>
      </c>
      <c r="AB1269" s="1" t="s">
        <v>45</v>
      </c>
      <c r="AC1269" s="1">
        <v>4.8226348E8</v>
      </c>
      <c r="AD1269" s="1">
        <v>7.3134884E7</v>
      </c>
      <c r="AE1269" s="1" t="s">
        <v>1796</v>
      </c>
      <c r="AF1269" s="1">
        <v>123048.0</v>
      </c>
      <c r="AG1269" s="2">
        <v>41891.0</v>
      </c>
      <c r="AH1269" s="1">
        <v>6900.0</v>
      </c>
      <c r="AI1269" s="1" t="s">
        <v>151</v>
      </c>
      <c r="AJ1269" s="1">
        <v>145553.0</v>
      </c>
      <c r="AK1269" s="1" t="s">
        <v>2736</v>
      </c>
      <c r="AL1269" s="1">
        <v>10.0</v>
      </c>
      <c r="AM1269" s="1">
        <v>2014.0</v>
      </c>
      <c r="AN1269" s="1">
        <v>2014.0</v>
      </c>
      <c r="AO1269" s="1" t="s">
        <v>229</v>
      </c>
    </row>
    <row r="1270">
      <c r="A1270" s="5">
        <v>1.0</v>
      </c>
      <c r="B1270" s="1">
        <f t="shared" si="1"/>
        <v>1270</v>
      </c>
      <c r="C1270" s="1" t="s">
        <v>2332</v>
      </c>
      <c r="D1270" s="1" t="s">
        <v>2332</v>
      </c>
      <c r="E1270" s="1" t="s">
        <v>100</v>
      </c>
      <c r="G1270" s="1">
        <v>2903719.0</v>
      </c>
      <c r="H1270" s="2">
        <v>41287.0</v>
      </c>
      <c r="I1270" s="1" t="s">
        <v>361</v>
      </c>
      <c r="K1270" s="1" t="s">
        <v>361</v>
      </c>
      <c r="N1270" s="1" t="s">
        <v>102</v>
      </c>
      <c r="O1270" s="1">
        <v>8600.0</v>
      </c>
      <c r="P1270" s="1" t="s">
        <v>102</v>
      </c>
      <c r="Q1270" s="1" t="str">
        <f>IF(ISERROR(VLOOKUP(P1270,'unique fed agency names'!A:C,3,FALSE)),P1270,VLOOKUP(P1270,'unique fed agency names'!A:C,3,FALSE))
</f>
        <v>U.S. Department of Housing and Urban Development (HUD)</v>
      </c>
      <c r="R1270" s="1">
        <v>4.0560898E7</v>
      </c>
      <c r="S1270" s="1" t="s">
        <v>2304</v>
      </c>
      <c r="T1270" s="1" t="str">
        <f>IF(ISERROR(VLOOKUP(S1270,'unique org names'!A:C,3,FALSE)),S1270,VLOOKUP(S1270,'unique org names'!A:C,3,FALSE))
</f>
        <v>Legal Aid and Defender Association</v>
      </c>
      <c r="V1270" s="1" t="s">
        <v>2305</v>
      </c>
      <c r="W1270" s="1" t="s">
        <v>44</v>
      </c>
      <c r="X1270" s="1" t="s">
        <v>45</v>
      </c>
      <c r="Y1270" s="1">
        <v>4.82261348E8</v>
      </c>
      <c r="AA1270" s="1" t="s">
        <v>46</v>
      </c>
      <c r="AB1270" s="1" t="s">
        <v>45</v>
      </c>
      <c r="AC1270" s="1">
        <v>4.82261348E8</v>
      </c>
      <c r="AD1270" s="1">
        <v>4.0560898E7</v>
      </c>
      <c r="AE1270" s="1" t="s">
        <v>2304</v>
      </c>
      <c r="AF1270" s="1">
        <v>200000.0</v>
      </c>
      <c r="AG1270" s="2">
        <v>41287.0</v>
      </c>
      <c r="AH1270" s="1">
        <v>8600.0</v>
      </c>
      <c r="AI1270" s="1" t="s">
        <v>102</v>
      </c>
      <c r="AJ1270" s="1">
        <v>4.0</v>
      </c>
      <c r="AK1270" s="1" t="s">
        <v>2737</v>
      </c>
      <c r="AL1270" s="1">
        <v>2.0</v>
      </c>
      <c r="AM1270" s="1">
        <v>2013.0</v>
      </c>
      <c r="AN1270" s="1">
        <v>2013.0</v>
      </c>
      <c r="AO1270" s="1" t="s">
        <v>367</v>
      </c>
    </row>
    <row r="1271">
      <c r="A1271" s="5">
        <v>1.0</v>
      </c>
      <c r="B1271" s="1">
        <f t="shared" si="1"/>
        <v>1271</v>
      </c>
      <c r="C1271" s="1" t="s">
        <v>2332</v>
      </c>
      <c r="D1271" s="1" t="s">
        <v>2332</v>
      </c>
      <c r="E1271" s="1" t="s">
        <v>100</v>
      </c>
      <c r="G1271" s="1">
        <v>2903719.0</v>
      </c>
      <c r="H1271" s="2">
        <v>41287.0</v>
      </c>
      <c r="I1271" s="1" t="s">
        <v>361</v>
      </c>
      <c r="K1271" s="1" t="s">
        <v>361</v>
      </c>
      <c r="N1271" s="1" t="s">
        <v>102</v>
      </c>
      <c r="O1271" s="1">
        <v>8600.0</v>
      </c>
      <c r="P1271" s="1" t="s">
        <v>102</v>
      </c>
      <c r="Q1271" s="1" t="str">
        <f>IF(ISERROR(VLOOKUP(P1271,'unique fed agency names'!A:C,3,FALSE)),P1271,VLOOKUP(P1271,'unique fed agency names'!A:C,3,FALSE))
</f>
        <v>U.S. Department of Housing and Urban Development (HUD)</v>
      </c>
      <c r="R1271" s="1">
        <v>4.3419399E7</v>
      </c>
      <c r="S1271" s="1" t="s">
        <v>979</v>
      </c>
      <c r="T1271" s="1" t="str">
        <f>IF(ISERROR(VLOOKUP(S1271,'unique org names'!A:C,3,FALSE)),S1271,VLOOKUP(S1271,'unique org names'!A:C,3,FALSE))
</f>
        <v>NEIGHBORHOOD SERVICE ORGANIZATION</v>
      </c>
      <c r="V1271" s="1" t="s">
        <v>1934</v>
      </c>
      <c r="W1271" s="1" t="s">
        <v>44</v>
      </c>
      <c r="X1271" s="1" t="s">
        <v>45</v>
      </c>
      <c r="Y1271" s="1">
        <v>4.82384019E8</v>
      </c>
      <c r="AA1271" s="1" t="s">
        <v>46</v>
      </c>
      <c r="AB1271" s="1" t="s">
        <v>45</v>
      </c>
      <c r="AC1271" s="1">
        <v>4.82384019E8</v>
      </c>
      <c r="AD1271" s="1">
        <v>4.3419399E7</v>
      </c>
      <c r="AE1271" s="1" t="s">
        <v>979</v>
      </c>
      <c r="AF1271" s="1">
        <v>313963.0</v>
      </c>
      <c r="AG1271" s="2">
        <v>41287.0</v>
      </c>
      <c r="AH1271" s="1">
        <v>8600.0</v>
      </c>
      <c r="AI1271" s="1" t="s">
        <v>102</v>
      </c>
      <c r="AJ1271" s="1">
        <v>6.0</v>
      </c>
      <c r="AK1271" s="1" t="s">
        <v>2738</v>
      </c>
      <c r="AL1271" s="1">
        <v>2.0</v>
      </c>
      <c r="AM1271" s="1">
        <v>2013.0</v>
      </c>
      <c r="AN1271" s="1">
        <v>2013.0</v>
      </c>
      <c r="AO1271" s="1" t="s">
        <v>367</v>
      </c>
    </row>
    <row r="1272">
      <c r="A1272" s="5">
        <v>1.0</v>
      </c>
      <c r="B1272" s="1">
        <f t="shared" si="1"/>
        <v>1272</v>
      </c>
      <c r="C1272" s="1" t="s">
        <v>2332</v>
      </c>
      <c r="D1272" s="1" t="s">
        <v>2332</v>
      </c>
      <c r="E1272" s="1" t="s">
        <v>100</v>
      </c>
      <c r="G1272" s="1">
        <v>2903719.0</v>
      </c>
      <c r="H1272" s="2">
        <v>41287.0</v>
      </c>
      <c r="I1272" s="1" t="s">
        <v>361</v>
      </c>
      <c r="K1272" s="1" t="s">
        <v>361</v>
      </c>
      <c r="N1272" s="1" t="s">
        <v>102</v>
      </c>
      <c r="O1272" s="1">
        <v>8600.0</v>
      </c>
      <c r="P1272" s="1" t="s">
        <v>102</v>
      </c>
      <c r="Q1272" s="1" t="str">
        <f>IF(ISERROR(VLOOKUP(P1272,'unique fed agency names'!A:C,3,FALSE)),P1272,VLOOKUP(P1272,'unique fed agency names'!A:C,3,FALSE))
</f>
        <v>U.S. Department of Housing and Urban Development (HUD)</v>
      </c>
      <c r="R1272" s="1">
        <v>8.44806708E8</v>
      </c>
      <c r="S1272" s="1" t="s">
        <v>103</v>
      </c>
      <c r="T1272" s="1" t="str">
        <f>IF(ISERROR(VLOOKUP(S1272,'unique org names'!A:C,3,FALSE)),S1272,VLOOKUP(S1272,'unique org names'!A:C,3,FALSE))
</f>
        <v>SOUTHWEST HOUSING SOLUTIONS CORPORATION</v>
      </c>
      <c r="U1272" s="1" t="s">
        <v>1507</v>
      </c>
      <c r="V1272" s="1" t="s">
        <v>1006</v>
      </c>
      <c r="W1272" s="1" t="s">
        <v>44</v>
      </c>
      <c r="X1272" s="1" t="s">
        <v>45</v>
      </c>
      <c r="Y1272" s="1">
        <v>4.82092022E8</v>
      </c>
      <c r="AA1272" s="1" t="s">
        <v>46</v>
      </c>
      <c r="AB1272" s="1" t="s">
        <v>45</v>
      </c>
      <c r="AC1272" s="1">
        <v>4.82092022E8</v>
      </c>
      <c r="AD1272" s="1">
        <v>7.6385699E7</v>
      </c>
      <c r="AE1272" s="1" t="s">
        <v>106</v>
      </c>
      <c r="AF1272" s="1">
        <v>500000.0</v>
      </c>
      <c r="AG1272" s="2">
        <v>41287.0</v>
      </c>
      <c r="AH1272" s="1">
        <v>8600.0</v>
      </c>
      <c r="AI1272" s="1" t="s">
        <v>102</v>
      </c>
      <c r="AJ1272" s="1">
        <v>9.0</v>
      </c>
      <c r="AK1272" s="1" t="s">
        <v>2337</v>
      </c>
      <c r="AL1272" s="1">
        <v>2.0</v>
      </c>
      <c r="AM1272" s="1">
        <v>2013.0</v>
      </c>
      <c r="AN1272" s="1">
        <v>2013.0</v>
      </c>
      <c r="AO1272" s="1" t="s">
        <v>367</v>
      </c>
    </row>
    <row r="1273">
      <c r="A1273" s="5">
        <v>1.0</v>
      </c>
      <c r="B1273" s="1">
        <f t="shared" si="1"/>
        <v>1273</v>
      </c>
      <c r="C1273" s="1" t="s">
        <v>2332</v>
      </c>
      <c r="D1273" s="1" t="s">
        <v>2332</v>
      </c>
      <c r="E1273" s="1" t="s">
        <v>100</v>
      </c>
      <c r="G1273" s="1">
        <v>2903719.0</v>
      </c>
      <c r="H1273" s="2">
        <v>41287.0</v>
      </c>
      <c r="I1273" s="1" t="s">
        <v>361</v>
      </c>
      <c r="K1273" s="1" t="s">
        <v>361</v>
      </c>
      <c r="N1273" s="1" t="s">
        <v>102</v>
      </c>
      <c r="O1273" s="1">
        <v>8600.0</v>
      </c>
      <c r="P1273" s="1" t="s">
        <v>102</v>
      </c>
      <c r="Q1273" s="1" t="str">
        <f>IF(ISERROR(VLOOKUP(P1273,'unique fed agency names'!A:C,3,FALSE)),P1273,VLOOKUP(P1273,'unique fed agency names'!A:C,3,FALSE))
</f>
        <v>U.S. Department of Housing and Urban Development (HUD)</v>
      </c>
      <c r="R1273" s="1">
        <v>1.06504459E8</v>
      </c>
      <c r="S1273" s="1" t="s">
        <v>2240</v>
      </c>
      <c r="T1273" s="1" t="str">
        <f>IF(ISERROR(VLOOKUP(S1273,'unique org names'!A:C,3,FALSE)),S1273,VLOOKUP(S1273,'unique org names'!A:C,3,FALSE))
</f>
        <v>Operation Get Down</v>
      </c>
      <c r="V1273" s="1" t="s">
        <v>2241</v>
      </c>
      <c r="W1273" s="1" t="s">
        <v>44</v>
      </c>
      <c r="X1273" s="1" t="s">
        <v>45</v>
      </c>
      <c r="Y1273" s="1">
        <v>4.82133112E8</v>
      </c>
      <c r="AA1273" s="1" t="s">
        <v>46</v>
      </c>
      <c r="AB1273" s="1" t="s">
        <v>45</v>
      </c>
      <c r="AC1273" s="1">
        <v>4.82133112E8</v>
      </c>
      <c r="AF1273" s="1">
        <v>200000.0</v>
      </c>
      <c r="AG1273" s="2">
        <v>41287.0</v>
      </c>
      <c r="AH1273" s="1">
        <v>8600.0</v>
      </c>
      <c r="AI1273" s="1" t="s">
        <v>102</v>
      </c>
      <c r="AJ1273" s="1">
        <v>7.0</v>
      </c>
      <c r="AK1273" s="1" t="s">
        <v>2739</v>
      </c>
      <c r="AL1273" s="1">
        <v>2.0</v>
      </c>
      <c r="AM1273" s="1">
        <v>2013.0</v>
      </c>
      <c r="AN1273" s="1">
        <v>2013.0</v>
      </c>
      <c r="AO1273" s="1" t="s">
        <v>367</v>
      </c>
    </row>
    <row r="1274">
      <c r="A1274" s="5">
        <v>1.0</v>
      </c>
      <c r="B1274" s="1">
        <f t="shared" si="1"/>
        <v>1274</v>
      </c>
      <c r="C1274" s="1" t="s">
        <v>2332</v>
      </c>
      <c r="D1274" s="1" t="s">
        <v>2332</v>
      </c>
      <c r="E1274" s="1" t="s">
        <v>100</v>
      </c>
      <c r="G1274" s="1">
        <v>2903719.0</v>
      </c>
      <c r="H1274" s="2">
        <v>41287.0</v>
      </c>
      <c r="I1274" s="1" t="s">
        <v>361</v>
      </c>
      <c r="K1274" s="1" t="s">
        <v>361</v>
      </c>
      <c r="N1274" s="1" t="s">
        <v>102</v>
      </c>
      <c r="O1274" s="1">
        <v>8600.0</v>
      </c>
      <c r="P1274" s="1" t="s">
        <v>102</v>
      </c>
      <c r="Q1274" s="1" t="str">
        <f>IF(ISERROR(VLOOKUP(P1274,'unique fed agency names'!A:C,3,FALSE)),P1274,VLOOKUP(P1274,'unique fed agency names'!A:C,3,FALSE))
</f>
        <v>U.S. Department of Housing and Urban Development (HUD)</v>
      </c>
      <c r="R1274" s="1">
        <v>1.6752507E8</v>
      </c>
      <c r="S1274" s="1" t="s">
        <v>2352</v>
      </c>
      <c r="T1274" s="1" t="str">
        <f>IF(ISERROR(VLOOKUP(S1274,'unique org names'!A:C,3,FALSE)),S1274,VLOOKUP(S1274,'unique org names'!A:C,3,FALSE))
</f>
        <v>Cass Community Social Services, Inc</v>
      </c>
      <c r="V1274" s="1" t="s">
        <v>2353</v>
      </c>
      <c r="W1274" s="1" t="s">
        <v>44</v>
      </c>
      <c r="X1274" s="1" t="s">
        <v>45</v>
      </c>
      <c r="Y1274" s="1">
        <v>4.82061351E8</v>
      </c>
      <c r="AA1274" s="1" t="s">
        <v>46</v>
      </c>
      <c r="AB1274" s="1" t="s">
        <v>45</v>
      </c>
      <c r="AC1274" s="1">
        <v>4.82061351E8</v>
      </c>
      <c r="AD1274" s="1">
        <v>1.6752507E8</v>
      </c>
      <c r="AE1274" s="1" t="s">
        <v>2352</v>
      </c>
      <c r="AF1274" s="1">
        <v>280000.0</v>
      </c>
      <c r="AG1274" s="2">
        <v>41287.0</v>
      </c>
      <c r="AH1274" s="1">
        <v>8600.0</v>
      </c>
      <c r="AI1274" s="1" t="s">
        <v>102</v>
      </c>
      <c r="AJ1274" s="1">
        <v>5.0</v>
      </c>
      <c r="AK1274" s="1" t="s">
        <v>2740</v>
      </c>
      <c r="AL1274" s="1">
        <v>2.0</v>
      </c>
      <c r="AM1274" s="1">
        <v>2013.0</v>
      </c>
      <c r="AN1274" s="1">
        <v>2013.0</v>
      </c>
      <c r="AO1274" s="1" t="s">
        <v>367</v>
      </c>
    </row>
    <row r="1275">
      <c r="A1275" s="5">
        <v>1.0</v>
      </c>
      <c r="B1275" s="1">
        <f t="shared" si="1"/>
        <v>1275</v>
      </c>
      <c r="C1275" s="1" t="s">
        <v>2332</v>
      </c>
      <c r="D1275" s="1" t="s">
        <v>2332</v>
      </c>
      <c r="E1275" s="1" t="s">
        <v>100</v>
      </c>
      <c r="G1275" s="1">
        <v>2903719.0</v>
      </c>
      <c r="H1275" s="2">
        <v>41288.0</v>
      </c>
      <c r="I1275" s="1" t="s">
        <v>361</v>
      </c>
      <c r="K1275" s="1" t="s">
        <v>361</v>
      </c>
      <c r="N1275" s="1" t="s">
        <v>102</v>
      </c>
      <c r="O1275" s="1">
        <v>8600.0</v>
      </c>
      <c r="P1275" s="1" t="s">
        <v>102</v>
      </c>
      <c r="Q1275" s="1" t="str">
        <f>IF(ISERROR(VLOOKUP(P1275,'unique fed agency names'!A:C,3,FALSE)),P1275,VLOOKUP(P1275,'unique fed agency names'!A:C,3,FALSE))
</f>
        <v>U.S. Department of Housing and Urban Development (HUD)</v>
      </c>
      <c r="R1275" s="1">
        <v>4.3419399E7</v>
      </c>
      <c r="S1275" s="1" t="s">
        <v>979</v>
      </c>
      <c r="T1275" s="1" t="str">
        <f>IF(ISERROR(VLOOKUP(S1275,'unique org names'!A:C,3,FALSE)),S1275,VLOOKUP(S1275,'unique org names'!A:C,3,FALSE))
</f>
        <v>NEIGHBORHOOD SERVICE ORGANIZATION</v>
      </c>
      <c r="V1275" s="1" t="s">
        <v>980</v>
      </c>
      <c r="W1275" s="1" t="s">
        <v>44</v>
      </c>
      <c r="X1275" s="1" t="s">
        <v>45</v>
      </c>
      <c r="Y1275" s="1">
        <v>4.82261412E8</v>
      </c>
      <c r="AA1275" s="1" t="s">
        <v>46</v>
      </c>
      <c r="AB1275" s="1" t="s">
        <v>45</v>
      </c>
      <c r="AC1275" s="1">
        <v>4.82261412E8</v>
      </c>
      <c r="AD1275" s="1">
        <v>4.3419399E7</v>
      </c>
      <c r="AE1275" s="1" t="s">
        <v>979</v>
      </c>
      <c r="AF1275" s="1">
        <v>313963.0</v>
      </c>
      <c r="AG1275" s="2">
        <v>41288.0</v>
      </c>
      <c r="AH1275" s="1">
        <v>8600.0</v>
      </c>
      <c r="AI1275" s="1" t="s">
        <v>102</v>
      </c>
      <c r="AJ1275" s="1">
        <v>6.0</v>
      </c>
      <c r="AK1275" s="1" t="s">
        <v>2741</v>
      </c>
      <c r="AL1275" s="1">
        <v>2.0</v>
      </c>
      <c r="AM1275" s="1">
        <v>2013.0</v>
      </c>
      <c r="AN1275" s="1">
        <v>2013.0</v>
      </c>
      <c r="AO1275" s="1" t="s">
        <v>367</v>
      </c>
    </row>
    <row r="1276">
      <c r="A1276" s="5">
        <v>1.0</v>
      </c>
      <c r="B1276" s="1">
        <f t="shared" si="1"/>
        <v>1276</v>
      </c>
      <c r="C1276" s="1" t="s">
        <v>2742</v>
      </c>
      <c r="D1276" s="1" t="s">
        <v>2742</v>
      </c>
      <c r="E1276" s="1" t="s">
        <v>100</v>
      </c>
      <c r="G1276" s="1">
        <v>2433238.0</v>
      </c>
      <c r="H1276" s="2">
        <v>41598.0</v>
      </c>
      <c r="I1276" s="1" t="s">
        <v>1433</v>
      </c>
      <c r="K1276" s="1" t="s">
        <v>1433</v>
      </c>
      <c r="N1276" s="1" t="s">
        <v>102</v>
      </c>
      <c r="O1276" s="1">
        <v>8600.0</v>
      </c>
      <c r="P1276" s="1" t="s">
        <v>102</v>
      </c>
      <c r="Q1276" s="1" t="str">
        <f>IF(ISERROR(VLOOKUP(P1276,'unique fed agency names'!A:C,3,FALSE)),P1276,VLOOKUP(P1276,'unique fed agency names'!A:C,3,FALSE))
</f>
        <v>U.S. Department of Housing and Urban Development (HUD)</v>
      </c>
      <c r="R1276" s="1">
        <v>8.06464913E8</v>
      </c>
      <c r="S1276" s="1" t="s">
        <v>2205</v>
      </c>
      <c r="T1276" s="1" t="str">
        <f>IF(ISERROR(VLOOKUP(S1276,'unique org names'!A:C,3,FALSE)),S1276,VLOOKUP(S1276,'unique org names'!A:C,3,FALSE))
</f>
        <v>Covenant House Michigan</v>
      </c>
      <c r="U1276" s="1" t="s">
        <v>2206</v>
      </c>
      <c r="V1276" s="1" t="s">
        <v>2207</v>
      </c>
      <c r="W1276" s="1" t="s">
        <v>44</v>
      </c>
      <c r="X1276" s="1" t="s">
        <v>45</v>
      </c>
      <c r="Y1276" s="1">
        <v>4.82082475E8</v>
      </c>
      <c r="AA1276" s="1" t="s">
        <v>46</v>
      </c>
      <c r="AB1276" s="1" t="s">
        <v>45</v>
      </c>
      <c r="AC1276" s="1">
        <v>4.82082474E8</v>
      </c>
      <c r="AF1276" s="1">
        <v>100000.0</v>
      </c>
      <c r="AG1276" s="2">
        <v>41598.0</v>
      </c>
      <c r="AH1276" s="1">
        <v>8600.0</v>
      </c>
      <c r="AI1276" s="1" t="s">
        <v>102</v>
      </c>
      <c r="AJ1276" s="1">
        <v>8.0</v>
      </c>
      <c r="AK1276" s="1" t="s">
        <v>2743</v>
      </c>
      <c r="AL1276" s="1">
        <v>6.0</v>
      </c>
      <c r="AM1276" s="1">
        <v>2014.0</v>
      </c>
      <c r="AN1276" s="1">
        <v>2014.0</v>
      </c>
      <c r="AO1276" s="1" t="s">
        <v>367</v>
      </c>
    </row>
    <row r="1277">
      <c r="A1277" s="5">
        <v>1.0</v>
      </c>
      <c r="B1277" s="1">
        <f t="shared" si="1"/>
        <v>1277</v>
      </c>
      <c r="C1277" s="1" t="s">
        <v>2742</v>
      </c>
      <c r="D1277" s="1" t="s">
        <v>2742</v>
      </c>
      <c r="E1277" s="1" t="s">
        <v>100</v>
      </c>
      <c r="G1277" s="1">
        <v>2433238.0</v>
      </c>
      <c r="H1277" s="2">
        <v>41598.0</v>
      </c>
      <c r="I1277" s="1" t="s">
        <v>1433</v>
      </c>
      <c r="K1277" s="1" t="s">
        <v>1433</v>
      </c>
      <c r="N1277" s="1" t="s">
        <v>102</v>
      </c>
      <c r="O1277" s="1">
        <v>8600.0</v>
      </c>
      <c r="P1277" s="1" t="s">
        <v>102</v>
      </c>
      <c r="Q1277" s="1" t="str">
        <f>IF(ISERROR(VLOOKUP(P1277,'unique fed agency names'!A:C,3,FALSE)),P1277,VLOOKUP(P1277,'unique fed agency names'!A:C,3,FALSE))
</f>
        <v>U.S. Department of Housing and Urban Development (HUD)</v>
      </c>
      <c r="R1277" s="1">
        <v>1.6752507E8</v>
      </c>
      <c r="S1277" s="1" t="s">
        <v>2352</v>
      </c>
      <c r="T1277" s="1" t="str">
        <f>IF(ISERROR(VLOOKUP(S1277,'unique org names'!A:C,3,FALSE)),S1277,VLOOKUP(S1277,'unique org names'!A:C,3,FALSE))
</f>
        <v>Cass Community Social Services, Inc</v>
      </c>
      <c r="V1277" s="1" t="s">
        <v>2353</v>
      </c>
      <c r="W1277" s="1" t="s">
        <v>44</v>
      </c>
      <c r="X1277" s="1" t="s">
        <v>45</v>
      </c>
      <c r="Y1277" s="1">
        <v>4.82061351E8</v>
      </c>
      <c r="AA1277" s="1" t="s">
        <v>46</v>
      </c>
      <c r="AB1277" s="1" t="s">
        <v>45</v>
      </c>
      <c r="AC1277" s="1">
        <v>4.82061315E8</v>
      </c>
      <c r="AD1277" s="1">
        <v>1.6752507E8</v>
      </c>
      <c r="AE1277" s="1" t="s">
        <v>2352</v>
      </c>
      <c r="AF1277" s="1">
        <v>100000.0</v>
      </c>
      <c r="AG1277" s="2">
        <v>41598.0</v>
      </c>
      <c r="AH1277" s="1">
        <v>8600.0</v>
      </c>
      <c r="AI1277" s="1" t="s">
        <v>102</v>
      </c>
      <c r="AJ1277" s="1">
        <v>11.0</v>
      </c>
      <c r="AK1277" s="1" t="s">
        <v>2337</v>
      </c>
      <c r="AL1277" s="1">
        <v>6.0</v>
      </c>
      <c r="AM1277" s="1">
        <v>2014.0</v>
      </c>
      <c r="AN1277" s="1">
        <v>2014.0</v>
      </c>
      <c r="AO1277" s="1" t="s">
        <v>367</v>
      </c>
    </row>
    <row r="1278">
      <c r="A1278" s="5">
        <v>1.0</v>
      </c>
      <c r="B1278" s="1">
        <f t="shared" si="1"/>
        <v>1278</v>
      </c>
      <c r="C1278" s="1" t="s">
        <v>2742</v>
      </c>
      <c r="D1278" s="1" t="s">
        <v>2742</v>
      </c>
      <c r="E1278" s="1" t="s">
        <v>100</v>
      </c>
      <c r="G1278" s="1">
        <v>2433238.0</v>
      </c>
      <c r="H1278" s="2">
        <v>41598.0</v>
      </c>
      <c r="I1278" s="1" t="s">
        <v>1433</v>
      </c>
      <c r="K1278" s="1" t="s">
        <v>1433</v>
      </c>
      <c r="N1278" s="1" t="s">
        <v>102</v>
      </c>
      <c r="O1278" s="1">
        <v>8600.0</v>
      </c>
      <c r="P1278" s="1" t="s">
        <v>102</v>
      </c>
      <c r="Q1278" s="1" t="str">
        <f>IF(ISERROR(VLOOKUP(P1278,'unique fed agency names'!A:C,3,FALSE)),P1278,VLOOKUP(P1278,'unique fed agency names'!A:C,3,FALSE))
</f>
        <v>U.S. Department of Housing and Urban Development (HUD)</v>
      </c>
      <c r="R1278" s="1">
        <v>1.42793053E8</v>
      </c>
      <c r="S1278" s="1" t="s">
        <v>994</v>
      </c>
      <c r="T1278" s="1" t="str">
        <f>IF(ISERROR(VLOOKUP(S1278,'unique org names'!A:C,3,FALSE)),S1278,VLOOKUP(S1278,'unique org names'!A:C,3,FALSE))
</f>
        <v>CARE FIRST COMMUNITY HEALTH SERVICES</v>
      </c>
      <c r="V1278" s="1" t="s">
        <v>995</v>
      </c>
      <c r="W1278" s="1" t="s">
        <v>44</v>
      </c>
      <c r="X1278" s="1" t="s">
        <v>45</v>
      </c>
      <c r="Y1278" s="1">
        <v>4.82282721E8</v>
      </c>
      <c r="AA1278" s="1" t="s">
        <v>46</v>
      </c>
      <c r="AB1278" s="1" t="s">
        <v>45</v>
      </c>
      <c r="AC1278" s="1">
        <v>4.82282721E8</v>
      </c>
      <c r="AF1278" s="1">
        <v>100000.0</v>
      </c>
      <c r="AG1278" s="2">
        <v>41598.0</v>
      </c>
      <c r="AH1278" s="1">
        <v>8600.0</v>
      </c>
      <c r="AI1278" s="1" t="s">
        <v>102</v>
      </c>
      <c r="AJ1278" s="1">
        <v>11.0</v>
      </c>
      <c r="AK1278" s="1" t="s">
        <v>2744</v>
      </c>
      <c r="AL1278" s="1">
        <v>6.0</v>
      </c>
      <c r="AM1278" s="1">
        <v>2014.0</v>
      </c>
      <c r="AN1278" s="1">
        <v>2014.0</v>
      </c>
      <c r="AO1278" s="1" t="s">
        <v>367</v>
      </c>
    </row>
    <row r="1279">
      <c r="A1279" s="5">
        <v>1.0</v>
      </c>
      <c r="B1279" s="1">
        <f t="shared" si="1"/>
        <v>1279</v>
      </c>
      <c r="C1279" s="1" t="s">
        <v>2742</v>
      </c>
      <c r="D1279" s="1" t="s">
        <v>2742</v>
      </c>
      <c r="E1279" s="1" t="s">
        <v>100</v>
      </c>
      <c r="G1279" s="1">
        <v>2433238.0</v>
      </c>
      <c r="H1279" s="2">
        <v>41598.0</v>
      </c>
      <c r="I1279" s="1" t="s">
        <v>1433</v>
      </c>
      <c r="K1279" s="1" t="s">
        <v>1433</v>
      </c>
      <c r="N1279" s="1" t="s">
        <v>102</v>
      </c>
      <c r="O1279" s="1">
        <v>8600.0</v>
      </c>
      <c r="P1279" s="1" t="s">
        <v>102</v>
      </c>
      <c r="Q1279" s="1" t="str">
        <f>IF(ISERROR(VLOOKUP(P1279,'unique fed agency names'!A:C,3,FALSE)),P1279,VLOOKUP(P1279,'unique fed agency names'!A:C,3,FALSE))
</f>
        <v>U.S. Department of Housing and Urban Development (HUD)</v>
      </c>
      <c r="R1279" s="1">
        <v>1.586118E7</v>
      </c>
      <c r="S1279" s="1" t="s">
        <v>2334</v>
      </c>
      <c r="T1279" s="1" t="str">
        <f>IF(ISERROR(VLOOKUP(S1279,'unique org names'!A:C,3,FALSE)),S1279,VLOOKUP(S1279,'unique org names'!A:C,3,FALSE))
</f>
        <v>The Salvation Army</v>
      </c>
      <c r="U1279" s="1" t="s">
        <v>2335</v>
      </c>
      <c r="V1279" s="1" t="s">
        <v>2336</v>
      </c>
      <c r="W1279" s="1" t="s">
        <v>44</v>
      </c>
      <c r="X1279" s="1" t="s">
        <v>45</v>
      </c>
      <c r="Y1279" s="1">
        <v>4.820825E8</v>
      </c>
      <c r="AA1279" s="1" t="s">
        <v>46</v>
      </c>
      <c r="AB1279" s="1" t="s">
        <v>45</v>
      </c>
      <c r="AC1279" s="1">
        <v>4.820825E8</v>
      </c>
      <c r="AD1279" s="1">
        <v>1.25435284E8</v>
      </c>
      <c r="AF1279" s="1">
        <v>250000.0</v>
      </c>
      <c r="AG1279" s="2">
        <v>41598.0</v>
      </c>
      <c r="AH1279" s="1">
        <v>8600.0</v>
      </c>
      <c r="AI1279" s="1" t="s">
        <v>102</v>
      </c>
      <c r="AJ1279" s="1">
        <v>2.0</v>
      </c>
      <c r="AK1279" s="1" t="s">
        <v>2745</v>
      </c>
      <c r="AL1279" s="1">
        <v>6.0</v>
      </c>
      <c r="AM1279" s="1">
        <v>2014.0</v>
      </c>
      <c r="AN1279" s="1">
        <v>2014.0</v>
      </c>
      <c r="AO1279" s="1" t="s">
        <v>367</v>
      </c>
    </row>
    <row r="1280">
      <c r="A1280" s="5">
        <v>1.0</v>
      </c>
      <c r="B1280" s="1">
        <f t="shared" si="1"/>
        <v>1280</v>
      </c>
      <c r="C1280" s="1" t="s">
        <v>2742</v>
      </c>
      <c r="D1280" s="1" t="s">
        <v>2742</v>
      </c>
      <c r="E1280" s="1" t="s">
        <v>100</v>
      </c>
      <c r="G1280" s="1">
        <v>2433238.0</v>
      </c>
      <c r="H1280" s="2">
        <v>41598.0</v>
      </c>
      <c r="I1280" s="1" t="s">
        <v>1433</v>
      </c>
      <c r="K1280" s="1" t="s">
        <v>1433</v>
      </c>
      <c r="N1280" s="1" t="s">
        <v>102</v>
      </c>
      <c r="O1280" s="1">
        <v>8600.0</v>
      </c>
      <c r="P1280" s="1" t="s">
        <v>102</v>
      </c>
      <c r="Q1280" s="1" t="str">
        <f>IF(ISERROR(VLOOKUP(P1280,'unique fed agency names'!A:C,3,FALSE)),P1280,VLOOKUP(P1280,'unique fed agency names'!A:C,3,FALSE))
</f>
        <v>U.S. Department of Housing and Urban Development (HUD)</v>
      </c>
      <c r="R1280" s="1">
        <v>9.4547247E7</v>
      </c>
      <c r="S1280" s="1" t="s">
        <v>2201</v>
      </c>
      <c r="T1280" s="1" t="str">
        <f>IF(ISERROR(VLOOKUP(S1280,'unique org names'!A:C,3,FALSE)),S1280,VLOOKUP(S1280,'unique org names'!A:C,3,FALSE))
</f>
        <v>Detroit Rescue Mission Ministries</v>
      </c>
      <c r="U1280" s="1" t="s">
        <v>2202</v>
      </c>
      <c r="V1280" s="1" t="s">
        <v>2203</v>
      </c>
      <c r="W1280" s="1" t="s">
        <v>44</v>
      </c>
      <c r="X1280" s="1" t="s">
        <v>45</v>
      </c>
      <c r="Y1280" s="1">
        <v>4.8201241E8</v>
      </c>
      <c r="AA1280" s="1" t="s">
        <v>46</v>
      </c>
      <c r="AB1280" s="1" t="s">
        <v>45</v>
      </c>
      <c r="AC1280" s="1">
        <v>4.8201241E8</v>
      </c>
      <c r="AD1280" s="1">
        <v>9.4547247E7</v>
      </c>
      <c r="AE1280" s="1" t="s">
        <v>2201</v>
      </c>
      <c r="AF1280" s="1">
        <v>314120.0</v>
      </c>
      <c r="AG1280" s="2">
        <v>41598.0</v>
      </c>
      <c r="AH1280" s="1">
        <v>8600.0</v>
      </c>
      <c r="AI1280" s="1" t="s">
        <v>102</v>
      </c>
      <c r="AJ1280" s="1">
        <v>1.0</v>
      </c>
      <c r="AK1280" s="1" t="s">
        <v>2746</v>
      </c>
      <c r="AL1280" s="1">
        <v>6.0</v>
      </c>
      <c r="AM1280" s="1">
        <v>2014.0</v>
      </c>
      <c r="AN1280" s="1">
        <v>2014.0</v>
      </c>
      <c r="AO1280" s="1" t="s">
        <v>367</v>
      </c>
    </row>
    <row r="1281">
      <c r="A1281" s="5">
        <v>1.0</v>
      </c>
      <c r="B1281" s="1">
        <f t="shared" si="1"/>
        <v>1281</v>
      </c>
      <c r="C1281" s="1" t="s">
        <v>2742</v>
      </c>
      <c r="D1281" s="1" t="s">
        <v>2742</v>
      </c>
      <c r="E1281" s="1" t="s">
        <v>100</v>
      </c>
      <c r="G1281" s="1">
        <v>2433238.0</v>
      </c>
      <c r="H1281" s="2">
        <v>41598.0</v>
      </c>
      <c r="I1281" s="1" t="s">
        <v>1433</v>
      </c>
      <c r="K1281" s="1" t="s">
        <v>1433</v>
      </c>
      <c r="N1281" s="1" t="s">
        <v>102</v>
      </c>
      <c r="O1281" s="1">
        <v>8600.0</v>
      </c>
      <c r="P1281" s="1" t="s">
        <v>102</v>
      </c>
      <c r="Q1281" s="1" t="str">
        <f>IF(ISERROR(VLOOKUP(P1281,'unique fed agency names'!A:C,3,FALSE)),P1281,VLOOKUP(P1281,'unique fed agency names'!A:C,3,FALSE))
</f>
        <v>U.S. Department of Housing and Urban Development (HUD)</v>
      </c>
      <c r="R1281" s="1">
        <v>2.6320691E7</v>
      </c>
      <c r="S1281" s="1" t="s">
        <v>2747</v>
      </c>
      <c r="T1281" s="1" t="str">
        <f>IF(ISERROR(VLOOKUP(S1281,'unique org names'!A:C,3,FALSE)),S1281,VLOOKUP(S1281,'unique org names'!A:C,3,FALSE))
</f>
        <v>COMMUNITY &amp; HOME SUPPORTS INC</v>
      </c>
      <c r="V1281" s="1" t="s">
        <v>2748</v>
      </c>
      <c r="W1281" s="1" t="s">
        <v>44</v>
      </c>
      <c r="X1281" s="1" t="s">
        <v>45</v>
      </c>
      <c r="Y1281" s="1">
        <v>4.82013421E8</v>
      </c>
      <c r="AA1281" s="1" t="s">
        <v>46</v>
      </c>
      <c r="AB1281" s="1" t="s">
        <v>45</v>
      </c>
      <c r="AC1281" s="1">
        <v>4.82013421E8</v>
      </c>
      <c r="AF1281" s="1">
        <v>200000.0</v>
      </c>
      <c r="AG1281" s="2">
        <v>41598.0</v>
      </c>
      <c r="AH1281" s="1">
        <v>8600.0</v>
      </c>
      <c r="AI1281" s="1" t="s">
        <v>102</v>
      </c>
      <c r="AJ1281" s="1">
        <v>3.0</v>
      </c>
      <c r="AK1281" s="1" t="s">
        <v>2749</v>
      </c>
      <c r="AL1281" s="1">
        <v>6.0</v>
      </c>
      <c r="AM1281" s="1">
        <v>2014.0</v>
      </c>
      <c r="AN1281" s="1">
        <v>2014.0</v>
      </c>
      <c r="AO1281" s="1" t="s">
        <v>367</v>
      </c>
    </row>
    <row r="1282">
      <c r="A1282" s="5">
        <v>1.0</v>
      </c>
      <c r="B1282" s="1">
        <f t="shared" si="1"/>
        <v>1282</v>
      </c>
      <c r="C1282" s="1" t="s">
        <v>2742</v>
      </c>
      <c r="D1282" s="1" t="s">
        <v>2742</v>
      </c>
      <c r="E1282" s="1" t="s">
        <v>100</v>
      </c>
      <c r="G1282" s="1">
        <v>2433238.0</v>
      </c>
      <c r="H1282" s="2">
        <v>41598.0</v>
      </c>
      <c r="I1282" s="1" t="s">
        <v>1433</v>
      </c>
      <c r="K1282" s="1" t="s">
        <v>1433</v>
      </c>
      <c r="N1282" s="1" t="s">
        <v>102</v>
      </c>
      <c r="O1282" s="1">
        <v>8600.0</v>
      </c>
      <c r="P1282" s="1" t="s">
        <v>102</v>
      </c>
      <c r="Q1282" s="1" t="str">
        <f>IF(ISERROR(VLOOKUP(P1282,'unique fed agency names'!A:C,3,FALSE)),P1282,VLOOKUP(P1282,'unique fed agency names'!A:C,3,FALSE))
</f>
        <v>U.S. Department of Housing and Urban Development (HUD)</v>
      </c>
      <c r="R1282" s="1">
        <v>4.3419399E7</v>
      </c>
      <c r="S1282" s="1" t="s">
        <v>979</v>
      </c>
      <c r="T1282" s="1" t="str">
        <f>IF(ISERROR(VLOOKUP(S1282,'unique org names'!A:C,3,FALSE)),S1282,VLOOKUP(S1282,'unique org names'!A:C,3,FALSE))
</f>
        <v>NEIGHBORHOOD SERVICE ORGANIZATION</v>
      </c>
      <c r="V1282" s="1" t="s">
        <v>1934</v>
      </c>
      <c r="W1282" s="1" t="s">
        <v>44</v>
      </c>
      <c r="X1282" s="1" t="s">
        <v>45</v>
      </c>
      <c r="Y1282" s="1">
        <v>4.82384019E8</v>
      </c>
      <c r="AA1282" s="1" t="s">
        <v>46</v>
      </c>
      <c r="AB1282" s="1" t="s">
        <v>45</v>
      </c>
      <c r="AC1282" s="1">
        <v>4.82384019E8</v>
      </c>
      <c r="AD1282" s="1">
        <v>4.3419399E7</v>
      </c>
      <c r="AE1282" s="1" t="s">
        <v>979</v>
      </c>
      <c r="AF1282" s="1">
        <v>194824.0</v>
      </c>
      <c r="AG1282" s="2">
        <v>41598.0</v>
      </c>
      <c r="AH1282" s="1">
        <v>8600.0</v>
      </c>
      <c r="AI1282" s="1" t="s">
        <v>102</v>
      </c>
      <c r="AJ1282" s="1">
        <v>12.0</v>
      </c>
      <c r="AK1282" s="1" t="s">
        <v>2750</v>
      </c>
      <c r="AL1282" s="1">
        <v>6.0</v>
      </c>
      <c r="AM1282" s="1">
        <v>2014.0</v>
      </c>
      <c r="AN1282" s="1">
        <v>2014.0</v>
      </c>
      <c r="AO1282" s="1" t="s">
        <v>367</v>
      </c>
    </row>
    <row r="1283">
      <c r="A1283" s="5">
        <v>1.0</v>
      </c>
      <c r="B1283" s="1">
        <f t="shared" si="1"/>
        <v>1283</v>
      </c>
      <c r="C1283" s="1" t="s">
        <v>2742</v>
      </c>
      <c r="D1283" s="1" t="s">
        <v>2742</v>
      </c>
      <c r="E1283" s="1" t="s">
        <v>100</v>
      </c>
      <c r="G1283" s="1">
        <v>2433238.0</v>
      </c>
      <c r="H1283" s="2">
        <v>41598.0</v>
      </c>
      <c r="I1283" s="1" t="s">
        <v>1433</v>
      </c>
      <c r="K1283" s="1" t="s">
        <v>1433</v>
      </c>
      <c r="N1283" s="1" t="s">
        <v>102</v>
      </c>
      <c r="O1283" s="1">
        <v>8600.0</v>
      </c>
      <c r="P1283" s="1" t="s">
        <v>102</v>
      </c>
      <c r="Q1283" s="1" t="str">
        <f>IF(ISERROR(VLOOKUP(P1283,'unique fed agency names'!A:C,3,FALSE)),P1283,VLOOKUP(P1283,'unique fed agency names'!A:C,3,FALSE))
</f>
        <v>U.S. Department of Housing and Urban Development (HUD)</v>
      </c>
      <c r="R1283" s="1">
        <v>2.0830303E7</v>
      </c>
      <c r="S1283" s="1" t="s">
        <v>424</v>
      </c>
      <c r="T1283" s="1" t="str">
        <f>IF(ISERROR(VLOOKUP(S1283,'unique org names'!A:C,3,FALSE)),S1283,VLOOKUP(S1283,'unique org names'!A:C,3,FALSE))
</f>
        <v>MATRIX HUMAN SERVICES</v>
      </c>
      <c r="U1283" s="1" t="s">
        <v>425</v>
      </c>
      <c r="V1283" s="1" t="s">
        <v>426</v>
      </c>
      <c r="W1283" s="1" t="s">
        <v>44</v>
      </c>
      <c r="X1283" s="1" t="s">
        <v>45</v>
      </c>
      <c r="Y1283" s="1">
        <v>4.82012002E8</v>
      </c>
      <c r="AA1283" s="1" t="s">
        <v>46</v>
      </c>
      <c r="AB1283" s="1" t="s">
        <v>45</v>
      </c>
      <c r="AC1283" s="1">
        <v>4.82012002E8</v>
      </c>
      <c r="AD1283" s="1">
        <v>2.0830303E7</v>
      </c>
      <c r="AE1283" s="1" t="s">
        <v>424</v>
      </c>
      <c r="AF1283" s="1">
        <v>100000.0</v>
      </c>
      <c r="AG1283" s="2">
        <v>41598.0</v>
      </c>
      <c r="AH1283" s="1">
        <v>8600.0</v>
      </c>
      <c r="AI1283" s="1" t="s">
        <v>102</v>
      </c>
      <c r="AJ1283" s="1">
        <v>6.0</v>
      </c>
      <c r="AK1283" s="1" t="s">
        <v>2337</v>
      </c>
      <c r="AL1283" s="1">
        <v>6.0</v>
      </c>
      <c r="AM1283" s="1">
        <v>2014.0</v>
      </c>
      <c r="AN1283" s="1">
        <v>2014.0</v>
      </c>
      <c r="AO1283" s="1" t="s">
        <v>367</v>
      </c>
    </row>
    <row r="1284">
      <c r="A1284" s="5">
        <v>1.0</v>
      </c>
      <c r="B1284" s="1">
        <f t="shared" si="1"/>
        <v>1284</v>
      </c>
      <c r="C1284" s="1" t="s">
        <v>2742</v>
      </c>
      <c r="D1284" s="1" t="s">
        <v>2742</v>
      </c>
      <c r="E1284" s="1" t="s">
        <v>100</v>
      </c>
      <c r="G1284" s="1">
        <v>2433238.0</v>
      </c>
      <c r="H1284" s="2">
        <v>41598.0</v>
      </c>
      <c r="I1284" s="1" t="s">
        <v>1433</v>
      </c>
      <c r="K1284" s="1" t="s">
        <v>1433</v>
      </c>
      <c r="N1284" s="1" t="s">
        <v>102</v>
      </c>
      <c r="O1284" s="1">
        <v>8600.0</v>
      </c>
      <c r="P1284" s="1" t="s">
        <v>102</v>
      </c>
      <c r="Q1284" s="1" t="str">
        <f>IF(ISERROR(VLOOKUP(P1284,'unique fed agency names'!A:C,3,FALSE)),P1284,VLOOKUP(P1284,'unique fed agency names'!A:C,3,FALSE))
</f>
        <v>U.S. Department of Housing and Urban Development (HUD)</v>
      </c>
      <c r="R1284" s="1">
        <v>5.1034718E7</v>
      </c>
      <c r="S1284" s="1" t="s">
        <v>2162</v>
      </c>
      <c r="T1284" s="1" t="str">
        <f>IF(ISERROR(VLOOKUP(S1284,'unique org names'!A:C,3,FALSE)),S1284,VLOOKUP(S1284,'unique org names'!A:C,3,FALSE))
</f>
        <v>Sickle Cell Disease Association of America Michigan Chapter, Inc</v>
      </c>
      <c r="V1284" s="1" t="s">
        <v>2163</v>
      </c>
      <c r="W1284" s="1" t="s">
        <v>44</v>
      </c>
      <c r="X1284" s="1" t="s">
        <v>45</v>
      </c>
      <c r="Y1284" s="1">
        <v>4.82261472E8</v>
      </c>
      <c r="AA1284" s="1" t="s">
        <v>46</v>
      </c>
      <c r="AB1284" s="1" t="s">
        <v>45</v>
      </c>
      <c r="AC1284" s="1">
        <v>4.82261472E8</v>
      </c>
      <c r="AF1284" s="1">
        <v>135536.0</v>
      </c>
      <c r="AG1284" s="2">
        <v>41598.0</v>
      </c>
      <c r="AH1284" s="1">
        <v>8600.0</v>
      </c>
      <c r="AI1284" s="1" t="s">
        <v>102</v>
      </c>
      <c r="AJ1284" s="1">
        <v>9.0</v>
      </c>
      <c r="AK1284" s="1" t="s">
        <v>2738</v>
      </c>
      <c r="AL1284" s="1">
        <v>6.0</v>
      </c>
      <c r="AM1284" s="1">
        <v>2014.0</v>
      </c>
      <c r="AN1284" s="1">
        <v>2014.0</v>
      </c>
      <c r="AO1284" s="1" t="s">
        <v>367</v>
      </c>
    </row>
    <row r="1285">
      <c r="A1285" s="5">
        <v>1.0</v>
      </c>
      <c r="B1285" s="1">
        <f t="shared" si="1"/>
        <v>1285</v>
      </c>
      <c r="C1285" s="1" t="s">
        <v>2742</v>
      </c>
      <c r="D1285" s="1" t="s">
        <v>2742</v>
      </c>
      <c r="E1285" s="1" t="s">
        <v>100</v>
      </c>
      <c r="G1285" s="1">
        <v>2433238.0</v>
      </c>
      <c r="H1285" s="2">
        <v>41598.0</v>
      </c>
      <c r="I1285" s="1" t="s">
        <v>1433</v>
      </c>
      <c r="K1285" s="1" t="s">
        <v>1433</v>
      </c>
      <c r="N1285" s="1" t="s">
        <v>102</v>
      </c>
      <c r="O1285" s="1">
        <v>8600.0</v>
      </c>
      <c r="P1285" s="1" t="s">
        <v>102</v>
      </c>
      <c r="Q1285" s="1" t="str">
        <f>IF(ISERROR(VLOOKUP(P1285,'unique fed agency names'!A:C,3,FALSE)),P1285,VLOOKUP(P1285,'unique fed agency names'!A:C,3,FALSE))
</f>
        <v>U.S. Department of Housing and Urban Development (HUD)</v>
      </c>
      <c r="R1285" s="1">
        <v>1.27458909E8</v>
      </c>
      <c r="S1285" s="1" t="s">
        <v>2195</v>
      </c>
      <c r="T1285" s="1" t="str">
        <f>IF(ISERROR(VLOOKUP(S1285,'unique org names'!A:C,3,FALSE)),S1285,VLOOKUP(S1285,'unique org names'!A:C,3,FALSE))
</f>
        <v>Mariners Inn</v>
      </c>
      <c r="V1285" s="1" t="s">
        <v>2196</v>
      </c>
      <c r="W1285" s="1" t="s">
        <v>44</v>
      </c>
      <c r="X1285" s="1" t="s">
        <v>45</v>
      </c>
      <c r="Y1285" s="1">
        <v>4.82012641E8</v>
      </c>
      <c r="AA1285" s="1" t="s">
        <v>46</v>
      </c>
      <c r="AB1285" s="1" t="s">
        <v>45</v>
      </c>
      <c r="AC1285" s="1">
        <v>4.82012641E8</v>
      </c>
      <c r="AF1285" s="1">
        <v>140000.0</v>
      </c>
      <c r="AG1285" s="2">
        <v>41598.0</v>
      </c>
      <c r="AH1285" s="1">
        <v>8600.0</v>
      </c>
      <c r="AI1285" s="1" t="s">
        <v>102</v>
      </c>
      <c r="AJ1285" s="1">
        <v>4.0</v>
      </c>
      <c r="AK1285" s="1" t="s">
        <v>2751</v>
      </c>
      <c r="AL1285" s="1">
        <v>6.0</v>
      </c>
      <c r="AM1285" s="1">
        <v>2014.0</v>
      </c>
      <c r="AN1285" s="1">
        <v>2014.0</v>
      </c>
      <c r="AO1285" s="1" t="s">
        <v>367</v>
      </c>
    </row>
    <row r="1286">
      <c r="A1286" s="5">
        <v>1.0</v>
      </c>
      <c r="B1286" s="1">
        <f t="shared" si="1"/>
        <v>1286</v>
      </c>
      <c r="C1286" s="1" t="s">
        <v>2742</v>
      </c>
      <c r="D1286" s="1" t="s">
        <v>2742</v>
      </c>
      <c r="E1286" s="1" t="s">
        <v>100</v>
      </c>
      <c r="G1286" s="1">
        <v>2433238.0</v>
      </c>
      <c r="H1286" s="2">
        <v>41598.0</v>
      </c>
      <c r="I1286" s="1" t="s">
        <v>1433</v>
      </c>
      <c r="K1286" s="1" t="s">
        <v>1433</v>
      </c>
      <c r="N1286" s="1" t="s">
        <v>102</v>
      </c>
      <c r="O1286" s="1">
        <v>8600.0</v>
      </c>
      <c r="P1286" s="1" t="s">
        <v>102</v>
      </c>
      <c r="Q1286" s="1" t="str">
        <f>IF(ISERROR(VLOOKUP(P1286,'unique fed agency names'!A:C,3,FALSE)),P1286,VLOOKUP(P1286,'unique fed agency names'!A:C,3,FALSE))
</f>
        <v>U.S. Department of Housing and Urban Development (HUD)</v>
      </c>
      <c r="R1286" s="1">
        <v>7.8074923E8</v>
      </c>
      <c r="S1286" s="1" t="s">
        <v>419</v>
      </c>
      <c r="T1286" s="1" t="str">
        <f>IF(ISERROR(VLOOKUP(S1286,'unique org names'!A:C,3,FALSE)),S1286,VLOOKUP(S1286,'unique org names'!A:C,3,FALSE))
</f>
        <v>ALTERNATIVES FOR GIRLS</v>
      </c>
      <c r="V1286" s="1" t="s">
        <v>420</v>
      </c>
      <c r="W1286" s="1" t="s">
        <v>44</v>
      </c>
      <c r="X1286" s="1" t="s">
        <v>45</v>
      </c>
      <c r="Y1286" s="1">
        <v>4.82082365E8</v>
      </c>
      <c r="AA1286" s="1" t="s">
        <v>46</v>
      </c>
      <c r="AB1286" s="1" t="s">
        <v>45</v>
      </c>
      <c r="AC1286" s="1">
        <v>4.82082365E8</v>
      </c>
      <c r="AF1286" s="1">
        <v>120943.0</v>
      </c>
      <c r="AG1286" s="2">
        <v>41598.0</v>
      </c>
      <c r="AH1286" s="1">
        <v>8600.0</v>
      </c>
      <c r="AI1286" s="1" t="s">
        <v>102</v>
      </c>
      <c r="AJ1286" s="1">
        <v>5.0</v>
      </c>
      <c r="AK1286" s="1" t="s">
        <v>2745</v>
      </c>
      <c r="AL1286" s="1">
        <v>6.0</v>
      </c>
      <c r="AM1286" s="1">
        <v>2014.0</v>
      </c>
      <c r="AN1286" s="1">
        <v>2014.0</v>
      </c>
      <c r="AO1286" s="1" t="s">
        <v>367</v>
      </c>
    </row>
    <row r="1287">
      <c r="A1287" s="5">
        <v>1.0</v>
      </c>
      <c r="B1287" s="1">
        <f t="shared" si="1"/>
        <v>1287</v>
      </c>
      <c r="C1287" s="1" t="s">
        <v>2742</v>
      </c>
      <c r="D1287" s="1" t="s">
        <v>2742</v>
      </c>
      <c r="E1287" s="1" t="s">
        <v>100</v>
      </c>
      <c r="G1287" s="1">
        <v>2433238.0</v>
      </c>
      <c r="H1287" s="2">
        <v>41598.0</v>
      </c>
      <c r="I1287" s="1" t="s">
        <v>1433</v>
      </c>
      <c r="K1287" s="1" t="s">
        <v>1433</v>
      </c>
      <c r="N1287" s="1" t="s">
        <v>102</v>
      </c>
      <c r="O1287" s="1">
        <v>8600.0</v>
      </c>
      <c r="P1287" s="1" t="s">
        <v>102</v>
      </c>
      <c r="Q1287" s="1" t="str">
        <f>IF(ISERROR(VLOOKUP(P1287,'unique fed agency names'!A:C,3,FALSE)),P1287,VLOOKUP(P1287,'unique fed agency names'!A:C,3,FALSE))
</f>
        <v>U.S. Department of Housing and Urban Development (HUD)</v>
      </c>
      <c r="R1287" s="1">
        <v>1.61078902E8</v>
      </c>
      <c r="S1287" s="1" t="s">
        <v>1010</v>
      </c>
      <c r="T1287" s="1" t="str">
        <f>IF(ISERROR(VLOOKUP(S1287,'unique org names'!A:C,3,FALSE)),S1287,VLOOKUP(S1287,'unique org names'!A:C,3,FALSE))
</f>
        <v>COALITION ON TEMPORARY SHELTER</v>
      </c>
      <c r="U1287" s="1" t="s">
        <v>1011</v>
      </c>
      <c r="V1287" s="1" t="s">
        <v>1012</v>
      </c>
      <c r="W1287" s="1" t="s">
        <v>44</v>
      </c>
      <c r="X1287" s="1" t="s">
        <v>45</v>
      </c>
      <c r="Y1287" s="1">
        <v>4.82012722E8</v>
      </c>
      <c r="AA1287" s="1" t="s">
        <v>46</v>
      </c>
      <c r="AB1287" s="1" t="s">
        <v>45</v>
      </c>
      <c r="AC1287" s="1">
        <v>4.82012722E8</v>
      </c>
      <c r="AD1287" s="1">
        <v>1.61078902E8</v>
      </c>
      <c r="AE1287" s="1" t="s">
        <v>1010</v>
      </c>
      <c r="AF1287" s="1">
        <v>135000.0</v>
      </c>
      <c r="AG1287" s="2">
        <v>41598.0</v>
      </c>
      <c r="AH1287" s="1">
        <v>8600.0</v>
      </c>
      <c r="AI1287" s="1" t="s">
        <v>102</v>
      </c>
      <c r="AJ1287" s="1">
        <v>10.0</v>
      </c>
      <c r="AK1287" s="1" t="s">
        <v>2752</v>
      </c>
      <c r="AL1287" s="1">
        <v>6.0</v>
      </c>
      <c r="AM1287" s="1">
        <v>2014.0</v>
      </c>
      <c r="AN1287" s="1">
        <v>2014.0</v>
      </c>
      <c r="AO1287" s="1" t="s">
        <v>367</v>
      </c>
    </row>
    <row r="1288">
      <c r="A1288" s="5">
        <v>1.0</v>
      </c>
      <c r="B1288" s="1">
        <f t="shared" si="1"/>
        <v>1288</v>
      </c>
      <c r="C1288" s="1" t="s">
        <v>2742</v>
      </c>
      <c r="D1288" s="1" t="s">
        <v>2742</v>
      </c>
      <c r="E1288" s="1" t="s">
        <v>100</v>
      </c>
      <c r="G1288" s="1">
        <v>2433238.0</v>
      </c>
      <c r="H1288" s="2">
        <v>41598.0</v>
      </c>
      <c r="I1288" s="1" t="s">
        <v>1433</v>
      </c>
      <c r="K1288" s="1" t="s">
        <v>1433</v>
      </c>
      <c r="N1288" s="1" t="s">
        <v>102</v>
      </c>
      <c r="O1288" s="1">
        <v>8600.0</v>
      </c>
      <c r="P1288" s="1" t="s">
        <v>102</v>
      </c>
      <c r="Q1288" s="1" t="str">
        <f>IF(ISERROR(VLOOKUP(P1288,'unique fed agency names'!A:C,3,FALSE)),P1288,VLOOKUP(P1288,'unique fed agency names'!A:C,3,FALSE))
</f>
        <v>U.S. Department of Housing and Urban Development (HUD)</v>
      </c>
      <c r="R1288" s="1">
        <v>6.07778081E8</v>
      </c>
      <c r="S1288" s="1" t="s">
        <v>1002</v>
      </c>
      <c r="T1288" s="1" t="str">
        <f>IF(ISERROR(VLOOKUP(S1288,'unique org names'!A:C,3,FALSE)),S1288,VLOOKUP(S1288,'unique org names'!A:C,3,FALSE))
</f>
        <v>TRAVELERS AID SOCIETY OF METROPOLITAN DETROIT</v>
      </c>
      <c r="U1288" s="1" t="s">
        <v>1003</v>
      </c>
      <c r="V1288" s="1" t="s">
        <v>1004</v>
      </c>
      <c r="W1288" s="1" t="s">
        <v>44</v>
      </c>
      <c r="X1288" s="1" t="s">
        <v>45</v>
      </c>
      <c r="Y1288" s="1">
        <v>4.82261986E8</v>
      </c>
      <c r="AA1288" s="1" t="s">
        <v>46</v>
      </c>
      <c r="AB1288" s="1" t="s">
        <v>45</v>
      </c>
      <c r="AC1288" s="1">
        <v>4.82261986E8</v>
      </c>
      <c r="AD1288" s="1">
        <v>6.07778081E8</v>
      </c>
      <c r="AE1288" s="1" t="s">
        <v>1002</v>
      </c>
      <c r="AF1288" s="1">
        <v>61232.0</v>
      </c>
      <c r="AG1288" s="2">
        <v>41598.0</v>
      </c>
      <c r="AH1288" s="1">
        <v>8600.0</v>
      </c>
      <c r="AI1288" s="1" t="s">
        <v>102</v>
      </c>
      <c r="AJ1288" s="1">
        <v>14.0</v>
      </c>
      <c r="AK1288" s="1" t="s">
        <v>2333</v>
      </c>
      <c r="AL1288" s="1">
        <v>6.0</v>
      </c>
      <c r="AM1288" s="1">
        <v>2014.0</v>
      </c>
      <c r="AN1288" s="1">
        <v>2014.0</v>
      </c>
      <c r="AO1288" s="1" t="s">
        <v>367</v>
      </c>
    </row>
    <row r="1289">
      <c r="A1289" s="5">
        <v>1.0</v>
      </c>
      <c r="B1289" s="1">
        <f t="shared" si="1"/>
        <v>1289</v>
      </c>
      <c r="C1289" s="1" t="s">
        <v>2742</v>
      </c>
      <c r="D1289" s="1" t="s">
        <v>2742</v>
      </c>
      <c r="E1289" s="1" t="s">
        <v>100</v>
      </c>
      <c r="G1289" s="1">
        <v>2433238.0</v>
      </c>
      <c r="H1289" s="2">
        <v>41598.0</v>
      </c>
      <c r="I1289" s="1" t="s">
        <v>1433</v>
      </c>
      <c r="K1289" s="1" t="s">
        <v>1433</v>
      </c>
      <c r="N1289" s="1" t="s">
        <v>102</v>
      </c>
      <c r="O1289" s="1">
        <v>8600.0</v>
      </c>
      <c r="P1289" s="1" t="s">
        <v>102</v>
      </c>
      <c r="Q1289" s="1" t="str">
        <f>IF(ISERROR(VLOOKUP(P1289,'unique fed agency names'!A:C,3,FALSE)),P1289,VLOOKUP(P1289,'unique fed agency names'!A:C,3,FALSE))
</f>
        <v>U.S. Department of Housing and Urban Development (HUD)</v>
      </c>
      <c r="R1289" s="1">
        <v>9.9654048E7</v>
      </c>
      <c r="S1289" s="1" t="s">
        <v>2436</v>
      </c>
      <c r="T1289" s="1" t="str">
        <f>IF(ISERROR(VLOOKUP(S1289,'unique org names'!A:C,3,FALSE)),S1289,VLOOKUP(S1289,'unique org names'!A:C,3,FALSE))
</f>
        <v>Detroit Central City Community Mental Health, Inc</v>
      </c>
      <c r="V1289" s="1" t="s">
        <v>2437</v>
      </c>
      <c r="W1289" s="1" t="s">
        <v>44</v>
      </c>
      <c r="X1289" s="1" t="s">
        <v>45</v>
      </c>
      <c r="Y1289" s="1">
        <v>4.82012722E8</v>
      </c>
      <c r="AA1289" s="1" t="s">
        <v>46</v>
      </c>
      <c r="AB1289" s="1" t="s">
        <v>45</v>
      </c>
      <c r="AC1289" s="1">
        <v>4.82012722E8</v>
      </c>
      <c r="AF1289" s="1">
        <v>100000.0</v>
      </c>
      <c r="AG1289" s="2">
        <v>41598.0</v>
      </c>
      <c r="AH1289" s="1">
        <v>8600.0</v>
      </c>
      <c r="AI1289" s="1" t="s">
        <v>102</v>
      </c>
      <c r="AJ1289" s="1">
        <v>7.0</v>
      </c>
      <c r="AK1289" s="1" t="s">
        <v>2333</v>
      </c>
      <c r="AL1289" s="1">
        <v>6.0</v>
      </c>
      <c r="AM1289" s="1">
        <v>2014.0</v>
      </c>
      <c r="AN1289" s="1">
        <v>2014.0</v>
      </c>
      <c r="AO1289" s="1" t="s">
        <v>367</v>
      </c>
    </row>
    <row r="1290">
      <c r="A1290" s="5">
        <v>1.0</v>
      </c>
      <c r="B1290" s="1">
        <f t="shared" si="1"/>
        <v>1290</v>
      </c>
      <c r="C1290" s="1" t="s">
        <v>2742</v>
      </c>
      <c r="D1290" s="1" t="s">
        <v>2742</v>
      </c>
      <c r="E1290" s="1" t="s">
        <v>100</v>
      </c>
      <c r="G1290" s="1">
        <v>2433238.0</v>
      </c>
      <c r="H1290" s="2">
        <v>41598.0</v>
      </c>
      <c r="I1290" s="1" t="s">
        <v>1433</v>
      </c>
      <c r="K1290" s="1" t="s">
        <v>1433</v>
      </c>
      <c r="N1290" s="1" t="s">
        <v>102</v>
      </c>
      <c r="O1290" s="1">
        <v>8600.0</v>
      </c>
      <c r="P1290" s="1" t="s">
        <v>102</v>
      </c>
      <c r="Q1290" s="1" t="str">
        <f>IF(ISERROR(VLOOKUP(P1290,'unique fed agency names'!A:C,3,FALSE)),P1290,VLOOKUP(P1290,'unique fed agency names'!A:C,3,FALSE))
</f>
        <v>U.S. Department of Housing and Urban Development (HUD)</v>
      </c>
      <c r="R1290" s="1">
        <v>1.06504459E8</v>
      </c>
      <c r="S1290" s="1" t="s">
        <v>2240</v>
      </c>
      <c r="T1290" s="1" t="str">
        <f>IF(ISERROR(VLOOKUP(S1290,'unique org names'!A:C,3,FALSE)),S1290,VLOOKUP(S1290,'unique org names'!A:C,3,FALSE))
</f>
        <v>Operation Get Down</v>
      </c>
      <c r="V1290" s="1" t="s">
        <v>2241</v>
      </c>
      <c r="W1290" s="1" t="s">
        <v>44</v>
      </c>
      <c r="X1290" s="1" t="s">
        <v>45</v>
      </c>
      <c r="Y1290" s="1">
        <v>4.82133112E8</v>
      </c>
      <c r="AA1290" s="1" t="s">
        <v>46</v>
      </c>
      <c r="AB1290" s="1" t="s">
        <v>45</v>
      </c>
      <c r="AC1290" s="1">
        <v>4.82133112E8</v>
      </c>
      <c r="AF1290" s="1">
        <v>100000.0</v>
      </c>
      <c r="AG1290" s="2">
        <v>41598.0</v>
      </c>
      <c r="AH1290" s="1">
        <v>8600.0</v>
      </c>
      <c r="AI1290" s="1" t="s">
        <v>102</v>
      </c>
      <c r="AJ1290" s="1">
        <v>13.0</v>
      </c>
      <c r="AK1290" s="1" t="s">
        <v>2752</v>
      </c>
      <c r="AL1290" s="1">
        <v>6.0</v>
      </c>
      <c r="AM1290" s="1">
        <v>2014.0</v>
      </c>
      <c r="AN1290" s="1">
        <v>2014.0</v>
      </c>
      <c r="AO1290" s="1" t="s">
        <v>367</v>
      </c>
    </row>
    <row r="1291">
      <c r="A1291" s="5">
        <v>1.0</v>
      </c>
      <c r="B1291" s="1">
        <f t="shared" si="1"/>
        <v>1291</v>
      </c>
      <c r="C1291" s="1" t="s">
        <v>2753</v>
      </c>
      <c r="D1291" s="1" t="s">
        <v>2753</v>
      </c>
      <c r="E1291" s="1" t="s">
        <v>100</v>
      </c>
      <c r="G1291" s="1">
        <v>4350454.0</v>
      </c>
      <c r="H1291" s="2">
        <v>41598.0</v>
      </c>
      <c r="I1291" s="1" t="s">
        <v>332</v>
      </c>
      <c r="K1291" s="1" t="s">
        <v>332</v>
      </c>
      <c r="N1291" s="1" t="s">
        <v>102</v>
      </c>
      <c r="O1291" s="1">
        <v>8600.0</v>
      </c>
      <c r="P1291" s="1" t="s">
        <v>102</v>
      </c>
      <c r="Q1291" s="1" t="str">
        <f>IF(ISERROR(VLOOKUP(P1291,'unique fed agency names'!A:C,3,FALSE)),P1291,VLOOKUP(P1291,'unique fed agency names'!A:C,3,FALSE))
</f>
        <v>U.S. Department of Housing and Urban Development (HUD)</v>
      </c>
      <c r="R1291" s="1">
        <v>6530661.0</v>
      </c>
      <c r="S1291" s="1" t="s">
        <v>73</v>
      </c>
      <c r="T1291" s="1" t="str">
        <f>IF(ISERROR(VLOOKUP(S1291,'unique org names'!A:C,3,FALSE)),S1291,VLOOKUP(S1291,'unique org names'!A:C,3,FALSE))
</f>
        <v>City Of Detroit</v>
      </c>
      <c r="U1291" s="1" t="s">
        <v>323</v>
      </c>
      <c r="V1291" s="1" t="s">
        <v>1961</v>
      </c>
      <c r="W1291" s="1" t="s">
        <v>44</v>
      </c>
      <c r="X1291" s="1" t="s">
        <v>45</v>
      </c>
      <c r="Y1291" s="1">
        <v>4.82263443E8</v>
      </c>
      <c r="AA1291" s="1" t="s">
        <v>46</v>
      </c>
      <c r="AB1291" s="1" t="s">
        <v>45</v>
      </c>
      <c r="AC1291" s="1">
        <v>4.82263443E8</v>
      </c>
      <c r="AD1291" s="1">
        <v>6530661.0</v>
      </c>
      <c r="AE1291" s="1" t="s">
        <v>76</v>
      </c>
      <c r="AF1291" s="1">
        <v>2433238.0</v>
      </c>
      <c r="AG1291" s="2">
        <v>41598.0</v>
      </c>
      <c r="AH1291" s="1">
        <v>8600.0</v>
      </c>
      <c r="AI1291" s="1" t="s">
        <v>102</v>
      </c>
      <c r="AJ1291" s="1">
        <v>1.0</v>
      </c>
      <c r="AK1291" s="1" t="s">
        <v>2754</v>
      </c>
      <c r="AL1291" s="1">
        <v>6.0</v>
      </c>
      <c r="AM1291" s="1">
        <v>2014.0</v>
      </c>
      <c r="AN1291" s="1">
        <v>2014.0</v>
      </c>
      <c r="AO1291" s="1" t="s">
        <v>334</v>
      </c>
    </row>
    <row r="1292">
      <c r="A1292" s="5">
        <v>1.0</v>
      </c>
      <c r="B1292" s="1">
        <f t="shared" si="1"/>
        <v>1292</v>
      </c>
      <c r="C1292" s="1" t="s">
        <v>2755</v>
      </c>
      <c r="D1292" s="1" t="s">
        <v>2755</v>
      </c>
      <c r="E1292" s="1" t="s">
        <v>38</v>
      </c>
      <c r="G1292" s="1">
        <v>9586194.0</v>
      </c>
      <c r="H1292" s="2">
        <v>41879.0</v>
      </c>
      <c r="I1292" s="1" t="s">
        <v>2756</v>
      </c>
      <c r="K1292" s="1" t="s">
        <v>2756</v>
      </c>
      <c r="N1292" s="1" t="s">
        <v>40</v>
      </c>
      <c r="O1292" s="1">
        <v>7500.0</v>
      </c>
      <c r="P1292" s="1" t="s">
        <v>40</v>
      </c>
      <c r="Q1292" s="1" t="str">
        <f>IF(ISERROR(VLOOKUP(P1292,'unique fed agency names'!A:C,3,FALSE)),P1292,VLOOKUP(P1292,'unique fed agency names'!A:C,3,FALSE))
</f>
        <v>U.S. Department of Health and Human Services (DHHS)</v>
      </c>
      <c r="R1292" s="1">
        <v>1962224.0</v>
      </c>
      <c r="S1292" s="1" t="s">
        <v>52</v>
      </c>
      <c r="T1292" s="1" t="str">
        <f>IF(ISERROR(VLOOKUP(S1292,'unique org names'!A:C,3,FALSE)),S1292,VLOOKUP(S1292,'unique org names'!A:C,3,FALSE))
</f>
        <v>WAYNE STATE UNIVERSITY</v>
      </c>
      <c r="U1292" s="1" t="s">
        <v>1566</v>
      </c>
      <c r="V1292" s="1" t="s">
        <v>53</v>
      </c>
      <c r="W1292" s="1" t="s">
        <v>44</v>
      </c>
      <c r="X1292" s="1" t="s">
        <v>45</v>
      </c>
      <c r="Y1292" s="1">
        <v>4.82023692E8</v>
      </c>
      <c r="AA1292" s="1" t="s">
        <v>46</v>
      </c>
      <c r="AB1292" s="1" t="s">
        <v>45</v>
      </c>
      <c r="AC1292" s="1">
        <v>4.8202405E8</v>
      </c>
      <c r="AD1292" s="1">
        <v>1962224.0</v>
      </c>
      <c r="AE1292" s="1" t="s">
        <v>52</v>
      </c>
      <c r="AF1292" s="1">
        <v>432603.0</v>
      </c>
      <c r="AG1292" s="2">
        <v>41879.0</v>
      </c>
      <c r="AH1292" s="1">
        <v>7500.0</v>
      </c>
      <c r="AI1292" s="1" t="s">
        <v>40</v>
      </c>
      <c r="AJ1292" s="1">
        <v>1.53405504E8</v>
      </c>
      <c r="AK1292" s="1" t="s">
        <v>2757</v>
      </c>
      <c r="AL1292" s="1">
        <v>9.0</v>
      </c>
      <c r="AM1292" s="1">
        <v>2014.0</v>
      </c>
      <c r="AN1292" s="1">
        <v>2014.0</v>
      </c>
      <c r="AO1292" s="1" t="s">
        <v>202</v>
      </c>
    </row>
    <row r="1293">
      <c r="A1293" s="5">
        <v>1.0</v>
      </c>
      <c r="B1293" s="1">
        <f t="shared" si="1"/>
        <v>1293</v>
      </c>
      <c r="C1293" s="1" t="s">
        <v>2758</v>
      </c>
      <c r="D1293" s="1" t="s">
        <v>2758</v>
      </c>
      <c r="E1293" s="1" t="s">
        <v>745</v>
      </c>
      <c r="G1293" s="1">
        <v>2638090.0</v>
      </c>
      <c r="H1293" s="2">
        <v>41866.0</v>
      </c>
      <c r="I1293" s="1" t="s">
        <v>2759</v>
      </c>
      <c r="K1293" s="1" t="s">
        <v>2759</v>
      </c>
      <c r="N1293" s="1" t="s">
        <v>151</v>
      </c>
      <c r="O1293" s="1">
        <v>6900.0</v>
      </c>
      <c r="P1293" s="1" t="s">
        <v>151</v>
      </c>
      <c r="Q1293" s="1" t="str">
        <f>IF(ISERROR(VLOOKUP(P1293,'unique fed agency names'!A:C,3,FALSE)),P1293,VLOOKUP(P1293,'unique fed agency names'!A:C,3,FALSE))
</f>
        <v>U.S. Department of Transportation (DOT)</v>
      </c>
      <c r="R1293" s="1">
        <v>1.01552941E8</v>
      </c>
      <c r="S1293" s="1" t="s">
        <v>747</v>
      </c>
      <c r="T1293" s="1" t="str">
        <f>IF(ISERROR(VLOOKUP(S1293,'unique org names'!A:C,3,FALSE)),S1293,VLOOKUP(S1293,'unique org names'!A:C,3,FALSE))
</f>
        <v>SUBURBAN MOBILITY AUTHORITY FOR REGIONAL TRANSPORTATION</v>
      </c>
      <c r="U1293" s="1" t="s">
        <v>748</v>
      </c>
      <c r="V1293" s="1" t="s">
        <v>749</v>
      </c>
      <c r="W1293" s="1" t="s">
        <v>44</v>
      </c>
      <c r="X1293" s="1" t="s">
        <v>45</v>
      </c>
      <c r="Y1293" s="1">
        <v>4.82263515E8</v>
      </c>
      <c r="AA1293" s="1" t="s">
        <v>46</v>
      </c>
      <c r="AB1293" s="1" t="s">
        <v>45</v>
      </c>
      <c r="AC1293" s="1">
        <v>4.82263515E8</v>
      </c>
      <c r="AD1293" s="1">
        <v>1.01552941E8</v>
      </c>
      <c r="AE1293" s="1" t="s">
        <v>747</v>
      </c>
      <c r="AF1293" s="1">
        <v>82459.0</v>
      </c>
      <c r="AG1293" s="2">
        <v>41866.0</v>
      </c>
      <c r="AH1293" s="1">
        <v>6900.0</v>
      </c>
      <c r="AI1293" s="1" t="s">
        <v>151</v>
      </c>
      <c r="AJ1293" s="1" t="s">
        <v>2760</v>
      </c>
      <c r="AK1293" s="1" t="s">
        <v>2761</v>
      </c>
      <c r="AL1293" s="1">
        <v>9.0</v>
      </c>
      <c r="AM1293" s="1">
        <v>2014.0</v>
      </c>
      <c r="AN1293" s="1">
        <v>2014.0</v>
      </c>
      <c r="AO1293" s="1" t="s">
        <v>1842</v>
      </c>
    </row>
    <row r="1294">
      <c r="A1294" s="5">
        <v>1.0</v>
      </c>
      <c r="B1294" s="1">
        <f t="shared" si="1"/>
        <v>1294</v>
      </c>
      <c r="C1294" s="1" t="s">
        <v>1263</v>
      </c>
      <c r="D1294" s="1" t="s">
        <v>1263</v>
      </c>
      <c r="E1294" s="1" t="s">
        <v>188</v>
      </c>
      <c r="G1294" s="1">
        <v>2.3517134E7</v>
      </c>
      <c r="H1294" s="2">
        <v>41912.0</v>
      </c>
      <c r="I1294" s="1" t="s">
        <v>1264</v>
      </c>
      <c r="K1294" s="1" t="s">
        <v>1264</v>
      </c>
      <c r="N1294" s="1" t="s">
        <v>188</v>
      </c>
      <c r="O1294" s="1">
        <v>1900.0</v>
      </c>
      <c r="P1294" s="1" t="s">
        <v>188</v>
      </c>
      <c r="Q1294" s="1" t="str">
        <f>IF(ISERROR(VLOOKUP(P1294,'unique fed agency names'!A:C,3,FALSE)),P1294,VLOOKUP(P1294,'unique fed agency names'!A:C,3,FALSE))
</f>
        <v>U.S. Department of State</v>
      </c>
      <c r="R1294" s="1">
        <v>6.9840817E7</v>
      </c>
      <c r="S1294" s="1" t="s">
        <v>131</v>
      </c>
      <c r="T1294" s="1" t="str">
        <f>IF(ISERROR(VLOOKUP(S1294,'unique org names'!A:C,3,FALSE)),S1294,VLOOKUP(S1294,'unique org names'!A:C,3,FALSE))
</f>
        <v>LUTHERAN SOCIAL SERVICES OF MICHIGAN</v>
      </c>
      <c r="V1294" s="1" t="s">
        <v>132</v>
      </c>
      <c r="W1294" s="1" t="s">
        <v>44</v>
      </c>
      <c r="X1294" s="1" t="s">
        <v>45</v>
      </c>
      <c r="Y1294" s="1">
        <v>4.8214261E8</v>
      </c>
      <c r="AA1294" s="1" t="s">
        <v>46</v>
      </c>
      <c r="AB1294" s="1" t="s">
        <v>45</v>
      </c>
      <c r="AC1294" s="1">
        <v>4.8214261E8</v>
      </c>
      <c r="AD1294" s="1">
        <v>6.9840817E7</v>
      </c>
      <c r="AE1294" s="1" t="s">
        <v>131</v>
      </c>
      <c r="AF1294" s="1">
        <v>2204125.0</v>
      </c>
      <c r="AG1294" s="2">
        <v>41912.0</v>
      </c>
      <c r="AH1294" s="1">
        <v>1900.0</v>
      </c>
      <c r="AI1294" s="1" t="s">
        <v>188</v>
      </c>
      <c r="AJ1294" s="1" t="s">
        <v>2762</v>
      </c>
      <c r="AK1294" s="1" t="s">
        <v>1266</v>
      </c>
      <c r="AL1294" s="1">
        <v>9.0</v>
      </c>
      <c r="AM1294" s="1">
        <v>2014.0</v>
      </c>
      <c r="AN1294" s="1">
        <v>2014.0</v>
      </c>
      <c r="AO1294" s="1" t="s">
        <v>192</v>
      </c>
    </row>
    <row r="1295">
      <c r="A1295" s="5">
        <v>1.0</v>
      </c>
      <c r="B1295" s="1">
        <f t="shared" si="1"/>
        <v>1295</v>
      </c>
      <c r="C1295" s="1" t="s">
        <v>2763</v>
      </c>
      <c r="D1295" s="1" t="s">
        <v>2763</v>
      </c>
      <c r="E1295" s="1" t="s">
        <v>100</v>
      </c>
      <c r="G1295" s="1">
        <v>1978226.0</v>
      </c>
      <c r="H1295" s="2">
        <v>41598.0</v>
      </c>
      <c r="I1295" s="1" t="s">
        <v>322</v>
      </c>
      <c r="K1295" s="1" t="s">
        <v>322</v>
      </c>
      <c r="N1295" s="1" t="s">
        <v>102</v>
      </c>
      <c r="O1295" s="1">
        <v>8600.0</v>
      </c>
      <c r="P1295" s="1" t="s">
        <v>102</v>
      </c>
      <c r="Q1295" s="1" t="str">
        <f>IF(ISERROR(VLOOKUP(P1295,'unique fed agency names'!A:C,3,FALSE)),P1295,VLOOKUP(P1295,'unique fed agency names'!A:C,3,FALSE))
</f>
        <v>U.S. Department of Housing and Urban Development (HUD)</v>
      </c>
      <c r="R1295" s="1">
        <v>6.03005542E8</v>
      </c>
      <c r="S1295" s="1" t="s">
        <v>73</v>
      </c>
      <c r="T1295" s="1" t="str">
        <f>IF(ISERROR(VLOOKUP(S1295,'unique org names'!A:C,3,FALSE)),S1295,VLOOKUP(S1295,'unique org names'!A:C,3,FALSE))
</f>
        <v>City Of Detroit</v>
      </c>
      <c r="U1295" s="1" t="s">
        <v>2764</v>
      </c>
      <c r="V1295" s="1" t="s">
        <v>2765</v>
      </c>
      <c r="W1295" s="1" t="s">
        <v>44</v>
      </c>
      <c r="X1295" s="1" t="s">
        <v>45</v>
      </c>
      <c r="Y1295" s="1">
        <v>4.82161928E8</v>
      </c>
      <c r="AA1295" s="1" t="s">
        <v>46</v>
      </c>
      <c r="AB1295" s="1" t="s">
        <v>45</v>
      </c>
      <c r="AC1295" s="1">
        <v>4.82161928E8</v>
      </c>
      <c r="AD1295" s="1">
        <v>6530661.0</v>
      </c>
      <c r="AE1295" s="1" t="s">
        <v>76</v>
      </c>
      <c r="AF1295" s="1">
        <v>1978226.0</v>
      </c>
      <c r="AG1295" s="2">
        <v>41598.0</v>
      </c>
      <c r="AH1295" s="1">
        <v>8600.0</v>
      </c>
      <c r="AI1295" s="1" t="s">
        <v>102</v>
      </c>
      <c r="AJ1295" s="1">
        <v>1.0</v>
      </c>
      <c r="AK1295" s="1" t="s">
        <v>2766</v>
      </c>
      <c r="AL1295" s="1">
        <v>10.0</v>
      </c>
      <c r="AM1295" s="1">
        <v>2014.0</v>
      </c>
      <c r="AN1295" s="1">
        <v>2014.0</v>
      </c>
      <c r="AO1295" s="1" t="s">
        <v>326</v>
      </c>
    </row>
    <row r="1296">
      <c r="A1296" s="5">
        <v>1.0</v>
      </c>
      <c r="B1296" s="1">
        <f t="shared" si="1"/>
        <v>1296</v>
      </c>
      <c r="C1296" s="1" t="s">
        <v>2767</v>
      </c>
      <c r="D1296" s="1" t="s">
        <v>2767</v>
      </c>
      <c r="E1296" s="1" t="s">
        <v>207</v>
      </c>
      <c r="G1296" s="1">
        <v>2.23540403E9</v>
      </c>
      <c r="H1296" s="2">
        <v>41183.0</v>
      </c>
      <c r="I1296" s="1" t="s">
        <v>2768</v>
      </c>
      <c r="K1296" s="1" t="s">
        <v>2768</v>
      </c>
      <c r="N1296" s="1" t="s">
        <v>40</v>
      </c>
      <c r="O1296" s="1">
        <v>7500.0</v>
      </c>
      <c r="P1296" s="1" t="s">
        <v>40</v>
      </c>
      <c r="Q1296" s="1" t="str">
        <f>IF(ISERROR(VLOOKUP(P1296,'unique fed agency names'!A:C,3,FALSE)),P1296,VLOOKUP(P1296,'unique fed agency names'!A:C,3,FALSE))
</f>
        <v>U.S. Department of Health and Human Services (DHHS)</v>
      </c>
      <c r="R1296" s="1">
        <v>7.92267549E8</v>
      </c>
      <c r="S1296" s="1" t="s">
        <v>41</v>
      </c>
      <c r="T1296" s="1" t="str">
        <f>IF(ISERROR(VLOOKUP(S1296,'unique org names'!A:C,3,FALSE)),S1296,VLOOKUP(S1296,'unique org names'!A:C,3,FALSE))
</f>
        <v>Henry Ford Health System</v>
      </c>
      <c r="U1296" s="1" t="s">
        <v>2769</v>
      </c>
      <c r="V1296" s="1" t="s">
        <v>2770</v>
      </c>
      <c r="W1296" s="1" t="s">
        <v>44</v>
      </c>
      <c r="X1296" s="1" t="s">
        <v>45</v>
      </c>
      <c r="Y1296" s="1">
        <v>4.82353296E8</v>
      </c>
      <c r="AA1296" s="1" t="s">
        <v>46</v>
      </c>
      <c r="AB1296" s="1" t="s">
        <v>45</v>
      </c>
      <c r="AC1296" s="1">
        <v>4.82353456E8</v>
      </c>
      <c r="AD1296" s="1">
        <v>7.3134603E7</v>
      </c>
      <c r="AE1296" s="1" t="s">
        <v>41</v>
      </c>
      <c r="AF1296" s="1">
        <v>1493775.0</v>
      </c>
      <c r="AG1296" s="2">
        <v>41183.0</v>
      </c>
      <c r="AH1296" s="1">
        <v>7500.0</v>
      </c>
      <c r="AI1296" s="1" t="s">
        <v>40</v>
      </c>
      <c r="AJ1296" s="1">
        <v>2.0130336E7</v>
      </c>
      <c r="AK1296" s="1" t="s">
        <v>2771</v>
      </c>
      <c r="AL1296" s="1">
        <v>10.0</v>
      </c>
      <c r="AM1296" s="1">
        <v>2012.0</v>
      </c>
      <c r="AN1296" s="1">
        <v>2013.0</v>
      </c>
      <c r="AO1296" s="1" t="s">
        <v>213</v>
      </c>
    </row>
    <row r="1297">
      <c r="A1297" s="5">
        <v>1.0</v>
      </c>
      <c r="B1297" s="1">
        <f t="shared" si="1"/>
        <v>1297</v>
      </c>
      <c r="C1297" s="1" t="s">
        <v>2767</v>
      </c>
      <c r="D1297" s="1" t="s">
        <v>2767</v>
      </c>
      <c r="E1297" s="1" t="s">
        <v>207</v>
      </c>
      <c r="G1297" s="1">
        <v>2.23540403E9</v>
      </c>
      <c r="H1297" s="2">
        <v>41183.0</v>
      </c>
      <c r="I1297" s="1" t="s">
        <v>2768</v>
      </c>
      <c r="K1297" s="1" t="s">
        <v>2768</v>
      </c>
      <c r="N1297" s="1" t="s">
        <v>40</v>
      </c>
      <c r="O1297" s="1">
        <v>7500.0</v>
      </c>
      <c r="P1297" s="1" t="s">
        <v>40</v>
      </c>
      <c r="Q1297" s="1" t="str">
        <f>IF(ISERROR(VLOOKUP(P1297,'unique fed agency names'!A:C,3,FALSE)),P1297,VLOOKUP(P1297,'unique fed agency names'!A:C,3,FALSE))
</f>
        <v>U.S. Department of Health and Human Services (DHHS)</v>
      </c>
      <c r="R1297" s="1">
        <v>3.8775243E7</v>
      </c>
      <c r="S1297" s="1" t="s">
        <v>209</v>
      </c>
      <c r="T1297" s="1" t="str">
        <f>IF(ISERROR(VLOOKUP(S1297,'unique org names'!A:C,3,FALSE)),S1297,VLOOKUP(S1297,'unique org names'!A:C,3,FALSE))
</f>
        <v>SOUTHEASTERN MICHIGAN HEALTH ASSOCIATION</v>
      </c>
      <c r="U1297" s="1" t="s">
        <v>210</v>
      </c>
      <c r="V1297" s="1" t="s">
        <v>211</v>
      </c>
      <c r="W1297" s="1" t="s">
        <v>44</v>
      </c>
      <c r="X1297" s="1" t="s">
        <v>45</v>
      </c>
      <c r="Y1297" s="1">
        <v>4.82023068E8</v>
      </c>
      <c r="AA1297" s="1" t="s">
        <v>46</v>
      </c>
      <c r="AB1297" s="1" t="s">
        <v>45</v>
      </c>
      <c r="AC1297" s="1">
        <v>4.82023068E8</v>
      </c>
      <c r="AD1297" s="1">
        <v>3.8775243E7</v>
      </c>
      <c r="AE1297" s="1" t="s">
        <v>209</v>
      </c>
      <c r="AF1297" s="1">
        <v>22521.0</v>
      </c>
      <c r="AG1297" s="2">
        <v>41183.0</v>
      </c>
      <c r="AH1297" s="1">
        <v>7500.0</v>
      </c>
      <c r="AI1297" s="1" t="s">
        <v>40</v>
      </c>
      <c r="AJ1297" s="1">
        <v>2.0131085E7</v>
      </c>
      <c r="AK1297" s="1" t="s">
        <v>212</v>
      </c>
      <c r="AL1297" s="1">
        <v>10.0</v>
      </c>
      <c r="AM1297" s="1">
        <v>2012.0</v>
      </c>
      <c r="AN1297" s="1">
        <v>2013.0</v>
      </c>
      <c r="AO1297" s="1" t="s">
        <v>213</v>
      </c>
    </row>
    <row r="1298">
      <c r="A1298" s="5">
        <v>1.0</v>
      </c>
      <c r="B1298" s="1">
        <f t="shared" si="1"/>
        <v>1298</v>
      </c>
      <c r="C1298" s="1" t="s">
        <v>2767</v>
      </c>
      <c r="D1298" s="1" t="s">
        <v>2767</v>
      </c>
      <c r="E1298" s="1" t="s">
        <v>207</v>
      </c>
      <c r="G1298" s="1">
        <v>2.23540403E9</v>
      </c>
      <c r="H1298" s="2">
        <v>41183.0</v>
      </c>
      <c r="I1298" s="1" t="s">
        <v>2768</v>
      </c>
      <c r="K1298" s="1" t="s">
        <v>2768</v>
      </c>
      <c r="N1298" s="1" t="s">
        <v>40</v>
      </c>
      <c r="O1298" s="1">
        <v>7500.0</v>
      </c>
      <c r="P1298" s="1" t="s">
        <v>40</v>
      </c>
      <c r="Q1298" s="1" t="str">
        <f>IF(ISERROR(VLOOKUP(P1298,'unique fed agency names'!A:C,3,FALSE)),P1298,VLOOKUP(P1298,'unique fed agency names'!A:C,3,FALSE))
</f>
        <v>U.S. Department of Health and Human Services (DHHS)</v>
      </c>
      <c r="R1298" s="1">
        <v>3.8775243E7</v>
      </c>
      <c r="S1298" s="1" t="s">
        <v>209</v>
      </c>
      <c r="T1298" s="1" t="str">
        <f>IF(ISERROR(VLOOKUP(S1298,'unique org names'!A:C,3,FALSE)),S1298,VLOOKUP(S1298,'unique org names'!A:C,3,FALSE))
</f>
        <v>SOUTHEASTERN MICHIGAN HEALTH ASSOCIATION</v>
      </c>
      <c r="U1298" s="1" t="s">
        <v>210</v>
      </c>
      <c r="V1298" s="1" t="s">
        <v>211</v>
      </c>
      <c r="W1298" s="1" t="s">
        <v>44</v>
      </c>
      <c r="X1298" s="1" t="s">
        <v>45</v>
      </c>
      <c r="Y1298" s="1">
        <v>4.82023068E8</v>
      </c>
      <c r="AA1298" s="1" t="s">
        <v>46</v>
      </c>
      <c r="AB1298" s="1" t="s">
        <v>45</v>
      </c>
      <c r="AC1298" s="1">
        <v>4.82023068E8</v>
      </c>
      <c r="AD1298" s="1">
        <v>3.8775243E7</v>
      </c>
      <c r="AE1298" s="1" t="s">
        <v>209</v>
      </c>
      <c r="AF1298" s="1">
        <v>9966.75</v>
      </c>
      <c r="AG1298" s="2">
        <v>41183.0</v>
      </c>
      <c r="AH1298" s="1">
        <v>7500.0</v>
      </c>
      <c r="AI1298" s="1" t="s">
        <v>40</v>
      </c>
      <c r="AJ1298" s="1">
        <v>2.0131079E7</v>
      </c>
      <c r="AK1298" s="1" t="s">
        <v>212</v>
      </c>
      <c r="AL1298" s="1">
        <v>10.0</v>
      </c>
      <c r="AM1298" s="1">
        <v>2012.0</v>
      </c>
      <c r="AN1298" s="1">
        <v>2013.0</v>
      </c>
      <c r="AO1298" s="1" t="s">
        <v>213</v>
      </c>
    </row>
    <row r="1299">
      <c r="A1299" s="5">
        <v>1.0</v>
      </c>
      <c r="B1299" s="1">
        <f t="shared" si="1"/>
        <v>1299</v>
      </c>
      <c r="C1299" s="1" t="s">
        <v>2767</v>
      </c>
      <c r="D1299" s="1" t="s">
        <v>2767</v>
      </c>
      <c r="E1299" s="1" t="s">
        <v>207</v>
      </c>
      <c r="G1299" s="1">
        <v>2.23540403E9</v>
      </c>
      <c r="H1299" s="2">
        <v>41183.0</v>
      </c>
      <c r="I1299" s="1" t="s">
        <v>2768</v>
      </c>
      <c r="K1299" s="1" t="s">
        <v>2768</v>
      </c>
      <c r="N1299" s="1" t="s">
        <v>40</v>
      </c>
      <c r="O1299" s="1">
        <v>7500.0</v>
      </c>
      <c r="P1299" s="1" t="s">
        <v>40</v>
      </c>
      <c r="Q1299" s="1" t="str">
        <f>IF(ISERROR(VLOOKUP(P1299,'unique fed agency names'!A:C,3,FALSE)),P1299,VLOOKUP(P1299,'unique fed agency names'!A:C,3,FALSE))
</f>
        <v>U.S. Department of Health and Human Services (DHHS)</v>
      </c>
      <c r="R1299" s="1">
        <v>3.8775243E7</v>
      </c>
      <c r="S1299" s="1" t="s">
        <v>209</v>
      </c>
      <c r="T1299" s="1" t="str">
        <f>IF(ISERROR(VLOOKUP(S1299,'unique org names'!A:C,3,FALSE)),S1299,VLOOKUP(S1299,'unique org names'!A:C,3,FALSE))
</f>
        <v>SOUTHEASTERN MICHIGAN HEALTH ASSOCIATION</v>
      </c>
      <c r="U1299" s="1" t="s">
        <v>210</v>
      </c>
      <c r="V1299" s="1" t="s">
        <v>211</v>
      </c>
      <c r="W1299" s="1" t="s">
        <v>44</v>
      </c>
      <c r="X1299" s="1" t="s">
        <v>45</v>
      </c>
      <c r="Y1299" s="1">
        <v>4.82023068E8</v>
      </c>
      <c r="AA1299" s="1" t="s">
        <v>46</v>
      </c>
      <c r="AB1299" s="1" t="s">
        <v>45</v>
      </c>
      <c r="AC1299" s="1">
        <v>4.82023068E8</v>
      </c>
      <c r="AD1299" s="1">
        <v>3.8775243E7</v>
      </c>
      <c r="AE1299" s="1" t="s">
        <v>209</v>
      </c>
      <c r="AF1299" s="1">
        <v>12603.25</v>
      </c>
      <c r="AG1299" s="2">
        <v>41183.0</v>
      </c>
      <c r="AH1299" s="1">
        <v>7500.0</v>
      </c>
      <c r="AI1299" s="1" t="s">
        <v>40</v>
      </c>
      <c r="AJ1299" s="1">
        <v>2.0131081E7</v>
      </c>
      <c r="AK1299" s="1" t="s">
        <v>212</v>
      </c>
      <c r="AL1299" s="1">
        <v>10.0</v>
      </c>
      <c r="AM1299" s="1">
        <v>2012.0</v>
      </c>
      <c r="AN1299" s="1">
        <v>2013.0</v>
      </c>
      <c r="AO1299" s="1" t="s">
        <v>213</v>
      </c>
    </row>
    <row r="1300">
      <c r="A1300" s="5">
        <v>1.0</v>
      </c>
      <c r="B1300" s="1">
        <f t="shared" si="1"/>
        <v>1300</v>
      </c>
      <c r="C1300" s="1" t="s">
        <v>2767</v>
      </c>
      <c r="D1300" s="1" t="s">
        <v>2767</v>
      </c>
      <c r="E1300" s="1" t="s">
        <v>207</v>
      </c>
      <c r="G1300" s="1">
        <v>2.23540403E9</v>
      </c>
      <c r="H1300" s="2">
        <v>41183.0</v>
      </c>
      <c r="I1300" s="1" t="s">
        <v>2768</v>
      </c>
      <c r="K1300" s="1" t="s">
        <v>2768</v>
      </c>
      <c r="N1300" s="1" t="s">
        <v>40</v>
      </c>
      <c r="O1300" s="1">
        <v>7500.0</v>
      </c>
      <c r="P1300" s="1" t="s">
        <v>40</v>
      </c>
      <c r="Q1300" s="1" t="str">
        <f>IF(ISERROR(VLOOKUP(P1300,'unique fed agency names'!A:C,3,FALSE)),P1300,VLOOKUP(P1300,'unique fed agency names'!A:C,3,FALSE))
</f>
        <v>U.S. Department of Health and Human Services (DHHS)</v>
      </c>
      <c r="R1300" s="1">
        <v>3.8775243E7</v>
      </c>
      <c r="S1300" s="1" t="s">
        <v>209</v>
      </c>
      <c r="T1300" s="1" t="str">
        <f>IF(ISERROR(VLOOKUP(S1300,'unique org names'!A:C,3,FALSE)),S1300,VLOOKUP(S1300,'unique org names'!A:C,3,FALSE))
</f>
        <v>SOUTHEASTERN MICHIGAN HEALTH ASSOCIATION</v>
      </c>
      <c r="U1300" s="1" t="s">
        <v>210</v>
      </c>
      <c r="V1300" s="1" t="s">
        <v>211</v>
      </c>
      <c r="W1300" s="1" t="s">
        <v>44</v>
      </c>
      <c r="X1300" s="1" t="s">
        <v>45</v>
      </c>
      <c r="Y1300" s="1">
        <v>4.82023068E8</v>
      </c>
      <c r="AA1300" s="1" t="s">
        <v>46</v>
      </c>
      <c r="AB1300" s="1" t="s">
        <v>45</v>
      </c>
      <c r="AC1300" s="1">
        <v>4.82023068E8</v>
      </c>
      <c r="AD1300" s="1">
        <v>3.8775243E7</v>
      </c>
      <c r="AE1300" s="1" t="s">
        <v>209</v>
      </c>
      <c r="AF1300" s="1">
        <v>731.25</v>
      </c>
      <c r="AG1300" s="2">
        <v>41183.0</v>
      </c>
      <c r="AH1300" s="1">
        <v>7500.0</v>
      </c>
      <c r="AI1300" s="1" t="s">
        <v>40</v>
      </c>
      <c r="AJ1300" s="1">
        <v>2.0131087E7</v>
      </c>
      <c r="AK1300" s="1" t="s">
        <v>212</v>
      </c>
      <c r="AL1300" s="1">
        <v>10.0</v>
      </c>
      <c r="AM1300" s="1">
        <v>2012.0</v>
      </c>
      <c r="AN1300" s="1">
        <v>2013.0</v>
      </c>
      <c r="AO1300" s="1" t="s">
        <v>213</v>
      </c>
    </row>
    <row r="1301">
      <c r="A1301" s="5">
        <v>1.0</v>
      </c>
      <c r="B1301" s="1">
        <f t="shared" si="1"/>
        <v>1301</v>
      </c>
      <c r="C1301" s="1" t="s">
        <v>2767</v>
      </c>
      <c r="D1301" s="1" t="s">
        <v>2767</v>
      </c>
      <c r="E1301" s="1" t="s">
        <v>207</v>
      </c>
      <c r="G1301" s="1">
        <v>2.23540403E9</v>
      </c>
      <c r="H1301" s="2">
        <v>41183.0</v>
      </c>
      <c r="I1301" s="1" t="s">
        <v>2768</v>
      </c>
      <c r="K1301" s="1" t="s">
        <v>2768</v>
      </c>
      <c r="N1301" s="1" t="s">
        <v>40</v>
      </c>
      <c r="O1301" s="1">
        <v>7500.0</v>
      </c>
      <c r="P1301" s="1" t="s">
        <v>40</v>
      </c>
      <c r="Q1301" s="1" t="str">
        <f>IF(ISERROR(VLOOKUP(P1301,'unique fed agency names'!A:C,3,FALSE)),P1301,VLOOKUP(P1301,'unique fed agency names'!A:C,3,FALSE))
</f>
        <v>U.S. Department of Health and Human Services (DHHS)</v>
      </c>
      <c r="R1301" s="1">
        <v>4.6842605E7</v>
      </c>
      <c r="S1301" s="1" t="s">
        <v>165</v>
      </c>
      <c r="T1301" s="1" t="str">
        <f>IF(ISERROR(VLOOKUP(S1301,'unique org names'!A:C,3,FALSE)),S1301,VLOOKUP(S1301,'unique org names'!A:C,3,FALSE))
</f>
        <v>DETROIT AREA AGENCY ON AGING</v>
      </c>
      <c r="U1301" s="1" t="s">
        <v>166</v>
      </c>
      <c r="V1301" s="1" t="s">
        <v>167</v>
      </c>
      <c r="W1301" s="1" t="s">
        <v>44</v>
      </c>
      <c r="X1301" s="1" t="s">
        <v>45</v>
      </c>
      <c r="Y1301" s="1">
        <v>4.82074544E8</v>
      </c>
      <c r="AA1301" s="1" t="s">
        <v>46</v>
      </c>
      <c r="AB1301" s="1" t="s">
        <v>45</v>
      </c>
      <c r="AC1301" s="1">
        <v>4.82074544E8</v>
      </c>
      <c r="AD1301" s="1">
        <v>7.3134603E7</v>
      </c>
      <c r="AE1301" s="1" t="s">
        <v>41</v>
      </c>
      <c r="AF1301" s="1">
        <v>3575679.92</v>
      </c>
      <c r="AG1301" s="2">
        <v>41183.0</v>
      </c>
      <c r="AH1301" s="1">
        <v>7500.0</v>
      </c>
      <c r="AI1301" s="1" t="s">
        <v>40</v>
      </c>
      <c r="AJ1301" s="1">
        <v>2.0130477E7</v>
      </c>
      <c r="AK1301" s="1" t="s">
        <v>2771</v>
      </c>
      <c r="AL1301" s="1">
        <v>10.0</v>
      </c>
      <c r="AM1301" s="1">
        <v>2012.0</v>
      </c>
      <c r="AN1301" s="1">
        <v>2013.0</v>
      </c>
      <c r="AO1301" s="1" t="s">
        <v>213</v>
      </c>
    </row>
    <row r="1302">
      <c r="A1302" s="5">
        <v>1.0</v>
      </c>
      <c r="B1302" s="1">
        <f t="shared" si="1"/>
        <v>1302</v>
      </c>
      <c r="C1302" s="1" t="s">
        <v>2767</v>
      </c>
      <c r="D1302" s="1" t="s">
        <v>2767</v>
      </c>
      <c r="E1302" s="1" t="s">
        <v>207</v>
      </c>
      <c r="G1302" s="1">
        <v>2.23540403E9</v>
      </c>
      <c r="H1302" s="2">
        <v>41183.0</v>
      </c>
      <c r="I1302" s="1" t="s">
        <v>2768</v>
      </c>
      <c r="K1302" s="1" t="s">
        <v>2768</v>
      </c>
      <c r="N1302" s="1" t="s">
        <v>40</v>
      </c>
      <c r="O1302" s="1">
        <v>7500.0</v>
      </c>
      <c r="P1302" s="1" t="s">
        <v>40</v>
      </c>
      <c r="Q1302" s="1" t="str">
        <f>IF(ISERROR(VLOOKUP(P1302,'unique fed agency names'!A:C,3,FALSE)),P1302,VLOOKUP(P1302,'unique fed agency names'!A:C,3,FALSE))
</f>
        <v>U.S. Department of Health and Human Services (DHHS)</v>
      </c>
      <c r="R1302" s="1">
        <v>3.8775243E7</v>
      </c>
      <c r="S1302" s="1" t="s">
        <v>209</v>
      </c>
      <c r="T1302" s="1" t="str">
        <f>IF(ISERROR(VLOOKUP(S1302,'unique org names'!A:C,3,FALSE)),S1302,VLOOKUP(S1302,'unique org names'!A:C,3,FALSE))
</f>
        <v>SOUTHEASTERN MICHIGAN HEALTH ASSOCIATION</v>
      </c>
      <c r="U1302" s="1" t="s">
        <v>210</v>
      </c>
      <c r="V1302" s="1" t="s">
        <v>211</v>
      </c>
      <c r="W1302" s="1" t="s">
        <v>44</v>
      </c>
      <c r="X1302" s="1" t="s">
        <v>45</v>
      </c>
      <c r="Y1302" s="1">
        <v>4.82023068E8</v>
      </c>
      <c r="AA1302" s="1" t="s">
        <v>46</v>
      </c>
      <c r="AB1302" s="1" t="s">
        <v>45</v>
      </c>
      <c r="AC1302" s="1">
        <v>4.82023068E8</v>
      </c>
      <c r="AD1302" s="1">
        <v>3.8775243E7</v>
      </c>
      <c r="AE1302" s="1" t="s">
        <v>209</v>
      </c>
      <c r="AF1302" s="1">
        <v>3749.99</v>
      </c>
      <c r="AG1302" s="2">
        <v>41183.0</v>
      </c>
      <c r="AH1302" s="1">
        <v>7500.0</v>
      </c>
      <c r="AI1302" s="1" t="s">
        <v>40</v>
      </c>
      <c r="AJ1302" s="1">
        <v>2.0133941E7</v>
      </c>
      <c r="AK1302" s="1" t="s">
        <v>212</v>
      </c>
      <c r="AL1302" s="1">
        <v>10.0</v>
      </c>
      <c r="AM1302" s="1">
        <v>2012.0</v>
      </c>
      <c r="AN1302" s="1">
        <v>2013.0</v>
      </c>
      <c r="AO1302" s="1" t="s">
        <v>213</v>
      </c>
    </row>
    <row r="1303">
      <c r="A1303" s="5">
        <v>1.0</v>
      </c>
      <c r="B1303" s="1">
        <f t="shared" si="1"/>
        <v>1303</v>
      </c>
      <c r="C1303" s="1" t="s">
        <v>2767</v>
      </c>
      <c r="D1303" s="1" t="s">
        <v>2767</v>
      </c>
      <c r="E1303" s="1" t="s">
        <v>207</v>
      </c>
      <c r="G1303" s="1">
        <v>2.23540403E9</v>
      </c>
      <c r="H1303" s="2">
        <v>41183.0</v>
      </c>
      <c r="I1303" s="1" t="s">
        <v>2768</v>
      </c>
      <c r="K1303" s="1" t="s">
        <v>2768</v>
      </c>
      <c r="N1303" s="1" t="s">
        <v>40</v>
      </c>
      <c r="O1303" s="1">
        <v>7500.0</v>
      </c>
      <c r="P1303" s="1" t="s">
        <v>40</v>
      </c>
      <c r="Q1303" s="1" t="str">
        <f>IF(ISERROR(VLOOKUP(P1303,'unique fed agency names'!A:C,3,FALSE)),P1303,VLOOKUP(P1303,'unique fed agency names'!A:C,3,FALSE))
</f>
        <v>U.S. Department of Health and Human Services (DHHS)</v>
      </c>
      <c r="R1303" s="1">
        <v>3.8775243E7</v>
      </c>
      <c r="S1303" s="1" t="s">
        <v>209</v>
      </c>
      <c r="T1303" s="1" t="str">
        <f>IF(ISERROR(VLOOKUP(S1303,'unique org names'!A:C,3,FALSE)),S1303,VLOOKUP(S1303,'unique org names'!A:C,3,FALSE))
</f>
        <v>SOUTHEASTERN MICHIGAN HEALTH ASSOCIATION</v>
      </c>
      <c r="U1303" s="1" t="s">
        <v>210</v>
      </c>
      <c r="V1303" s="1" t="s">
        <v>211</v>
      </c>
      <c r="W1303" s="1" t="s">
        <v>44</v>
      </c>
      <c r="X1303" s="1" t="s">
        <v>45</v>
      </c>
      <c r="Y1303" s="1">
        <v>4.82023068E8</v>
      </c>
      <c r="AA1303" s="1" t="s">
        <v>46</v>
      </c>
      <c r="AB1303" s="1" t="s">
        <v>45</v>
      </c>
      <c r="AC1303" s="1">
        <v>4.82023068E8</v>
      </c>
      <c r="AD1303" s="1">
        <v>3.8775243E7</v>
      </c>
      <c r="AE1303" s="1" t="s">
        <v>209</v>
      </c>
      <c r="AF1303" s="1">
        <v>2145.97</v>
      </c>
      <c r="AG1303" s="2">
        <v>41183.0</v>
      </c>
      <c r="AH1303" s="1">
        <v>7500.0</v>
      </c>
      <c r="AI1303" s="1" t="s">
        <v>40</v>
      </c>
      <c r="AJ1303" s="1">
        <v>2.0131083E7</v>
      </c>
      <c r="AK1303" s="1" t="s">
        <v>212</v>
      </c>
      <c r="AL1303" s="1">
        <v>10.0</v>
      </c>
      <c r="AM1303" s="1">
        <v>2012.0</v>
      </c>
      <c r="AN1303" s="1">
        <v>2013.0</v>
      </c>
      <c r="AO1303" s="1" t="s">
        <v>213</v>
      </c>
    </row>
    <row r="1304">
      <c r="A1304" s="5">
        <v>1.0</v>
      </c>
      <c r="B1304" s="1">
        <f t="shared" si="1"/>
        <v>1304</v>
      </c>
      <c r="C1304" s="1" t="s">
        <v>2772</v>
      </c>
      <c r="D1304" s="1" t="s">
        <v>2772</v>
      </c>
      <c r="E1304" s="1" t="s">
        <v>207</v>
      </c>
      <c r="G1304" s="1">
        <v>2.67163955E9</v>
      </c>
      <c r="H1304" s="2">
        <v>41183.0</v>
      </c>
      <c r="I1304" s="1" t="s">
        <v>2773</v>
      </c>
      <c r="K1304" s="1" t="s">
        <v>2773</v>
      </c>
      <c r="N1304" s="1" t="s">
        <v>40</v>
      </c>
      <c r="O1304" s="1">
        <v>7500.0</v>
      </c>
      <c r="P1304" s="1" t="s">
        <v>40</v>
      </c>
      <c r="Q1304" s="1" t="str">
        <f>IF(ISERROR(VLOOKUP(P1304,'unique fed agency names'!A:C,3,FALSE)),P1304,VLOOKUP(P1304,'unique fed agency names'!A:C,3,FALSE))
</f>
        <v>U.S. Department of Health and Human Services (DHHS)</v>
      </c>
      <c r="R1304" s="1">
        <v>3.8775243E7</v>
      </c>
      <c r="S1304" s="1" t="s">
        <v>209</v>
      </c>
      <c r="T1304" s="1" t="str">
        <f>IF(ISERROR(VLOOKUP(S1304,'unique org names'!A:C,3,FALSE)),S1304,VLOOKUP(S1304,'unique org names'!A:C,3,FALSE))
</f>
        <v>SOUTHEASTERN MICHIGAN HEALTH ASSOCIATION</v>
      </c>
      <c r="U1304" s="1" t="s">
        <v>210</v>
      </c>
      <c r="V1304" s="1" t="s">
        <v>211</v>
      </c>
      <c r="W1304" s="1" t="s">
        <v>44</v>
      </c>
      <c r="X1304" s="1" t="s">
        <v>45</v>
      </c>
      <c r="Y1304" s="1">
        <v>4.82023068E8</v>
      </c>
      <c r="AA1304" s="1" t="s">
        <v>46</v>
      </c>
      <c r="AB1304" s="1" t="s">
        <v>45</v>
      </c>
      <c r="AC1304" s="1">
        <v>4.82023068E8</v>
      </c>
      <c r="AD1304" s="1">
        <v>3.8775243E7</v>
      </c>
      <c r="AE1304" s="1" t="s">
        <v>209</v>
      </c>
      <c r="AF1304" s="1">
        <v>9966.75</v>
      </c>
      <c r="AG1304" s="2">
        <v>41183.0</v>
      </c>
      <c r="AH1304" s="1">
        <v>7500.0</v>
      </c>
      <c r="AI1304" s="1" t="s">
        <v>40</v>
      </c>
      <c r="AJ1304" s="1">
        <v>2.0131079E7</v>
      </c>
      <c r="AK1304" s="1" t="s">
        <v>212</v>
      </c>
      <c r="AL1304" s="1">
        <v>10.0</v>
      </c>
      <c r="AM1304" s="1">
        <v>2012.0</v>
      </c>
      <c r="AN1304" s="1">
        <v>2013.0</v>
      </c>
      <c r="AO1304" s="1" t="s">
        <v>213</v>
      </c>
    </row>
    <row r="1305">
      <c r="A1305" s="5">
        <v>1.0</v>
      </c>
      <c r="B1305" s="1">
        <f t="shared" si="1"/>
        <v>1305</v>
      </c>
      <c r="C1305" s="1" t="s">
        <v>2772</v>
      </c>
      <c r="D1305" s="1" t="s">
        <v>2772</v>
      </c>
      <c r="E1305" s="1" t="s">
        <v>207</v>
      </c>
      <c r="G1305" s="1">
        <v>2.67163955E9</v>
      </c>
      <c r="H1305" s="2">
        <v>41183.0</v>
      </c>
      <c r="I1305" s="1" t="s">
        <v>2773</v>
      </c>
      <c r="K1305" s="1" t="s">
        <v>2773</v>
      </c>
      <c r="N1305" s="1" t="s">
        <v>40</v>
      </c>
      <c r="O1305" s="1">
        <v>7500.0</v>
      </c>
      <c r="P1305" s="1" t="s">
        <v>40</v>
      </c>
      <c r="Q1305" s="1" t="str">
        <f>IF(ISERROR(VLOOKUP(P1305,'unique fed agency names'!A:C,3,FALSE)),P1305,VLOOKUP(P1305,'unique fed agency names'!A:C,3,FALSE))
</f>
        <v>U.S. Department of Health and Human Services (DHHS)</v>
      </c>
      <c r="R1305" s="1">
        <v>3.8775243E7</v>
      </c>
      <c r="S1305" s="1" t="s">
        <v>209</v>
      </c>
      <c r="T1305" s="1" t="str">
        <f>IF(ISERROR(VLOOKUP(S1305,'unique org names'!A:C,3,FALSE)),S1305,VLOOKUP(S1305,'unique org names'!A:C,3,FALSE))
</f>
        <v>SOUTHEASTERN MICHIGAN HEALTH ASSOCIATION</v>
      </c>
      <c r="U1305" s="1" t="s">
        <v>210</v>
      </c>
      <c r="V1305" s="1" t="s">
        <v>211</v>
      </c>
      <c r="W1305" s="1" t="s">
        <v>44</v>
      </c>
      <c r="X1305" s="1" t="s">
        <v>45</v>
      </c>
      <c r="Y1305" s="1">
        <v>4.82023068E8</v>
      </c>
      <c r="AA1305" s="1" t="s">
        <v>46</v>
      </c>
      <c r="AB1305" s="1" t="s">
        <v>45</v>
      </c>
      <c r="AC1305" s="1">
        <v>4.82023068E8</v>
      </c>
      <c r="AD1305" s="1">
        <v>3.8775243E7</v>
      </c>
      <c r="AE1305" s="1" t="s">
        <v>209</v>
      </c>
      <c r="AF1305" s="1">
        <v>26013.75</v>
      </c>
      <c r="AG1305" s="2">
        <v>41183.0</v>
      </c>
      <c r="AH1305" s="1">
        <v>7500.0</v>
      </c>
      <c r="AI1305" s="1" t="s">
        <v>40</v>
      </c>
      <c r="AJ1305" s="1">
        <v>2.0131095E7</v>
      </c>
      <c r="AK1305" s="1" t="s">
        <v>212</v>
      </c>
      <c r="AL1305" s="1">
        <v>10.0</v>
      </c>
      <c r="AM1305" s="1">
        <v>2012.0</v>
      </c>
      <c r="AN1305" s="1">
        <v>2013.0</v>
      </c>
      <c r="AO1305" s="1" t="s">
        <v>213</v>
      </c>
    </row>
    <row r="1306">
      <c r="A1306" s="5">
        <v>1.0</v>
      </c>
      <c r="B1306" s="1">
        <f t="shared" si="1"/>
        <v>1306</v>
      </c>
      <c r="C1306" s="1" t="s">
        <v>2772</v>
      </c>
      <c r="D1306" s="1" t="s">
        <v>2772</v>
      </c>
      <c r="E1306" s="1" t="s">
        <v>207</v>
      </c>
      <c r="G1306" s="1">
        <v>2.67163955E9</v>
      </c>
      <c r="H1306" s="2">
        <v>41183.0</v>
      </c>
      <c r="I1306" s="1" t="s">
        <v>2773</v>
      </c>
      <c r="K1306" s="1" t="s">
        <v>2773</v>
      </c>
      <c r="N1306" s="1" t="s">
        <v>40</v>
      </c>
      <c r="O1306" s="1">
        <v>7500.0</v>
      </c>
      <c r="P1306" s="1" t="s">
        <v>40</v>
      </c>
      <c r="Q1306" s="1" t="str">
        <f>IF(ISERROR(VLOOKUP(P1306,'unique fed agency names'!A:C,3,FALSE)),P1306,VLOOKUP(P1306,'unique fed agency names'!A:C,3,FALSE))
</f>
        <v>U.S. Department of Health and Human Services (DHHS)</v>
      </c>
      <c r="R1306" s="1">
        <v>7.92267549E8</v>
      </c>
      <c r="S1306" s="1" t="s">
        <v>41</v>
      </c>
      <c r="T1306" s="1" t="str">
        <f>IF(ISERROR(VLOOKUP(S1306,'unique org names'!A:C,3,FALSE)),S1306,VLOOKUP(S1306,'unique org names'!A:C,3,FALSE))
</f>
        <v>Henry Ford Health System</v>
      </c>
      <c r="U1306" s="1" t="s">
        <v>2769</v>
      </c>
      <c r="V1306" s="1" t="s">
        <v>2770</v>
      </c>
      <c r="W1306" s="1" t="s">
        <v>44</v>
      </c>
      <c r="X1306" s="1" t="s">
        <v>45</v>
      </c>
      <c r="Y1306" s="1">
        <v>4.82353296E8</v>
      </c>
      <c r="AA1306" s="1" t="s">
        <v>46</v>
      </c>
      <c r="AB1306" s="1" t="s">
        <v>45</v>
      </c>
      <c r="AC1306" s="1">
        <v>4.82353456E8</v>
      </c>
      <c r="AD1306" s="1">
        <v>7.3134603E7</v>
      </c>
      <c r="AE1306" s="1" t="s">
        <v>41</v>
      </c>
      <c r="AF1306" s="1">
        <v>1493775.0</v>
      </c>
      <c r="AG1306" s="2">
        <v>41183.0</v>
      </c>
      <c r="AH1306" s="1">
        <v>7500.0</v>
      </c>
      <c r="AI1306" s="1" t="s">
        <v>40</v>
      </c>
      <c r="AJ1306" s="1">
        <v>2.0130336E7</v>
      </c>
      <c r="AK1306" s="1" t="s">
        <v>2771</v>
      </c>
      <c r="AL1306" s="1">
        <v>10.0</v>
      </c>
      <c r="AM1306" s="1">
        <v>2012.0</v>
      </c>
      <c r="AN1306" s="1">
        <v>2013.0</v>
      </c>
      <c r="AO1306" s="1" t="s">
        <v>213</v>
      </c>
    </row>
    <row r="1307">
      <c r="A1307" s="5">
        <v>1.0</v>
      </c>
      <c r="B1307" s="1">
        <f t="shared" si="1"/>
        <v>1307</v>
      </c>
      <c r="C1307" s="1" t="s">
        <v>2772</v>
      </c>
      <c r="D1307" s="1" t="s">
        <v>2772</v>
      </c>
      <c r="E1307" s="1" t="s">
        <v>207</v>
      </c>
      <c r="G1307" s="1">
        <v>2.67163955E9</v>
      </c>
      <c r="H1307" s="2">
        <v>41183.0</v>
      </c>
      <c r="I1307" s="1" t="s">
        <v>2773</v>
      </c>
      <c r="K1307" s="1" t="s">
        <v>2773</v>
      </c>
      <c r="N1307" s="1" t="s">
        <v>40</v>
      </c>
      <c r="O1307" s="1">
        <v>7500.0</v>
      </c>
      <c r="P1307" s="1" t="s">
        <v>40</v>
      </c>
      <c r="Q1307" s="1" t="str">
        <f>IF(ISERROR(VLOOKUP(P1307,'unique fed agency names'!A:C,3,FALSE)),P1307,VLOOKUP(P1307,'unique fed agency names'!A:C,3,FALSE))
</f>
        <v>U.S. Department of Health and Human Services (DHHS)</v>
      </c>
      <c r="R1307" s="1">
        <v>3.8775243E7</v>
      </c>
      <c r="S1307" s="1" t="s">
        <v>209</v>
      </c>
      <c r="T1307" s="1" t="str">
        <f>IF(ISERROR(VLOOKUP(S1307,'unique org names'!A:C,3,FALSE)),S1307,VLOOKUP(S1307,'unique org names'!A:C,3,FALSE))
</f>
        <v>SOUTHEASTERN MICHIGAN HEALTH ASSOCIATION</v>
      </c>
      <c r="U1307" s="1" t="s">
        <v>210</v>
      </c>
      <c r="V1307" s="1" t="s">
        <v>211</v>
      </c>
      <c r="W1307" s="1" t="s">
        <v>44</v>
      </c>
      <c r="X1307" s="1" t="s">
        <v>45</v>
      </c>
      <c r="Y1307" s="1">
        <v>4.82023068E8</v>
      </c>
      <c r="AA1307" s="1" t="s">
        <v>46</v>
      </c>
      <c r="AB1307" s="1" t="s">
        <v>45</v>
      </c>
      <c r="AC1307" s="1">
        <v>4.82023068E8</v>
      </c>
      <c r="AD1307" s="1">
        <v>3.8775243E7</v>
      </c>
      <c r="AE1307" s="1" t="s">
        <v>209</v>
      </c>
      <c r="AF1307" s="1">
        <v>11056.5</v>
      </c>
      <c r="AG1307" s="2">
        <v>41183.0</v>
      </c>
      <c r="AH1307" s="1">
        <v>7500.0</v>
      </c>
      <c r="AI1307" s="1" t="s">
        <v>40</v>
      </c>
      <c r="AJ1307" s="1">
        <v>2.0131257E7</v>
      </c>
      <c r="AK1307" s="1" t="s">
        <v>212</v>
      </c>
      <c r="AL1307" s="1">
        <v>10.0</v>
      </c>
      <c r="AM1307" s="1">
        <v>2012.0</v>
      </c>
      <c r="AN1307" s="1">
        <v>2013.0</v>
      </c>
      <c r="AO1307" s="1" t="s">
        <v>213</v>
      </c>
    </row>
    <row r="1308">
      <c r="A1308" s="5">
        <v>1.0</v>
      </c>
      <c r="B1308" s="1">
        <f t="shared" si="1"/>
        <v>1308</v>
      </c>
      <c r="C1308" s="1" t="s">
        <v>2772</v>
      </c>
      <c r="D1308" s="1" t="s">
        <v>2772</v>
      </c>
      <c r="E1308" s="1" t="s">
        <v>207</v>
      </c>
      <c r="G1308" s="1">
        <v>2.67163955E9</v>
      </c>
      <c r="H1308" s="2">
        <v>41183.0</v>
      </c>
      <c r="I1308" s="1" t="s">
        <v>2773</v>
      </c>
      <c r="K1308" s="1" t="s">
        <v>2773</v>
      </c>
      <c r="N1308" s="1" t="s">
        <v>40</v>
      </c>
      <c r="O1308" s="1">
        <v>7500.0</v>
      </c>
      <c r="P1308" s="1" t="s">
        <v>40</v>
      </c>
      <c r="Q1308" s="1" t="str">
        <f>IF(ISERROR(VLOOKUP(P1308,'unique fed agency names'!A:C,3,FALSE)),P1308,VLOOKUP(P1308,'unique fed agency names'!A:C,3,FALSE))
</f>
        <v>U.S. Department of Health and Human Services (DHHS)</v>
      </c>
      <c r="R1308" s="1">
        <v>4.6842605E7</v>
      </c>
      <c r="S1308" s="1" t="s">
        <v>165</v>
      </c>
      <c r="T1308" s="1" t="str">
        <f>IF(ISERROR(VLOOKUP(S1308,'unique org names'!A:C,3,FALSE)),S1308,VLOOKUP(S1308,'unique org names'!A:C,3,FALSE))
</f>
        <v>DETROIT AREA AGENCY ON AGING</v>
      </c>
      <c r="U1308" s="1" t="s">
        <v>166</v>
      </c>
      <c r="V1308" s="1" t="s">
        <v>167</v>
      </c>
      <c r="W1308" s="1" t="s">
        <v>44</v>
      </c>
      <c r="X1308" s="1" t="s">
        <v>45</v>
      </c>
      <c r="Y1308" s="1">
        <v>4.82074544E8</v>
      </c>
      <c r="AA1308" s="1" t="s">
        <v>46</v>
      </c>
      <c r="AB1308" s="1" t="s">
        <v>45</v>
      </c>
      <c r="AC1308" s="1">
        <v>4.82074544E8</v>
      </c>
      <c r="AD1308" s="1">
        <v>8.8328877E7</v>
      </c>
      <c r="AE1308" s="1" t="s">
        <v>2774</v>
      </c>
      <c r="AF1308" s="1">
        <v>3575679.92</v>
      </c>
      <c r="AG1308" s="2">
        <v>41183.0</v>
      </c>
      <c r="AH1308" s="1">
        <v>7500.0</v>
      </c>
      <c r="AI1308" s="1" t="s">
        <v>40</v>
      </c>
      <c r="AJ1308" s="1">
        <v>2.0130477E7</v>
      </c>
      <c r="AK1308" s="1" t="s">
        <v>2771</v>
      </c>
      <c r="AL1308" s="1">
        <v>10.0</v>
      </c>
      <c r="AM1308" s="1">
        <v>2012.0</v>
      </c>
      <c r="AN1308" s="1">
        <v>2013.0</v>
      </c>
      <c r="AO1308" s="1" t="s">
        <v>213</v>
      </c>
    </row>
    <row r="1309">
      <c r="A1309" s="5">
        <v>1.0</v>
      </c>
      <c r="B1309" s="1">
        <f t="shared" si="1"/>
        <v>1309</v>
      </c>
      <c r="C1309" s="1" t="s">
        <v>2772</v>
      </c>
      <c r="D1309" s="1" t="s">
        <v>2772</v>
      </c>
      <c r="E1309" s="1" t="s">
        <v>207</v>
      </c>
      <c r="G1309" s="1">
        <v>2.67163955E9</v>
      </c>
      <c r="H1309" s="2">
        <v>41183.0</v>
      </c>
      <c r="I1309" s="1" t="s">
        <v>2773</v>
      </c>
      <c r="K1309" s="1" t="s">
        <v>2773</v>
      </c>
      <c r="N1309" s="1" t="s">
        <v>40</v>
      </c>
      <c r="O1309" s="1">
        <v>7500.0</v>
      </c>
      <c r="P1309" s="1" t="s">
        <v>40</v>
      </c>
      <c r="Q1309" s="1" t="str">
        <f>IF(ISERROR(VLOOKUP(P1309,'unique fed agency names'!A:C,3,FALSE)),P1309,VLOOKUP(P1309,'unique fed agency names'!A:C,3,FALSE))
</f>
        <v>U.S. Department of Health and Human Services (DHHS)</v>
      </c>
      <c r="R1309" s="1">
        <v>3.8775243E7</v>
      </c>
      <c r="S1309" s="1" t="s">
        <v>209</v>
      </c>
      <c r="T1309" s="1" t="str">
        <f>IF(ISERROR(VLOOKUP(S1309,'unique org names'!A:C,3,FALSE)),S1309,VLOOKUP(S1309,'unique org names'!A:C,3,FALSE))
</f>
        <v>SOUTHEASTERN MICHIGAN HEALTH ASSOCIATION</v>
      </c>
      <c r="U1309" s="1" t="s">
        <v>210</v>
      </c>
      <c r="V1309" s="1" t="s">
        <v>211</v>
      </c>
      <c r="W1309" s="1" t="s">
        <v>44</v>
      </c>
      <c r="X1309" s="1" t="s">
        <v>45</v>
      </c>
      <c r="Y1309" s="1">
        <v>4.82023068E8</v>
      </c>
      <c r="AA1309" s="1" t="s">
        <v>46</v>
      </c>
      <c r="AB1309" s="1" t="s">
        <v>45</v>
      </c>
      <c r="AC1309" s="1">
        <v>4.82023068E8</v>
      </c>
      <c r="AD1309" s="1">
        <v>3.8775243E7</v>
      </c>
      <c r="AE1309" s="1" t="s">
        <v>209</v>
      </c>
      <c r="AF1309" s="1">
        <v>3749.99</v>
      </c>
      <c r="AG1309" s="2">
        <v>41183.0</v>
      </c>
      <c r="AH1309" s="1">
        <v>7500.0</v>
      </c>
      <c r="AI1309" s="1" t="s">
        <v>40</v>
      </c>
      <c r="AJ1309" s="1">
        <v>2.0133941E7</v>
      </c>
      <c r="AK1309" s="1" t="s">
        <v>212</v>
      </c>
      <c r="AL1309" s="1">
        <v>10.0</v>
      </c>
      <c r="AM1309" s="1">
        <v>2012.0</v>
      </c>
      <c r="AN1309" s="1">
        <v>2013.0</v>
      </c>
      <c r="AO1309" s="1" t="s">
        <v>213</v>
      </c>
    </row>
    <row r="1310">
      <c r="A1310" s="5">
        <v>1.0</v>
      </c>
      <c r="B1310" s="1">
        <f t="shared" si="1"/>
        <v>1310</v>
      </c>
      <c r="C1310" s="1" t="s">
        <v>2772</v>
      </c>
      <c r="D1310" s="1" t="s">
        <v>2772</v>
      </c>
      <c r="E1310" s="1" t="s">
        <v>207</v>
      </c>
      <c r="G1310" s="1">
        <v>2.67163955E9</v>
      </c>
      <c r="H1310" s="2">
        <v>41183.0</v>
      </c>
      <c r="I1310" s="1" t="s">
        <v>2773</v>
      </c>
      <c r="K1310" s="1" t="s">
        <v>2773</v>
      </c>
      <c r="N1310" s="1" t="s">
        <v>40</v>
      </c>
      <c r="O1310" s="1">
        <v>7500.0</v>
      </c>
      <c r="P1310" s="1" t="s">
        <v>40</v>
      </c>
      <c r="Q1310" s="1" t="str">
        <f>IF(ISERROR(VLOOKUP(P1310,'unique fed agency names'!A:C,3,FALSE)),P1310,VLOOKUP(P1310,'unique fed agency names'!A:C,3,FALSE))
</f>
        <v>U.S. Department of Health and Human Services (DHHS)</v>
      </c>
      <c r="R1310" s="1">
        <v>3.8775243E7</v>
      </c>
      <c r="S1310" s="1" t="s">
        <v>209</v>
      </c>
      <c r="T1310" s="1" t="str">
        <f>IF(ISERROR(VLOOKUP(S1310,'unique org names'!A:C,3,FALSE)),S1310,VLOOKUP(S1310,'unique org names'!A:C,3,FALSE))
</f>
        <v>SOUTHEASTERN MICHIGAN HEALTH ASSOCIATION</v>
      </c>
      <c r="U1310" s="1" t="s">
        <v>210</v>
      </c>
      <c r="V1310" s="1" t="s">
        <v>211</v>
      </c>
      <c r="W1310" s="1" t="s">
        <v>44</v>
      </c>
      <c r="X1310" s="1" t="s">
        <v>45</v>
      </c>
      <c r="Y1310" s="1">
        <v>4.82023068E8</v>
      </c>
      <c r="AA1310" s="1" t="s">
        <v>46</v>
      </c>
      <c r="AB1310" s="1" t="s">
        <v>45</v>
      </c>
      <c r="AC1310" s="1">
        <v>4.82023068E8</v>
      </c>
      <c r="AD1310" s="1">
        <v>3.8775243E7</v>
      </c>
      <c r="AE1310" s="1" t="s">
        <v>209</v>
      </c>
      <c r="AF1310" s="1">
        <v>731.25</v>
      </c>
      <c r="AG1310" s="2">
        <v>41183.0</v>
      </c>
      <c r="AH1310" s="1">
        <v>7500.0</v>
      </c>
      <c r="AI1310" s="1" t="s">
        <v>40</v>
      </c>
      <c r="AJ1310" s="1">
        <v>2.0131087E7</v>
      </c>
      <c r="AK1310" s="1" t="s">
        <v>212</v>
      </c>
      <c r="AL1310" s="1">
        <v>10.0</v>
      </c>
      <c r="AM1310" s="1">
        <v>2012.0</v>
      </c>
      <c r="AN1310" s="1">
        <v>2013.0</v>
      </c>
      <c r="AO1310" s="1" t="s">
        <v>213</v>
      </c>
    </row>
    <row r="1311">
      <c r="A1311" s="5">
        <v>1.0</v>
      </c>
      <c r="B1311" s="1">
        <f t="shared" si="1"/>
        <v>1311</v>
      </c>
      <c r="C1311" s="1" t="s">
        <v>2772</v>
      </c>
      <c r="D1311" s="1" t="s">
        <v>2772</v>
      </c>
      <c r="E1311" s="1" t="s">
        <v>207</v>
      </c>
      <c r="G1311" s="1">
        <v>2.67163955E9</v>
      </c>
      <c r="H1311" s="2">
        <v>41183.0</v>
      </c>
      <c r="I1311" s="1" t="s">
        <v>2773</v>
      </c>
      <c r="K1311" s="1" t="s">
        <v>2773</v>
      </c>
      <c r="N1311" s="1" t="s">
        <v>40</v>
      </c>
      <c r="O1311" s="1">
        <v>7500.0</v>
      </c>
      <c r="P1311" s="1" t="s">
        <v>40</v>
      </c>
      <c r="Q1311" s="1" t="str">
        <f>IF(ISERROR(VLOOKUP(P1311,'unique fed agency names'!A:C,3,FALSE)),P1311,VLOOKUP(P1311,'unique fed agency names'!A:C,3,FALSE))
</f>
        <v>U.S. Department of Health and Human Services (DHHS)</v>
      </c>
      <c r="R1311" s="1">
        <v>3.8775243E7</v>
      </c>
      <c r="S1311" s="1" t="s">
        <v>209</v>
      </c>
      <c r="T1311" s="1" t="str">
        <f>IF(ISERROR(VLOOKUP(S1311,'unique org names'!A:C,3,FALSE)),S1311,VLOOKUP(S1311,'unique org names'!A:C,3,FALSE))
</f>
        <v>SOUTHEASTERN MICHIGAN HEALTH ASSOCIATION</v>
      </c>
      <c r="U1311" s="1" t="s">
        <v>210</v>
      </c>
      <c r="V1311" s="1" t="s">
        <v>211</v>
      </c>
      <c r="W1311" s="1" t="s">
        <v>44</v>
      </c>
      <c r="X1311" s="1" t="s">
        <v>45</v>
      </c>
      <c r="Y1311" s="1">
        <v>4.82023068E8</v>
      </c>
      <c r="AA1311" s="1" t="s">
        <v>46</v>
      </c>
      <c r="AB1311" s="1" t="s">
        <v>45</v>
      </c>
      <c r="AC1311" s="1">
        <v>4.82023068E8</v>
      </c>
      <c r="AD1311" s="1">
        <v>3.8775243E7</v>
      </c>
      <c r="AE1311" s="1" t="s">
        <v>209</v>
      </c>
      <c r="AF1311" s="1">
        <v>12603.25</v>
      </c>
      <c r="AG1311" s="2">
        <v>41183.0</v>
      </c>
      <c r="AH1311" s="1">
        <v>7500.0</v>
      </c>
      <c r="AI1311" s="1" t="s">
        <v>40</v>
      </c>
      <c r="AJ1311" s="1">
        <v>2.0131081E7</v>
      </c>
      <c r="AK1311" s="1" t="s">
        <v>212</v>
      </c>
      <c r="AL1311" s="1">
        <v>10.0</v>
      </c>
      <c r="AM1311" s="1">
        <v>2012.0</v>
      </c>
      <c r="AN1311" s="1">
        <v>2013.0</v>
      </c>
      <c r="AO1311" s="1" t="s">
        <v>213</v>
      </c>
    </row>
    <row r="1312">
      <c r="A1312" s="5">
        <v>1.0</v>
      </c>
      <c r="B1312" s="1">
        <f t="shared" si="1"/>
        <v>1312</v>
      </c>
      <c r="C1312" s="1" t="s">
        <v>2772</v>
      </c>
      <c r="D1312" s="1" t="s">
        <v>2772</v>
      </c>
      <c r="E1312" s="1" t="s">
        <v>207</v>
      </c>
      <c r="G1312" s="1">
        <v>2.67163955E9</v>
      </c>
      <c r="H1312" s="2">
        <v>41183.0</v>
      </c>
      <c r="I1312" s="1" t="s">
        <v>2773</v>
      </c>
      <c r="K1312" s="1" t="s">
        <v>2773</v>
      </c>
      <c r="N1312" s="1" t="s">
        <v>40</v>
      </c>
      <c r="O1312" s="1">
        <v>7500.0</v>
      </c>
      <c r="P1312" s="1" t="s">
        <v>40</v>
      </c>
      <c r="Q1312" s="1" t="str">
        <f>IF(ISERROR(VLOOKUP(P1312,'unique fed agency names'!A:C,3,FALSE)),P1312,VLOOKUP(P1312,'unique fed agency names'!A:C,3,FALSE))
</f>
        <v>U.S. Department of Health and Human Services (DHHS)</v>
      </c>
      <c r="R1312" s="1">
        <v>7.3134884E7</v>
      </c>
      <c r="S1312" s="1" t="s">
        <v>259</v>
      </c>
      <c r="T1312" s="1" t="str">
        <f>IF(ISERROR(VLOOKUP(S1312,'unique org names'!A:C,3,FALSE)),S1312,VLOOKUP(S1312,'unique org names'!A:C,3,FALSE))
</f>
        <v>Wayne County</v>
      </c>
      <c r="U1312" s="1" t="s">
        <v>2077</v>
      </c>
      <c r="V1312" s="1" t="s">
        <v>286</v>
      </c>
      <c r="W1312" s="1" t="s">
        <v>44</v>
      </c>
      <c r="X1312" s="1" t="s">
        <v>45</v>
      </c>
      <c r="Y1312" s="1">
        <v>4.82262841E8</v>
      </c>
      <c r="AA1312" s="1" t="s">
        <v>46</v>
      </c>
      <c r="AB1312" s="1" t="s">
        <v>45</v>
      </c>
      <c r="AC1312" s="1">
        <v>4.8226348E8</v>
      </c>
      <c r="AD1312" s="1">
        <v>7.3134884E7</v>
      </c>
      <c r="AE1312" s="1" t="s">
        <v>1796</v>
      </c>
      <c r="AF1312" s="1">
        <v>410870.1</v>
      </c>
      <c r="AG1312" s="2">
        <v>41183.0</v>
      </c>
      <c r="AH1312" s="1">
        <v>7500.0</v>
      </c>
      <c r="AI1312" s="1" t="s">
        <v>40</v>
      </c>
      <c r="AJ1312" s="1">
        <v>2.0131302E7</v>
      </c>
      <c r="AK1312" s="1" t="s">
        <v>212</v>
      </c>
      <c r="AL1312" s="1">
        <v>10.0</v>
      </c>
      <c r="AM1312" s="1">
        <v>2012.0</v>
      </c>
      <c r="AN1312" s="1">
        <v>2013.0</v>
      </c>
      <c r="AO1312" s="1" t="s">
        <v>213</v>
      </c>
    </row>
    <row r="1313">
      <c r="A1313" s="5">
        <v>1.0</v>
      </c>
      <c r="B1313" s="1">
        <f t="shared" si="1"/>
        <v>1313</v>
      </c>
      <c r="C1313" s="1" t="s">
        <v>2772</v>
      </c>
      <c r="D1313" s="1" t="s">
        <v>2772</v>
      </c>
      <c r="E1313" s="1" t="s">
        <v>207</v>
      </c>
      <c r="G1313" s="1">
        <v>2.67163955E9</v>
      </c>
      <c r="H1313" s="2">
        <v>41183.0</v>
      </c>
      <c r="I1313" s="1" t="s">
        <v>2773</v>
      </c>
      <c r="K1313" s="1" t="s">
        <v>2773</v>
      </c>
      <c r="N1313" s="1" t="s">
        <v>40</v>
      </c>
      <c r="O1313" s="1">
        <v>7500.0</v>
      </c>
      <c r="P1313" s="1" t="s">
        <v>40</v>
      </c>
      <c r="Q1313" s="1" t="str">
        <f>IF(ISERROR(VLOOKUP(P1313,'unique fed agency names'!A:C,3,FALSE)),P1313,VLOOKUP(P1313,'unique fed agency names'!A:C,3,FALSE))
</f>
        <v>U.S. Department of Health and Human Services (DHHS)</v>
      </c>
      <c r="R1313" s="1">
        <v>8.09204196E8</v>
      </c>
      <c r="S1313" s="1" t="s">
        <v>175</v>
      </c>
      <c r="T1313" s="1" t="str">
        <f>IF(ISERROR(VLOOKUP(S1313,'unique org names'!A:C,3,FALSE)),S1313,VLOOKUP(S1313,'unique org names'!A:C,3,FALSE))
</f>
        <v>DETROIT WAYNE COUNTY HEALTH AUTHORITY</v>
      </c>
      <c r="U1313" s="1" t="s">
        <v>2775</v>
      </c>
      <c r="V1313" s="1" t="s">
        <v>2078</v>
      </c>
      <c r="W1313" s="1" t="s">
        <v>44</v>
      </c>
      <c r="X1313" s="1" t="s">
        <v>45</v>
      </c>
      <c r="Y1313" s="1">
        <v>4.82023026E8</v>
      </c>
      <c r="AA1313" s="1" t="s">
        <v>46</v>
      </c>
      <c r="AB1313" s="1" t="s">
        <v>45</v>
      </c>
      <c r="AC1313" s="1">
        <v>4.82023025E8</v>
      </c>
      <c r="AD1313" s="1">
        <v>8.09204196E8</v>
      </c>
      <c r="AE1313" s="1" t="s">
        <v>175</v>
      </c>
      <c r="AF1313" s="1">
        <v>157655.5</v>
      </c>
      <c r="AG1313" s="2">
        <v>41183.0</v>
      </c>
      <c r="AH1313" s="1">
        <v>7500.0</v>
      </c>
      <c r="AI1313" s="1" t="s">
        <v>40</v>
      </c>
      <c r="AJ1313" s="1">
        <v>2.0131444E7</v>
      </c>
      <c r="AK1313" s="1" t="s">
        <v>212</v>
      </c>
      <c r="AL1313" s="1">
        <v>10.0</v>
      </c>
      <c r="AM1313" s="1">
        <v>2012.0</v>
      </c>
      <c r="AN1313" s="1">
        <v>2013.0</v>
      </c>
      <c r="AO1313" s="1" t="s">
        <v>213</v>
      </c>
    </row>
    <row r="1314">
      <c r="A1314" s="5">
        <v>1.0</v>
      </c>
      <c r="B1314" s="1">
        <f t="shared" si="1"/>
        <v>1314</v>
      </c>
      <c r="C1314" s="1" t="s">
        <v>2772</v>
      </c>
      <c r="D1314" s="1" t="s">
        <v>2772</v>
      </c>
      <c r="E1314" s="1" t="s">
        <v>207</v>
      </c>
      <c r="G1314" s="1">
        <v>2.67163955E9</v>
      </c>
      <c r="H1314" s="2">
        <v>41183.0</v>
      </c>
      <c r="I1314" s="1" t="s">
        <v>2773</v>
      </c>
      <c r="K1314" s="1" t="s">
        <v>2773</v>
      </c>
      <c r="N1314" s="1" t="s">
        <v>40</v>
      </c>
      <c r="O1314" s="1">
        <v>7500.0</v>
      </c>
      <c r="P1314" s="1" t="s">
        <v>40</v>
      </c>
      <c r="Q1314" s="1" t="str">
        <f>IF(ISERROR(VLOOKUP(P1314,'unique fed agency names'!A:C,3,FALSE)),P1314,VLOOKUP(P1314,'unique fed agency names'!A:C,3,FALSE))
</f>
        <v>U.S. Department of Health and Human Services (DHHS)</v>
      </c>
      <c r="R1314" s="1">
        <v>7.8583404E7</v>
      </c>
      <c r="S1314" s="1" t="s">
        <v>65</v>
      </c>
      <c r="T1314" s="1" t="str">
        <f>IF(ISERROR(VLOOKUP(S1314,'unique org names'!A:C,3,FALSE)),S1314,VLOOKUP(S1314,'unique org names'!A:C,3,FALSE))
</f>
        <v>Institute for Population Health Inc.</v>
      </c>
      <c r="U1314" s="1" t="s">
        <v>2014</v>
      </c>
      <c r="V1314" s="1" t="s">
        <v>1573</v>
      </c>
      <c r="W1314" s="1" t="s">
        <v>44</v>
      </c>
      <c r="X1314" s="1" t="s">
        <v>45</v>
      </c>
      <c r="Y1314" s="1">
        <v>4.8207311E8</v>
      </c>
      <c r="AA1314" s="1" t="s">
        <v>46</v>
      </c>
      <c r="AB1314" s="1" t="s">
        <v>45</v>
      </c>
      <c r="AC1314" s="1">
        <v>4.82021732E8</v>
      </c>
      <c r="AD1314" s="1">
        <v>8.6183175E7</v>
      </c>
      <c r="AE1314" s="1" t="s">
        <v>2776</v>
      </c>
      <c r="AF1314" s="1">
        <v>100785.0</v>
      </c>
      <c r="AG1314" s="2">
        <v>41183.0</v>
      </c>
      <c r="AH1314" s="1">
        <v>7500.0</v>
      </c>
      <c r="AI1314" s="1" t="s">
        <v>40</v>
      </c>
      <c r="AJ1314" s="1">
        <v>2.01304E7</v>
      </c>
      <c r="AK1314" s="1" t="s">
        <v>212</v>
      </c>
      <c r="AL1314" s="1">
        <v>10.0</v>
      </c>
      <c r="AM1314" s="1">
        <v>2012.0</v>
      </c>
      <c r="AN1314" s="1">
        <v>2013.0</v>
      </c>
      <c r="AO1314" s="1" t="s">
        <v>213</v>
      </c>
    </row>
    <row r="1315">
      <c r="A1315" s="5">
        <v>1.0</v>
      </c>
      <c r="B1315" s="1">
        <f t="shared" si="1"/>
        <v>1315</v>
      </c>
      <c r="C1315" s="1" t="s">
        <v>2755</v>
      </c>
      <c r="D1315" s="1" t="s">
        <v>2755</v>
      </c>
      <c r="E1315" s="1" t="s">
        <v>38</v>
      </c>
      <c r="G1315" s="1">
        <v>9586194.0</v>
      </c>
      <c r="H1315" s="2">
        <v>41879.0</v>
      </c>
      <c r="I1315" s="1" t="s">
        <v>2756</v>
      </c>
      <c r="K1315" s="1" t="s">
        <v>2756</v>
      </c>
      <c r="N1315" s="1" t="s">
        <v>40</v>
      </c>
      <c r="O1315" s="1">
        <v>7500.0</v>
      </c>
      <c r="P1315" s="1" t="s">
        <v>40</v>
      </c>
      <c r="Q1315" s="1" t="str">
        <f>IF(ISERROR(VLOOKUP(P1315,'unique fed agency names'!A:C,3,FALSE)),P1315,VLOOKUP(P1315,'unique fed agency names'!A:C,3,FALSE))
</f>
        <v>U.S. Department of Health and Human Services (DHHS)</v>
      </c>
      <c r="R1315" s="1">
        <v>1962224.0</v>
      </c>
      <c r="S1315" s="1" t="s">
        <v>52</v>
      </c>
      <c r="T1315" s="1" t="str">
        <f>IF(ISERROR(VLOOKUP(S1315,'unique org names'!A:C,3,FALSE)),S1315,VLOOKUP(S1315,'unique org names'!A:C,3,FALSE))
</f>
        <v>WAYNE STATE UNIVERSITY</v>
      </c>
      <c r="V1315" s="1" t="s">
        <v>53</v>
      </c>
      <c r="W1315" s="1" t="s">
        <v>44</v>
      </c>
      <c r="X1315" s="1" t="s">
        <v>45</v>
      </c>
      <c r="Y1315" s="1">
        <v>4.82023692E8</v>
      </c>
      <c r="AA1315" s="1" t="s">
        <v>46</v>
      </c>
      <c r="AB1315" s="1" t="s">
        <v>45</v>
      </c>
      <c r="AC1315" s="1">
        <v>4.8202405E8</v>
      </c>
      <c r="AD1315" s="1">
        <v>1962224.0</v>
      </c>
      <c r="AE1315" s="1" t="s">
        <v>52</v>
      </c>
      <c r="AF1315" s="1">
        <v>1166373.0</v>
      </c>
      <c r="AG1315" s="2">
        <v>41879.0</v>
      </c>
      <c r="AH1315" s="1">
        <v>7500.0</v>
      </c>
      <c r="AI1315" s="1" t="s">
        <v>40</v>
      </c>
      <c r="AJ1315" s="1">
        <v>1.53405504E8</v>
      </c>
      <c r="AK1315" s="1" t="s">
        <v>2757</v>
      </c>
      <c r="AL1315" s="1">
        <v>11.0</v>
      </c>
      <c r="AM1315" s="1">
        <v>2014.0</v>
      </c>
      <c r="AN1315" s="1">
        <v>2014.0</v>
      </c>
      <c r="AO1315" s="1" t="s">
        <v>202</v>
      </c>
    </row>
    <row r="1316">
      <c r="A1316" s="5">
        <v>1.0</v>
      </c>
      <c r="B1316" s="1">
        <f t="shared" si="1"/>
        <v>1316</v>
      </c>
      <c r="C1316" s="1" t="s">
        <v>2777</v>
      </c>
      <c r="D1316" s="1" t="s">
        <v>2777</v>
      </c>
      <c r="E1316" s="1" t="s">
        <v>38</v>
      </c>
      <c r="G1316" s="1">
        <v>1242356.0</v>
      </c>
      <c r="H1316" s="2">
        <v>41932.0</v>
      </c>
      <c r="I1316" s="1" t="s">
        <v>2778</v>
      </c>
      <c r="K1316" s="1" t="s">
        <v>2778</v>
      </c>
      <c r="N1316" s="1" t="s">
        <v>40</v>
      </c>
      <c r="O1316" s="1">
        <v>7500.0</v>
      </c>
      <c r="P1316" s="1" t="s">
        <v>40</v>
      </c>
      <c r="Q1316" s="1" t="str">
        <f>IF(ISERROR(VLOOKUP(P1316,'unique fed agency names'!A:C,3,FALSE)),P1316,VLOOKUP(P1316,'unique fed agency names'!A:C,3,FALSE))
</f>
        <v>U.S. Department of Health and Human Services (DHHS)</v>
      </c>
      <c r="R1316" s="1">
        <v>1962224.0</v>
      </c>
      <c r="S1316" s="1" t="s">
        <v>52</v>
      </c>
      <c r="T1316" s="1" t="str">
        <f>IF(ISERROR(VLOOKUP(S1316,'unique org names'!A:C,3,FALSE)),S1316,VLOOKUP(S1316,'unique org names'!A:C,3,FALSE))
</f>
        <v>WAYNE STATE UNIVERSITY</v>
      </c>
      <c r="V1316" s="1" t="s">
        <v>53</v>
      </c>
      <c r="W1316" s="1" t="s">
        <v>44</v>
      </c>
      <c r="X1316" s="1" t="s">
        <v>45</v>
      </c>
      <c r="Y1316" s="1">
        <v>4.82023692E8</v>
      </c>
      <c r="AA1316" s="1" t="s">
        <v>46</v>
      </c>
      <c r="AB1316" s="1" t="s">
        <v>45</v>
      </c>
      <c r="AC1316" s="1">
        <v>4.8202405E8</v>
      </c>
      <c r="AD1316" s="1">
        <v>1962224.0</v>
      </c>
      <c r="AE1316" s="1" t="s">
        <v>52</v>
      </c>
      <c r="AF1316" s="1">
        <v>368143.0</v>
      </c>
      <c r="AG1316" s="2">
        <v>41932.0</v>
      </c>
      <c r="AH1316" s="1">
        <v>7500.0</v>
      </c>
      <c r="AI1316" s="1" t="s">
        <v>40</v>
      </c>
      <c r="AJ1316" s="1">
        <v>8065.0</v>
      </c>
      <c r="AK1316" s="1" t="s">
        <v>2779</v>
      </c>
      <c r="AL1316" s="1">
        <v>10.0</v>
      </c>
      <c r="AM1316" s="1">
        <v>2014.0</v>
      </c>
      <c r="AN1316" s="1">
        <v>2015.0</v>
      </c>
      <c r="AO1316" s="1" t="s">
        <v>2780</v>
      </c>
    </row>
    <row r="1317">
      <c r="A1317" s="5">
        <v>1.0</v>
      </c>
      <c r="B1317" s="1">
        <f t="shared" si="1"/>
        <v>1317</v>
      </c>
      <c r="C1317" s="1" t="s">
        <v>2781</v>
      </c>
      <c r="D1317" s="1" t="s">
        <v>2781</v>
      </c>
      <c r="E1317" s="1" t="s">
        <v>129</v>
      </c>
      <c r="G1317" s="1">
        <v>1.0306387E7</v>
      </c>
      <c r="H1317" s="2">
        <v>41913.0</v>
      </c>
      <c r="I1317" s="1" t="s">
        <v>2782</v>
      </c>
      <c r="K1317" s="1" t="s">
        <v>2782</v>
      </c>
      <c r="N1317" s="1" t="s">
        <v>40</v>
      </c>
      <c r="O1317" s="1">
        <v>7500.0</v>
      </c>
      <c r="P1317" s="1" t="s">
        <v>40</v>
      </c>
      <c r="Q1317" s="1" t="str">
        <f>IF(ISERROR(VLOOKUP(P1317,'unique fed agency names'!A:C,3,FALSE)),P1317,VLOOKUP(P1317,'unique fed agency names'!A:C,3,FALSE))
</f>
        <v>U.S. Department of Health and Human Services (DHHS)</v>
      </c>
      <c r="R1317" s="1">
        <v>6.9840817E7</v>
      </c>
      <c r="S1317" s="1" t="s">
        <v>131</v>
      </c>
      <c r="T1317" s="1" t="str">
        <f>IF(ISERROR(VLOOKUP(S1317,'unique org names'!A:C,3,FALSE)),S1317,VLOOKUP(S1317,'unique org names'!A:C,3,FALSE))
</f>
        <v>LUTHERAN SOCIAL SERVICES OF MICHIGAN</v>
      </c>
      <c r="V1317" s="1" t="s">
        <v>132</v>
      </c>
      <c r="W1317" s="1" t="s">
        <v>44</v>
      </c>
      <c r="X1317" s="1" t="s">
        <v>45</v>
      </c>
      <c r="Y1317" s="1">
        <v>4.8214261E8</v>
      </c>
      <c r="AA1317" s="1" t="s">
        <v>44</v>
      </c>
      <c r="AB1317" s="1" t="s">
        <v>45</v>
      </c>
      <c r="AC1317" s="1">
        <v>4.8214261E8</v>
      </c>
      <c r="AD1317" s="1">
        <v>6.9840817E7</v>
      </c>
      <c r="AE1317" s="1" t="s">
        <v>131</v>
      </c>
      <c r="AF1317" s="1">
        <v>95000.0</v>
      </c>
      <c r="AG1317" s="2">
        <v>41913.0</v>
      </c>
      <c r="AH1317" s="1">
        <v>7500.0</v>
      </c>
      <c r="AI1317" s="1" t="s">
        <v>40</v>
      </c>
      <c r="AJ1317" s="1" t="s">
        <v>2783</v>
      </c>
      <c r="AK1317" s="1" t="s">
        <v>2784</v>
      </c>
      <c r="AL1317" s="1">
        <v>10.0</v>
      </c>
      <c r="AM1317" s="1">
        <v>2014.0</v>
      </c>
      <c r="AN1317" s="1">
        <v>2015.0</v>
      </c>
      <c r="AO1317" s="1" t="s">
        <v>1873</v>
      </c>
    </row>
    <row r="1318">
      <c r="A1318" s="5">
        <v>1.0</v>
      </c>
      <c r="B1318" s="1">
        <f t="shared" si="1"/>
        <v>1318</v>
      </c>
      <c r="C1318" s="1" t="s">
        <v>2634</v>
      </c>
      <c r="D1318" s="1" t="s">
        <v>2634</v>
      </c>
      <c r="E1318" s="1" t="s">
        <v>63</v>
      </c>
      <c r="G1318" s="1">
        <v>2.0302352E7</v>
      </c>
      <c r="H1318" s="2">
        <v>41548.0</v>
      </c>
      <c r="I1318" s="1" t="s">
        <v>2635</v>
      </c>
      <c r="K1318" s="1" t="s">
        <v>2635</v>
      </c>
      <c r="N1318" s="1" t="s">
        <v>40</v>
      </c>
      <c r="O1318" s="1">
        <v>7500.0</v>
      </c>
      <c r="P1318" s="1" t="s">
        <v>40</v>
      </c>
      <c r="Q1318" s="1" t="str">
        <f>IF(ISERROR(VLOOKUP(P1318,'unique fed agency names'!A:C,3,FALSE)),P1318,VLOOKUP(P1318,'unique fed agency names'!A:C,3,FALSE))
</f>
        <v>U.S. Department of Health and Human Services (DHHS)</v>
      </c>
      <c r="R1318" s="1">
        <v>7840122.0</v>
      </c>
      <c r="S1318" s="1" t="s">
        <v>1246</v>
      </c>
      <c r="T1318" s="1" t="str">
        <f>IF(ISERROR(VLOOKUP(S1318,'unique org names'!A:C,3,FALSE)),S1318,VLOOKUP(S1318,'unique org names'!A:C,3,FALSE))
</f>
        <v>DETROIT HISPANIC DEVELOPMENT CORPORATION</v>
      </c>
      <c r="U1318" s="1" t="s">
        <v>2785</v>
      </c>
      <c r="V1318" s="1" t="s">
        <v>1247</v>
      </c>
      <c r="W1318" s="1" t="s">
        <v>44</v>
      </c>
      <c r="X1318" s="1" t="s">
        <v>45</v>
      </c>
      <c r="Y1318" s="1">
        <v>4.8216194E8</v>
      </c>
      <c r="AA1318" s="1" t="s">
        <v>46</v>
      </c>
      <c r="AB1318" s="1" t="s">
        <v>45</v>
      </c>
      <c r="AC1318" s="1">
        <v>4.8216194E8</v>
      </c>
      <c r="AD1318" s="1">
        <v>1.41637368E8</v>
      </c>
      <c r="AE1318" s="1" t="s">
        <v>2786</v>
      </c>
      <c r="AF1318" s="1">
        <v>15000.0</v>
      </c>
      <c r="AG1318" s="2">
        <v>41548.0</v>
      </c>
      <c r="AH1318" s="1">
        <v>7500.0</v>
      </c>
      <c r="AI1318" s="1" t="s">
        <v>40</v>
      </c>
      <c r="AJ1318" s="1">
        <v>2.0140326E7</v>
      </c>
      <c r="AK1318" s="1" t="s">
        <v>2638</v>
      </c>
      <c r="AL1318" s="1">
        <v>10.0</v>
      </c>
      <c r="AM1318" s="1">
        <v>2010.0</v>
      </c>
      <c r="AN1318" s="1">
        <v>2014.0</v>
      </c>
      <c r="AO1318" s="1" t="s">
        <v>2639</v>
      </c>
    </row>
    <row r="1319">
      <c r="A1319" s="5">
        <v>1.0</v>
      </c>
      <c r="B1319" s="1">
        <f t="shared" si="1"/>
        <v>1319</v>
      </c>
      <c r="C1319" s="1" t="s">
        <v>2634</v>
      </c>
      <c r="D1319" s="1" t="s">
        <v>2634</v>
      </c>
      <c r="E1319" s="1" t="s">
        <v>63</v>
      </c>
      <c r="G1319" s="1">
        <v>2.0302352E7</v>
      </c>
      <c r="H1319" s="2">
        <v>41183.0</v>
      </c>
      <c r="I1319" s="1" t="s">
        <v>2635</v>
      </c>
      <c r="K1319" s="1" t="s">
        <v>2635</v>
      </c>
      <c r="N1319" s="1" t="s">
        <v>40</v>
      </c>
      <c r="O1319" s="1">
        <v>7500.0</v>
      </c>
      <c r="P1319" s="1" t="s">
        <v>40</v>
      </c>
      <c r="Q1319" s="1" t="str">
        <f>IF(ISERROR(VLOOKUP(P1319,'unique fed agency names'!A:C,3,FALSE)),P1319,VLOOKUP(P1319,'unique fed agency names'!A:C,3,FALSE))
</f>
        <v>U.S. Department of Health and Human Services (DHHS)</v>
      </c>
      <c r="R1319" s="1">
        <v>7840122.0</v>
      </c>
      <c r="S1319" s="1" t="s">
        <v>1246</v>
      </c>
      <c r="T1319" s="1" t="str">
        <f>IF(ISERROR(VLOOKUP(S1319,'unique org names'!A:C,3,FALSE)),S1319,VLOOKUP(S1319,'unique org names'!A:C,3,FALSE))
</f>
        <v>DETROIT HISPANIC DEVELOPMENT CORPORATION</v>
      </c>
      <c r="U1319" s="1" t="s">
        <v>2787</v>
      </c>
      <c r="V1319" s="1" t="s">
        <v>1247</v>
      </c>
      <c r="W1319" s="1" t="s">
        <v>44</v>
      </c>
      <c r="X1319" s="1" t="s">
        <v>45</v>
      </c>
      <c r="Y1319" s="1">
        <v>4.8216194E8</v>
      </c>
      <c r="AA1319" s="1" t="s">
        <v>46</v>
      </c>
      <c r="AB1319" s="1" t="s">
        <v>45</v>
      </c>
      <c r="AC1319" s="1">
        <v>4.8216194E8</v>
      </c>
      <c r="AD1319" s="1">
        <v>6.05058478E8</v>
      </c>
      <c r="AE1319" s="1" t="s">
        <v>2788</v>
      </c>
      <c r="AF1319" s="1">
        <v>10000.0</v>
      </c>
      <c r="AG1319" s="2">
        <v>41183.0</v>
      </c>
      <c r="AH1319" s="1">
        <v>7500.0</v>
      </c>
      <c r="AI1319" s="1" t="s">
        <v>40</v>
      </c>
      <c r="AJ1319" s="1">
        <v>2.0133073E7</v>
      </c>
      <c r="AK1319" s="1" t="s">
        <v>2638</v>
      </c>
      <c r="AL1319" s="1">
        <v>10.0</v>
      </c>
      <c r="AM1319" s="1">
        <v>2010.0</v>
      </c>
      <c r="AN1319" s="1">
        <v>2013.0</v>
      </c>
      <c r="AO1319" s="1" t="s">
        <v>2639</v>
      </c>
    </row>
    <row r="1320">
      <c r="A1320" s="5">
        <v>1.0</v>
      </c>
      <c r="B1320" s="1">
        <f t="shared" si="1"/>
        <v>1320</v>
      </c>
      <c r="C1320" s="1" t="s">
        <v>2789</v>
      </c>
      <c r="D1320" s="1" t="s">
        <v>2789</v>
      </c>
      <c r="E1320" s="1" t="s">
        <v>207</v>
      </c>
      <c r="G1320" s="1">
        <v>2.11124045E9</v>
      </c>
      <c r="H1320" s="2">
        <v>41183.0</v>
      </c>
      <c r="I1320" s="1" t="s">
        <v>2790</v>
      </c>
      <c r="K1320" s="1" t="s">
        <v>2790</v>
      </c>
      <c r="N1320" s="1" t="s">
        <v>40</v>
      </c>
      <c r="O1320" s="1">
        <v>7500.0</v>
      </c>
      <c r="P1320" s="1" t="s">
        <v>40</v>
      </c>
      <c r="Q1320" s="1" t="str">
        <f>IF(ISERROR(VLOOKUP(P1320,'unique fed agency names'!A:C,3,FALSE)),P1320,VLOOKUP(P1320,'unique fed agency names'!A:C,3,FALSE))
</f>
        <v>U.S. Department of Health and Human Services (DHHS)</v>
      </c>
      <c r="R1320" s="1">
        <v>3.8775243E7</v>
      </c>
      <c r="S1320" s="1" t="s">
        <v>209</v>
      </c>
      <c r="T1320" s="1" t="str">
        <f>IF(ISERROR(VLOOKUP(S1320,'unique org names'!A:C,3,FALSE)),S1320,VLOOKUP(S1320,'unique org names'!A:C,3,FALSE))
</f>
        <v>SOUTHEASTERN MICHIGAN HEALTH ASSOCIATION</v>
      </c>
      <c r="U1320" s="1" t="s">
        <v>210</v>
      </c>
      <c r="V1320" s="1" t="s">
        <v>211</v>
      </c>
      <c r="W1320" s="1" t="s">
        <v>44</v>
      </c>
      <c r="X1320" s="1" t="s">
        <v>45</v>
      </c>
      <c r="Y1320" s="1">
        <v>4.82023068E8</v>
      </c>
      <c r="AA1320" s="1" t="s">
        <v>46</v>
      </c>
      <c r="AB1320" s="1" t="s">
        <v>45</v>
      </c>
      <c r="AC1320" s="1">
        <v>4.82023068E8</v>
      </c>
      <c r="AD1320" s="1">
        <v>3.8775243E7</v>
      </c>
      <c r="AE1320" s="1" t="s">
        <v>209</v>
      </c>
      <c r="AF1320" s="1">
        <v>22521.0</v>
      </c>
      <c r="AG1320" s="2">
        <v>41183.0</v>
      </c>
      <c r="AH1320" s="1">
        <v>7500.0</v>
      </c>
      <c r="AI1320" s="1" t="s">
        <v>40</v>
      </c>
      <c r="AJ1320" s="1">
        <v>2.0131085E7</v>
      </c>
      <c r="AK1320" s="1" t="s">
        <v>212</v>
      </c>
      <c r="AL1320" s="1">
        <v>10.0</v>
      </c>
      <c r="AM1320" s="1">
        <v>2012.0</v>
      </c>
      <c r="AN1320" s="1">
        <v>2013.0</v>
      </c>
      <c r="AO1320" s="1" t="s">
        <v>213</v>
      </c>
    </row>
    <row r="1321">
      <c r="A1321" s="5">
        <v>1.0</v>
      </c>
      <c r="B1321" s="1">
        <f t="shared" si="1"/>
        <v>1321</v>
      </c>
      <c r="C1321" s="1" t="s">
        <v>2789</v>
      </c>
      <c r="D1321" s="1" t="s">
        <v>2789</v>
      </c>
      <c r="E1321" s="1" t="s">
        <v>207</v>
      </c>
      <c r="G1321" s="1">
        <v>2.11124045E9</v>
      </c>
      <c r="H1321" s="2">
        <v>41183.0</v>
      </c>
      <c r="I1321" s="1" t="s">
        <v>2790</v>
      </c>
      <c r="K1321" s="1" t="s">
        <v>2790</v>
      </c>
      <c r="N1321" s="1" t="s">
        <v>40</v>
      </c>
      <c r="O1321" s="1">
        <v>7500.0</v>
      </c>
      <c r="P1321" s="1" t="s">
        <v>40</v>
      </c>
      <c r="Q1321" s="1" t="str">
        <f>IF(ISERROR(VLOOKUP(P1321,'unique fed agency names'!A:C,3,FALSE)),P1321,VLOOKUP(P1321,'unique fed agency names'!A:C,3,FALSE))
</f>
        <v>U.S. Department of Health and Human Services (DHHS)</v>
      </c>
      <c r="R1321" s="1">
        <v>3.8775243E7</v>
      </c>
      <c r="S1321" s="1" t="s">
        <v>209</v>
      </c>
      <c r="T1321" s="1" t="str">
        <f>IF(ISERROR(VLOOKUP(S1321,'unique org names'!A:C,3,FALSE)),S1321,VLOOKUP(S1321,'unique org names'!A:C,3,FALSE))
</f>
        <v>SOUTHEASTERN MICHIGAN HEALTH ASSOCIATION</v>
      </c>
      <c r="U1321" s="1" t="s">
        <v>210</v>
      </c>
      <c r="V1321" s="1" t="s">
        <v>211</v>
      </c>
      <c r="W1321" s="1" t="s">
        <v>44</v>
      </c>
      <c r="X1321" s="1" t="s">
        <v>45</v>
      </c>
      <c r="Y1321" s="1">
        <v>4.82023068E8</v>
      </c>
      <c r="AA1321" s="1" t="s">
        <v>46</v>
      </c>
      <c r="AB1321" s="1" t="s">
        <v>45</v>
      </c>
      <c r="AC1321" s="1">
        <v>4.82023068E8</v>
      </c>
      <c r="AD1321" s="1">
        <v>3.8775243E7</v>
      </c>
      <c r="AE1321" s="1" t="s">
        <v>209</v>
      </c>
      <c r="AF1321" s="1">
        <v>12603.25</v>
      </c>
      <c r="AG1321" s="2">
        <v>41183.0</v>
      </c>
      <c r="AH1321" s="1">
        <v>7500.0</v>
      </c>
      <c r="AI1321" s="1" t="s">
        <v>40</v>
      </c>
      <c r="AJ1321" s="1">
        <v>2.0131081E7</v>
      </c>
      <c r="AK1321" s="1" t="s">
        <v>212</v>
      </c>
      <c r="AL1321" s="1">
        <v>10.0</v>
      </c>
      <c r="AM1321" s="1">
        <v>2012.0</v>
      </c>
      <c r="AN1321" s="1">
        <v>2013.0</v>
      </c>
      <c r="AO1321" s="1" t="s">
        <v>213</v>
      </c>
    </row>
    <row r="1322">
      <c r="A1322" s="5">
        <v>1.0</v>
      </c>
      <c r="B1322" s="1">
        <f t="shared" si="1"/>
        <v>1322</v>
      </c>
      <c r="C1322" s="1" t="s">
        <v>2789</v>
      </c>
      <c r="D1322" s="1" t="s">
        <v>2789</v>
      </c>
      <c r="E1322" s="1" t="s">
        <v>207</v>
      </c>
      <c r="G1322" s="1">
        <v>2.11124045E9</v>
      </c>
      <c r="H1322" s="2">
        <v>41183.0</v>
      </c>
      <c r="I1322" s="1" t="s">
        <v>2790</v>
      </c>
      <c r="K1322" s="1" t="s">
        <v>2790</v>
      </c>
      <c r="N1322" s="1" t="s">
        <v>40</v>
      </c>
      <c r="O1322" s="1">
        <v>7500.0</v>
      </c>
      <c r="P1322" s="1" t="s">
        <v>40</v>
      </c>
      <c r="Q1322" s="1" t="str">
        <f>IF(ISERROR(VLOOKUP(P1322,'unique fed agency names'!A:C,3,FALSE)),P1322,VLOOKUP(P1322,'unique fed agency names'!A:C,3,FALSE))
</f>
        <v>U.S. Department of Health and Human Services (DHHS)</v>
      </c>
      <c r="R1322" s="1">
        <v>3.8775243E7</v>
      </c>
      <c r="S1322" s="1" t="s">
        <v>209</v>
      </c>
      <c r="T1322" s="1" t="str">
        <f>IF(ISERROR(VLOOKUP(S1322,'unique org names'!A:C,3,FALSE)),S1322,VLOOKUP(S1322,'unique org names'!A:C,3,FALSE))
</f>
        <v>SOUTHEASTERN MICHIGAN HEALTH ASSOCIATION</v>
      </c>
      <c r="U1322" s="1" t="s">
        <v>210</v>
      </c>
      <c r="V1322" s="1" t="s">
        <v>211</v>
      </c>
      <c r="W1322" s="1" t="s">
        <v>44</v>
      </c>
      <c r="X1322" s="1" t="s">
        <v>45</v>
      </c>
      <c r="Y1322" s="1">
        <v>4.82023068E8</v>
      </c>
      <c r="AA1322" s="1" t="s">
        <v>46</v>
      </c>
      <c r="AB1322" s="1" t="s">
        <v>45</v>
      </c>
      <c r="AC1322" s="1">
        <v>4.82023068E8</v>
      </c>
      <c r="AD1322" s="1">
        <v>3.8775243E7</v>
      </c>
      <c r="AE1322" s="1" t="s">
        <v>209</v>
      </c>
      <c r="AF1322" s="1">
        <v>11056.5</v>
      </c>
      <c r="AG1322" s="2">
        <v>41183.0</v>
      </c>
      <c r="AH1322" s="1">
        <v>7500.0</v>
      </c>
      <c r="AI1322" s="1" t="s">
        <v>40</v>
      </c>
      <c r="AJ1322" s="1">
        <v>2.0131257E7</v>
      </c>
      <c r="AK1322" s="1" t="s">
        <v>212</v>
      </c>
      <c r="AL1322" s="1">
        <v>10.0</v>
      </c>
      <c r="AM1322" s="1">
        <v>2012.0</v>
      </c>
      <c r="AN1322" s="1">
        <v>2013.0</v>
      </c>
      <c r="AO1322" s="1" t="s">
        <v>213</v>
      </c>
    </row>
    <row r="1323">
      <c r="A1323" s="5">
        <v>1.0</v>
      </c>
      <c r="B1323" s="1">
        <f t="shared" si="1"/>
        <v>1323</v>
      </c>
      <c r="C1323" s="1" t="s">
        <v>2791</v>
      </c>
      <c r="D1323" s="1" t="s">
        <v>2791</v>
      </c>
      <c r="E1323" s="1" t="s">
        <v>1281</v>
      </c>
      <c r="G1323" s="1">
        <v>637568.0</v>
      </c>
      <c r="H1323" s="2">
        <v>41852.0</v>
      </c>
      <c r="I1323" s="1" t="s">
        <v>2792</v>
      </c>
      <c r="K1323" s="1" t="s">
        <v>2792</v>
      </c>
      <c r="N1323" s="1" t="s">
        <v>1281</v>
      </c>
      <c r="O1323" s="1">
        <v>9577.0</v>
      </c>
      <c r="P1323" s="1" t="s">
        <v>1281</v>
      </c>
      <c r="Q1323" s="1" t="str">
        <f>IF(ISERROR(VLOOKUP(P1323,'unique fed agency names'!A:C,3,FALSE)),P1323,VLOOKUP(P1323,'unique fed agency names'!A:C,3,FALSE))
</f>
        <v>Corporation for National and Community Service</v>
      </c>
      <c r="R1323" s="1">
        <v>1.5900083E8</v>
      </c>
      <c r="S1323" s="1" t="s">
        <v>1292</v>
      </c>
      <c r="T1323" s="1" t="str">
        <f>IF(ISERROR(VLOOKUP(S1323,'unique org names'!A:C,3,FALSE)),S1323,VLOOKUP(S1323,'unique org names'!A:C,3,FALSE))
</f>
        <v>DETROIT PARENT NETWORK</v>
      </c>
      <c r="V1323" s="1" t="s">
        <v>1293</v>
      </c>
      <c r="W1323" s="1" t="s">
        <v>44</v>
      </c>
      <c r="X1323" s="1" t="s">
        <v>45</v>
      </c>
      <c r="Y1323" s="1">
        <v>4.82022715E8</v>
      </c>
      <c r="AA1323" s="1" t="s">
        <v>44</v>
      </c>
      <c r="AB1323" s="1" t="s">
        <v>45</v>
      </c>
      <c r="AC1323" s="1">
        <v>4.82022715E8</v>
      </c>
      <c r="AF1323" s="1">
        <v>315566.0</v>
      </c>
      <c r="AG1323" s="2">
        <v>41852.0</v>
      </c>
      <c r="AH1323" s="1">
        <v>9577.0</v>
      </c>
      <c r="AI1323" s="1" t="s">
        <v>1281</v>
      </c>
      <c r="AJ1323" s="1" t="s">
        <v>2793</v>
      </c>
      <c r="AK1323" s="1" t="s">
        <v>2794</v>
      </c>
      <c r="AL1323" s="1">
        <v>10.0</v>
      </c>
      <c r="AM1323" s="1">
        <v>2014.0</v>
      </c>
      <c r="AN1323" s="1">
        <v>2014.0</v>
      </c>
      <c r="AO1323" s="1" t="s">
        <v>1301</v>
      </c>
    </row>
    <row r="1324">
      <c r="A1324" s="5">
        <v>1.0</v>
      </c>
      <c r="B1324" s="1">
        <f t="shared" si="1"/>
        <v>1324</v>
      </c>
      <c r="C1324" s="1" t="s">
        <v>206</v>
      </c>
      <c r="D1324" s="1" t="s">
        <v>206</v>
      </c>
      <c r="E1324" s="1" t="s">
        <v>207</v>
      </c>
      <c r="G1324" s="1">
        <v>2.02101094E9</v>
      </c>
      <c r="H1324" s="2">
        <v>41183.0</v>
      </c>
      <c r="I1324" s="1" t="s">
        <v>208</v>
      </c>
      <c r="K1324" s="1" t="s">
        <v>208</v>
      </c>
      <c r="N1324" s="1" t="s">
        <v>40</v>
      </c>
      <c r="O1324" s="1">
        <v>7500.0</v>
      </c>
      <c r="P1324" s="1" t="s">
        <v>40</v>
      </c>
      <c r="Q1324" s="1" t="str">
        <f>IF(ISERROR(VLOOKUP(P1324,'unique fed agency names'!A:C,3,FALSE)),P1324,VLOOKUP(P1324,'unique fed agency names'!A:C,3,FALSE))
</f>
        <v>U.S. Department of Health and Human Services (DHHS)</v>
      </c>
      <c r="R1324" s="1">
        <v>7.92267549E8</v>
      </c>
      <c r="S1324" s="1" t="s">
        <v>41</v>
      </c>
      <c r="T1324" s="1" t="str">
        <f>IF(ISERROR(VLOOKUP(S1324,'unique org names'!A:C,3,FALSE)),S1324,VLOOKUP(S1324,'unique org names'!A:C,3,FALSE))
</f>
        <v>Henry Ford Health System</v>
      </c>
      <c r="U1324" s="1" t="s">
        <v>2769</v>
      </c>
      <c r="V1324" s="1" t="s">
        <v>2770</v>
      </c>
      <c r="W1324" s="1" t="s">
        <v>44</v>
      </c>
      <c r="X1324" s="1" t="s">
        <v>45</v>
      </c>
      <c r="Y1324" s="1">
        <v>4.82353296E8</v>
      </c>
      <c r="AA1324" s="1" t="s">
        <v>46</v>
      </c>
      <c r="AB1324" s="1" t="s">
        <v>45</v>
      </c>
      <c r="AC1324" s="1">
        <v>4.82353456E8</v>
      </c>
      <c r="AD1324" s="1">
        <v>7.3134603E7</v>
      </c>
      <c r="AE1324" s="1" t="s">
        <v>41</v>
      </c>
      <c r="AF1324" s="1">
        <v>1493775.0</v>
      </c>
      <c r="AG1324" s="2">
        <v>41183.0</v>
      </c>
      <c r="AH1324" s="1">
        <v>7500.0</v>
      </c>
      <c r="AI1324" s="1" t="s">
        <v>40</v>
      </c>
      <c r="AJ1324" s="1">
        <v>2.0130336E7</v>
      </c>
      <c r="AK1324" s="1" t="s">
        <v>2771</v>
      </c>
      <c r="AL1324" s="1">
        <v>10.0</v>
      </c>
      <c r="AM1324" s="1">
        <v>2012.0</v>
      </c>
      <c r="AN1324" s="1">
        <v>2013.0</v>
      </c>
      <c r="AO1324" s="1" t="s">
        <v>213</v>
      </c>
    </row>
    <row r="1325">
      <c r="A1325" s="5">
        <v>1.0</v>
      </c>
      <c r="B1325" s="1">
        <f t="shared" si="1"/>
        <v>1325</v>
      </c>
      <c r="C1325" s="1" t="s">
        <v>206</v>
      </c>
      <c r="D1325" s="1" t="s">
        <v>206</v>
      </c>
      <c r="E1325" s="1" t="s">
        <v>207</v>
      </c>
      <c r="G1325" s="1">
        <v>2.02101094E9</v>
      </c>
      <c r="H1325" s="2">
        <v>41183.0</v>
      </c>
      <c r="I1325" s="1" t="s">
        <v>208</v>
      </c>
      <c r="K1325" s="1" t="s">
        <v>208</v>
      </c>
      <c r="N1325" s="1" t="s">
        <v>40</v>
      </c>
      <c r="O1325" s="1">
        <v>7500.0</v>
      </c>
      <c r="P1325" s="1" t="s">
        <v>40</v>
      </c>
      <c r="Q1325" s="1" t="str">
        <f>IF(ISERROR(VLOOKUP(P1325,'unique fed agency names'!A:C,3,FALSE)),P1325,VLOOKUP(P1325,'unique fed agency names'!A:C,3,FALSE))
</f>
        <v>U.S. Department of Health and Human Services (DHHS)</v>
      </c>
      <c r="R1325" s="1">
        <v>3.8775243E7</v>
      </c>
      <c r="S1325" s="1" t="s">
        <v>209</v>
      </c>
      <c r="T1325" s="1" t="str">
        <f>IF(ISERROR(VLOOKUP(S1325,'unique org names'!A:C,3,FALSE)),S1325,VLOOKUP(S1325,'unique org names'!A:C,3,FALSE))
</f>
        <v>SOUTHEASTERN MICHIGAN HEALTH ASSOCIATION</v>
      </c>
      <c r="U1325" s="1" t="s">
        <v>210</v>
      </c>
      <c r="V1325" s="1" t="s">
        <v>211</v>
      </c>
      <c r="W1325" s="1" t="s">
        <v>44</v>
      </c>
      <c r="X1325" s="1" t="s">
        <v>45</v>
      </c>
      <c r="Y1325" s="1">
        <v>4.82023068E8</v>
      </c>
      <c r="AA1325" s="1" t="s">
        <v>46</v>
      </c>
      <c r="AB1325" s="1" t="s">
        <v>45</v>
      </c>
      <c r="AC1325" s="1">
        <v>4.82023068E8</v>
      </c>
      <c r="AD1325" s="1">
        <v>3.8775243E7</v>
      </c>
      <c r="AE1325" s="1" t="s">
        <v>209</v>
      </c>
      <c r="AF1325" s="1">
        <v>3749.99</v>
      </c>
      <c r="AG1325" s="2">
        <v>41183.0</v>
      </c>
      <c r="AH1325" s="1">
        <v>7500.0</v>
      </c>
      <c r="AI1325" s="1" t="s">
        <v>40</v>
      </c>
      <c r="AJ1325" s="1">
        <v>2.0133941E7</v>
      </c>
      <c r="AK1325" s="1" t="s">
        <v>212</v>
      </c>
      <c r="AL1325" s="1">
        <v>10.0</v>
      </c>
      <c r="AM1325" s="1">
        <v>2012.0</v>
      </c>
      <c r="AN1325" s="1">
        <v>2013.0</v>
      </c>
      <c r="AO1325" s="1" t="s">
        <v>213</v>
      </c>
    </row>
    <row r="1326">
      <c r="A1326" s="5">
        <v>1.0</v>
      </c>
      <c r="B1326" s="1">
        <f t="shared" si="1"/>
        <v>1326</v>
      </c>
      <c r="C1326" s="1" t="s">
        <v>206</v>
      </c>
      <c r="D1326" s="1" t="s">
        <v>206</v>
      </c>
      <c r="E1326" s="1" t="s">
        <v>207</v>
      </c>
      <c r="G1326" s="1">
        <v>2.02101094E9</v>
      </c>
      <c r="H1326" s="2">
        <v>41183.0</v>
      </c>
      <c r="I1326" s="1" t="s">
        <v>208</v>
      </c>
      <c r="K1326" s="1" t="s">
        <v>208</v>
      </c>
      <c r="N1326" s="1" t="s">
        <v>40</v>
      </c>
      <c r="O1326" s="1">
        <v>7500.0</v>
      </c>
      <c r="P1326" s="1" t="s">
        <v>40</v>
      </c>
      <c r="Q1326" s="1" t="str">
        <f>IF(ISERROR(VLOOKUP(P1326,'unique fed agency names'!A:C,3,FALSE)),P1326,VLOOKUP(P1326,'unique fed agency names'!A:C,3,FALSE))
</f>
        <v>U.S. Department of Health and Human Services (DHHS)</v>
      </c>
      <c r="R1326" s="1">
        <v>3.8775243E7</v>
      </c>
      <c r="S1326" s="1" t="s">
        <v>209</v>
      </c>
      <c r="T1326" s="1" t="str">
        <f>IF(ISERROR(VLOOKUP(S1326,'unique org names'!A:C,3,FALSE)),S1326,VLOOKUP(S1326,'unique org names'!A:C,3,FALSE))
</f>
        <v>SOUTHEASTERN MICHIGAN HEALTH ASSOCIATION</v>
      </c>
      <c r="U1326" s="1" t="s">
        <v>210</v>
      </c>
      <c r="V1326" s="1" t="s">
        <v>211</v>
      </c>
      <c r="W1326" s="1" t="s">
        <v>44</v>
      </c>
      <c r="X1326" s="1" t="s">
        <v>45</v>
      </c>
      <c r="Y1326" s="1">
        <v>4.82023068E8</v>
      </c>
      <c r="AA1326" s="1" t="s">
        <v>46</v>
      </c>
      <c r="AB1326" s="1" t="s">
        <v>45</v>
      </c>
      <c r="AC1326" s="1">
        <v>4.82023068E8</v>
      </c>
      <c r="AD1326" s="1">
        <v>3.8775243E7</v>
      </c>
      <c r="AE1326" s="1" t="s">
        <v>209</v>
      </c>
      <c r="AF1326" s="1">
        <v>26013.75</v>
      </c>
      <c r="AG1326" s="2">
        <v>41183.0</v>
      </c>
      <c r="AH1326" s="1">
        <v>7500.0</v>
      </c>
      <c r="AI1326" s="1" t="s">
        <v>40</v>
      </c>
      <c r="AJ1326" s="1">
        <v>2.0131095E7</v>
      </c>
      <c r="AK1326" s="1" t="s">
        <v>212</v>
      </c>
      <c r="AL1326" s="1">
        <v>10.0</v>
      </c>
      <c r="AM1326" s="1">
        <v>2012.0</v>
      </c>
      <c r="AN1326" s="1">
        <v>2013.0</v>
      </c>
      <c r="AO1326" s="1" t="s">
        <v>213</v>
      </c>
    </row>
    <row r="1327">
      <c r="A1327" s="5">
        <v>1.0</v>
      </c>
      <c r="B1327" s="1">
        <f t="shared" si="1"/>
        <v>1327</v>
      </c>
      <c r="C1327" s="1" t="s">
        <v>206</v>
      </c>
      <c r="D1327" s="1" t="s">
        <v>206</v>
      </c>
      <c r="E1327" s="1" t="s">
        <v>207</v>
      </c>
      <c r="G1327" s="1">
        <v>2.02101094E9</v>
      </c>
      <c r="H1327" s="2">
        <v>41183.0</v>
      </c>
      <c r="I1327" s="1" t="s">
        <v>208</v>
      </c>
      <c r="K1327" s="1" t="s">
        <v>208</v>
      </c>
      <c r="N1327" s="1" t="s">
        <v>40</v>
      </c>
      <c r="O1327" s="1">
        <v>7500.0</v>
      </c>
      <c r="P1327" s="1" t="s">
        <v>40</v>
      </c>
      <c r="Q1327" s="1" t="str">
        <f>IF(ISERROR(VLOOKUP(P1327,'unique fed agency names'!A:C,3,FALSE)),P1327,VLOOKUP(P1327,'unique fed agency names'!A:C,3,FALSE))
</f>
        <v>U.S. Department of Health and Human Services (DHHS)</v>
      </c>
      <c r="R1327" s="1">
        <v>8.09204196E8</v>
      </c>
      <c r="S1327" s="1" t="s">
        <v>175</v>
      </c>
      <c r="T1327" s="1" t="str">
        <f>IF(ISERROR(VLOOKUP(S1327,'unique org names'!A:C,3,FALSE)),S1327,VLOOKUP(S1327,'unique org names'!A:C,3,FALSE))
</f>
        <v>DETROIT WAYNE COUNTY HEALTH AUTHORITY</v>
      </c>
      <c r="U1327" s="1" t="s">
        <v>2775</v>
      </c>
      <c r="V1327" s="1" t="s">
        <v>2078</v>
      </c>
      <c r="W1327" s="1" t="s">
        <v>44</v>
      </c>
      <c r="X1327" s="1" t="s">
        <v>45</v>
      </c>
      <c r="Y1327" s="1">
        <v>4.82023026E8</v>
      </c>
      <c r="AA1327" s="1" t="s">
        <v>46</v>
      </c>
      <c r="AB1327" s="1" t="s">
        <v>45</v>
      </c>
      <c r="AC1327" s="1">
        <v>4.82023025E8</v>
      </c>
      <c r="AD1327" s="1">
        <v>8.09204196E8</v>
      </c>
      <c r="AE1327" s="1" t="s">
        <v>175</v>
      </c>
      <c r="AF1327" s="1">
        <v>157655.5</v>
      </c>
      <c r="AG1327" s="2">
        <v>41183.0</v>
      </c>
      <c r="AH1327" s="1">
        <v>7500.0</v>
      </c>
      <c r="AI1327" s="1" t="s">
        <v>40</v>
      </c>
      <c r="AJ1327" s="1">
        <v>2.0131444E7</v>
      </c>
      <c r="AK1327" s="1" t="s">
        <v>212</v>
      </c>
      <c r="AL1327" s="1">
        <v>10.0</v>
      </c>
      <c r="AM1327" s="1">
        <v>2012.0</v>
      </c>
      <c r="AN1327" s="1">
        <v>2013.0</v>
      </c>
      <c r="AO1327" s="1" t="s">
        <v>213</v>
      </c>
    </row>
    <row r="1328">
      <c r="A1328" s="5">
        <v>1.0</v>
      </c>
      <c r="B1328" s="1">
        <f t="shared" si="1"/>
        <v>1328</v>
      </c>
      <c r="C1328" s="1" t="s">
        <v>1141</v>
      </c>
      <c r="D1328" s="1" t="s">
        <v>1141</v>
      </c>
      <c r="E1328" s="1" t="s">
        <v>38</v>
      </c>
      <c r="G1328" s="1">
        <v>842877.0</v>
      </c>
      <c r="H1328" s="2">
        <v>41905.0</v>
      </c>
      <c r="I1328" s="1" t="s">
        <v>2795</v>
      </c>
      <c r="K1328" s="1" t="s">
        <v>2795</v>
      </c>
      <c r="N1328" s="1" t="s">
        <v>40</v>
      </c>
      <c r="O1328" s="1">
        <v>7500.0</v>
      </c>
      <c r="P1328" s="1" t="s">
        <v>40</v>
      </c>
      <c r="Q1328" s="1" t="str">
        <f>IF(ISERROR(VLOOKUP(P1328,'unique fed agency names'!A:C,3,FALSE)),P1328,VLOOKUP(P1328,'unique fed agency names'!A:C,3,FALSE))
</f>
        <v>U.S. Department of Health and Human Services (DHHS)</v>
      </c>
      <c r="R1328" s="1">
        <v>1962224.0</v>
      </c>
      <c r="S1328" s="1" t="s">
        <v>52</v>
      </c>
      <c r="T1328" s="1" t="str">
        <f>IF(ISERROR(VLOOKUP(S1328,'unique org names'!A:C,3,FALSE)),S1328,VLOOKUP(S1328,'unique org names'!A:C,3,FALSE))
</f>
        <v>WAYNE STATE UNIVERSITY</v>
      </c>
      <c r="V1328" s="1" t="s">
        <v>1885</v>
      </c>
      <c r="W1328" s="1" t="s">
        <v>44</v>
      </c>
      <c r="X1328" s="1" t="s">
        <v>45</v>
      </c>
      <c r="Y1328" s="1">
        <v>4.82021347E8</v>
      </c>
      <c r="AA1328" s="1" t="s">
        <v>46</v>
      </c>
      <c r="AB1328" s="1" t="s">
        <v>45</v>
      </c>
      <c r="AC1328" s="1">
        <v>4.82011405E8</v>
      </c>
      <c r="AD1328" s="1">
        <v>1962224.0</v>
      </c>
      <c r="AE1328" s="1" t="s">
        <v>52</v>
      </c>
      <c r="AF1328" s="1">
        <v>33086.0</v>
      </c>
      <c r="AG1328" s="2">
        <v>41905.0</v>
      </c>
      <c r="AH1328" s="1">
        <v>7500.0</v>
      </c>
      <c r="AI1328" s="1" t="s">
        <v>40</v>
      </c>
      <c r="AJ1328" s="1" t="s">
        <v>1143</v>
      </c>
      <c r="AK1328" s="1" t="s">
        <v>1144</v>
      </c>
      <c r="AL1328" s="1">
        <v>10.0</v>
      </c>
      <c r="AM1328" s="1">
        <v>2014.0</v>
      </c>
      <c r="AN1328" s="1">
        <v>2014.0</v>
      </c>
      <c r="AO1328" s="1" t="s">
        <v>1145</v>
      </c>
    </row>
    <row r="1329">
      <c r="A1329" s="5">
        <v>1.0</v>
      </c>
      <c r="B1329" s="1">
        <f t="shared" si="1"/>
        <v>1329</v>
      </c>
      <c r="C1329" s="1" t="s">
        <v>2640</v>
      </c>
      <c r="D1329" s="1" t="s">
        <v>2640</v>
      </c>
      <c r="E1329" s="1" t="s">
        <v>129</v>
      </c>
      <c r="G1329" s="1">
        <v>1.98133664E8</v>
      </c>
      <c r="H1329" s="2">
        <v>41913.0</v>
      </c>
      <c r="I1329" s="1" t="s">
        <v>2641</v>
      </c>
      <c r="K1329" s="1" t="s">
        <v>2641</v>
      </c>
      <c r="N1329" s="1" t="s">
        <v>40</v>
      </c>
      <c r="O1329" s="1">
        <v>7500.0</v>
      </c>
      <c r="P1329" s="1" t="s">
        <v>40</v>
      </c>
      <c r="Q1329" s="1" t="str">
        <f>IF(ISERROR(VLOOKUP(P1329,'unique fed agency names'!A:C,3,FALSE)),P1329,VLOOKUP(P1329,'unique fed agency names'!A:C,3,FALSE))
</f>
        <v>U.S. Department of Health and Human Services (DHHS)</v>
      </c>
      <c r="R1329" s="1">
        <v>1.93540515E8</v>
      </c>
      <c r="S1329" s="1" t="s">
        <v>1022</v>
      </c>
      <c r="T1329" s="1" t="str">
        <f>IF(ISERROR(VLOOKUP(S1329,'unique org names'!A:C,3,FALSE)),S1329,VLOOKUP(S1329,'unique org names'!A:C,3,FALSE))
</f>
        <v>Development Centers, Inc</v>
      </c>
      <c r="U1329" s="1" t="s">
        <v>1330</v>
      </c>
      <c r="V1329" s="1" t="s">
        <v>1023</v>
      </c>
      <c r="W1329" s="1" t="s">
        <v>44</v>
      </c>
      <c r="X1329" s="1" t="s">
        <v>45</v>
      </c>
      <c r="Y1329" s="1">
        <v>4.82193653E8</v>
      </c>
      <c r="AA1329" s="1" t="s">
        <v>44</v>
      </c>
      <c r="AB1329" s="1" t="s">
        <v>45</v>
      </c>
      <c r="AC1329" s="1">
        <v>4.82193653E8</v>
      </c>
      <c r="AD1329" s="1">
        <v>1.93540515E8</v>
      </c>
      <c r="AE1329" s="1" t="s">
        <v>1022</v>
      </c>
      <c r="AF1329" s="1">
        <v>41627.0</v>
      </c>
      <c r="AG1329" s="2">
        <v>41913.0</v>
      </c>
      <c r="AH1329" s="1">
        <v>7500.0</v>
      </c>
      <c r="AI1329" s="1" t="s">
        <v>40</v>
      </c>
      <c r="AJ1329" s="1" t="s">
        <v>2796</v>
      </c>
      <c r="AK1329" s="1" t="s">
        <v>2797</v>
      </c>
      <c r="AL1329" s="1">
        <v>10.0</v>
      </c>
      <c r="AM1329" s="1">
        <v>2014.0</v>
      </c>
      <c r="AN1329" s="1">
        <v>2015.0</v>
      </c>
      <c r="AO1329" s="1" t="s">
        <v>385</v>
      </c>
    </row>
    <row r="1330">
      <c r="A1330" s="5">
        <v>1.0</v>
      </c>
      <c r="B1330" s="1">
        <f t="shared" si="1"/>
        <v>1330</v>
      </c>
      <c r="C1330" s="1" t="s">
        <v>2640</v>
      </c>
      <c r="D1330" s="1" t="s">
        <v>2640</v>
      </c>
      <c r="E1330" s="1" t="s">
        <v>129</v>
      </c>
      <c r="G1330" s="1">
        <v>1.98133664E8</v>
      </c>
      <c r="H1330" s="2">
        <v>41913.0</v>
      </c>
      <c r="I1330" s="1" t="s">
        <v>2641</v>
      </c>
      <c r="K1330" s="1" t="s">
        <v>2641</v>
      </c>
      <c r="N1330" s="1" t="s">
        <v>40</v>
      </c>
      <c r="O1330" s="1">
        <v>7500.0</v>
      </c>
      <c r="P1330" s="1" t="s">
        <v>40</v>
      </c>
      <c r="Q1330" s="1" t="str">
        <f>IF(ISERROR(VLOOKUP(P1330,'unique fed agency names'!A:C,3,FALSE)),P1330,VLOOKUP(P1330,'unique fed agency names'!A:C,3,FALSE))
</f>
        <v>U.S. Department of Health and Human Services (DHHS)</v>
      </c>
      <c r="R1330" s="1">
        <v>6.9840817E7</v>
      </c>
      <c r="S1330" s="1" t="s">
        <v>131</v>
      </c>
      <c r="T1330" s="1" t="str">
        <f>IF(ISERROR(VLOOKUP(S1330,'unique org names'!A:C,3,FALSE)),S1330,VLOOKUP(S1330,'unique org names'!A:C,3,FALSE))
</f>
        <v>LUTHERAN SOCIAL SERVICES OF MICHIGAN</v>
      </c>
      <c r="V1330" s="1" t="s">
        <v>132</v>
      </c>
      <c r="W1330" s="1" t="s">
        <v>44</v>
      </c>
      <c r="X1330" s="1" t="s">
        <v>45</v>
      </c>
      <c r="Y1330" s="1">
        <v>4.8214261E8</v>
      </c>
      <c r="AA1330" s="1" t="s">
        <v>44</v>
      </c>
      <c r="AB1330" s="1" t="s">
        <v>45</v>
      </c>
      <c r="AC1330" s="1">
        <v>4.8214261E8</v>
      </c>
      <c r="AD1330" s="1">
        <v>6.9840817E7</v>
      </c>
      <c r="AE1330" s="1" t="s">
        <v>131</v>
      </c>
      <c r="AF1330" s="1">
        <v>295701.0</v>
      </c>
      <c r="AG1330" s="2">
        <v>41913.0</v>
      </c>
      <c r="AH1330" s="1">
        <v>7500.0</v>
      </c>
      <c r="AI1330" s="1" t="s">
        <v>40</v>
      </c>
      <c r="AJ1330" s="1" t="s">
        <v>2798</v>
      </c>
      <c r="AK1330" s="1" t="s">
        <v>2799</v>
      </c>
      <c r="AL1330" s="1">
        <v>10.0</v>
      </c>
      <c r="AM1330" s="1">
        <v>2014.0</v>
      </c>
      <c r="AN1330" s="1">
        <v>2015.0</v>
      </c>
      <c r="AO1330" s="1" t="s">
        <v>385</v>
      </c>
    </row>
    <row r="1331">
      <c r="A1331" s="5">
        <v>1.0</v>
      </c>
      <c r="B1331" s="1">
        <f t="shared" si="1"/>
        <v>1331</v>
      </c>
      <c r="C1331" s="1" t="s">
        <v>2640</v>
      </c>
      <c r="D1331" s="1" t="s">
        <v>2640</v>
      </c>
      <c r="E1331" s="1" t="s">
        <v>129</v>
      </c>
      <c r="G1331" s="1">
        <v>1.98133664E8</v>
      </c>
      <c r="H1331" s="2">
        <v>41913.0</v>
      </c>
      <c r="I1331" s="1" t="s">
        <v>2641</v>
      </c>
      <c r="K1331" s="1" t="s">
        <v>2641</v>
      </c>
      <c r="N1331" s="1" t="s">
        <v>40</v>
      </c>
      <c r="O1331" s="1">
        <v>7500.0</v>
      </c>
      <c r="P1331" s="1" t="s">
        <v>40</v>
      </c>
      <c r="Q1331" s="1" t="str">
        <f>IF(ISERROR(VLOOKUP(P1331,'unique fed agency names'!A:C,3,FALSE)),P1331,VLOOKUP(P1331,'unique fed agency names'!A:C,3,FALSE))
</f>
        <v>U.S. Department of Health and Human Services (DHHS)</v>
      </c>
      <c r="R1331" s="1">
        <v>6.9840817E7</v>
      </c>
      <c r="S1331" s="1" t="s">
        <v>131</v>
      </c>
      <c r="T1331" s="1" t="str">
        <f>IF(ISERROR(VLOOKUP(S1331,'unique org names'!A:C,3,FALSE)),S1331,VLOOKUP(S1331,'unique org names'!A:C,3,FALSE))
</f>
        <v>LUTHERAN SOCIAL SERVICES OF MICHIGAN</v>
      </c>
      <c r="V1331" s="1" t="s">
        <v>132</v>
      </c>
      <c r="W1331" s="1" t="s">
        <v>44</v>
      </c>
      <c r="X1331" s="1" t="s">
        <v>45</v>
      </c>
      <c r="Y1331" s="1">
        <v>4.8214261E8</v>
      </c>
      <c r="AA1331" s="1" t="s">
        <v>44</v>
      </c>
      <c r="AB1331" s="1" t="s">
        <v>45</v>
      </c>
      <c r="AC1331" s="1">
        <v>4.8214261E8</v>
      </c>
      <c r="AD1331" s="1">
        <v>6.9840817E7</v>
      </c>
      <c r="AE1331" s="1" t="s">
        <v>131</v>
      </c>
      <c r="AF1331" s="1">
        <v>456590.0</v>
      </c>
      <c r="AG1331" s="2">
        <v>41913.0</v>
      </c>
      <c r="AH1331" s="1">
        <v>7500.0</v>
      </c>
      <c r="AI1331" s="1" t="s">
        <v>40</v>
      </c>
      <c r="AJ1331" s="1" t="s">
        <v>2800</v>
      </c>
      <c r="AK1331" s="1" t="s">
        <v>2801</v>
      </c>
      <c r="AL1331" s="1">
        <v>10.0</v>
      </c>
      <c r="AM1331" s="1">
        <v>2014.0</v>
      </c>
      <c r="AN1331" s="1">
        <v>2015.0</v>
      </c>
      <c r="AO1331" s="1" t="s">
        <v>385</v>
      </c>
    </row>
    <row r="1332">
      <c r="A1332" s="5">
        <v>1.0</v>
      </c>
      <c r="B1332" s="1">
        <f t="shared" si="1"/>
        <v>1332</v>
      </c>
      <c r="C1332" s="1" t="s">
        <v>2767</v>
      </c>
      <c r="D1332" s="1" t="s">
        <v>2767</v>
      </c>
      <c r="E1332" s="1" t="s">
        <v>207</v>
      </c>
      <c r="G1332" s="1">
        <v>2.23540403E9</v>
      </c>
      <c r="H1332" s="2">
        <v>41183.0</v>
      </c>
      <c r="I1332" s="1" t="s">
        <v>2768</v>
      </c>
      <c r="K1332" s="1" t="s">
        <v>2768</v>
      </c>
      <c r="N1332" s="1" t="s">
        <v>40</v>
      </c>
      <c r="O1332" s="1">
        <v>7500.0</v>
      </c>
      <c r="P1332" s="1" t="s">
        <v>40</v>
      </c>
      <c r="Q1332" s="1" t="str">
        <f>IF(ISERROR(VLOOKUP(P1332,'unique fed agency names'!A:C,3,FALSE)),P1332,VLOOKUP(P1332,'unique fed agency names'!A:C,3,FALSE))
</f>
        <v>U.S. Department of Health and Human Services (DHHS)</v>
      </c>
      <c r="R1332" s="1">
        <v>3.8775243E7</v>
      </c>
      <c r="S1332" s="1" t="s">
        <v>209</v>
      </c>
      <c r="T1332" s="1" t="str">
        <f>IF(ISERROR(VLOOKUP(S1332,'unique org names'!A:C,3,FALSE)),S1332,VLOOKUP(S1332,'unique org names'!A:C,3,FALSE))
</f>
        <v>SOUTHEASTERN MICHIGAN HEALTH ASSOCIATION</v>
      </c>
      <c r="U1332" s="1" t="s">
        <v>210</v>
      </c>
      <c r="V1332" s="1" t="s">
        <v>211</v>
      </c>
      <c r="W1332" s="1" t="s">
        <v>44</v>
      </c>
      <c r="X1332" s="1" t="s">
        <v>45</v>
      </c>
      <c r="Y1332" s="1">
        <v>4.82023068E8</v>
      </c>
      <c r="AA1332" s="1" t="s">
        <v>46</v>
      </c>
      <c r="AB1332" s="1" t="s">
        <v>45</v>
      </c>
      <c r="AC1332" s="1">
        <v>4.82023068E8</v>
      </c>
      <c r="AD1332" s="1">
        <v>3.8775243E7</v>
      </c>
      <c r="AE1332" s="1" t="s">
        <v>209</v>
      </c>
      <c r="AF1332" s="1">
        <v>5994.38</v>
      </c>
      <c r="AG1332" s="2">
        <v>41183.0</v>
      </c>
      <c r="AH1332" s="1">
        <v>7500.0</v>
      </c>
      <c r="AI1332" s="1" t="s">
        <v>40</v>
      </c>
      <c r="AJ1332" s="1">
        <v>2.0131083E7</v>
      </c>
      <c r="AK1332" s="1" t="s">
        <v>212</v>
      </c>
      <c r="AL1332" s="1">
        <v>10.0</v>
      </c>
      <c r="AM1332" s="1">
        <v>2012.0</v>
      </c>
      <c r="AN1332" s="1">
        <v>2013.0</v>
      </c>
      <c r="AO1332" s="1" t="s">
        <v>213</v>
      </c>
    </row>
    <row r="1333">
      <c r="A1333" s="5">
        <v>1.0</v>
      </c>
      <c r="B1333" s="1">
        <f t="shared" si="1"/>
        <v>1333</v>
      </c>
      <c r="C1333" s="1" t="s">
        <v>2767</v>
      </c>
      <c r="D1333" s="1" t="s">
        <v>2767</v>
      </c>
      <c r="E1333" s="1" t="s">
        <v>207</v>
      </c>
      <c r="G1333" s="1">
        <v>2.23540403E9</v>
      </c>
      <c r="H1333" s="2">
        <v>41183.0</v>
      </c>
      <c r="I1333" s="1" t="s">
        <v>2768</v>
      </c>
      <c r="K1333" s="1" t="s">
        <v>2768</v>
      </c>
      <c r="N1333" s="1" t="s">
        <v>40</v>
      </c>
      <c r="O1333" s="1">
        <v>7500.0</v>
      </c>
      <c r="P1333" s="1" t="s">
        <v>40</v>
      </c>
      <c r="Q1333" s="1" t="str">
        <f>IF(ISERROR(VLOOKUP(P1333,'unique fed agency names'!A:C,3,FALSE)),P1333,VLOOKUP(P1333,'unique fed agency names'!A:C,3,FALSE))
</f>
        <v>U.S. Department of Health and Human Services (DHHS)</v>
      </c>
      <c r="R1333" s="1">
        <v>8.09204196E8</v>
      </c>
      <c r="S1333" s="1" t="s">
        <v>175</v>
      </c>
      <c r="T1333" s="1" t="str">
        <f>IF(ISERROR(VLOOKUP(S1333,'unique org names'!A:C,3,FALSE)),S1333,VLOOKUP(S1333,'unique org names'!A:C,3,FALSE))
</f>
        <v>DETROIT WAYNE COUNTY HEALTH AUTHORITY</v>
      </c>
      <c r="V1333" s="1" t="s">
        <v>2078</v>
      </c>
      <c r="W1333" s="1" t="s">
        <v>44</v>
      </c>
      <c r="X1333" s="1" t="s">
        <v>45</v>
      </c>
      <c r="Y1333" s="1">
        <v>4.82023026E8</v>
      </c>
      <c r="AA1333" s="1" t="s">
        <v>46</v>
      </c>
      <c r="AB1333" s="1" t="s">
        <v>45</v>
      </c>
      <c r="AC1333" s="1">
        <v>4.82023025E8</v>
      </c>
      <c r="AD1333" s="1">
        <v>8.09204196E8</v>
      </c>
      <c r="AE1333" s="1" t="s">
        <v>175</v>
      </c>
      <c r="AF1333" s="1">
        <v>157655.5</v>
      </c>
      <c r="AG1333" s="2">
        <v>41183.0</v>
      </c>
      <c r="AH1333" s="1">
        <v>7500.0</v>
      </c>
      <c r="AI1333" s="1" t="s">
        <v>40</v>
      </c>
      <c r="AJ1333" s="1">
        <v>2.0131444E7</v>
      </c>
      <c r="AK1333" s="1" t="s">
        <v>212</v>
      </c>
      <c r="AL1333" s="1">
        <v>10.0</v>
      </c>
      <c r="AM1333" s="1">
        <v>2012.0</v>
      </c>
      <c r="AN1333" s="1">
        <v>2013.0</v>
      </c>
      <c r="AO1333" s="1" t="s">
        <v>213</v>
      </c>
    </row>
    <row r="1334">
      <c r="A1334" s="5">
        <v>1.0</v>
      </c>
      <c r="B1334" s="1">
        <f t="shared" si="1"/>
        <v>1334</v>
      </c>
      <c r="C1334" s="1" t="s">
        <v>2772</v>
      </c>
      <c r="D1334" s="1" t="s">
        <v>2772</v>
      </c>
      <c r="E1334" s="1" t="s">
        <v>207</v>
      </c>
      <c r="G1334" s="1">
        <v>2.67163955E9</v>
      </c>
      <c r="H1334" s="2">
        <v>41183.0</v>
      </c>
      <c r="I1334" s="1" t="s">
        <v>2773</v>
      </c>
      <c r="K1334" s="1" t="s">
        <v>2773</v>
      </c>
      <c r="N1334" s="1" t="s">
        <v>40</v>
      </c>
      <c r="O1334" s="1">
        <v>7500.0</v>
      </c>
      <c r="P1334" s="1" t="s">
        <v>40</v>
      </c>
      <c r="Q1334" s="1" t="str">
        <f>IF(ISERROR(VLOOKUP(P1334,'unique fed agency names'!A:C,3,FALSE)),P1334,VLOOKUP(P1334,'unique fed agency names'!A:C,3,FALSE))
</f>
        <v>U.S. Department of Health and Human Services (DHHS)</v>
      </c>
      <c r="R1334" s="1">
        <v>3.8775243E7</v>
      </c>
      <c r="S1334" s="1" t="s">
        <v>209</v>
      </c>
      <c r="T1334" s="1" t="str">
        <f>IF(ISERROR(VLOOKUP(S1334,'unique org names'!A:C,3,FALSE)),S1334,VLOOKUP(S1334,'unique org names'!A:C,3,FALSE))
</f>
        <v>SOUTHEASTERN MICHIGAN HEALTH ASSOCIATION</v>
      </c>
      <c r="U1334" s="1" t="s">
        <v>210</v>
      </c>
      <c r="V1334" s="1" t="s">
        <v>211</v>
      </c>
      <c r="W1334" s="1" t="s">
        <v>44</v>
      </c>
      <c r="X1334" s="1" t="s">
        <v>45</v>
      </c>
      <c r="Y1334" s="1">
        <v>4.82023068E8</v>
      </c>
      <c r="AA1334" s="1" t="s">
        <v>46</v>
      </c>
      <c r="AB1334" s="1" t="s">
        <v>45</v>
      </c>
      <c r="AC1334" s="1">
        <v>4.82023068E8</v>
      </c>
      <c r="AD1334" s="1">
        <v>3.8775243E7</v>
      </c>
      <c r="AE1334" s="1" t="s">
        <v>209</v>
      </c>
      <c r="AF1334" s="1">
        <v>5994.38</v>
      </c>
      <c r="AG1334" s="2">
        <v>41183.0</v>
      </c>
      <c r="AH1334" s="1">
        <v>7500.0</v>
      </c>
      <c r="AI1334" s="1" t="s">
        <v>40</v>
      </c>
      <c r="AJ1334" s="1">
        <v>2.0131083E7</v>
      </c>
      <c r="AK1334" s="1" t="s">
        <v>212</v>
      </c>
      <c r="AL1334" s="1">
        <v>10.0</v>
      </c>
      <c r="AM1334" s="1">
        <v>2012.0</v>
      </c>
      <c r="AN1334" s="1">
        <v>2013.0</v>
      </c>
      <c r="AO1334" s="1" t="s">
        <v>213</v>
      </c>
    </row>
    <row r="1335">
      <c r="A1335" s="5">
        <v>1.0</v>
      </c>
      <c r="B1335" s="1">
        <f t="shared" si="1"/>
        <v>1335</v>
      </c>
      <c r="C1335" s="1" t="s">
        <v>2772</v>
      </c>
      <c r="D1335" s="1" t="s">
        <v>2772</v>
      </c>
      <c r="E1335" s="1" t="s">
        <v>207</v>
      </c>
      <c r="G1335" s="1">
        <v>2.67163955E9</v>
      </c>
      <c r="H1335" s="2">
        <v>41183.0</v>
      </c>
      <c r="I1335" s="1" t="s">
        <v>2773</v>
      </c>
      <c r="K1335" s="1" t="s">
        <v>2773</v>
      </c>
      <c r="N1335" s="1" t="s">
        <v>40</v>
      </c>
      <c r="O1335" s="1">
        <v>7500.0</v>
      </c>
      <c r="P1335" s="1" t="s">
        <v>40</v>
      </c>
      <c r="Q1335" s="1" t="str">
        <f>IF(ISERROR(VLOOKUP(P1335,'unique fed agency names'!A:C,3,FALSE)),P1335,VLOOKUP(P1335,'unique fed agency names'!A:C,3,FALSE))
</f>
        <v>U.S. Department of Health and Human Services (DHHS)</v>
      </c>
      <c r="R1335" s="1">
        <v>3.8775243E7</v>
      </c>
      <c r="S1335" s="1" t="s">
        <v>209</v>
      </c>
      <c r="T1335" s="1" t="str">
        <f>IF(ISERROR(VLOOKUP(S1335,'unique org names'!A:C,3,FALSE)),S1335,VLOOKUP(S1335,'unique org names'!A:C,3,FALSE))
</f>
        <v>SOUTHEASTERN MICHIGAN HEALTH ASSOCIATION</v>
      </c>
      <c r="U1335" s="1" t="s">
        <v>210</v>
      </c>
      <c r="V1335" s="1" t="s">
        <v>211</v>
      </c>
      <c r="W1335" s="1" t="s">
        <v>44</v>
      </c>
      <c r="X1335" s="1" t="s">
        <v>45</v>
      </c>
      <c r="Y1335" s="1">
        <v>4.82023068E8</v>
      </c>
      <c r="AA1335" s="1" t="s">
        <v>46</v>
      </c>
      <c r="AB1335" s="1" t="s">
        <v>45</v>
      </c>
      <c r="AC1335" s="1">
        <v>4.82023068E8</v>
      </c>
      <c r="AD1335" s="1">
        <v>3.8775243E7</v>
      </c>
      <c r="AE1335" s="1" t="s">
        <v>209</v>
      </c>
      <c r="AF1335" s="1">
        <v>22521.0</v>
      </c>
      <c r="AG1335" s="2">
        <v>41183.0</v>
      </c>
      <c r="AH1335" s="1">
        <v>7500.0</v>
      </c>
      <c r="AI1335" s="1" t="s">
        <v>40</v>
      </c>
      <c r="AJ1335" s="1">
        <v>2.0131085E7</v>
      </c>
      <c r="AK1335" s="1" t="s">
        <v>212</v>
      </c>
      <c r="AL1335" s="1">
        <v>10.0</v>
      </c>
      <c r="AM1335" s="1">
        <v>2012.0</v>
      </c>
      <c r="AN1335" s="1">
        <v>2013.0</v>
      </c>
      <c r="AO1335" s="1" t="s">
        <v>213</v>
      </c>
    </row>
    <row r="1336">
      <c r="A1336" s="5">
        <v>1.0</v>
      </c>
      <c r="B1336" s="1">
        <f t="shared" si="1"/>
        <v>1336</v>
      </c>
      <c r="C1336" s="1" t="s">
        <v>2646</v>
      </c>
      <c r="D1336" s="1" t="s">
        <v>2646</v>
      </c>
      <c r="E1336" s="1" t="s">
        <v>129</v>
      </c>
      <c r="G1336" s="1">
        <v>575000.0</v>
      </c>
      <c r="H1336" s="2">
        <v>41913.0</v>
      </c>
      <c r="I1336" s="1" t="s">
        <v>2647</v>
      </c>
      <c r="K1336" s="1" t="s">
        <v>2647</v>
      </c>
      <c r="N1336" s="1" t="s">
        <v>40</v>
      </c>
      <c r="O1336" s="1">
        <v>7500.0</v>
      </c>
      <c r="P1336" s="1" t="s">
        <v>40</v>
      </c>
      <c r="Q1336" s="1" t="str">
        <f>IF(ISERROR(VLOOKUP(P1336,'unique fed agency names'!A:C,3,FALSE)),P1336,VLOOKUP(P1336,'unique fed agency names'!A:C,3,FALSE))
</f>
        <v>U.S. Department of Health and Human Services (DHHS)</v>
      </c>
      <c r="R1336" s="1">
        <v>6.9840817E7</v>
      </c>
      <c r="S1336" s="1" t="s">
        <v>131</v>
      </c>
      <c r="T1336" s="1" t="str">
        <f>IF(ISERROR(VLOOKUP(S1336,'unique org names'!A:C,3,FALSE)),S1336,VLOOKUP(S1336,'unique org names'!A:C,3,FALSE))
</f>
        <v>LUTHERAN SOCIAL SERVICES OF MICHIGAN</v>
      </c>
      <c r="V1336" s="1" t="s">
        <v>132</v>
      </c>
      <c r="W1336" s="1" t="s">
        <v>44</v>
      </c>
      <c r="X1336" s="1" t="s">
        <v>45</v>
      </c>
      <c r="Y1336" s="1">
        <v>4.8214261E8</v>
      </c>
      <c r="AA1336" s="1" t="s">
        <v>44</v>
      </c>
      <c r="AB1336" s="1" t="s">
        <v>45</v>
      </c>
      <c r="AC1336" s="1">
        <v>4.8214261E8</v>
      </c>
      <c r="AD1336" s="1">
        <v>6.9840817E7</v>
      </c>
      <c r="AE1336" s="1" t="s">
        <v>131</v>
      </c>
      <c r="AF1336" s="1">
        <v>120000.0</v>
      </c>
      <c r="AG1336" s="2">
        <v>41913.0</v>
      </c>
      <c r="AH1336" s="1">
        <v>7500.0</v>
      </c>
      <c r="AI1336" s="1" t="s">
        <v>40</v>
      </c>
      <c r="AJ1336" s="1" t="s">
        <v>2802</v>
      </c>
      <c r="AK1336" s="1" t="s">
        <v>2649</v>
      </c>
      <c r="AL1336" s="1">
        <v>10.0</v>
      </c>
      <c r="AM1336" s="1">
        <v>2014.0</v>
      </c>
      <c r="AN1336" s="1">
        <v>2015.0</v>
      </c>
      <c r="AO1336" s="1" t="s">
        <v>398</v>
      </c>
    </row>
    <row r="1337">
      <c r="A1337" s="5">
        <v>1.0</v>
      </c>
      <c r="B1337" s="1">
        <f t="shared" si="1"/>
        <v>1337</v>
      </c>
      <c r="C1337" s="1" t="s">
        <v>2803</v>
      </c>
      <c r="D1337" s="1" t="s">
        <v>2803</v>
      </c>
      <c r="E1337" s="1" t="s">
        <v>129</v>
      </c>
      <c r="G1337" s="1">
        <v>4000000.0</v>
      </c>
      <c r="H1337" s="2">
        <v>41913.0</v>
      </c>
      <c r="I1337" s="1" t="s">
        <v>2804</v>
      </c>
      <c r="K1337" s="1" t="s">
        <v>2804</v>
      </c>
      <c r="N1337" s="1" t="s">
        <v>40</v>
      </c>
      <c r="O1337" s="1">
        <v>7500.0</v>
      </c>
      <c r="P1337" s="1" t="s">
        <v>40</v>
      </c>
      <c r="Q1337" s="1" t="str">
        <f>IF(ISERROR(VLOOKUP(P1337,'unique fed agency names'!A:C,3,FALSE)),P1337,VLOOKUP(P1337,'unique fed agency names'!A:C,3,FALSE))
</f>
        <v>U.S. Department of Health and Human Services (DHHS)</v>
      </c>
      <c r="R1337" s="1">
        <v>6.9840817E7</v>
      </c>
      <c r="S1337" s="1" t="s">
        <v>131</v>
      </c>
      <c r="T1337" s="1" t="str">
        <f>IF(ISERROR(VLOOKUP(S1337,'unique org names'!A:C,3,FALSE)),S1337,VLOOKUP(S1337,'unique org names'!A:C,3,FALSE))
</f>
        <v>LUTHERAN SOCIAL SERVICES OF MICHIGAN</v>
      </c>
      <c r="V1337" s="1" t="s">
        <v>132</v>
      </c>
      <c r="W1337" s="1" t="s">
        <v>44</v>
      </c>
      <c r="X1337" s="1" t="s">
        <v>45</v>
      </c>
      <c r="Y1337" s="1">
        <v>4.8214261E8</v>
      </c>
      <c r="AA1337" s="1" t="s">
        <v>44</v>
      </c>
      <c r="AB1337" s="1" t="s">
        <v>45</v>
      </c>
      <c r="AC1337" s="1">
        <v>4.8214261E8</v>
      </c>
      <c r="AD1337" s="1">
        <v>6.9840817E7</v>
      </c>
      <c r="AE1337" s="1" t="s">
        <v>131</v>
      </c>
      <c r="AF1337" s="1">
        <v>4666666.67</v>
      </c>
      <c r="AG1337" s="2">
        <v>41913.0</v>
      </c>
      <c r="AH1337" s="1">
        <v>7500.0</v>
      </c>
      <c r="AI1337" s="1" t="s">
        <v>40</v>
      </c>
      <c r="AJ1337" s="1" t="s">
        <v>2497</v>
      </c>
      <c r="AK1337" s="1" t="s">
        <v>2649</v>
      </c>
      <c r="AL1337" s="1">
        <v>10.0</v>
      </c>
      <c r="AM1337" s="1">
        <v>2014.0</v>
      </c>
      <c r="AN1337" s="1">
        <v>2015.0</v>
      </c>
      <c r="AO1337" s="1" t="s">
        <v>398</v>
      </c>
    </row>
    <row r="1338">
      <c r="A1338" s="5">
        <v>1.0</v>
      </c>
      <c r="B1338" s="1">
        <f t="shared" si="1"/>
        <v>1338</v>
      </c>
      <c r="C1338" s="1" t="s">
        <v>2646</v>
      </c>
      <c r="D1338" s="1" t="s">
        <v>2646</v>
      </c>
      <c r="E1338" s="1" t="s">
        <v>129</v>
      </c>
      <c r="G1338" s="1">
        <v>575000.0</v>
      </c>
      <c r="H1338" s="2">
        <v>41913.0</v>
      </c>
      <c r="I1338" s="1" t="s">
        <v>2647</v>
      </c>
      <c r="K1338" s="1" t="s">
        <v>2647</v>
      </c>
      <c r="N1338" s="1" t="s">
        <v>40</v>
      </c>
      <c r="O1338" s="1">
        <v>7500.0</v>
      </c>
      <c r="P1338" s="1" t="s">
        <v>40</v>
      </c>
      <c r="Q1338" s="1" t="str">
        <f>IF(ISERROR(VLOOKUP(P1338,'unique fed agency names'!A:C,3,FALSE)),P1338,VLOOKUP(P1338,'unique fed agency names'!A:C,3,FALSE))
</f>
        <v>U.S. Department of Health and Human Services (DHHS)</v>
      </c>
      <c r="R1338" s="1">
        <v>6.9840817E7</v>
      </c>
      <c r="S1338" s="1" t="s">
        <v>131</v>
      </c>
      <c r="T1338" s="1" t="str">
        <f>IF(ISERROR(VLOOKUP(S1338,'unique org names'!A:C,3,FALSE)),S1338,VLOOKUP(S1338,'unique org names'!A:C,3,FALSE))
</f>
        <v>LUTHERAN SOCIAL SERVICES OF MICHIGAN</v>
      </c>
      <c r="V1338" s="1" t="s">
        <v>132</v>
      </c>
      <c r="W1338" s="1" t="s">
        <v>44</v>
      </c>
      <c r="X1338" s="1" t="s">
        <v>45</v>
      </c>
      <c r="Y1338" s="1">
        <v>4.8214261E8</v>
      </c>
      <c r="AA1338" s="1" t="s">
        <v>44</v>
      </c>
      <c r="AB1338" s="1" t="s">
        <v>45</v>
      </c>
      <c r="AC1338" s="1">
        <v>4.8214261E8</v>
      </c>
      <c r="AD1338" s="1">
        <v>6.9840817E7</v>
      </c>
      <c r="AE1338" s="1" t="s">
        <v>131</v>
      </c>
      <c r="AF1338" s="1">
        <v>730141.0</v>
      </c>
      <c r="AG1338" s="2">
        <v>41913.0</v>
      </c>
      <c r="AH1338" s="1">
        <v>7500.0</v>
      </c>
      <c r="AI1338" s="1" t="s">
        <v>40</v>
      </c>
      <c r="AJ1338" s="1" t="s">
        <v>2805</v>
      </c>
      <c r="AK1338" s="1" t="s">
        <v>2649</v>
      </c>
      <c r="AL1338" s="1">
        <v>10.0</v>
      </c>
      <c r="AM1338" s="1">
        <v>2014.0</v>
      </c>
      <c r="AN1338" s="1">
        <v>2015.0</v>
      </c>
      <c r="AO1338" s="1" t="s">
        <v>398</v>
      </c>
    </row>
    <row r="1339">
      <c r="A1339" s="5">
        <v>1.0</v>
      </c>
      <c r="B1339" s="1">
        <f t="shared" si="1"/>
        <v>1339</v>
      </c>
      <c r="C1339" s="1">
        <v>9.7531612E7</v>
      </c>
      <c r="D1339" s="1">
        <v>9.7531612E7</v>
      </c>
      <c r="E1339" s="1" t="s">
        <v>1825</v>
      </c>
      <c r="G1339" s="1">
        <v>871762.0</v>
      </c>
      <c r="H1339" s="2">
        <v>41548.0</v>
      </c>
      <c r="I1339" s="1" t="s">
        <v>2806</v>
      </c>
      <c r="K1339" s="1" t="s">
        <v>2806</v>
      </c>
      <c r="N1339" s="1" t="s">
        <v>1825</v>
      </c>
      <c r="O1339" s="1">
        <v>6800.0</v>
      </c>
      <c r="P1339" s="1" t="s">
        <v>1825</v>
      </c>
      <c r="Q1339" s="1" t="str">
        <f>IF(ISERROR(VLOOKUP(P1339,'unique fed agency names'!A:C,3,FALSE)),P1339,VLOOKUP(P1339,'unique fed agency names'!A:C,3,FALSE))
</f>
        <v>U.S. Environmental Protection Agency (EPA)</v>
      </c>
      <c r="R1339" s="1">
        <v>3.8775243E7</v>
      </c>
      <c r="S1339" s="1" t="s">
        <v>209</v>
      </c>
      <c r="T1339" s="1" t="str">
        <f>IF(ISERROR(VLOOKUP(S1339,'unique org names'!A:C,3,FALSE)),S1339,VLOOKUP(S1339,'unique org names'!A:C,3,FALSE))
</f>
        <v>SOUTHEASTERN MICHIGAN HEALTH ASSOCIATION</v>
      </c>
      <c r="U1339" s="1" t="s">
        <v>210</v>
      </c>
      <c r="V1339" s="1" t="s">
        <v>211</v>
      </c>
      <c r="W1339" s="1" t="s">
        <v>44</v>
      </c>
      <c r="X1339" s="1" t="s">
        <v>45</v>
      </c>
      <c r="Y1339" s="1">
        <v>4.82023068E8</v>
      </c>
      <c r="AA1339" s="1" t="s">
        <v>46</v>
      </c>
      <c r="AB1339" s="1" t="s">
        <v>45</v>
      </c>
      <c r="AC1339" s="1">
        <v>4.82023068E8</v>
      </c>
      <c r="AD1339" s="1">
        <v>3.8775243E7</v>
      </c>
      <c r="AE1339" s="1" t="s">
        <v>209</v>
      </c>
      <c r="AF1339" s="1">
        <v>56304.31</v>
      </c>
      <c r="AG1339" s="2">
        <v>41548.0</v>
      </c>
      <c r="AH1339" s="1">
        <v>6800.0</v>
      </c>
      <c r="AI1339" s="1" t="s">
        <v>1825</v>
      </c>
      <c r="AJ1339" s="1">
        <v>2.0140697E7</v>
      </c>
      <c r="AK1339" s="1" t="s">
        <v>2807</v>
      </c>
      <c r="AL1339" s="1">
        <v>10.0</v>
      </c>
      <c r="AM1339" s="1">
        <v>2012.0</v>
      </c>
      <c r="AN1339" s="1">
        <v>2014.0</v>
      </c>
      <c r="AO1339" s="1" t="s">
        <v>2808</v>
      </c>
    </row>
    <row r="1340">
      <c r="A1340" s="5">
        <v>1.0</v>
      </c>
      <c r="B1340" s="1">
        <f t="shared" si="1"/>
        <v>1340</v>
      </c>
      <c r="C1340" s="1" t="s">
        <v>2651</v>
      </c>
      <c r="D1340" s="1" t="s">
        <v>2651</v>
      </c>
      <c r="E1340" s="1" t="s">
        <v>159</v>
      </c>
      <c r="G1340" s="1">
        <v>5297759.0</v>
      </c>
      <c r="H1340" s="2">
        <v>41548.0</v>
      </c>
      <c r="I1340" s="1" t="s">
        <v>2652</v>
      </c>
      <c r="K1340" s="1" t="s">
        <v>2652</v>
      </c>
      <c r="N1340" s="1" t="s">
        <v>40</v>
      </c>
      <c r="O1340" s="1">
        <v>7500.0</v>
      </c>
      <c r="P1340" s="1" t="s">
        <v>40</v>
      </c>
      <c r="Q1340" s="1" t="str">
        <f>IF(ISERROR(VLOOKUP(P1340,'unique fed agency names'!A:C,3,FALSE)),P1340,VLOOKUP(P1340,'unique fed agency names'!A:C,3,FALSE))
</f>
        <v>U.S. Department of Health and Human Services (DHHS)</v>
      </c>
      <c r="R1340" s="1">
        <v>3.8775243E7</v>
      </c>
      <c r="S1340" s="1" t="s">
        <v>209</v>
      </c>
      <c r="T1340" s="1" t="str">
        <f>IF(ISERROR(VLOOKUP(S1340,'unique org names'!A:C,3,FALSE)),S1340,VLOOKUP(S1340,'unique org names'!A:C,3,FALSE))
</f>
        <v>SOUTHEASTERN MICHIGAN HEALTH ASSOCIATION</v>
      </c>
      <c r="U1340" s="1" t="s">
        <v>210</v>
      </c>
      <c r="V1340" s="1" t="s">
        <v>211</v>
      </c>
      <c r="W1340" s="1" t="s">
        <v>44</v>
      </c>
      <c r="X1340" s="1" t="s">
        <v>45</v>
      </c>
      <c r="Y1340" s="1">
        <v>4.82023068E8</v>
      </c>
      <c r="AA1340" s="1" t="s">
        <v>46</v>
      </c>
      <c r="AB1340" s="1" t="s">
        <v>45</v>
      </c>
      <c r="AC1340" s="1">
        <v>4.82023068E8</v>
      </c>
      <c r="AD1340" s="1">
        <v>3.8775243E7</v>
      </c>
      <c r="AE1340" s="1" t="s">
        <v>209</v>
      </c>
      <c r="AF1340" s="1">
        <v>30864.21</v>
      </c>
      <c r="AG1340" s="2">
        <v>41548.0</v>
      </c>
      <c r="AH1340" s="1">
        <v>7500.0</v>
      </c>
      <c r="AI1340" s="1" t="s">
        <v>40</v>
      </c>
      <c r="AJ1340" s="1">
        <v>2.0140168E7</v>
      </c>
      <c r="AK1340" s="1" t="s">
        <v>2653</v>
      </c>
      <c r="AL1340" s="1">
        <v>10.0</v>
      </c>
      <c r="AM1340" s="1">
        <v>2011.0</v>
      </c>
      <c r="AN1340" s="1">
        <v>2014.0</v>
      </c>
      <c r="AO1340" s="1" t="s">
        <v>2654</v>
      </c>
    </row>
    <row r="1341">
      <c r="A1341" s="5">
        <v>1.0</v>
      </c>
      <c r="B1341" s="1">
        <f t="shared" si="1"/>
        <v>1341</v>
      </c>
      <c r="C1341" s="1" t="s">
        <v>2651</v>
      </c>
      <c r="D1341" s="1" t="s">
        <v>2651</v>
      </c>
      <c r="E1341" s="1" t="s">
        <v>159</v>
      </c>
      <c r="G1341" s="1">
        <v>5297759.0</v>
      </c>
      <c r="H1341" s="2">
        <v>41548.0</v>
      </c>
      <c r="I1341" s="1" t="s">
        <v>2652</v>
      </c>
      <c r="K1341" s="1" t="s">
        <v>2652</v>
      </c>
      <c r="N1341" s="1" t="s">
        <v>40</v>
      </c>
      <c r="O1341" s="1">
        <v>7500.0</v>
      </c>
      <c r="P1341" s="1" t="s">
        <v>40</v>
      </c>
      <c r="Q1341" s="1" t="str">
        <f>IF(ISERROR(VLOOKUP(P1341,'unique fed agency names'!A:C,3,FALSE)),P1341,VLOOKUP(P1341,'unique fed agency names'!A:C,3,FALSE))
</f>
        <v>U.S. Department of Health and Human Services (DHHS)</v>
      </c>
      <c r="R1341" s="1">
        <v>3.8775243E7</v>
      </c>
      <c r="S1341" s="1" t="s">
        <v>209</v>
      </c>
      <c r="T1341" s="1" t="str">
        <f>IF(ISERROR(VLOOKUP(S1341,'unique org names'!A:C,3,FALSE)),S1341,VLOOKUP(S1341,'unique org names'!A:C,3,FALSE))
</f>
        <v>SOUTHEASTERN MICHIGAN HEALTH ASSOCIATION</v>
      </c>
      <c r="U1341" s="1" t="s">
        <v>210</v>
      </c>
      <c r="V1341" s="1" t="s">
        <v>211</v>
      </c>
      <c r="W1341" s="1" t="s">
        <v>44</v>
      </c>
      <c r="X1341" s="1" t="s">
        <v>45</v>
      </c>
      <c r="Y1341" s="1">
        <v>4.82023068E8</v>
      </c>
      <c r="AA1341" s="1" t="s">
        <v>46</v>
      </c>
      <c r="AB1341" s="1" t="s">
        <v>45</v>
      </c>
      <c r="AC1341" s="1">
        <v>4.82023068E8</v>
      </c>
      <c r="AD1341" s="1">
        <v>3.8775243E7</v>
      </c>
      <c r="AE1341" s="1" t="s">
        <v>209</v>
      </c>
      <c r="AF1341" s="1">
        <v>0.0</v>
      </c>
      <c r="AG1341" s="2">
        <v>41548.0</v>
      </c>
      <c r="AH1341" s="1">
        <v>7500.0</v>
      </c>
      <c r="AI1341" s="1" t="s">
        <v>40</v>
      </c>
      <c r="AJ1341" s="1">
        <v>2.0140164E7</v>
      </c>
      <c r="AK1341" s="1" t="s">
        <v>2653</v>
      </c>
      <c r="AL1341" s="1">
        <v>10.0</v>
      </c>
      <c r="AM1341" s="1">
        <v>2011.0</v>
      </c>
      <c r="AN1341" s="1">
        <v>2014.0</v>
      </c>
      <c r="AO1341" s="1" t="s">
        <v>2654</v>
      </c>
    </row>
    <row r="1342">
      <c r="A1342" s="5">
        <v>1.0</v>
      </c>
      <c r="B1342" s="1">
        <f t="shared" si="1"/>
        <v>1342</v>
      </c>
      <c r="C1342" s="1" t="s">
        <v>2651</v>
      </c>
      <c r="D1342" s="1" t="s">
        <v>2651</v>
      </c>
      <c r="E1342" s="1" t="s">
        <v>159</v>
      </c>
      <c r="G1342" s="1">
        <v>5297759.0</v>
      </c>
      <c r="H1342" s="2">
        <v>41183.0</v>
      </c>
      <c r="I1342" s="1" t="s">
        <v>2652</v>
      </c>
      <c r="K1342" s="1" t="s">
        <v>2652</v>
      </c>
      <c r="N1342" s="1" t="s">
        <v>40</v>
      </c>
      <c r="O1342" s="1">
        <v>7500.0</v>
      </c>
      <c r="P1342" s="1" t="s">
        <v>40</v>
      </c>
      <c r="Q1342" s="1" t="str">
        <f>IF(ISERROR(VLOOKUP(P1342,'unique fed agency names'!A:C,3,FALSE)),P1342,VLOOKUP(P1342,'unique fed agency names'!A:C,3,FALSE))
</f>
        <v>U.S. Department of Health and Human Services (DHHS)</v>
      </c>
      <c r="R1342" s="1">
        <v>3.8775243E7</v>
      </c>
      <c r="S1342" s="1" t="s">
        <v>209</v>
      </c>
      <c r="T1342" s="1" t="str">
        <f>IF(ISERROR(VLOOKUP(S1342,'unique org names'!A:C,3,FALSE)),S1342,VLOOKUP(S1342,'unique org names'!A:C,3,FALSE))
</f>
        <v>SOUTHEASTERN MICHIGAN HEALTH ASSOCIATION</v>
      </c>
      <c r="U1342" s="1" t="s">
        <v>210</v>
      </c>
      <c r="V1342" s="1" t="s">
        <v>211</v>
      </c>
      <c r="W1342" s="1" t="s">
        <v>44</v>
      </c>
      <c r="X1342" s="1" t="s">
        <v>45</v>
      </c>
      <c r="Y1342" s="1">
        <v>4.82023068E8</v>
      </c>
      <c r="AA1342" s="1" t="s">
        <v>46</v>
      </c>
      <c r="AB1342" s="1" t="s">
        <v>45</v>
      </c>
      <c r="AC1342" s="1">
        <v>4.82023068E8</v>
      </c>
      <c r="AD1342" s="1">
        <v>3.8775243E7</v>
      </c>
      <c r="AE1342" s="1" t="s">
        <v>209</v>
      </c>
      <c r="AF1342" s="1">
        <v>0.0</v>
      </c>
      <c r="AG1342" s="2">
        <v>41183.0</v>
      </c>
      <c r="AH1342" s="1">
        <v>7500.0</v>
      </c>
      <c r="AI1342" s="1" t="s">
        <v>40</v>
      </c>
      <c r="AJ1342" s="1">
        <v>2.0131249E7</v>
      </c>
      <c r="AK1342" s="1" t="s">
        <v>2653</v>
      </c>
      <c r="AL1342" s="1">
        <v>10.0</v>
      </c>
      <c r="AM1342" s="1">
        <v>2011.0</v>
      </c>
      <c r="AN1342" s="1">
        <v>2013.0</v>
      </c>
      <c r="AO1342" s="1" t="s">
        <v>2654</v>
      </c>
    </row>
    <row r="1343">
      <c r="A1343" s="5">
        <v>1.0</v>
      </c>
      <c r="B1343" s="1">
        <f t="shared" si="1"/>
        <v>1343</v>
      </c>
      <c r="C1343" s="1" t="s">
        <v>2651</v>
      </c>
      <c r="D1343" s="1" t="s">
        <v>2651</v>
      </c>
      <c r="E1343" s="1" t="s">
        <v>159</v>
      </c>
      <c r="G1343" s="1">
        <v>5297759.0</v>
      </c>
      <c r="H1343" s="2">
        <v>41183.0</v>
      </c>
      <c r="I1343" s="1" t="s">
        <v>2652</v>
      </c>
      <c r="K1343" s="1" t="s">
        <v>2652</v>
      </c>
      <c r="N1343" s="1" t="s">
        <v>40</v>
      </c>
      <c r="O1343" s="1">
        <v>7500.0</v>
      </c>
      <c r="P1343" s="1" t="s">
        <v>40</v>
      </c>
      <c r="Q1343" s="1" t="str">
        <f>IF(ISERROR(VLOOKUP(P1343,'unique fed agency names'!A:C,3,FALSE)),P1343,VLOOKUP(P1343,'unique fed agency names'!A:C,3,FALSE))
</f>
        <v>U.S. Department of Health and Human Services (DHHS)</v>
      </c>
      <c r="R1343" s="1">
        <v>3.8775243E7</v>
      </c>
      <c r="S1343" s="1" t="s">
        <v>209</v>
      </c>
      <c r="T1343" s="1" t="str">
        <f>IF(ISERROR(VLOOKUP(S1343,'unique org names'!A:C,3,FALSE)),S1343,VLOOKUP(S1343,'unique org names'!A:C,3,FALSE))
</f>
        <v>SOUTHEASTERN MICHIGAN HEALTH ASSOCIATION</v>
      </c>
      <c r="U1343" s="1" t="s">
        <v>210</v>
      </c>
      <c r="V1343" s="1" t="s">
        <v>211</v>
      </c>
      <c r="W1343" s="1" t="s">
        <v>44</v>
      </c>
      <c r="X1343" s="1" t="s">
        <v>45</v>
      </c>
      <c r="Y1343" s="1">
        <v>4.82023068E8</v>
      </c>
      <c r="AA1343" s="1" t="s">
        <v>46</v>
      </c>
      <c r="AB1343" s="1" t="s">
        <v>45</v>
      </c>
      <c r="AC1343" s="1">
        <v>4.82023068E8</v>
      </c>
      <c r="AD1343" s="1">
        <v>3.8775243E7</v>
      </c>
      <c r="AE1343" s="1" t="s">
        <v>209</v>
      </c>
      <c r="AF1343" s="1">
        <v>30000.0</v>
      </c>
      <c r="AG1343" s="2">
        <v>41183.0</v>
      </c>
      <c r="AH1343" s="1">
        <v>7500.0</v>
      </c>
      <c r="AI1343" s="1" t="s">
        <v>40</v>
      </c>
      <c r="AJ1343" s="1">
        <v>2.0131195E7</v>
      </c>
      <c r="AK1343" s="1" t="s">
        <v>2653</v>
      </c>
      <c r="AL1343" s="1">
        <v>10.0</v>
      </c>
      <c r="AM1343" s="1">
        <v>2011.0</v>
      </c>
      <c r="AN1343" s="1">
        <v>2013.0</v>
      </c>
      <c r="AO1343" s="1" t="s">
        <v>2654</v>
      </c>
    </row>
    <row r="1344">
      <c r="A1344" s="5">
        <v>1.0</v>
      </c>
      <c r="B1344" s="1">
        <f t="shared" si="1"/>
        <v>1344</v>
      </c>
      <c r="C1344" s="1" t="s">
        <v>158</v>
      </c>
      <c r="D1344" s="1" t="s">
        <v>158</v>
      </c>
      <c r="E1344" s="1" t="s">
        <v>159</v>
      </c>
      <c r="G1344" s="1">
        <v>899985.0</v>
      </c>
      <c r="H1344" s="2">
        <v>41548.0</v>
      </c>
      <c r="I1344" s="1" t="s">
        <v>2655</v>
      </c>
      <c r="K1344" s="1" t="s">
        <v>2655</v>
      </c>
      <c r="N1344" s="1" t="s">
        <v>40</v>
      </c>
      <c r="O1344" s="1">
        <v>7500.0</v>
      </c>
      <c r="P1344" s="1" t="s">
        <v>40</v>
      </c>
      <c r="Q1344" s="1" t="str">
        <f>IF(ISERROR(VLOOKUP(P1344,'unique fed agency names'!A:C,3,FALSE)),P1344,VLOOKUP(P1344,'unique fed agency names'!A:C,3,FALSE))
</f>
        <v>U.S. Department of Health and Human Services (DHHS)</v>
      </c>
      <c r="R1344" s="1">
        <v>3.8775243E7</v>
      </c>
      <c r="S1344" s="1" t="s">
        <v>209</v>
      </c>
      <c r="T1344" s="1" t="str">
        <f>IF(ISERROR(VLOOKUP(S1344,'unique org names'!A:C,3,FALSE)),S1344,VLOOKUP(S1344,'unique org names'!A:C,3,FALSE))
</f>
        <v>SOUTHEASTERN MICHIGAN HEALTH ASSOCIATION</v>
      </c>
      <c r="U1344" s="1" t="s">
        <v>210</v>
      </c>
      <c r="V1344" s="1" t="s">
        <v>211</v>
      </c>
      <c r="W1344" s="1" t="s">
        <v>44</v>
      </c>
      <c r="X1344" s="1" t="s">
        <v>45</v>
      </c>
      <c r="Y1344" s="1">
        <v>4.82023068E8</v>
      </c>
      <c r="AA1344" s="1" t="s">
        <v>46</v>
      </c>
      <c r="AB1344" s="1" t="s">
        <v>45</v>
      </c>
      <c r="AC1344" s="1">
        <v>4.82023068E8</v>
      </c>
      <c r="AD1344" s="1">
        <v>3.8775243E7</v>
      </c>
      <c r="AE1344" s="1" t="s">
        <v>209</v>
      </c>
      <c r="AF1344" s="1">
        <v>12778.0</v>
      </c>
      <c r="AG1344" s="2">
        <v>41548.0</v>
      </c>
      <c r="AH1344" s="1">
        <v>7500.0</v>
      </c>
      <c r="AI1344" s="1" t="s">
        <v>40</v>
      </c>
      <c r="AJ1344" s="1">
        <v>2.01407E7</v>
      </c>
      <c r="AK1344" s="1" t="s">
        <v>2655</v>
      </c>
      <c r="AL1344" s="1">
        <v>10.0</v>
      </c>
      <c r="AM1344" s="1">
        <v>2011.0</v>
      </c>
      <c r="AN1344" s="1">
        <v>2014.0</v>
      </c>
      <c r="AO1344" s="1" t="s">
        <v>162</v>
      </c>
    </row>
    <row r="1345">
      <c r="A1345" s="5">
        <v>1.0</v>
      </c>
      <c r="B1345" s="1">
        <f t="shared" si="1"/>
        <v>1345</v>
      </c>
      <c r="C1345" s="1" t="s">
        <v>158</v>
      </c>
      <c r="D1345" s="1" t="s">
        <v>158</v>
      </c>
      <c r="E1345" s="1" t="s">
        <v>159</v>
      </c>
      <c r="G1345" s="1">
        <v>899985.0</v>
      </c>
      <c r="H1345" s="2">
        <v>41183.0</v>
      </c>
      <c r="I1345" s="1" t="s">
        <v>2655</v>
      </c>
      <c r="K1345" s="1" t="s">
        <v>2655</v>
      </c>
      <c r="N1345" s="1" t="s">
        <v>40</v>
      </c>
      <c r="O1345" s="1">
        <v>7500.0</v>
      </c>
      <c r="P1345" s="1" t="s">
        <v>40</v>
      </c>
      <c r="Q1345" s="1" t="str">
        <f>IF(ISERROR(VLOOKUP(P1345,'unique fed agency names'!A:C,3,FALSE)),P1345,VLOOKUP(P1345,'unique fed agency names'!A:C,3,FALSE))
</f>
        <v>U.S. Department of Health and Human Services (DHHS)</v>
      </c>
      <c r="R1345" s="1">
        <v>6.9840288E7</v>
      </c>
      <c r="S1345" s="1" t="s">
        <v>2809</v>
      </c>
      <c r="T1345" s="1" t="str">
        <f>IF(ISERROR(VLOOKUP(S1345,'unique org names'!A:C,3,FALSE)),S1345,VLOOKUP(S1345,'unique org names'!A:C,3,FALSE))
</f>
        <v>VHS SINAI-GRACE HOSPITAL, INC</v>
      </c>
      <c r="U1345" s="1" t="s">
        <v>2810</v>
      </c>
      <c r="V1345" s="1" t="s">
        <v>2811</v>
      </c>
      <c r="W1345" s="1" t="s">
        <v>44</v>
      </c>
      <c r="X1345" s="1" t="s">
        <v>45</v>
      </c>
      <c r="Y1345" s="1">
        <v>4.82352624E8</v>
      </c>
      <c r="AA1345" s="1" t="s">
        <v>46</v>
      </c>
      <c r="AB1345" s="1" t="s">
        <v>45</v>
      </c>
      <c r="AC1345" s="1">
        <v>4.82352624E8</v>
      </c>
      <c r="AD1345" s="1">
        <v>5.3866661E7</v>
      </c>
      <c r="AF1345" s="1">
        <v>2000.0</v>
      </c>
      <c r="AG1345" s="2">
        <v>41183.0</v>
      </c>
      <c r="AH1345" s="1">
        <v>7500.0</v>
      </c>
      <c r="AI1345" s="1" t="s">
        <v>40</v>
      </c>
      <c r="AJ1345" s="1">
        <v>2.0133212E7</v>
      </c>
      <c r="AK1345" s="1" t="s">
        <v>2655</v>
      </c>
      <c r="AL1345" s="1">
        <v>10.0</v>
      </c>
      <c r="AM1345" s="1">
        <v>2011.0</v>
      </c>
      <c r="AN1345" s="1">
        <v>2013.0</v>
      </c>
      <c r="AO1345" s="1" t="s">
        <v>162</v>
      </c>
    </row>
    <row r="1346">
      <c r="A1346" s="5">
        <v>1.0</v>
      </c>
      <c r="B1346" s="1">
        <f t="shared" si="1"/>
        <v>1346</v>
      </c>
      <c r="C1346" s="1" t="s">
        <v>158</v>
      </c>
      <c r="D1346" s="1" t="s">
        <v>158</v>
      </c>
      <c r="E1346" s="1" t="s">
        <v>159</v>
      </c>
      <c r="G1346" s="1">
        <v>899985.0</v>
      </c>
      <c r="H1346" s="2">
        <v>41548.0</v>
      </c>
      <c r="I1346" s="1" t="s">
        <v>2655</v>
      </c>
      <c r="K1346" s="1" t="s">
        <v>2655</v>
      </c>
      <c r="N1346" s="1" t="s">
        <v>40</v>
      </c>
      <c r="O1346" s="1">
        <v>7500.0</v>
      </c>
      <c r="P1346" s="1" t="s">
        <v>40</v>
      </c>
      <c r="Q1346" s="1" t="str">
        <f>IF(ISERROR(VLOOKUP(P1346,'unique fed agency names'!A:C,3,FALSE)),P1346,VLOOKUP(P1346,'unique fed agency names'!A:C,3,FALSE))
</f>
        <v>U.S. Department of Health and Human Services (DHHS)</v>
      </c>
      <c r="R1346" s="1">
        <v>7.6377316E7</v>
      </c>
      <c r="S1346" s="1" t="s">
        <v>2302</v>
      </c>
      <c r="T1346" s="1" t="str">
        <f>IF(ISERROR(VLOOKUP(S1346,'unique org names'!A:C,3,FALSE)),S1346,VLOOKUP(S1346,'unique org names'!A:C,3,FALSE))
</f>
        <v>VHS CHILDREN'S HOSPITAL OF MICHIGAN, INC.</v>
      </c>
      <c r="V1346" s="1" t="s">
        <v>2303</v>
      </c>
      <c r="W1346" s="1" t="s">
        <v>44</v>
      </c>
      <c r="X1346" s="1" t="s">
        <v>45</v>
      </c>
      <c r="Y1346" s="1">
        <v>4.82012119E8</v>
      </c>
      <c r="AA1346" s="1" t="s">
        <v>46</v>
      </c>
      <c r="AB1346" s="1" t="s">
        <v>45</v>
      </c>
      <c r="AC1346" s="1">
        <v>4.82012119E8</v>
      </c>
      <c r="AD1346" s="1">
        <v>5.3866661E7</v>
      </c>
      <c r="AF1346" s="1">
        <v>1250.0</v>
      </c>
      <c r="AG1346" s="2">
        <v>41548.0</v>
      </c>
      <c r="AH1346" s="1">
        <v>7500.0</v>
      </c>
      <c r="AI1346" s="1" t="s">
        <v>40</v>
      </c>
      <c r="AJ1346" s="1">
        <v>2.0142084E7</v>
      </c>
      <c r="AK1346" s="1" t="s">
        <v>2655</v>
      </c>
      <c r="AL1346" s="1">
        <v>10.0</v>
      </c>
      <c r="AM1346" s="1">
        <v>2011.0</v>
      </c>
      <c r="AN1346" s="1">
        <v>2014.0</v>
      </c>
      <c r="AO1346" s="1" t="s">
        <v>162</v>
      </c>
    </row>
    <row r="1347">
      <c r="A1347" s="5">
        <v>1.0</v>
      </c>
      <c r="B1347" s="1">
        <f t="shared" si="1"/>
        <v>1347</v>
      </c>
      <c r="C1347" s="1" t="s">
        <v>2651</v>
      </c>
      <c r="D1347" s="1" t="s">
        <v>2651</v>
      </c>
      <c r="E1347" s="1" t="s">
        <v>159</v>
      </c>
      <c r="G1347" s="1">
        <v>5297759.0</v>
      </c>
      <c r="H1347" s="2">
        <v>41548.0</v>
      </c>
      <c r="I1347" s="1" t="s">
        <v>2652</v>
      </c>
      <c r="K1347" s="1" t="s">
        <v>2652</v>
      </c>
      <c r="N1347" s="1" t="s">
        <v>40</v>
      </c>
      <c r="O1347" s="1">
        <v>7500.0</v>
      </c>
      <c r="P1347" s="1" t="s">
        <v>40</v>
      </c>
      <c r="Q1347" s="1" t="str">
        <f>IF(ISERROR(VLOOKUP(P1347,'unique fed agency names'!A:C,3,FALSE)),P1347,VLOOKUP(P1347,'unique fed agency names'!A:C,3,FALSE))
</f>
        <v>U.S. Department of Health and Human Services (DHHS)</v>
      </c>
      <c r="R1347" s="1">
        <v>3.8775243E7</v>
      </c>
      <c r="S1347" s="1" t="s">
        <v>209</v>
      </c>
      <c r="T1347" s="1" t="str">
        <f>IF(ISERROR(VLOOKUP(S1347,'unique org names'!A:C,3,FALSE)),S1347,VLOOKUP(S1347,'unique org names'!A:C,3,FALSE))
</f>
        <v>SOUTHEASTERN MICHIGAN HEALTH ASSOCIATION</v>
      </c>
      <c r="U1347" s="1" t="s">
        <v>210</v>
      </c>
      <c r="V1347" s="1" t="s">
        <v>211</v>
      </c>
      <c r="W1347" s="1" t="s">
        <v>44</v>
      </c>
      <c r="X1347" s="1" t="s">
        <v>45</v>
      </c>
      <c r="Y1347" s="1">
        <v>4.82023068E8</v>
      </c>
      <c r="AA1347" s="1" t="s">
        <v>46</v>
      </c>
      <c r="AB1347" s="1" t="s">
        <v>45</v>
      </c>
      <c r="AC1347" s="1">
        <v>4.82023068E8</v>
      </c>
      <c r="AD1347" s="1">
        <v>3.8775243E7</v>
      </c>
      <c r="AE1347" s="1" t="s">
        <v>209</v>
      </c>
      <c r="AF1347" s="1">
        <v>0.0</v>
      </c>
      <c r="AG1347" s="2">
        <v>41548.0</v>
      </c>
      <c r="AH1347" s="1">
        <v>7500.0</v>
      </c>
      <c r="AI1347" s="1" t="s">
        <v>40</v>
      </c>
      <c r="AJ1347" s="1">
        <v>2.0140715E7</v>
      </c>
      <c r="AK1347" s="1" t="s">
        <v>2653</v>
      </c>
      <c r="AL1347" s="1">
        <v>10.0</v>
      </c>
      <c r="AM1347" s="1">
        <v>2011.0</v>
      </c>
      <c r="AN1347" s="1">
        <v>2014.0</v>
      </c>
      <c r="AO1347" s="1" t="s">
        <v>2654</v>
      </c>
    </row>
    <row r="1348">
      <c r="A1348" s="5">
        <v>1.0</v>
      </c>
      <c r="B1348" s="1">
        <f t="shared" si="1"/>
        <v>1348</v>
      </c>
      <c r="C1348" s="1" t="s">
        <v>2651</v>
      </c>
      <c r="D1348" s="1" t="s">
        <v>2651</v>
      </c>
      <c r="E1348" s="1" t="s">
        <v>159</v>
      </c>
      <c r="G1348" s="1">
        <v>5297759.0</v>
      </c>
      <c r="H1348" s="2">
        <v>41183.0</v>
      </c>
      <c r="I1348" s="1" t="s">
        <v>2652</v>
      </c>
      <c r="K1348" s="1" t="s">
        <v>2652</v>
      </c>
      <c r="N1348" s="1" t="s">
        <v>40</v>
      </c>
      <c r="O1348" s="1">
        <v>7500.0</v>
      </c>
      <c r="P1348" s="1" t="s">
        <v>40</v>
      </c>
      <c r="Q1348" s="1" t="str">
        <f>IF(ISERROR(VLOOKUP(P1348,'unique fed agency names'!A:C,3,FALSE)),P1348,VLOOKUP(P1348,'unique fed agency names'!A:C,3,FALSE))
</f>
        <v>U.S. Department of Health and Human Services (DHHS)</v>
      </c>
      <c r="R1348" s="1">
        <v>3.8775243E7</v>
      </c>
      <c r="S1348" s="1" t="s">
        <v>209</v>
      </c>
      <c r="T1348" s="1" t="str">
        <f>IF(ISERROR(VLOOKUP(S1348,'unique org names'!A:C,3,FALSE)),S1348,VLOOKUP(S1348,'unique org names'!A:C,3,FALSE))
</f>
        <v>SOUTHEASTERN MICHIGAN HEALTH ASSOCIATION</v>
      </c>
      <c r="U1348" s="1" t="s">
        <v>210</v>
      </c>
      <c r="V1348" s="1" t="s">
        <v>211</v>
      </c>
      <c r="W1348" s="1" t="s">
        <v>44</v>
      </c>
      <c r="X1348" s="1" t="s">
        <v>45</v>
      </c>
      <c r="Y1348" s="1">
        <v>4.82023068E8</v>
      </c>
      <c r="AA1348" s="1" t="s">
        <v>46</v>
      </c>
      <c r="AB1348" s="1" t="s">
        <v>45</v>
      </c>
      <c r="AC1348" s="1">
        <v>4.82023068E8</v>
      </c>
      <c r="AD1348" s="1">
        <v>3.8775243E7</v>
      </c>
      <c r="AE1348" s="1" t="s">
        <v>209</v>
      </c>
      <c r="AF1348" s="1">
        <v>0.0</v>
      </c>
      <c r="AG1348" s="2">
        <v>41183.0</v>
      </c>
      <c r="AH1348" s="1">
        <v>7500.0</v>
      </c>
      <c r="AI1348" s="1" t="s">
        <v>40</v>
      </c>
      <c r="AJ1348" s="1">
        <v>2.0131195E7</v>
      </c>
      <c r="AK1348" s="1" t="s">
        <v>2653</v>
      </c>
      <c r="AL1348" s="1">
        <v>10.0</v>
      </c>
      <c r="AM1348" s="1">
        <v>2011.0</v>
      </c>
      <c r="AN1348" s="1">
        <v>2013.0</v>
      </c>
      <c r="AO1348" s="1" t="s">
        <v>2654</v>
      </c>
    </row>
    <row r="1349">
      <c r="A1349" s="5">
        <v>1.0</v>
      </c>
      <c r="B1349" s="1">
        <f t="shared" si="1"/>
        <v>1349</v>
      </c>
      <c r="C1349" s="1" t="s">
        <v>2651</v>
      </c>
      <c r="D1349" s="1" t="s">
        <v>2651</v>
      </c>
      <c r="E1349" s="1" t="s">
        <v>159</v>
      </c>
      <c r="G1349" s="1">
        <v>5297759.0</v>
      </c>
      <c r="H1349" s="2">
        <v>41183.0</v>
      </c>
      <c r="I1349" s="1" t="s">
        <v>2652</v>
      </c>
      <c r="K1349" s="1" t="s">
        <v>2652</v>
      </c>
      <c r="N1349" s="1" t="s">
        <v>40</v>
      </c>
      <c r="O1349" s="1">
        <v>7500.0</v>
      </c>
      <c r="P1349" s="1" t="s">
        <v>40</v>
      </c>
      <c r="Q1349" s="1" t="str">
        <f>IF(ISERROR(VLOOKUP(P1349,'unique fed agency names'!A:C,3,FALSE)),P1349,VLOOKUP(P1349,'unique fed agency names'!A:C,3,FALSE))
</f>
        <v>U.S. Department of Health and Human Services (DHHS)</v>
      </c>
      <c r="R1349" s="1">
        <v>3.8775243E7</v>
      </c>
      <c r="S1349" s="1" t="s">
        <v>209</v>
      </c>
      <c r="T1349" s="1" t="str">
        <f>IF(ISERROR(VLOOKUP(S1349,'unique org names'!A:C,3,FALSE)),S1349,VLOOKUP(S1349,'unique org names'!A:C,3,FALSE))
</f>
        <v>SOUTHEASTERN MICHIGAN HEALTH ASSOCIATION</v>
      </c>
      <c r="U1349" s="1" t="s">
        <v>210</v>
      </c>
      <c r="V1349" s="1" t="s">
        <v>211</v>
      </c>
      <c r="W1349" s="1" t="s">
        <v>44</v>
      </c>
      <c r="X1349" s="1" t="s">
        <v>45</v>
      </c>
      <c r="Y1349" s="1">
        <v>4.82023068E8</v>
      </c>
      <c r="AA1349" s="1" t="s">
        <v>46</v>
      </c>
      <c r="AB1349" s="1" t="s">
        <v>45</v>
      </c>
      <c r="AC1349" s="1">
        <v>4.82023068E8</v>
      </c>
      <c r="AD1349" s="1">
        <v>3.8775243E7</v>
      </c>
      <c r="AE1349" s="1" t="s">
        <v>209</v>
      </c>
      <c r="AF1349" s="1">
        <v>0.0</v>
      </c>
      <c r="AG1349" s="2">
        <v>41183.0</v>
      </c>
      <c r="AH1349" s="1">
        <v>7500.0</v>
      </c>
      <c r="AI1349" s="1" t="s">
        <v>40</v>
      </c>
      <c r="AJ1349" s="1">
        <v>2.0131762E7</v>
      </c>
      <c r="AK1349" s="1" t="s">
        <v>2653</v>
      </c>
      <c r="AL1349" s="1">
        <v>10.0</v>
      </c>
      <c r="AM1349" s="1">
        <v>2011.0</v>
      </c>
      <c r="AN1349" s="1">
        <v>2013.0</v>
      </c>
      <c r="AO1349" s="1" t="s">
        <v>2654</v>
      </c>
    </row>
    <row r="1350">
      <c r="A1350" s="5">
        <v>1.0</v>
      </c>
      <c r="B1350" s="1">
        <f t="shared" si="1"/>
        <v>1350</v>
      </c>
      <c r="C1350" s="1" t="s">
        <v>2651</v>
      </c>
      <c r="D1350" s="1" t="s">
        <v>2651</v>
      </c>
      <c r="E1350" s="1" t="s">
        <v>159</v>
      </c>
      <c r="G1350" s="1">
        <v>5297759.0</v>
      </c>
      <c r="H1350" s="2">
        <v>41183.0</v>
      </c>
      <c r="I1350" s="1" t="s">
        <v>2652</v>
      </c>
      <c r="K1350" s="1" t="s">
        <v>2652</v>
      </c>
      <c r="N1350" s="1" t="s">
        <v>40</v>
      </c>
      <c r="O1350" s="1">
        <v>7500.0</v>
      </c>
      <c r="P1350" s="1" t="s">
        <v>40</v>
      </c>
      <c r="Q1350" s="1" t="str">
        <f>IF(ISERROR(VLOOKUP(P1350,'unique fed agency names'!A:C,3,FALSE)),P1350,VLOOKUP(P1350,'unique fed agency names'!A:C,3,FALSE))
</f>
        <v>U.S. Department of Health and Human Services (DHHS)</v>
      </c>
      <c r="R1350" s="1">
        <v>7.8583404E7</v>
      </c>
      <c r="S1350" s="1" t="s">
        <v>65</v>
      </c>
      <c r="T1350" s="1" t="str">
        <f>IF(ISERROR(VLOOKUP(S1350,'unique org names'!A:C,3,FALSE)),S1350,VLOOKUP(S1350,'unique org names'!A:C,3,FALSE))
</f>
        <v>Institute for Population Health Inc.</v>
      </c>
      <c r="U1350" s="1" t="s">
        <v>2563</v>
      </c>
      <c r="V1350" s="1" t="s">
        <v>1573</v>
      </c>
      <c r="W1350" s="1" t="s">
        <v>44</v>
      </c>
      <c r="X1350" s="1" t="s">
        <v>45</v>
      </c>
      <c r="Y1350" s="1">
        <v>4.8207311E8</v>
      </c>
      <c r="AA1350" s="1" t="s">
        <v>46</v>
      </c>
      <c r="AB1350" s="1" t="s">
        <v>45</v>
      </c>
      <c r="AC1350" s="1">
        <v>4.82021732E8</v>
      </c>
      <c r="AD1350" s="1">
        <v>7.8403185E7</v>
      </c>
      <c r="AE1350" s="1" t="s">
        <v>2812</v>
      </c>
      <c r="AF1350" s="1">
        <v>0.0</v>
      </c>
      <c r="AG1350" s="2">
        <v>41183.0</v>
      </c>
      <c r="AH1350" s="1">
        <v>7500.0</v>
      </c>
      <c r="AI1350" s="1" t="s">
        <v>40</v>
      </c>
      <c r="AJ1350" s="1">
        <v>2.01304E7</v>
      </c>
      <c r="AK1350" s="1" t="s">
        <v>2653</v>
      </c>
      <c r="AL1350" s="1">
        <v>10.0</v>
      </c>
      <c r="AM1350" s="1">
        <v>2011.0</v>
      </c>
      <c r="AN1350" s="1">
        <v>2013.0</v>
      </c>
      <c r="AO1350" s="1" t="s">
        <v>2654</v>
      </c>
    </row>
    <row r="1351">
      <c r="A1351" s="5">
        <v>1.0</v>
      </c>
      <c r="B1351" s="1">
        <f t="shared" si="1"/>
        <v>1351</v>
      </c>
      <c r="C1351" s="1" t="s">
        <v>2651</v>
      </c>
      <c r="D1351" s="1" t="s">
        <v>2651</v>
      </c>
      <c r="E1351" s="1" t="s">
        <v>159</v>
      </c>
      <c r="G1351" s="1">
        <v>5297759.0</v>
      </c>
      <c r="H1351" s="2">
        <v>41183.0</v>
      </c>
      <c r="I1351" s="1" t="s">
        <v>2652</v>
      </c>
      <c r="K1351" s="1" t="s">
        <v>2652</v>
      </c>
      <c r="N1351" s="1" t="s">
        <v>40</v>
      </c>
      <c r="O1351" s="1">
        <v>7500.0</v>
      </c>
      <c r="P1351" s="1" t="s">
        <v>40</v>
      </c>
      <c r="Q1351" s="1" t="str">
        <f>IF(ISERROR(VLOOKUP(P1351,'unique fed agency names'!A:C,3,FALSE)),P1351,VLOOKUP(P1351,'unique fed agency names'!A:C,3,FALSE))
</f>
        <v>U.S. Department of Health and Human Services (DHHS)</v>
      </c>
      <c r="R1351" s="1">
        <v>7.8583404E7</v>
      </c>
      <c r="S1351" s="1" t="s">
        <v>65</v>
      </c>
      <c r="T1351" s="1" t="str">
        <f>IF(ISERROR(VLOOKUP(S1351,'unique org names'!A:C,3,FALSE)),S1351,VLOOKUP(S1351,'unique org names'!A:C,3,FALSE))
</f>
        <v>Institute for Population Health Inc.</v>
      </c>
      <c r="U1351" s="1" t="s">
        <v>2563</v>
      </c>
      <c r="V1351" s="1" t="s">
        <v>1573</v>
      </c>
      <c r="W1351" s="1" t="s">
        <v>44</v>
      </c>
      <c r="X1351" s="1" t="s">
        <v>45</v>
      </c>
      <c r="Y1351" s="1">
        <v>4.8207311E8</v>
      </c>
      <c r="AA1351" s="1" t="s">
        <v>46</v>
      </c>
      <c r="AB1351" s="1" t="s">
        <v>45</v>
      </c>
      <c r="AC1351" s="1">
        <v>4.82021732E8</v>
      </c>
      <c r="AD1351" s="1">
        <v>4.0574592E7</v>
      </c>
      <c r="AE1351" s="1" t="s">
        <v>2564</v>
      </c>
      <c r="AF1351" s="1">
        <v>0.0</v>
      </c>
      <c r="AG1351" s="2">
        <v>41183.0</v>
      </c>
      <c r="AH1351" s="1">
        <v>7500.0</v>
      </c>
      <c r="AI1351" s="1" t="s">
        <v>40</v>
      </c>
      <c r="AJ1351" s="1">
        <v>2.01304E7</v>
      </c>
      <c r="AK1351" s="1" t="s">
        <v>2653</v>
      </c>
      <c r="AL1351" s="1">
        <v>10.0</v>
      </c>
      <c r="AM1351" s="1">
        <v>2011.0</v>
      </c>
      <c r="AN1351" s="1">
        <v>2013.0</v>
      </c>
      <c r="AO1351" s="1" t="s">
        <v>2654</v>
      </c>
    </row>
    <row r="1352">
      <c r="A1352" s="5">
        <v>1.0</v>
      </c>
      <c r="B1352" s="1">
        <f t="shared" si="1"/>
        <v>1352</v>
      </c>
      <c r="C1352" s="1" t="s">
        <v>2651</v>
      </c>
      <c r="D1352" s="1" t="s">
        <v>2651</v>
      </c>
      <c r="E1352" s="1" t="s">
        <v>159</v>
      </c>
      <c r="G1352" s="1">
        <v>5297759.0</v>
      </c>
      <c r="H1352" s="2">
        <v>41183.0</v>
      </c>
      <c r="I1352" s="1" t="s">
        <v>2652</v>
      </c>
      <c r="K1352" s="1" t="s">
        <v>2652</v>
      </c>
      <c r="N1352" s="1" t="s">
        <v>40</v>
      </c>
      <c r="O1352" s="1">
        <v>7500.0</v>
      </c>
      <c r="P1352" s="1" t="s">
        <v>40</v>
      </c>
      <c r="Q1352" s="1" t="str">
        <f>IF(ISERROR(VLOOKUP(P1352,'unique fed agency names'!A:C,3,FALSE)),P1352,VLOOKUP(P1352,'unique fed agency names'!A:C,3,FALSE))
</f>
        <v>U.S. Department of Health and Human Services (DHHS)</v>
      </c>
      <c r="R1352" s="1">
        <v>8.09204196E8</v>
      </c>
      <c r="S1352" s="1" t="s">
        <v>175</v>
      </c>
      <c r="T1352" s="1" t="str">
        <f>IF(ISERROR(VLOOKUP(S1352,'unique org names'!A:C,3,FALSE)),S1352,VLOOKUP(S1352,'unique org names'!A:C,3,FALSE))
</f>
        <v>DETROIT WAYNE COUNTY HEALTH AUTHORITY</v>
      </c>
      <c r="U1352" s="1" t="s">
        <v>2636</v>
      </c>
      <c r="V1352" s="1" t="s">
        <v>2078</v>
      </c>
      <c r="W1352" s="1" t="s">
        <v>44</v>
      </c>
      <c r="X1352" s="1" t="s">
        <v>45</v>
      </c>
      <c r="Y1352" s="1">
        <v>4.82023026E8</v>
      </c>
      <c r="AA1352" s="1" t="s">
        <v>46</v>
      </c>
      <c r="AB1352" s="1" t="s">
        <v>45</v>
      </c>
      <c r="AC1352" s="1">
        <v>4.82023025E8</v>
      </c>
      <c r="AD1352" s="1">
        <v>8.09204196E8</v>
      </c>
      <c r="AE1352" s="1" t="s">
        <v>175</v>
      </c>
      <c r="AF1352" s="1">
        <v>0.0</v>
      </c>
      <c r="AG1352" s="2">
        <v>41183.0</v>
      </c>
      <c r="AH1352" s="1">
        <v>7500.0</v>
      </c>
      <c r="AI1352" s="1" t="s">
        <v>40</v>
      </c>
      <c r="AJ1352" s="1">
        <v>2.0130326E7</v>
      </c>
      <c r="AK1352" s="1" t="s">
        <v>2653</v>
      </c>
      <c r="AL1352" s="1">
        <v>10.0</v>
      </c>
      <c r="AM1352" s="1">
        <v>2011.0</v>
      </c>
      <c r="AN1352" s="1">
        <v>2013.0</v>
      </c>
      <c r="AO1352" s="1" t="s">
        <v>2654</v>
      </c>
    </row>
    <row r="1353">
      <c r="A1353" s="5">
        <v>1.0</v>
      </c>
      <c r="B1353" s="1">
        <f t="shared" si="1"/>
        <v>1353</v>
      </c>
      <c r="C1353" s="1" t="s">
        <v>2651</v>
      </c>
      <c r="D1353" s="1" t="s">
        <v>2651</v>
      </c>
      <c r="E1353" s="1" t="s">
        <v>159</v>
      </c>
      <c r="G1353" s="1">
        <v>5297759.0</v>
      </c>
      <c r="H1353" s="2">
        <v>41183.0</v>
      </c>
      <c r="I1353" s="1" t="s">
        <v>2652</v>
      </c>
      <c r="K1353" s="1" t="s">
        <v>2652</v>
      </c>
      <c r="N1353" s="1" t="s">
        <v>40</v>
      </c>
      <c r="O1353" s="1">
        <v>7500.0</v>
      </c>
      <c r="P1353" s="1" t="s">
        <v>40</v>
      </c>
      <c r="Q1353" s="1" t="str">
        <f>IF(ISERROR(VLOOKUP(P1353,'unique fed agency names'!A:C,3,FALSE)),P1353,VLOOKUP(P1353,'unique fed agency names'!A:C,3,FALSE))
</f>
        <v>U.S. Department of Health and Human Services (DHHS)</v>
      </c>
      <c r="R1353" s="1">
        <v>3.8775243E7</v>
      </c>
      <c r="S1353" s="1" t="s">
        <v>209</v>
      </c>
      <c r="T1353" s="1" t="str">
        <f>IF(ISERROR(VLOOKUP(S1353,'unique org names'!A:C,3,FALSE)),S1353,VLOOKUP(S1353,'unique org names'!A:C,3,FALSE))
</f>
        <v>SOUTHEASTERN MICHIGAN HEALTH ASSOCIATION</v>
      </c>
      <c r="U1353" s="1" t="s">
        <v>210</v>
      </c>
      <c r="V1353" s="1" t="s">
        <v>211</v>
      </c>
      <c r="W1353" s="1" t="s">
        <v>44</v>
      </c>
      <c r="X1353" s="1" t="s">
        <v>45</v>
      </c>
      <c r="Y1353" s="1">
        <v>4.82023068E8</v>
      </c>
      <c r="AA1353" s="1" t="s">
        <v>46</v>
      </c>
      <c r="AB1353" s="1" t="s">
        <v>45</v>
      </c>
      <c r="AC1353" s="1">
        <v>4.82023068E8</v>
      </c>
      <c r="AD1353" s="1">
        <v>3.8775243E7</v>
      </c>
      <c r="AE1353" s="1" t="s">
        <v>209</v>
      </c>
      <c r="AF1353" s="1">
        <v>0.0</v>
      </c>
      <c r="AG1353" s="2">
        <v>41183.0</v>
      </c>
      <c r="AH1353" s="1">
        <v>7500.0</v>
      </c>
      <c r="AI1353" s="1" t="s">
        <v>40</v>
      </c>
      <c r="AJ1353" s="1">
        <v>2.0131762E7</v>
      </c>
      <c r="AK1353" s="1" t="s">
        <v>2653</v>
      </c>
      <c r="AL1353" s="1">
        <v>10.0</v>
      </c>
      <c r="AM1353" s="1">
        <v>2011.0</v>
      </c>
      <c r="AN1353" s="1">
        <v>2013.0</v>
      </c>
      <c r="AO1353" s="1" t="s">
        <v>2654</v>
      </c>
    </row>
    <row r="1354">
      <c r="A1354" s="5">
        <v>1.0</v>
      </c>
      <c r="B1354" s="1">
        <f t="shared" si="1"/>
        <v>1354</v>
      </c>
      <c r="C1354" s="1" t="s">
        <v>158</v>
      </c>
      <c r="D1354" s="1" t="s">
        <v>158</v>
      </c>
      <c r="E1354" s="1" t="s">
        <v>159</v>
      </c>
      <c r="G1354" s="1">
        <v>899985.0</v>
      </c>
      <c r="H1354" s="2">
        <v>41548.0</v>
      </c>
      <c r="I1354" s="1" t="s">
        <v>2655</v>
      </c>
      <c r="K1354" s="1" t="s">
        <v>2655</v>
      </c>
      <c r="N1354" s="1" t="s">
        <v>40</v>
      </c>
      <c r="O1354" s="1">
        <v>7500.0</v>
      </c>
      <c r="P1354" s="1" t="s">
        <v>40</v>
      </c>
      <c r="Q1354" s="1" t="str">
        <f>IF(ISERROR(VLOOKUP(P1354,'unique fed agency names'!A:C,3,FALSE)),P1354,VLOOKUP(P1354,'unique fed agency names'!A:C,3,FALSE))
</f>
        <v>U.S. Department of Health and Human Services (DHHS)</v>
      </c>
      <c r="R1354" s="1">
        <v>7.6377316E7</v>
      </c>
      <c r="S1354" s="1" t="s">
        <v>2302</v>
      </c>
      <c r="T1354" s="1" t="str">
        <f>IF(ISERROR(VLOOKUP(S1354,'unique org names'!A:C,3,FALSE)),S1354,VLOOKUP(S1354,'unique org names'!A:C,3,FALSE))
</f>
        <v>VHS CHILDREN'S HOSPITAL OF MICHIGAN, INC.</v>
      </c>
      <c r="U1354" s="1" t="s">
        <v>210</v>
      </c>
      <c r="V1354" s="1" t="s">
        <v>2303</v>
      </c>
      <c r="W1354" s="1" t="s">
        <v>44</v>
      </c>
      <c r="X1354" s="1" t="s">
        <v>45</v>
      </c>
      <c r="Y1354" s="1">
        <v>4.82012119E8</v>
      </c>
      <c r="AA1354" s="1" t="s">
        <v>46</v>
      </c>
      <c r="AB1354" s="1" t="s">
        <v>45</v>
      </c>
      <c r="AC1354" s="1">
        <v>4.82012119E8</v>
      </c>
      <c r="AD1354" s="1">
        <v>5.3866661E7</v>
      </c>
      <c r="AF1354" s="1">
        <v>0.0</v>
      </c>
      <c r="AG1354" s="2">
        <v>41548.0</v>
      </c>
      <c r="AH1354" s="1">
        <v>7500.0</v>
      </c>
      <c r="AI1354" s="1" t="s">
        <v>40</v>
      </c>
      <c r="AJ1354" s="1">
        <v>2.0142084E7</v>
      </c>
      <c r="AK1354" s="1" t="s">
        <v>2655</v>
      </c>
      <c r="AL1354" s="1">
        <v>10.0</v>
      </c>
      <c r="AM1354" s="1">
        <v>2011.0</v>
      </c>
      <c r="AN1354" s="1">
        <v>2014.0</v>
      </c>
      <c r="AO1354" s="1" t="s">
        <v>162</v>
      </c>
    </row>
    <row r="1355">
      <c r="A1355" s="5">
        <v>1.0</v>
      </c>
      <c r="B1355" s="1">
        <f t="shared" si="1"/>
        <v>1355</v>
      </c>
      <c r="C1355" s="1" t="s">
        <v>158</v>
      </c>
      <c r="D1355" s="1" t="s">
        <v>158</v>
      </c>
      <c r="E1355" s="1" t="s">
        <v>159</v>
      </c>
      <c r="G1355" s="1">
        <v>899985.0</v>
      </c>
      <c r="H1355" s="2">
        <v>41548.0</v>
      </c>
      <c r="I1355" s="1" t="s">
        <v>2655</v>
      </c>
      <c r="K1355" s="1" t="s">
        <v>2655</v>
      </c>
      <c r="N1355" s="1" t="s">
        <v>40</v>
      </c>
      <c r="O1355" s="1">
        <v>7500.0</v>
      </c>
      <c r="P1355" s="1" t="s">
        <v>40</v>
      </c>
      <c r="Q1355" s="1" t="str">
        <f>IF(ISERROR(VLOOKUP(P1355,'unique fed agency names'!A:C,3,FALSE)),P1355,VLOOKUP(P1355,'unique fed agency names'!A:C,3,FALSE))
</f>
        <v>U.S. Department of Health and Human Services (DHHS)</v>
      </c>
      <c r="R1355" s="1">
        <v>3.8775243E7</v>
      </c>
      <c r="S1355" s="1" t="s">
        <v>209</v>
      </c>
      <c r="T1355" s="1" t="str">
        <f>IF(ISERROR(VLOOKUP(S1355,'unique org names'!A:C,3,FALSE)),S1355,VLOOKUP(S1355,'unique org names'!A:C,3,FALSE))
</f>
        <v>SOUTHEASTERN MICHIGAN HEALTH ASSOCIATION</v>
      </c>
      <c r="U1355" s="1" t="s">
        <v>210</v>
      </c>
      <c r="V1355" s="1" t="s">
        <v>211</v>
      </c>
      <c r="W1355" s="1" t="s">
        <v>44</v>
      </c>
      <c r="X1355" s="1" t="s">
        <v>45</v>
      </c>
      <c r="Y1355" s="1">
        <v>4.82023068E8</v>
      </c>
      <c r="AA1355" s="1" t="s">
        <v>46</v>
      </c>
      <c r="AB1355" s="1" t="s">
        <v>45</v>
      </c>
      <c r="AC1355" s="1">
        <v>4.82023068E8</v>
      </c>
      <c r="AD1355" s="1">
        <v>3.8775243E7</v>
      </c>
      <c r="AE1355" s="1" t="s">
        <v>209</v>
      </c>
      <c r="AF1355" s="1">
        <v>6142.0</v>
      </c>
      <c r="AG1355" s="2">
        <v>41548.0</v>
      </c>
      <c r="AH1355" s="1">
        <v>7500.0</v>
      </c>
      <c r="AI1355" s="1" t="s">
        <v>40</v>
      </c>
      <c r="AJ1355" s="1">
        <v>2.0140708E7</v>
      </c>
      <c r="AK1355" s="1" t="s">
        <v>2655</v>
      </c>
      <c r="AL1355" s="1">
        <v>10.0</v>
      </c>
      <c r="AM1355" s="1">
        <v>2011.0</v>
      </c>
      <c r="AN1355" s="1">
        <v>2014.0</v>
      </c>
      <c r="AO1355" s="1" t="s">
        <v>162</v>
      </c>
    </row>
    <row r="1356">
      <c r="A1356" s="5">
        <v>1.0</v>
      </c>
      <c r="B1356" s="1">
        <f t="shared" si="1"/>
        <v>1356</v>
      </c>
      <c r="C1356" s="1" t="s">
        <v>158</v>
      </c>
      <c r="D1356" s="1" t="s">
        <v>158</v>
      </c>
      <c r="E1356" s="1" t="s">
        <v>159</v>
      </c>
      <c r="G1356" s="1">
        <v>899985.0</v>
      </c>
      <c r="H1356" s="2">
        <v>41183.0</v>
      </c>
      <c r="I1356" s="1" t="s">
        <v>2655</v>
      </c>
      <c r="K1356" s="1" t="s">
        <v>2655</v>
      </c>
      <c r="N1356" s="1" t="s">
        <v>40</v>
      </c>
      <c r="O1356" s="1">
        <v>7500.0</v>
      </c>
      <c r="P1356" s="1" t="s">
        <v>40</v>
      </c>
      <c r="Q1356" s="1" t="str">
        <f>IF(ISERROR(VLOOKUP(P1356,'unique fed agency names'!A:C,3,FALSE)),P1356,VLOOKUP(P1356,'unique fed agency names'!A:C,3,FALSE))
</f>
        <v>U.S. Department of Health and Human Services (DHHS)</v>
      </c>
      <c r="R1356" s="1">
        <v>3.8775243E7</v>
      </c>
      <c r="S1356" s="1" t="s">
        <v>209</v>
      </c>
      <c r="T1356" s="1" t="str">
        <f>IF(ISERROR(VLOOKUP(S1356,'unique org names'!A:C,3,FALSE)),S1356,VLOOKUP(S1356,'unique org names'!A:C,3,FALSE))
</f>
        <v>SOUTHEASTERN MICHIGAN HEALTH ASSOCIATION</v>
      </c>
      <c r="U1356" s="1" t="s">
        <v>210</v>
      </c>
      <c r="V1356" s="1" t="s">
        <v>211</v>
      </c>
      <c r="W1356" s="1" t="s">
        <v>44</v>
      </c>
      <c r="X1356" s="1" t="s">
        <v>45</v>
      </c>
      <c r="Y1356" s="1">
        <v>4.82023068E8</v>
      </c>
      <c r="AA1356" s="1" t="s">
        <v>46</v>
      </c>
      <c r="AB1356" s="1" t="s">
        <v>45</v>
      </c>
      <c r="AC1356" s="1">
        <v>4.82023068E8</v>
      </c>
      <c r="AD1356" s="1">
        <v>3.8775243E7</v>
      </c>
      <c r="AE1356" s="1" t="s">
        <v>209</v>
      </c>
      <c r="AF1356" s="1">
        <v>0.0</v>
      </c>
      <c r="AG1356" s="2">
        <v>41183.0</v>
      </c>
      <c r="AH1356" s="1">
        <v>7500.0</v>
      </c>
      <c r="AI1356" s="1" t="s">
        <v>40</v>
      </c>
      <c r="AJ1356" s="1">
        <v>2.0131247E7</v>
      </c>
      <c r="AK1356" s="1" t="s">
        <v>2655</v>
      </c>
      <c r="AL1356" s="1">
        <v>10.0</v>
      </c>
      <c r="AM1356" s="1">
        <v>2011.0</v>
      </c>
      <c r="AN1356" s="1">
        <v>2013.0</v>
      </c>
      <c r="AO1356" s="1" t="s">
        <v>162</v>
      </c>
    </row>
    <row r="1357">
      <c r="A1357" s="5">
        <v>1.0</v>
      </c>
      <c r="B1357" s="1">
        <f t="shared" si="1"/>
        <v>1357</v>
      </c>
      <c r="C1357" s="1" t="s">
        <v>2789</v>
      </c>
      <c r="D1357" s="1" t="s">
        <v>2789</v>
      </c>
      <c r="E1357" s="1" t="s">
        <v>207</v>
      </c>
      <c r="G1357" s="1">
        <v>2.11124045E9</v>
      </c>
      <c r="H1357" s="2">
        <v>41183.0</v>
      </c>
      <c r="I1357" s="1" t="s">
        <v>2790</v>
      </c>
      <c r="K1357" s="1" t="s">
        <v>2790</v>
      </c>
      <c r="N1357" s="1" t="s">
        <v>40</v>
      </c>
      <c r="O1357" s="1">
        <v>7500.0</v>
      </c>
      <c r="P1357" s="1" t="s">
        <v>40</v>
      </c>
      <c r="Q1357" s="1" t="str">
        <f>IF(ISERROR(VLOOKUP(P1357,'unique fed agency names'!A:C,3,FALSE)),P1357,VLOOKUP(P1357,'unique fed agency names'!A:C,3,FALSE))
</f>
        <v>U.S. Department of Health and Human Services (DHHS)</v>
      </c>
      <c r="R1357" s="1">
        <v>4.6842605E7</v>
      </c>
      <c r="S1357" s="1" t="s">
        <v>165</v>
      </c>
      <c r="T1357" s="1" t="str">
        <f>IF(ISERROR(VLOOKUP(S1357,'unique org names'!A:C,3,FALSE)),S1357,VLOOKUP(S1357,'unique org names'!A:C,3,FALSE))
</f>
        <v>DETROIT AREA AGENCY ON AGING</v>
      </c>
      <c r="U1357" s="1" t="s">
        <v>166</v>
      </c>
      <c r="V1357" s="1" t="s">
        <v>167</v>
      </c>
      <c r="W1357" s="1" t="s">
        <v>44</v>
      </c>
      <c r="X1357" s="1" t="s">
        <v>45</v>
      </c>
      <c r="Y1357" s="1">
        <v>4.82074544E8</v>
      </c>
      <c r="AA1357" s="1" t="s">
        <v>46</v>
      </c>
      <c r="AB1357" s="1" t="s">
        <v>45</v>
      </c>
      <c r="AC1357" s="1">
        <v>4.82074544E8</v>
      </c>
      <c r="AD1357" s="1">
        <v>7.3134603E7</v>
      </c>
      <c r="AE1357" s="1" t="s">
        <v>41</v>
      </c>
      <c r="AF1357" s="1">
        <v>3575679.92</v>
      </c>
      <c r="AG1357" s="2">
        <v>41183.0</v>
      </c>
      <c r="AH1357" s="1">
        <v>7500.0</v>
      </c>
      <c r="AI1357" s="1" t="s">
        <v>40</v>
      </c>
      <c r="AJ1357" s="1">
        <v>2.0130477E7</v>
      </c>
      <c r="AK1357" s="1" t="s">
        <v>2771</v>
      </c>
      <c r="AL1357" s="1">
        <v>10.0</v>
      </c>
      <c r="AM1357" s="1">
        <v>2012.0</v>
      </c>
      <c r="AN1357" s="1">
        <v>2013.0</v>
      </c>
      <c r="AO1357" s="1" t="s">
        <v>213</v>
      </c>
    </row>
    <row r="1358">
      <c r="A1358" s="5">
        <v>1.0</v>
      </c>
      <c r="B1358" s="1">
        <f t="shared" si="1"/>
        <v>1358</v>
      </c>
      <c r="C1358" s="1" t="s">
        <v>2789</v>
      </c>
      <c r="D1358" s="1" t="s">
        <v>2789</v>
      </c>
      <c r="E1358" s="1" t="s">
        <v>207</v>
      </c>
      <c r="G1358" s="1">
        <v>2.11124045E9</v>
      </c>
      <c r="H1358" s="2">
        <v>41183.0</v>
      </c>
      <c r="I1358" s="1" t="s">
        <v>2790</v>
      </c>
      <c r="K1358" s="1" t="s">
        <v>2790</v>
      </c>
      <c r="N1358" s="1" t="s">
        <v>40</v>
      </c>
      <c r="O1358" s="1">
        <v>7500.0</v>
      </c>
      <c r="P1358" s="1" t="s">
        <v>40</v>
      </c>
      <c r="Q1358" s="1" t="str">
        <f>IF(ISERROR(VLOOKUP(P1358,'unique fed agency names'!A:C,3,FALSE)),P1358,VLOOKUP(P1358,'unique fed agency names'!A:C,3,FALSE))
</f>
        <v>U.S. Department of Health and Human Services (DHHS)</v>
      </c>
      <c r="R1358" s="1">
        <v>7.92267549E8</v>
      </c>
      <c r="S1358" s="1" t="s">
        <v>41</v>
      </c>
      <c r="T1358" s="1" t="str">
        <f>IF(ISERROR(VLOOKUP(S1358,'unique org names'!A:C,3,FALSE)),S1358,VLOOKUP(S1358,'unique org names'!A:C,3,FALSE))
</f>
        <v>Henry Ford Health System</v>
      </c>
      <c r="U1358" s="1" t="s">
        <v>2769</v>
      </c>
      <c r="V1358" s="1" t="s">
        <v>2770</v>
      </c>
      <c r="W1358" s="1" t="s">
        <v>44</v>
      </c>
      <c r="X1358" s="1" t="s">
        <v>45</v>
      </c>
      <c r="Y1358" s="1">
        <v>4.82353296E8</v>
      </c>
      <c r="AA1358" s="1" t="s">
        <v>46</v>
      </c>
      <c r="AB1358" s="1" t="s">
        <v>45</v>
      </c>
      <c r="AC1358" s="1">
        <v>4.82353456E8</v>
      </c>
      <c r="AD1358" s="1">
        <v>7.3134603E7</v>
      </c>
      <c r="AE1358" s="1" t="s">
        <v>41</v>
      </c>
      <c r="AF1358" s="1">
        <v>1493775.0</v>
      </c>
      <c r="AG1358" s="2">
        <v>41183.0</v>
      </c>
      <c r="AH1358" s="1">
        <v>7500.0</v>
      </c>
      <c r="AI1358" s="1" t="s">
        <v>40</v>
      </c>
      <c r="AJ1358" s="1">
        <v>2.0130336E7</v>
      </c>
      <c r="AK1358" s="1" t="s">
        <v>2771</v>
      </c>
      <c r="AL1358" s="1">
        <v>10.0</v>
      </c>
      <c r="AM1358" s="1">
        <v>2012.0</v>
      </c>
      <c r="AN1358" s="1">
        <v>2013.0</v>
      </c>
      <c r="AO1358" s="1" t="s">
        <v>213</v>
      </c>
    </row>
    <row r="1359">
      <c r="A1359" s="5">
        <v>1.0</v>
      </c>
      <c r="B1359" s="1">
        <f t="shared" si="1"/>
        <v>1359</v>
      </c>
      <c r="C1359" s="1" t="s">
        <v>2789</v>
      </c>
      <c r="D1359" s="1" t="s">
        <v>2789</v>
      </c>
      <c r="E1359" s="1" t="s">
        <v>207</v>
      </c>
      <c r="G1359" s="1">
        <v>2.11124045E9</v>
      </c>
      <c r="H1359" s="2">
        <v>41183.0</v>
      </c>
      <c r="I1359" s="1" t="s">
        <v>2790</v>
      </c>
      <c r="K1359" s="1" t="s">
        <v>2790</v>
      </c>
      <c r="N1359" s="1" t="s">
        <v>40</v>
      </c>
      <c r="O1359" s="1">
        <v>7500.0</v>
      </c>
      <c r="P1359" s="1" t="s">
        <v>40</v>
      </c>
      <c r="Q1359" s="1" t="str">
        <f>IF(ISERROR(VLOOKUP(P1359,'unique fed agency names'!A:C,3,FALSE)),P1359,VLOOKUP(P1359,'unique fed agency names'!A:C,3,FALSE))
</f>
        <v>U.S. Department of Health and Human Services (DHHS)</v>
      </c>
      <c r="R1359" s="1">
        <v>3.8775243E7</v>
      </c>
      <c r="S1359" s="1" t="s">
        <v>209</v>
      </c>
      <c r="T1359" s="1" t="str">
        <f>IF(ISERROR(VLOOKUP(S1359,'unique org names'!A:C,3,FALSE)),S1359,VLOOKUP(S1359,'unique org names'!A:C,3,FALSE))
</f>
        <v>SOUTHEASTERN MICHIGAN HEALTH ASSOCIATION</v>
      </c>
      <c r="U1359" s="1" t="s">
        <v>210</v>
      </c>
      <c r="V1359" s="1" t="s">
        <v>211</v>
      </c>
      <c r="W1359" s="1" t="s">
        <v>44</v>
      </c>
      <c r="X1359" s="1" t="s">
        <v>45</v>
      </c>
      <c r="Y1359" s="1">
        <v>4.82023068E8</v>
      </c>
      <c r="AA1359" s="1" t="s">
        <v>46</v>
      </c>
      <c r="AB1359" s="1" t="s">
        <v>45</v>
      </c>
      <c r="AC1359" s="1">
        <v>4.82023068E8</v>
      </c>
      <c r="AD1359" s="1">
        <v>3.8775243E7</v>
      </c>
      <c r="AE1359" s="1" t="s">
        <v>209</v>
      </c>
      <c r="AF1359" s="1">
        <v>3749.99</v>
      </c>
      <c r="AG1359" s="2">
        <v>41183.0</v>
      </c>
      <c r="AH1359" s="1">
        <v>7500.0</v>
      </c>
      <c r="AI1359" s="1" t="s">
        <v>40</v>
      </c>
      <c r="AJ1359" s="1">
        <v>2.0133941E7</v>
      </c>
      <c r="AK1359" s="1" t="s">
        <v>212</v>
      </c>
      <c r="AL1359" s="1">
        <v>10.0</v>
      </c>
      <c r="AM1359" s="1">
        <v>2012.0</v>
      </c>
      <c r="AN1359" s="1">
        <v>2013.0</v>
      </c>
      <c r="AO1359" s="1" t="s">
        <v>213</v>
      </c>
    </row>
    <row r="1360">
      <c r="A1360" s="5">
        <v>1.0</v>
      </c>
      <c r="B1360" s="1">
        <f t="shared" si="1"/>
        <v>1360</v>
      </c>
      <c r="C1360" s="1" t="s">
        <v>2813</v>
      </c>
      <c r="D1360" s="1" t="s">
        <v>2813</v>
      </c>
      <c r="E1360" s="1" t="s">
        <v>38</v>
      </c>
      <c r="G1360" s="1">
        <v>1.3548137E7</v>
      </c>
      <c r="H1360" s="2">
        <v>41914.0</v>
      </c>
      <c r="I1360" s="1" t="s">
        <v>2814</v>
      </c>
      <c r="K1360" s="1" t="s">
        <v>2814</v>
      </c>
      <c r="N1360" s="1" t="s">
        <v>40</v>
      </c>
      <c r="O1360" s="1">
        <v>7500.0</v>
      </c>
      <c r="P1360" s="1" t="s">
        <v>40</v>
      </c>
      <c r="Q1360" s="1" t="str">
        <f>IF(ISERROR(VLOOKUP(P1360,'unique fed agency names'!A:C,3,FALSE)),P1360,VLOOKUP(P1360,'unique fed agency names'!A:C,3,FALSE))
</f>
        <v>U.S. Department of Health and Human Services (DHHS)</v>
      </c>
      <c r="R1360" s="1">
        <v>7.3134603E7</v>
      </c>
      <c r="S1360" s="1" t="s">
        <v>41</v>
      </c>
      <c r="T1360" s="1" t="str">
        <f>IF(ISERROR(VLOOKUP(S1360,'unique org names'!A:C,3,FALSE)),S1360,VLOOKUP(S1360,'unique org names'!A:C,3,FALSE))
</f>
        <v>Henry Ford Health System</v>
      </c>
      <c r="U1360" s="1" t="s">
        <v>252</v>
      </c>
      <c r="V1360" s="1" t="s">
        <v>253</v>
      </c>
      <c r="W1360" s="1" t="s">
        <v>44</v>
      </c>
      <c r="X1360" s="1" t="s">
        <v>45</v>
      </c>
      <c r="Y1360" s="1">
        <v>4.8202345E8</v>
      </c>
      <c r="AA1360" s="1" t="s">
        <v>46</v>
      </c>
      <c r="AB1360" s="1" t="s">
        <v>45</v>
      </c>
      <c r="AC1360" s="1">
        <v>4.82022689E8</v>
      </c>
      <c r="AD1360" s="1">
        <v>7.3134603E7</v>
      </c>
      <c r="AE1360" s="1" t="s">
        <v>41</v>
      </c>
      <c r="AF1360" s="1">
        <v>87063.0</v>
      </c>
      <c r="AG1360" s="2">
        <v>41914.0</v>
      </c>
      <c r="AH1360" s="1">
        <v>7500.0</v>
      </c>
      <c r="AI1360" s="1" t="s">
        <v>40</v>
      </c>
      <c r="AJ1360" s="1" t="s">
        <v>2815</v>
      </c>
      <c r="AK1360" s="1" t="s">
        <v>2816</v>
      </c>
      <c r="AL1360" s="1">
        <v>10.0</v>
      </c>
      <c r="AM1360" s="1">
        <v>2014.0</v>
      </c>
      <c r="AN1360" s="1">
        <v>2015.0</v>
      </c>
      <c r="AO1360" s="1" t="s">
        <v>415</v>
      </c>
    </row>
    <row r="1361">
      <c r="A1361" s="5">
        <v>1.0</v>
      </c>
      <c r="B1361" s="1">
        <f t="shared" si="1"/>
        <v>1361</v>
      </c>
      <c r="C1361" s="1" t="s">
        <v>206</v>
      </c>
      <c r="D1361" s="1" t="s">
        <v>206</v>
      </c>
      <c r="E1361" s="1" t="s">
        <v>207</v>
      </c>
      <c r="G1361" s="1">
        <v>2.02101094E9</v>
      </c>
      <c r="H1361" s="2">
        <v>41183.0</v>
      </c>
      <c r="I1361" s="1" t="s">
        <v>208</v>
      </c>
      <c r="K1361" s="1" t="s">
        <v>208</v>
      </c>
      <c r="N1361" s="1" t="s">
        <v>40</v>
      </c>
      <c r="O1361" s="1">
        <v>7500.0</v>
      </c>
      <c r="P1361" s="1" t="s">
        <v>40</v>
      </c>
      <c r="Q1361" s="1" t="str">
        <f>IF(ISERROR(VLOOKUP(P1361,'unique fed agency names'!A:C,3,FALSE)),P1361,VLOOKUP(P1361,'unique fed agency names'!A:C,3,FALSE))
</f>
        <v>U.S. Department of Health and Human Services (DHHS)</v>
      </c>
      <c r="R1361" s="1">
        <v>3.8775243E7</v>
      </c>
      <c r="S1361" s="1" t="s">
        <v>209</v>
      </c>
      <c r="T1361" s="1" t="str">
        <f>IF(ISERROR(VLOOKUP(S1361,'unique org names'!A:C,3,FALSE)),S1361,VLOOKUP(S1361,'unique org names'!A:C,3,FALSE))
</f>
        <v>SOUTHEASTERN MICHIGAN HEALTH ASSOCIATION</v>
      </c>
      <c r="U1361" s="1" t="s">
        <v>210</v>
      </c>
      <c r="V1361" s="1" t="s">
        <v>211</v>
      </c>
      <c r="W1361" s="1" t="s">
        <v>44</v>
      </c>
      <c r="X1361" s="1" t="s">
        <v>45</v>
      </c>
      <c r="Y1361" s="1">
        <v>4.82023068E8</v>
      </c>
      <c r="AA1361" s="1" t="s">
        <v>46</v>
      </c>
      <c r="AB1361" s="1" t="s">
        <v>45</v>
      </c>
      <c r="AC1361" s="1">
        <v>4.82023068E8</v>
      </c>
      <c r="AD1361" s="1">
        <v>3.8775243E7</v>
      </c>
      <c r="AE1361" s="1" t="s">
        <v>209</v>
      </c>
      <c r="AF1361" s="1">
        <v>12603.25</v>
      </c>
      <c r="AG1361" s="2">
        <v>41183.0</v>
      </c>
      <c r="AH1361" s="1">
        <v>7500.0</v>
      </c>
      <c r="AI1361" s="1" t="s">
        <v>40</v>
      </c>
      <c r="AJ1361" s="1">
        <v>2.0131081E7</v>
      </c>
      <c r="AK1361" s="1" t="s">
        <v>212</v>
      </c>
      <c r="AL1361" s="1">
        <v>10.0</v>
      </c>
      <c r="AM1361" s="1">
        <v>2012.0</v>
      </c>
      <c r="AN1361" s="1">
        <v>2013.0</v>
      </c>
      <c r="AO1361" s="1" t="s">
        <v>213</v>
      </c>
    </row>
    <row r="1362">
      <c r="A1362" s="5">
        <v>1.0</v>
      </c>
      <c r="B1362" s="1">
        <f t="shared" si="1"/>
        <v>1362</v>
      </c>
      <c r="C1362" s="1" t="s">
        <v>206</v>
      </c>
      <c r="D1362" s="1" t="s">
        <v>206</v>
      </c>
      <c r="E1362" s="1" t="s">
        <v>207</v>
      </c>
      <c r="G1362" s="1">
        <v>2.02101094E9</v>
      </c>
      <c r="H1362" s="2">
        <v>41183.0</v>
      </c>
      <c r="I1362" s="1" t="s">
        <v>208</v>
      </c>
      <c r="K1362" s="1" t="s">
        <v>208</v>
      </c>
      <c r="N1362" s="1" t="s">
        <v>40</v>
      </c>
      <c r="O1362" s="1">
        <v>7500.0</v>
      </c>
      <c r="P1362" s="1" t="s">
        <v>40</v>
      </c>
      <c r="Q1362" s="1" t="str">
        <f>IF(ISERROR(VLOOKUP(P1362,'unique fed agency names'!A:C,3,FALSE)),P1362,VLOOKUP(P1362,'unique fed agency names'!A:C,3,FALSE))
</f>
        <v>U.S. Department of Health and Human Services (DHHS)</v>
      </c>
      <c r="R1362" s="1">
        <v>3.8775243E7</v>
      </c>
      <c r="S1362" s="1" t="s">
        <v>209</v>
      </c>
      <c r="T1362" s="1" t="str">
        <f>IF(ISERROR(VLOOKUP(S1362,'unique org names'!A:C,3,FALSE)),S1362,VLOOKUP(S1362,'unique org names'!A:C,3,FALSE))
</f>
        <v>SOUTHEASTERN MICHIGAN HEALTH ASSOCIATION</v>
      </c>
      <c r="U1362" s="1" t="s">
        <v>210</v>
      </c>
      <c r="V1362" s="1" t="s">
        <v>211</v>
      </c>
      <c r="W1362" s="1" t="s">
        <v>44</v>
      </c>
      <c r="X1362" s="1" t="s">
        <v>45</v>
      </c>
      <c r="Y1362" s="1">
        <v>4.82023068E8</v>
      </c>
      <c r="AA1362" s="1" t="s">
        <v>46</v>
      </c>
      <c r="AB1362" s="1" t="s">
        <v>45</v>
      </c>
      <c r="AC1362" s="1">
        <v>4.82023068E8</v>
      </c>
      <c r="AD1362" s="1">
        <v>3.8775243E7</v>
      </c>
      <c r="AE1362" s="1" t="s">
        <v>209</v>
      </c>
      <c r="AF1362" s="1">
        <v>2145.97</v>
      </c>
      <c r="AG1362" s="2">
        <v>41183.0</v>
      </c>
      <c r="AH1362" s="1">
        <v>7500.0</v>
      </c>
      <c r="AI1362" s="1" t="s">
        <v>40</v>
      </c>
      <c r="AJ1362" s="1">
        <v>2.0131083E7</v>
      </c>
      <c r="AK1362" s="1" t="s">
        <v>212</v>
      </c>
      <c r="AL1362" s="1">
        <v>10.0</v>
      </c>
      <c r="AM1362" s="1">
        <v>2012.0</v>
      </c>
      <c r="AN1362" s="1">
        <v>2013.0</v>
      </c>
      <c r="AO1362" s="1" t="s">
        <v>213</v>
      </c>
    </row>
    <row r="1363">
      <c r="A1363" s="5">
        <v>1.0</v>
      </c>
      <c r="B1363" s="1">
        <f t="shared" si="1"/>
        <v>1363</v>
      </c>
      <c r="C1363" s="1" t="s">
        <v>206</v>
      </c>
      <c r="D1363" s="1" t="s">
        <v>206</v>
      </c>
      <c r="E1363" s="1" t="s">
        <v>207</v>
      </c>
      <c r="G1363" s="1">
        <v>2.02101094E9</v>
      </c>
      <c r="H1363" s="2">
        <v>41183.0</v>
      </c>
      <c r="I1363" s="1" t="s">
        <v>208</v>
      </c>
      <c r="K1363" s="1" t="s">
        <v>208</v>
      </c>
      <c r="N1363" s="1" t="s">
        <v>40</v>
      </c>
      <c r="O1363" s="1">
        <v>7500.0</v>
      </c>
      <c r="P1363" s="1" t="s">
        <v>40</v>
      </c>
      <c r="Q1363" s="1" t="str">
        <f>IF(ISERROR(VLOOKUP(P1363,'unique fed agency names'!A:C,3,FALSE)),P1363,VLOOKUP(P1363,'unique fed agency names'!A:C,3,FALSE))
</f>
        <v>U.S. Department of Health and Human Services (DHHS)</v>
      </c>
      <c r="R1363" s="1">
        <v>3.8775243E7</v>
      </c>
      <c r="S1363" s="1" t="s">
        <v>209</v>
      </c>
      <c r="T1363" s="1" t="str">
        <f>IF(ISERROR(VLOOKUP(S1363,'unique org names'!A:C,3,FALSE)),S1363,VLOOKUP(S1363,'unique org names'!A:C,3,FALSE))
</f>
        <v>SOUTHEASTERN MICHIGAN HEALTH ASSOCIATION</v>
      </c>
      <c r="U1363" s="1" t="s">
        <v>210</v>
      </c>
      <c r="V1363" s="1" t="s">
        <v>211</v>
      </c>
      <c r="W1363" s="1" t="s">
        <v>44</v>
      </c>
      <c r="X1363" s="1" t="s">
        <v>45</v>
      </c>
      <c r="Y1363" s="1">
        <v>4.82023068E8</v>
      </c>
      <c r="AA1363" s="1" t="s">
        <v>46</v>
      </c>
      <c r="AB1363" s="1" t="s">
        <v>45</v>
      </c>
      <c r="AC1363" s="1">
        <v>4.82023068E8</v>
      </c>
      <c r="AD1363" s="1">
        <v>3.8775243E7</v>
      </c>
      <c r="AE1363" s="1" t="s">
        <v>209</v>
      </c>
      <c r="AF1363" s="1">
        <v>731.25</v>
      </c>
      <c r="AG1363" s="2">
        <v>41183.0</v>
      </c>
      <c r="AH1363" s="1">
        <v>7500.0</v>
      </c>
      <c r="AI1363" s="1" t="s">
        <v>40</v>
      </c>
      <c r="AJ1363" s="1">
        <v>2.0131087E7</v>
      </c>
      <c r="AK1363" s="1" t="s">
        <v>212</v>
      </c>
      <c r="AL1363" s="1">
        <v>10.0</v>
      </c>
      <c r="AM1363" s="1">
        <v>2012.0</v>
      </c>
      <c r="AN1363" s="1">
        <v>2013.0</v>
      </c>
      <c r="AO1363" s="1" t="s">
        <v>213</v>
      </c>
    </row>
    <row r="1364">
      <c r="A1364" s="5">
        <v>1.0</v>
      </c>
      <c r="B1364" s="1">
        <f t="shared" si="1"/>
        <v>1364</v>
      </c>
      <c r="C1364" s="1" t="s">
        <v>206</v>
      </c>
      <c r="D1364" s="1" t="s">
        <v>206</v>
      </c>
      <c r="E1364" s="1" t="s">
        <v>207</v>
      </c>
      <c r="G1364" s="1">
        <v>2.02101094E9</v>
      </c>
      <c r="H1364" s="2">
        <v>41183.0</v>
      </c>
      <c r="I1364" s="1" t="s">
        <v>208</v>
      </c>
      <c r="K1364" s="1" t="s">
        <v>208</v>
      </c>
      <c r="N1364" s="1" t="s">
        <v>40</v>
      </c>
      <c r="O1364" s="1">
        <v>7500.0</v>
      </c>
      <c r="P1364" s="1" t="s">
        <v>40</v>
      </c>
      <c r="Q1364" s="1" t="str">
        <f>IF(ISERROR(VLOOKUP(P1364,'unique fed agency names'!A:C,3,FALSE)),P1364,VLOOKUP(P1364,'unique fed agency names'!A:C,3,FALSE))
</f>
        <v>U.S. Department of Health and Human Services (DHHS)</v>
      </c>
      <c r="R1364" s="1">
        <v>3.8775243E7</v>
      </c>
      <c r="S1364" s="1" t="s">
        <v>209</v>
      </c>
      <c r="T1364" s="1" t="str">
        <f>IF(ISERROR(VLOOKUP(S1364,'unique org names'!A:C,3,FALSE)),S1364,VLOOKUP(S1364,'unique org names'!A:C,3,FALSE))
</f>
        <v>SOUTHEASTERN MICHIGAN HEALTH ASSOCIATION</v>
      </c>
      <c r="U1364" s="1" t="s">
        <v>210</v>
      </c>
      <c r="V1364" s="1" t="s">
        <v>211</v>
      </c>
      <c r="W1364" s="1" t="s">
        <v>44</v>
      </c>
      <c r="X1364" s="1" t="s">
        <v>45</v>
      </c>
      <c r="Y1364" s="1">
        <v>4.82023068E8</v>
      </c>
      <c r="AA1364" s="1" t="s">
        <v>46</v>
      </c>
      <c r="AB1364" s="1" t="s">
        <v>45</v>
      </c>
      <c r="AC1364" s="1">
        <v>4.82023068E8</v>
      </c>
      <c r="AD1364" s="1">
        <v>3.8775243E7</v>
      </c>
      <c r="AE1364" s="1" t="s">
        <v>209</v>
      </c>
      <c r="AF1364" s="1">
        <v>22521.0</v>
      </c>
      <c r="AG1364" s="2">
        <v>41183.0</v>
      </c>
      <c r="AH1364" s="1">
        <v>7500.0</v>
      </c>
      <c r="AI1364" s="1" t="s">
        <v>40</v>
      </c>
      <c r="AJ1364" s="1">
        <v>2.0131085E7</v>
      </c>
      <c r="AK1364" s="1" t="s">
        <v>212</v>
      </c>
      <c r="AL1364" s="1">
        <v>10.0</v>
      </c>
      <c r="AM1364" s="1">
        <v>2012.0</v>
      </c>
      <c r="AN1364" s="1">
        <v>2013.0</v>
      </c>
      <c r="AO1364" s="1" t="s">
        <v>213</v>
      </c>
    </row>
    <row r="1365">
      <c r="A1365" s="5">
        <v>1.0</v>
      </c>
      <c r="B1365" s="1">
        <f t="shared" si="1"/>
        <v>1365</v>
      </c>
      <c r="C1365" s="1" t="s">
        <v>2767</v>
      </c>
      <c r="D1365" s="1" t="s">
        <v>2767</v>
      </c>
      <c r="E1365" s="1" t="s">
        <v>207</v>
      </c>
      <c r="G1365" s="1">
        <v>2.23540403E9</v>
      </c>
      <c r="H1365" s="2">
        <v>41183.0</v>
      </c>
      <c r="I1365" s="1" t="s">
        <v>2768</v>
      </c>
      <c r="K1365" s="1" t="s">
        <v>2768</v>
      </c>
      <c r="N1365" s="1" t="s">
        <v>40</v>
      </c>
      <c r="O1365" s="1">
        <v>7500.0</v>
      </c>
      <c r="P1365" s="1" t="s">
        <v>40</v>
      </c>
      <c r="Q1365" s="1" t="str">
        <f>IF(ISERROR(VLOOKUP(P1365,'unique fed agency names'!A:C,3,FALSE)),P1365,VLOOKUP(P1365,'unique fed agency names'!A:C,3,FALSE))
</f>
        <v>U.S. Department of Health and Human Services (DHHS)</v>
      </c>
      <c r="R1365" s="1">
        <v>3.8775243E7</v>
      </c>
      <c r="S1365" s="1" t="s">
        <v>209</v>
      </c>
      <c r="T1365" s="1" t="str">
        <f>IF(ISERROR(VLOOKUP(S1365,'unique org names'!A:C,3,FALSE)),S1365,VLOOKUP(S1365,'unique org names'!A:C,3,FALSE))
</f>
        <v>SOUTHEASTERN MICHIGAN HEALTH ASSOCIATION</v>
      </c>
      <c r="U1365" s="1" t="s">
        <v>210</v>
      </c>
      <c r="V1365" s="1" t="s">
        <v>211</v>
      </c>
      <c r="W1365" s="1" t="s">
        <v>44</v>
      </c>
      <c r="X1365" s="1" t="s">
        <v>45</v>
      </c>
      <c r="Y1365" s="1">
        <v>4.82023068E8</v>
      </c>
      <c r="AA1365" s="1" t="s">
        <v>46</v>
      </c>
      <c r="AB1365" s="1" t="s">
        <v>45</v>
      </c>
      <c r="AC1365" s="1">
        <v>4.82023068E8</v>
      </c>
      <c r="AD1365" s="1">
        <v>3.8775243E7</v>
      </c>
      <c r="AE1365" s="1" t="s">
        <v>209</v>
      </c>
      <c r="AF1365" s="1">
        <v>11056.5</v>
      </c>
      <c r="AG1365" s="2">
        <v>41183.0</v>
      </c>
      <c r="AH1365" s="1">
        <v>7500.0</v>
      </c>
      <c r="AI1365" s="1" t="s">
        <v>40</v>
      </c>
      <c r="AJ1365" s="1">
        <v>2.0131257E7</v>
      </c>
      <c r="AK1365" s="1" t="s">
        <v>212</v>
      </c>
      <c r="AL1365" s="1">
        <v>10.0</v>
      </c>
      <c r="AM1365" s="1">
        <v>2012.0</v>
      </c>
      <c r="AN1365" s="1">
        <v>2013.0</v>
      </c>
      <c r="AO1365" s="1" t="s">
        <v>213</v>
      </c>
    </row>
    <row r="1366">
      <c r="A1366" s="5">
        <v>1.0</v>
      </c>
      <c r="B1366" s="1">
        <f t="shared" si="1"/>
        <v>1366</v>
      </c>
      <c r="C1366" s="1" t="s">
        <v>2767</v>
      </c>
      <c r="D1366" s="1" t="s">
        <v>2767</v>
      </c>
      <c r="E1366" s="1" t="s">
        <v>207</v>
      </c>
      <c r="G1366" s="1">
        <v>2.23540403E9</v>
      </c>
      <c r="H1366" s="2">
        <v>41183.0</v>
      </c>
      <c r="I1366" s="1" t="s">
        <v>2768</v>
      </c>
      <c r="K1366" s="1" t="s">
        <v>2768</v>
      </c>
      <c r="N1366" s="1" t="s">
        <v>40</v>
      </c>
      <c r="O1366" s="1">
        <v>7500.0</v>
      </c>
      <c r="P1366" s="1" t="s">
        <v>40</v>
      </c>
      <c r="Q1366" s="1" t="str">
        <f>IF(ISERROR(VLOOKUP(P1366,'unique fed agency names'!A:C,3,FALSE)),P1366,VLOOKUP(P1366,'unique fed agency names'!A:C,3,FALSE))
</f>
        <v>U.S. Department of Health and Human Services (DHHS)</v>
      </c>
      <c r="R1366" s="1">
        <v>3.8775243E7</v>
      </c>
      <c r="S1366" s="1" t="s">
        <v>209</v>
      </c>
      <c r="T1366" s="1" t="str">
        <f>IF(ISERROR(VLOOKUP(S1366,'unique org names'!A:C,3,FALSE)),S1366,VLOOKUP(S1366,'unique org names'!A:C,3,FALSE))
</f>
        <v>SOUTHEASTERN MICHIGAN HEALTH ASSOCIATION</v>
      </c>
      <c r="U1366" s="1" t="s">
        <v>210</v>
      </c>
      <c r="V1366" s="1" t="s">
        <v>211</v>
      </c>
      <c r="W1366" s="1" t="s">
        <v>44</v>
      </c>
      <c r="X1366" s="1" t="s">
        <v>45</v>
      </c>
      <c r="Y1366" s="1">
        <v>4.82023068E8</v>
      </c>
      <c r="AA1366" s="1" t="s">
        <v>46</v>
      </c>
      <c r="AB1366" s="1" t="s">
        <v>45</v>
      </c>
      <c r="AC1366" s="1">
        <v>4.82023068E8</v>
      </c>
      <c r="AD1366" s="1">
        <v>3.8775243E7</v>
      </c>
      <c r="AE1366" s="1" t="s">
        <v>209</v>
      </c>
      <c r="AF1366" s="1">
        <v>26013.75</v>
      </c>
      <c r="AG1366" s="2">
        <v>41183.0</v>
      </c>
      <c r="AH1366" s="1">
        <v>7500.0</v>
      </c>
      <c r="AI1366" s="1" t="s">
        <v>40</v>
      </c>
      <c r="AJ1366" s="1">
        <v>2.0131095E7</v>
      </c>
      <c r="AK1366" s="1" t="s">
        <v>212</v>
      </c>
      <c r="AL1366" s="1">
        <v>10.0</v>
      </c>
      <c r="AM1366" s="1">
        <v>2012.0</v>
      </c>
      <c r="AN1366" s="1">
        <v>2013.0</v>
      </c>
      <c r="AO1366" s="1" t="s">
        <v>213</v>
      </c>
    </row>
    <row r="1367">
      <c r="A1367" s="5">
        <v>1.0</v>
      </c>
      <c r="B1367" s="1">
        <f t="shared" si="1"/>
        <v>1367</v>
      </c>
      <c r="C1367" s="1" t="s">
        <v>2767</v>
      </c>
      <c r="D1367" s="1" t="s">
        <v>2767</v>
      </c>
      <c r="E1367" s="1" t="s">
        <v>207</v>
      </c>
      <c r="G1367" s="1">
        <v>2.23540403E9</v>
      </c>
      <c r="H1367" s="2">
        <v>41183.0</v>
      </c>
      <c r="I1367" s="1" t="s">
        <v>2768</v>
      </c>
      <c r="K1367" s="1" t="s">
        <v>2768</v>
      </c>
      <c r="N1367" s="1" t="s">
        <v>40</v>
      </c>
      <c r="O1367" s="1">
        <v>7500.0</v>
      </c>
      <c r="P1367" s="1" t="s">
        <v>40</v>
      </c>
      <c r="Q1367" s="1" t="str">
        <f>IF(ISERROR(VLOOKUP(P1367,'unique fed agency names'!A:C,3,FALSE)),P1367,VLOOKUP(P1367,'unique fed agency names'!A:C,3,FALSE))
</f>
        <v>U.S. Department of Health and Human Services (DHHS)</v>
      </c>
      <c r="R1367" s="1">
        <v>3.8775243E7</v>
      </c>
      <c r="S1367" s="1" t="s">
        <v>209</v>
      </c>
      <c r="T1367" s="1" t="str">
        <f>IF(ISERROR(VLOOKUP(S1367,'unique org names'!A:C,3,FALSE)),S1367,VLOOKUP(S1367,'unique org names'!A:C,3,FALSE))
</f>
        <v>SOUTHEASTERN MICHIGAN HEALTH ASSOCIATION</v>
      </c>
      <c r="U1367" s="1" t="s">
        <v>210</v>
      </c>
      <c r="V1367" s="1" t="s">
        <v>211</v>
      </c>
      <c r="W1367" s="1" t="s">
        <v>44</v>
      </c>
      <c r="X1367" s="1" t="s">
        <v>45</v>
      </c>
      <c r="Y1367" s="1">
        <v>4.82023068E8</v>
      </c>
      <c r="AA1367" s="1" t="s">
        <v>46</v>
      </c>
      <c r="AB1367" s="1" t="s">
        <v>45</v>
      </c>
      <c r="AC1367" s="1">
        <v>4.82023068E8</v>
      </c>
      <c r="AD1367" s="1">
        <v>3.8775243E7</v>
      </c>
      <c r="AE1367" s="1" t="s">
        <v>209</v>
      </c>
      <c r="AF1367" s="1">
        <v>13067.38</v>
      </c>
      <c r="AG1367" s="2">
        <v>41183.0</v>
      </c>
      <c r="AH1367" s="1">
        <v>7500.0</v>
      </c>
      <c r="AI1367" s="1" t="s">
        <v>40</v>
      </c>
      <c r="AJ1367" s="1">
        <v>2.013108E7</v>
      </c>
      <c r="AK1367" s="1" t="s">
        <v>212</v>
      </c>
      <c r="AL1367" s="1">
        <v>10.0</v>
      </c>
      <c r="AM1367" s="1">
        <v>2012.0</v>
      </c>
      <c r="AN1367" s="1">
        <v>2013.0</v>
      </c>
      <c r="AO1367" s="1" t="s">
        <v>213</v>
      </c>
    </row>
    <row r="1368">
      <c r="A1368" s="5">
        <v>1.0</v>
      </c>
      <c r="B1368" s="1">
        <f t="shared" si="1"/>
        <v>1368</v>
      </c>
      <c r="C1368" s="1" t="s">
        <v>2767</v>
      </c>
      <c r="D1368" s="1" t="s">
        <v>2767</v>
      </c>
      <c r="E1368" s="1" t="s">
        <v>207</v>
      </c>
      <c r="G1368" s="1">
        <v>2.23540403E9</v>
      </c>
      <c r="H1368" s="2">
        <v>41183.0</v>
      </c>
      <c r="I1368" s="1" t="s">
        <v>2768</v>
      </c>
      <c r="K1368" s="1" t="s">
        <v>2768</v>
      </c>
      <c r="N1368" s="1" t="s">
        <v>40</v>
      </c>
      <c r="O1368" s="1">
        <v>7500.0</v>
      </c>
      <c r="P1368" s="1" t="s">
        <v>40</v>
      </c>
      <c r="Q1368" s="1" t="str">
        <f>IF(ISERROR(VLOOKUP(P1368,'unique fed agency names'!A:C,3,FALSE)),P1368,VLOOKUP(P1368,'unique fed agency names'!A:C,3,FALSE))
</f>
        <v>U.S. Department of Health and Human Services (DHHS)</v>
      </c>
      <c r="R1368" s="1">
        <v>7.3134884E7</v>
      </c>
      <c r="S1368" s="1" t="s">
        <v>259</v>
      </c>
      <c r="T1368" s="1" t="str">
        <f>IF(ISERROR(VLOOKUP(S1368,'unique org names'!A:C,3,FALSE)),S1368,VLOOKUP(S1368,'unique org names'!A:C,3,FALSE))
</f>
        <v>Wayne County</v>
      </c>
      <c r="V1368" s="1" t="s">
        <v>286</v>
      </c>
      <c r="W1368" s="1" t="s">
        <v>44</v>
      </c>
      <c r="X1368" s="1" t="s">
        <v>45</v>
      </c>
      <c r="Y1368" s="1">
        <v>4.82262841E8</v>
      </c>
      <c r="AA1368" s="1" t="s">
        <v>46</v>
      </c>
      <c r="AB1368" s="1" t="s">
        <v>45</v>
      </c>
      <c r="AC1368" s="1">
        <v>4.8226348E8</v>
      </c>
      <c r="AD1368" s="1">
        <v>7.3134884E7</v>
      </c>
      <c r="AE1368" s="1" t="s">
        <v>1796</v>
      </c>
      <c r="AF1368" s="1">
        <v>410870.1</v>
      </c>
      <c r="AG1368" s="2">
        <v>41183.0</v>
      </c>
      <c r="AH1368" s="1">
        <v>7500.0</v>
      </c>
      <c r="AI1368" s="1" t="s">
        <v>40</v>
      </c>
      <c r="AJ1368" s="1">
        <v>2.0131302E7</v>
      </c>
      <c r="AK1368" s="1" t="s">
        <v>212</v>
      </c>
      <c r="AL1368" s="1">
        <v>10.0</v>
      </c>
      <c r="AM1368" s="1">
        <v>2012.0</v>
      </c>
      <c r="AN1368" s="1">
        <v>2013.0</v>
      </c>
      <c r="AO1368" s="1" t="s">
        <v>213</v>
      </c>
    </row>
    <row r="1369">
      <c r="A1369" s="5">
        <v>1.0</v>
      </c>
      <c r="B1369" s="1">
        <f t="shared" si="1"/>
        <v>1369</v>
      </c>
      <c r="C1369" s="1" t="s">
        <v>2767</v>
      </c>
      <c r="D1369" s="1" t="s">
        <v>2767</v>
      </c>
      <c r="E1369" s="1" t="s">
        <v>207</v>
      </c>
      <c r="G1369" s="1">
        <v>2.23540403E9</v>
      </c>
      <c r="H1369" s="2">
        <v>41183.0</v>
      </c>
      <c r="I1369" s="1" t="s">
        <v>2768</v>
      </c>
      <c r="K1369" s="1" t="s">
        <v>2768</v>
      </c>
      <c r="N1369" s="1" t="s">
        <v>40</v>
      </c>
      <c r="O1369" s="1">
        <v>7500.0</v>
      </c>
      <c r="P1369" s="1" t="s">
        <v>40</v>
      </c>
      <c r="Q1369" s="1" t="str">
        <f>IF(ISERROR(VLOOKUP(P1369,'unique fed agency names'!A:C,3,FALSE)),P1369,VLOOKUP(P1369,'unique fed agency names'!A:C,3,FALSE))
</f>
        <v>U.S. Department of Health and Human Services (DHHS)</v>
      </c>
      <c r="R1369" s="1">
        <v>7.8583404E7</v>
      </c>
      <c r="S1369" s="1" t="s">
        <v>65</v>
      </c>
      <c r="T1369" s="1" t="str">
        <f>IF(ISERROR(VLOOKUP(S1369,'unique org names'!A:C,3,FALSE)),S1369,VLOOKUP(S1369,'unique org names'!A:C,3,FALSE))
</f>
        <v>Institute for Population Health Inc.</v>
      </c>
      <c r="V1369" s="1" t="s">
        <v>1573</v>
      </c>
      <c r="W1369" s="1" t="s">
        <v>44</v>
      </c>
      <c r="X1369" s="1" t="s">
        <v>45</v>
      </c>
      <c r="Y1369" s="1">
        <v>4.8207311E8</v>
      </c>
      <c r="AA1369" s="1" t="s">
        <v>46</v>
      </c>
      <c r="AB1369" s="1" t="s">
        <v>45</v>
      </c>
      <c r="AC1369" s="1">
        <v>4.82021732E8</v>
      </c>
      <c r="AF1369" s="1">
        <v>100785.0</v>
      </c>
      <c r="AG1369" s="2">
        <v>41183.0</v>
      </c>
      <c r="AH1369" s="1">
        <v>7500.0</v>
      </c>
      <c r="AI1369" s="1" t="s">
        <v>40</v>
      </c>
      <c r="AJ1369" s="1">
        <v>2.01304E7</v>
      </c>
      <c r="AK1369" s="1" t="s">
        <v>212</v>
      </c>
      <c r="AL1369" s="1">
        <v>10.0</v>
      </c>
      <c r="AM1369" s="1">
        <v>2012.0</v>
      </c>
      <c r="AN1369" s="1">
        <v>2013.0</v>
      </c>
      <c r="AO1369" s="1" t="s">
        <v>213</v>
      </c>
    </row>
    <row r="1370">
      <c r="A1370" s="5">
        <v>1.0</v>
      </c>
      <c r="B1370" s="1">
        <f t="shared" si="1"/>
        <v>1370</v>
      </c>
      <c r="C1370" s="1" t="s">
        <v>2772</v>
      </c>
      <c r="D1370" s="1" t="s">
        <v>2772</v>
      </c>
      <c r="E1370" s="1" t="s">
        <v>207</v>
      </c>
      <c r="G1370" s="1">
        <v>2.67163955E9</v>
      </c>
      <c r="H1370" s="2">
        <v>41183.0</v>
      </c>
      <c r="I1370" s="1" t="s">
        <v>2773</v>
      </c>
      <c r="K1370" s="1" t="s">
        <v>2773</v>
      </c>
      <c r="N1370" s="1" t="s">
        <v>40</v>
      </c>
      <c r="O1370" s="1">
        <v>7500.0</v>
      </c>
      <c r="P1370" s="1" t="s">
        <v>40</v>
      </c>
      <c r="Q1370" s="1" t="str">
        <f>IF(ISERROR(VLOOKUP(P1370,'unique fed agency names'!A:C,3,FALSE)),P1370,VLOOKUP(P1370,'unique fed agency names'!A:C,3,FALSE))
</f>
        <v>U.S. Department of Health and Human Services (DHHS)</v>
      </c>
      <c r="R1370" s="1">
        <v>3.8775243E7</v>
      </c>
      <c r="S1370" s="1" t="s">
        <v>209</v>
      </c>
      <c r="T1370" s="1" t="str">
        <f>IF(ISERROR(VLOOKUP(S1370,'unique org names'!A:C,3,FALSE)),S1370,VLOOKUP(S1370,'unique org names'!A:C,3,FALSE))
</f>
        <v>SOUTHEASTERN MICHIGAN HEALTH ASSOCIATION</v>
      </c>
      <c r="U1370" s="1" t="s">
        <v>210</v>
      </c>
      <c r="V1370" s="1" t="s">
        <v>211</v>
      </c>
      <c r="W1370" s="1" t="s">
        <v>44</v>
      </c>
      <c r="X1370" s="1" t="s">
        <v>45</v>
      </c>
      <c r="Y1370" s="1">
        <v>4.82023068E8</v>
      </c>
      <c r="AA1370" s="1" t="s">
        <v>46</v>
      </c>
      <c r="AB1370" s="1" t="s">
        <v>45</v>
      </c>
      <c r="AC1370" s="1">
        <v>4.82023068E8</v>
      </c>
      <c r="AD1370" s="1">
        <v>3.8775243E7</v>
      </c>
      <c r="AE1370" s="1" t="s">
        <v>209</v>
      </c>
      <c r="AF1370" s="1">
        <v>13067.38</v>
      </c>
      <c r="AG1370" s="2">
        <v>41183.0</v>
      </c>
      <c r="AH1370" s="1">
        <v>7500.0</v>
      </c>
      <c r="AI1370" s="1" t="s">
        <v>40</v>
      </c>
      <c r="AJ1370" s="1">
        <v>2.013108E7</v>
      </c>
      <c r="AK1370" s="1" t="s">
        <v>212</v>
      </c>
      <c r="AL1370" s="1">
        <v>10.0</v>
      </c>
      <c r="AM1370" s="1">
        <v>2012.0</v>
      </c>
      <c r="AN1370" s="1">
        <v>2013.0</v>
      </c>
      <c r="AO1370" s="1" t="s">
        <v>213</v>
      </c>
    </row>
    <row r="1371">
      <c r="A1371" s="5">
        <v>1.0</v>
      </c>
      <c r="B1371" s="1">
        <f t="shared" si="1"/>
        <v>1371</v>
      </c>
      <c r="C1371" s="1" t="s">
        <v>2772</v>
      </c>
      <c r="D1371" s="1" t="s">
        <v>2772</v>
      </c>
      <c r="E1371" s="1" t="s">
        <v>207</v>
      </c>
      <c r="G1371" s="1">
        <v>2.67163955E9</v>
      </c>
      <c r="H1371" s="2">
        <v>41183.0</v>
      </c>
      <c r="I1371" s="1" t="s">
        <v>2773</v>
      </c>
      <c r="K1371" s="1" t="s">
        <v>2773</v>
      </c>
      <c r="N1371" s="1" t="s">
        <v>40</v>
      </c>
      <c r="O1371" s="1">
        <v>7500.0</v>
      </c>
      <c r="P1371" s="1" t="s">
        <v>40</v>
      </c>
      <c r="Q1371" s="1" t="str">
        <f>IF(ISERROR(VLOOKUP(P1371,'unique fed agency names'!A:C,3,FALSE)),P1371,VLOOKUP(P1371,'unique fed agency names'!A:C,3,FALSE))
</f>
        <v>U.S. Department of Health and Human Services (DHHS)</v>
      </c>
      <c r="R1371" s="1">
        <v>3.8775243E7</v>
      </c>
      <c r="S1371" s="1" t="s">
        <v>209</v>
      </c>
      <c r="T1371" s="1" t="str">
        <f>IF(ISERROR(VLOOKUP(S1371,'unique org names'!A:C,3,FALSE)),S1371,VLOOKUP(S1371,'unique org names'!A:C,3,FALSE))
</f>
        <v>SOUTHEASTERN MICHIGAN HEALTH ASSOCIATION</v>
      </c>
      <c r="U1371" s="1" t="s">
        <v>210</v>
      </c>
      <c r="V1371" s="1" t="s">
        <v>211</v>
      </c>
      <c r="W1371" s="1" t="s">
        <v>44</v>
      </c>
      <c r="X1371" s="1" t="s">
        <v>45</v>
      </c>
      <c r="Y1371" s="1">
        <v>4.82023068E8</v>
      </c>
      <c r="AA1371" s="1" t="s">
        <v>46</v>
      </c>
      <c r="AB1371" s="1" t="s">
        <v>45</v>
      </c>
      <c r="AC1371" s="1">
        <v>4.82023068E8</v>
      </c>
      <c r="AD1371" s="1">
        <v>3.8775243E7</v>
      </c>
      <c r="AE1371" s="1" t="s">
        <v>209</v>
      </c>
      <c r="AF1371" s="1">
        <v>2145.97</v>
      </c>
      <c r="AG1371" s="2">
        <v>41183.0</v>
      </c>
      <c r="AH1371" s="1">
        <v>7500.0</v>
      </c>
      <c r="AI1371" s="1" t="s">
        <v>40</v>
      </c>
      <c r="AJ1371" s="1">
        <v>2.0131083E7</v>
      </c>
      <c r="AK1371" s="1" t="s">
        <v>212</v>
      </c>
      <c r="AL1371" s="1">
        <v>10.0</v>
      </c>
      <c r="AM1371" s="1">
        <v>2012.0</v>
      </c>
      <c r="AN1371" s="1">
        <v>2013.0</v>
      </c>
      <c r="AO1371" s="1" t="s">
        <v>213</v>
      </c>
    </row>
    <row r="1372">
      <c r="A1372" s="5">
        <v>1.0</v>
      </c>
      <c r="B1372" s="1">
        <f t="shared" si="1"/>
        <v>1372</v>
      </c>
      <c r="C1372" s="1" t="s">
        <v>2640</v>
      </c>
      <c r="D1372" s="1" t="s">
        <v>2640</v>
      </c>
      <c r="E1372" s="1" t="s">
        <v>129</v>
      </c>
      <c r="G1372" s="1">
        <v>1.98133664E8</v>
      </c>
      <c r="H1372" s="2">
        <v>41913.0</v>
      </c>
      <c r="I1372" s="1" t="s">
        <v>2641</v>
      </c>
      <c r="K1372" s="1" t="s">
        <v>2641</v>
      </c>
      <c r="N1372" s="1" t="s">
        <v>40</v>
      </c>
      <c r="O1372" s="1">
        <v>7500.0</v>
      </c>
      <c r="P1372" s="1" t="s">
        <v>40</v>
      </c>
      <c r="Q1372" s="1" t="str">
        <f>IF(ISERROR(VLOOKUP(P1372,'unique fed agency names'!A:C,3,FALSE)),P1372,VLOOKUP(P1372,'unique fed agency names'!A:C,3,FALSE))
</f>
        <v>U.S. Department of Health and Human Services (DHHS)</v>
      </c>
      <c r="R1372" s="1">
        <v>7.8074923E8</v>
      </c>
      <c r="S1372" s="1" t="s">
        <v>419</v>
      </c>
      <c r="T1372" s="1" t="str">
        <f>IF(ISERROR(VLOOKUP(S1372,'unique org names'!A:C,3,FALSE)),S1372,VLOOKUP(S1372,'unique org names'!A:C,3,FALSE))
</f>
        <v>ALTERNATIVES FOR GIRLS</v>
      </c>
      <c r="V1372" s="1" t="s">
        <v>420</v>
      </c>
      <c r="W1372" s="1" t="s">
        <v>44</v>
      </c>
      <c r="X1372" s="1" t="s">
        <v>45</v>
      </c>
      <c r="Y1372" s="1">
        <v>4.82082365E8</v>
      </c>
      <c r="AA1372" s="1" t="s">
        <v>44</v>
      </c>
      <c r="AB1372" s="1" t="s">
        <v>45</v>
      </c>
      <c r="AC1372" s="1">
        <v>4.82082365E8</v>
      </c>
      <c r="AF1372" s="1">
        <v>141856.0</v>
      </c>
      <c r="AG1372" s="2">
        <v>41913.0</v>
      </c>
      <c r="AH1372" s="1">
        <v>7500.0</v>
      </c>
      <c r="AI1372" s="1" t="s">
        <v>40</v>
      </c>
      <c r="AJ1372" s="1" t="s">
        <v>2817</v>
      </c>
      <c r="AK1372" s="1" t="s">
        <v>2818</v>
      </c>
      <c r="AL1372" s="1">
        <v>10.0</v>
      </c>
      <c r="AM1372" s="1">
        <v>2014.0</v>
      </c>
      <c r="AN1372" s="1">
        <v>2015.0</v>
      </c>
      <c r="AO1372" s="1" t="s">
        <v>385</v>
      </c>
    </row>
    <row r="1373">
      <c r="A1373" s="5">
        <v>1.0</v>
      </c>
      <c r="B1373" s="1">
        <f t="shared" si="1"/>
        <v>1373</v>
      </c>
      <c r="C1373" s="1" t="s">
        <v>2640</v>
      </c>
      <c r="D1373" s="1" t="s">
        <v>2640</v>
      </c>
      <c r="E1373" s="1" t="s">
        <v>129</v>
      </c>
      <c r="G1373" s="1">
        <v>1.98133664E8</v>
      </c>
      <c r="H1373" s="2">
        <v>41913.0</v>
      </c>
      <c r="I1373" s="1" t="s">
        <v>2641</v>
      </c>
      <c r="K1373" s="1" t="s">
        <v>2641</v>
      </c>
      <c r="N1373" s="1" t="s">
        <v>40</v>
      </c>
      <c r="O1373" s="1">
        <v>7500.0</v>
      </c>
      <c r="P1373" s="1" t="s">
        <v>40</v>
      </c>
      <c r="Q1373" s="1" t="str">
        <f>IF(ISERROR(VLOOKUP(P1373,'unique fed agency names'!A:C,3,FALSE)),P1373,VLOOKUP(P1373,'unique fed agency names'!A:C,3,FALSE))
</f>
        <v>U.S. Department of Health and Human Services (DHHS)</v>
      </c>
      <c r="R1373" s="1">
        <v>1.21516199E8</v>
      </c>
      <c r="S1373" s="1" t="s">
        <v>380</v>
      </c>
      <c r="T1373" s="1" t="str">
        <f>IF(ISERROR(VLOOKUP(S1373,'unique org names'!A:C,3,FALSE)),S1373,VLOOKUP(S1373,'unique org names'!A:C,3,FALSE))
</f>
        <v>YWCA of Metropolitan Detroit</v>
      </c>
      <c r="U1373" s="1" t="s">
        <v>381</v>
      </c>
      <c r="V1373" s="1" t="s">
        <v>382</v>
      </c>
      <c r="W1373" s="1" t="s">
        <v>44</v>
      </c>
      <c r="X1373" s="1" t="s">
        <v>45</v>
      </c>
      <c r="Y1373" s="1">
        <v>4.82073156E8</v>
      </c>
      <c r="AA1373" s="1" t="s">
        <v>44</v>
      </c>
      <c r="AB1373" s="1" t="s">
        <v>45</v>
      </c>
      <c r="AC1373" s="1">
        <v>4.82073156E8</v>
      </c>
      <c r="AD1373" s="1">
        <v>1.21516199E8</v>
      </c>
      <c r="AE1373" s="1" t="s">
        <v>380</v>
      </c>
      <c r="AF1373" s="1">
        <v>311334.98</v>
      </c>
      <c r="AG1373" s="2">
        <v>41913.0</v>
      </c>
      <c r="AH1373" s="1">
        <v>7500.0</v>
      </c>
      <c r="AI1373" s="1" t="s">
        <v>40</v>
      </c>
      <c r="AJ1373" s="1" t="s">
        <v>2819</v>
      </c>
      <c r="AK1373" s="1" t="s">
        <v>2820</v>
      </c>
      <c r="AL1373" s="1">
        <v>10.0</v>
      </c>
      <c r="AM1373" s="1">
        <v>2014.0</v>
      </c>
      <c r="AN1373" s="1">
        <v>2015.0</v>
      </c>
      <c r="AO1373" s="1" t="s">
        <v>385</v>
      </c>
    </row>
    <row r="1374">
      <c r="A1374" s="5">
        <v>1.0</v>
      </c>
      <c r="B1374" s="1">
        <f t="shared" si="1"/>
        <v>1374</v>
      </c>
      <c r="C1374" s="1" t="s">
        <v>2640</v>
      </c>
      <c r="D1374" s="1" t="s">
        <v>2640</v>
      </c>
      <c r="E1374" s="1" t="s">
        <v>129</v>
      </c>
      <c r="G1374" s="1">
        <v>1.98133664E8</v>
      </c>
      <c r="H1374" s="2">
        <v>41913.0</v>
      </c>
      <c r="I1374" s="1" t="s">
        <v>2641</v>
      </c>
      <c r="K1374" s="1" t="s">
        <v>2641</v>
      </c>
      <c r="N1374" s="1" t="s">
        <v>40</v>
      </c>
      <c r="O1374" s="1">
        <v>7500.0</v>
      </c>
      <c r="P1374" s="1" t="s">
        <v>40</v>
      </c>
      <c r="Q1374" s="1" t="str">
        <f>IF(ISERROR(VLOOKUP(P1374,'unique fed agency names'!A:C,3,FALSE)),P1374,VLOOKUP(P1374,'unique fed agency names'!A:C,3,FALSE))
</f>
        <v>U.S. Department of Health and Human Services (DHHS)</v>
      </c>
      <c r="R1374" s="1">
        <v>1.95614664E8</v>
      </c>
      <c r="S1374" s="1" t="s">
        <v>1333</v>
      </c>
      <c r="T1374" s="1" t="str">
        <f>IF(ISERROR(VLOOKUP(S1374,'unique org names'!A:C,3,FALSE)),S1374,VLOOKUP(S1374,'unique org names'!A:C,3,FALSE))
</f>
        <v>Black Family Development, Inc</v>
      </c>
      <c r="V1374" s="1" t="s">
        <v>1334</v>
      </c>
      <c r="W1374" s="1" t="s">
        <v>44</v>
      </c>
      <c r="X1374" s="1" t="s">
        <v>45</v>
      </c>
      <c r="Y1374" s="1">
        <v>4.82023133E8</v>
      </c>
      <c r="AA1374" s="1" t="s">
        <v>44</v>
      </c>
      <c r="AB1374" s="1" t="s">
        <v>45</v>
      </c>
      <c r="AC1374" s="1">
        <v>4.82023133E8</v>
      </c>
      <c r="AD1374" s="1">
        <v>1.95614664E8</v>
      </c>
      <c r="AE1374" s="1" t="s">
        <v>1333</v>
      </c>
      <c r="AF1374" s="1">
        <v>807364.0</v>
      </c>
      <c r="AG1374" s="2">
        <v>41913.0</v>
      </c>
      <c r="AH1374" s="1">
        <v>7500.0</v>
      </c>
      <c r="AI1374" s="1" t="s">
        <v>40</v>
      </c>
      <c r="AJ1374" s="1" t="s">
        <v>2821</v>
      </c>
      <c r="AK1374" s="1" t="s">
        <v>2799</v>
      </c>
      <c r="AL1374" s="1">
        <v>10.0</v>
      </c>
      <c r="AM1374" s="1">
        <v>2014.0</v>
      </c>
      <c r="AN1374" s="1">
        <v>2015.0</v>
      </c>
      <c r="AO1374" s="1" t="s">
        <v>385</v>
      </c>
    </row>
    <row r="1375">
      <c r="A1375" s="5">
        <v>1.0</v>
      </c>
      <c r="B1375" s="1">
        <f t="shared" si="1"/>
        <v>1375</v>
      </c>
      <c r="C1375" s="1" t="s">
        <v>2803</v>
      </c>
      <c r="D1375" s="1" t="s">
        <v>2803</v>
      </c>
      <c r="E1375" s="1" t="s">
        <v>129</v>
      </c>
      <c r="G1375" s="1">
        <v>4000000.0</v>
      </c>
      <c r="H1375" s="2">
        <v>41913.0</v>
      </c>
      <c r="I1375" s="1" t="s">
        <v>2804</v>
      </c>
      <c r="K1375" s="1" t="s">
        <v>2804</v>
      </c>
      <c r="N1375" s="1" t="s">
        <v>40</v>
      </c>
      <c r="O1375" s="1">
        <v>7500.0</v>
      </c>
      <c r="P1375" s="1" t="s">
        <v>40</v>
      </c>
      <c r="Q1375" s="1" t="str">
        <f>IF(ISERROR(VLOOKUP(P1375,'unique fed agency names'!A:C,3,FALSE)),P1375,VLOOKUP(P1375,'unique fed agency names'!A:C,3,FALSE))
</f>
        <v>U.S. Department of Health and Human Services (DHHS)</v>
      </c>
      <c r="R1375" s="1">
        <v>6.9840817E7</v>
      </c>
      <c r="S1375" s="1" t="s">
        <v>131</v>
      </c>
      <c r="T1375" s="1" t="str">
        <f>IF(ISERROR(VLOOKUP(S1375,'unique org names'!A:C,3,FALSE)),S1375,VLOOKUP(S1375,'unique org names'!A:C,3,FALSE))
</f>
        <v>LUTHERAN SOCIAL SERVICES OF MICHIGAN</v>
      </c>
      <c r="V1375" s="1" t="s">
        <v>132</v>
      </c>
      <c r="W1375" s="1" t="s">
        <v>44</v>
      </c>
      <c r="X1375" s="1" t="s">
        <v>45</v>
      </c>
      <c r="Y1375" s="1">
        <v>4.8214261E8</v>
      </c>
      <c r="AA1375" s="1" t="s">
        <v>44</v>
      </c>
      <c r="AB1375" s="1" t="s">
        <v>45</v>
      </c>
      <c r="AC1375" s="1">
        <v>4.8214261E8</v>
      </c>
      <c r="AD1375" s="1">
        <v>6.9840817E7</v>
      </c>
      <c r="AE1375" s="1" t="s">
        <v>131</v>
      </c>
      <c r="AF1375" s="1">
        <v>401703.0</v>
      </c>
      <c r="AG1375" s="2">
        <v>41913.0</v>
      </c>
      <c r="AH1375" s="1">
        <v>7500.0</v>
      </c>
      <c r="AI1375" s="1" t="s">
        <v>40</v>
      </c>
      <c r="AJ1375" s="1" t="s">
        <v>2822</v>
      </c>
      <c r="AK1375" s="1" t="s">
        <v>2649</v>
      </c>
      <c r="AL1375" s="1">
        <v>10.0</v>
      </c>
      <c r="AM1375" s="1">
        <v>2014.0</v>
      </c>
      <c r="AN1375" s="1">
        <v>2015.0</v>
      </c>
      <c r="AO1375" s="1" t="s">
        <v>398</v>
      </c>
    </row>
    <row r="1376">
      <c r="A1376" s="5">
        <v>1.0</v>
      </c>
      <c r="B1376" s="1">
        <f t="shared" si="1"/>
        <v>1376</v>
      </c>
      <c r="C1376" s="1" t="s">
        <v>1337</v>
      </c>
      <c r="D1376" s="1" t="s">
        <v>1337</v>
      </c>
      <c r="E1376" s="1" t="s">
        <v>1281</v>
      </c>
      <c r="G1376" s="1">
        <v>262500.0</v>
      </c>
      <c r="H1376" s="2">
        <v>41609.0</v>
      </c>
      <c r="I1376" s="1" t="s">
        <v>1338</v>
      </c>
      <c r="K1376" s="1" t="s">
        <v>1338</v>
      </c>
      <c r="N1376" s="1" t="s">
        <v>1281</v>
      </c>
      <c r="O1376" s="1">
        <v>9577.0</v>
      </c>
      <c r="P1376" s="1" t="s">
        <v>1281</v>
      </c>
      <c r="Q1376" s="1" t="str">
        <f>IF(ISERROR(VLOOKUP(P1376,'unique fed agency names'!A:C,3,FALSE)),P1376,VLOOKUP(P1376,'unique fed agency names'!A:C,3,FALSE))
</f>
        <v>Corporation for National and Community Service</v>
      </c>
      <c r="R1376" s="1">
        <v>8.59555054E8</v>
      </c>
      <c r="S1376" s="1" t="s">
        <v>1339</v>
      </c>
      <c r="T1376" s="1" t="str">
        <f>IF(ISERROR(VLOOKUP(S1376,'unique org names'!A:C,3,FALSE)),S1376,VLOOKUP(S1376,'unique org names'!A:C,3,FALSE))
</f>
        <v>VOLUNTEERS IN PREVENTION, PROBATION AND PRISONS, INC</v>
      </c>
      <c r="U1376" s="1" t="s">
        <v>1340</v>
      </c>
      <c r="V1376" s="1" t="s">
        <v>1341</v>
      </c>
      <c r="W1376" s="1" t="s">
        <v>44</v>
      </c>
      <c r="X1376" s="1" t="s">
        <v>45</v>
      </c>
      <c r="Y1376" s="1">
        <v>4.82261656E8</v>
      </c>
      <c r="AA1376" s="1" t="s">
        <v>44</v>
      </c>
      <c r="AB1376" s="1" t="s">
        <v>45</v>
      </c>
      <c r="AC1376" s="1">
        <v>4.82241506E8</v>
      </c>
      <c r="AF1376" s="1">
        <v>55000.0</v>
      </c>
      <c r="AG1376" s="2">
        <v>41609.0</v>
      </c>
      <c r="AH1376" s="1">
        <v>9577.0</v>
      </c>
      <c r="AI1376" s="1" t="s">
        <v>1281</v>
      </c>
      <c r="AJ1376" s="1" t="s">
        <v>1342</v>
      </c>
      <c r="AK1376" s="1" t="s">
        <v>1343</v>
      </c>
      <c r="AL1376" s="1">
        <v>10.0</v>
      </c>
      <c r="AM1376" s="1">
        <v>2014.0</v>
      </c>
      <c r="AN1376" s="1">
        <v>2014.0</v>
      </c>
      <c r="AO1376" s="1" t="s">
        <v>1344</v>
      </c>
    </row>
    <row r="1377">
      <c r="A1377" s="5">
        <v>1.0</v>
      </c>
      <c r="B1377" s="1">
        <f t="shared" si="1"/>
        <v>1377</v>
      </c>
      <c r="C1377" s="1" t="s">
        <v>1297</v>
      </c>
      <c r="D1377" s="1" t="s">
        <v>1297</v>
      </c>
      <c r="E1377" s="1" t="s">
        <v>1281</v>
      </c>
      <c r="G1377" s="1">
        <v>4867566.0</v>
      </c>
      <c r="H1377" s="2">
        <v>41883.0</v>
      </c>
      <c r="I1377" s="1" t="s">
        <v>2610</v>
      </c>
      <c r="K1377" s="1" t="s">
        <v>2610</v>
      </c>
      <c r="N1377" s="1" t="s">
        <v>1281</v>
      </c>
      <c r="O1377" s="1">
        <v>9577.0</v>
      </c>
      <c r="P1377" s="1" t="s">
        <v>1281</v>
      </c>
      <c r="Q1377" s="1" t="str">
        <f>IF(ISERROR(VLOOKUP(P1377,'unique fed agency names'!A:C,3,FALSE)),P1377,VLOOKUP(P1377,'unique fed agency names'!A:C,3,FALSE))
</f>
        <v>Corporation for National and Community Service</v>
      </c>
      <c r="R1377" s="1">
        <v>1.81595232E8</v>
      </c>
      <c r="S1377" s="1" t="s">
        <v>1471</v>
      </c>
      <c r="T1377" s="1" t="str">
        <f>IF(ISERROR(VLOOKUP(S1377,'unique org names'!A:C,3,FALSE)),S1377,VLOOKUP(S1377,'unique org names'!A:C,3,FALSE))
</f>
        <v>WARM TRAINING CENTER</v>
      </c>
      <c r="V1377" s="1" t="s">
        <v>1472</v>
      </c>
      <c r="W1377" s="1" t="s">
        <v>44</v>
      </c>
      <c r="X1377" s="1" t="s">
        <v>45</v>
      </c>
      <c r="Y1377" s="1">
        <v>4.82103249E8</v>
      </c>
      <c r="AA1377" s="1" t="s">
        <v>46</v>
      </c>
      <c r="AB1377" s="1" t="s">
        <v>45</v>
      </c>
      <c r="AC1377" s="1">
        <v>4.82103249E8</v>
      </c>
      <c r="AD1377" s="1">
        <v>1.81595232E8</v>
      </c>
      <c r="AE1377" s="1" t="s">
        <v>1471</v>
      </c>
      <c r="AF1377" s="1">
        <v>224210.0</v>
      </c>
      <c r="AG1377" s="2">
        <v>41883.0</v>
      </c>
      <c r="AH1377" s="1">
        <v>9577.0</v>
      </c>
      <c r="AI1377" s="1" t="s">
        <v>1281</v>
      </c>
      <c r="AJ1377" s="1" t="s">
        <v>2823</v>
      </c>
      <c r="AK1377" s="1" t="s">
        <v>2824</v>
      </c>
      <c r="AL1377" s="1">
        <v>10.0</v>
      </c>
      <c r="AM1377" s="1">
        <v>2014.0</v>
      </c>
      <c r="AN1377" s="1">
        <v>2014.0</v>
      </c>
      <c r="AO1377" s="1" t="s">
        <v>1301</v>
      </c>
    </row>
    <row r="1378">
      <c r="A1378" s="5">
        <v>1.0</v>
      </c>
      <c r="B1378" s="1">
        <f t="shared" si="1"/>
        <v>1378</v>
      </c>
      <c r="C1378" s="1" t="s">
        <v>1297</v>
      </c>
      <c r="D1378" s="1" t="s">
        <v>1297</v>
      </c>
      <c r="E1378" s="1" t="s">
        <v>1281</v>
      </c>
      <c r="G1378" s="1">
        <v>4867566.0</v>
      </c>
      <c r="H1378" s="2">
        <v>41883.0</v>
      </c>
      <c r="I1378" s="1" t="s">
        <v>2610</v>
      </c>
      <c r="K1378" s="1" t="s">
        <v>2610</v>
      </c>
      <c r="N1378" s="1" t="s">
        <v>1281</v>
      </c>
      <c r="O1378" s="1">
        <v>9577.0</v>
      </c>
      <c r="P1378" s="1" t="s">
        <v>1281</v>
      </c>
      <c r="Q1378" s="1" t="str">
        <f>IF(ISERROR(VLOOKUP(P1378,'unique fed agency names'!A:C,3,FALSE)),P1378,VLOOKUP(P1378,'unique fed agency names'!A:C,3,FALSE))
</f>
        <v>Corporation for National and Community Service</v>
      </c>
      <c r="R1378" s="1">
        <v>1.5900083E8</v>
      </c>
      <c r="S1378" s="1" t="s">
        <v>1292</v>
      </c>
      <c r="T1378" s="1" t="str">
        <f>IF(ISERROR(VLOOKUP(S1378,'unique org names'!A:C,3,FALSE)),S1378,VLOOKUP(S1378,'unique org names'!A:C,3,FALSE))
</f>
        <v>DETROIT PARENT NETWORK</v>
      </c>
      <c r="V1378" s="1" t="s">
        <v>1293</v>
      </c>
      <c r="W1378" s="1" t="s">
        <v>44</v>
      </c>
      <c r="X1378" s="1" t="s">
        <v>45</v>
      </c>
      <c r="Y1378" s="1">
        <v>4.82022715E8</v>
      </c>
      <c r="AA1378" s="1" t="s">
        <v>46</v>
      </c>
      <c r="AB1378" s="1" t="s">
        <v>45</v>
      </c>
      <c r="AC1378" s="1">
        <v>4.82022715E8</v>
      </c>
      <c r="AF1378" s="1">
        <v>318874.0</v>
      </c>
      <c r="AG1378" s="2">
        <v>41883.0</v>
      </c>
      <c r="AH1378" s="1">
        <v>9577.0</v>
      </c>
      <c r="AI1378" s="1" t="s">
        <v>1281</v>
      </c>
      <c r="AJ1378" s="1" t="s">
        <v>2793</v>
      </c>
      <c r="AK1378" s="1" t="s">
        <v>1300</v>
      </c>
      <c r="AL1378" s="1">
        <v>10.0</v>
      </c>
      <c r="AM1378" s="1">
        <v>2014.0</v>
      </c>
      <c r="AN1378" s="1">
        <v>2014.0</v>
      </c>
      <c r="AO1378" s="1" t="s">
        <v>1301</v>
      </c>
    </row>
    <row r="1379">
      <c r="A1379" s="5">
        <v>1.0</v>
      </c>
      <c r="B1379" s="1">
        <f t="shared" si="1"/>
        <v>1379</v>
      </c>
      <c r="C1379" s="1">
        <v>9.7531612E7</v>
      </c>
      <c r="D1379" s="1">
        <v>9.7531612E7</v>
      </c>
      <c r="E1379" s="1" t="s">
        <v>1825</v>
      </c>
      <c r="G1379" s="1">
        <v>871762.0</v>
      </c>
      <c r="H1379" s="2">
        <v>41183.0</v>
      </c>
      <c r="I1379" s="1" t="s">
        <v>2806</v>
      </c>
      <c r="K1379" s="1" t="s">
        <v>2806</v>
      </c>
      <c r="N1379" s="1" t="s">
        <v>1825</v>
      </c>
      <c r="O1379" s="1">
        <v>6800.0</v>
      </c>
      <c r="P1379" s="1" t="s">
        <v>1825</v>
      </c>
      <c r="Q1379" s="1" t="str">
        <f>IF(ISERROR(VLOOKUP(P1379,'unique fed agency names'!A:C,3,FALSE)),P1379,VLOOKUP(P1379,'unique fed agency names'!A:C,3,FALSE))
</f>
        <v>U.S. Environmental Protection Agency (EPA)</v>
      </c>
      <c r="R1379" s="1">
        <v>3.8775243E7</v>
      </c>
      <c r="S1379" s="1" t="s">
        <v>209</v>
      </c>
      <c r="T1379" s="1" t="str">
        <f>IF(ISERROR(VLOOKUP(S1379,'unique org names'!A:C,3,FALSE)),S1379,VLOOKUP(S1379,'unique org names'!A:C,3,FALSE))
</f>
        <v>SOUTHEASTERN MICHIGAN HEALTH ASSOCIATION</v>
      </c>
      <c r="U1379" s="1" t="s">
        <v>210</v>
      </c>
      <c r="V1379" s="1" t="s">
        <v>211</v>
      </c>
      <c r="W1379" s="1" t="s">
        <v>44</v>
      </c>
      <c r="X1379" s="1" t="s">
        <v>45</v>
      </c>
      <c r="Y1379" s="1">
        <v>4.82023068E8</v>
      </c>
      <c r="AA1379" s="1" t="s">
        <v>46</v>
      </c>
      <c r="AB1379" s="1" t="s">
        <v>45</v>
      </c>
      <c r="AC1379" s="1">
        <v>4.82023068E8</v>
      </c>
      <c r="AD1379" s="1">
        <v>3.8775243E7</v>
      </c>
      <c r="AE1379" s="1" t="s">
        <v>209</v>
      </c>
      <c r="AF1379" s="1">
        <v>84502.0</v>
      </c>
      <c r="AG1379" s="2">
        <v>41183.0</v>
      </c>
      <c r="AH1379" s="1">
        <v>6800.0</v>
      </c>
      <c r="AI1379" s="1" t="s">
        <v>1825</v>
      </c>
      <c r="AJ1379" s="1">
        <v>2.0131255E7</v>
      </c>
      <c r="AK1379" s="1" t="s">
        <v>2807</v>
      </c>
      <c r="AL1379" s="1">
        <v>10.0</v>
      </c>
      <c r="AM1379" s="1">
        <v>2012.0</v>
      </c>
      <c r="AN1379" s="1">
        <v>2013.0</v>
      </c>
      <c r="AO1379" s="1" t="s">
        <v>2808</v>
      </c>
    </row>
    <row r="1380">
      <c r="A1380" s="5">
        <v>1.0</v>
      </c>
      <c r="B1380" s="1">
        <f t="shared" si="1"/>
        <v>1380</v>
      </c>
      <c r="C1380" s="1" t="s">
        <v>1874</v>
      </c>
      <c r="D1380" s="1" t="s">
        <v>1874</v>
      </c>
      <c r="E1380" s="1" t="s">
        <v>389</v>
      </c>
      <c r="G1380" s="1">
        <v>2.0636E7</v>
      </c>
      <c r="H1380" s="2">
        <v>41556.0</v>
      </c>
      <c r="I1380" s="1" t="s">
        <v>1875</v>
      </c>
      <c r="K1380" s="1" t="s">
        <v>1875</v>
      </c>
      <c r="N1380" s="1" t="s">
        <v>391</v>
      </c>
      <c r="O1380" s="1">
        <v>1600.0</v>
      </c>
      <c r="P1380" s="1" t="s">
        <v>391</v>
      </c>
      <c r="Q1380" s="1" t="str">
        <f>IF(ISERROR(VLOOKUP(P1380,'unique fed agency names'!A:C,3,FALSE)),P1380,VLOOKUP(P1380,'unique fed agency names'!A:C,3,FALSE))
</f>
        <v>U.S. Department of Labor (DOL)</v>
      </c>
      <c r="R1380" s="1">
        <v>9.68755756E8</v>
      </c>
      <c r="S1380" s="1" t="s">
        <v>1806</v>
      </c>
      <c r="T1380" s="1" t="str">
        <f>IF(ISERROR(VLOOKUP(S1380,'unique org names'!A:C,3,FALSE)),S1380,VLOOKUP(S1380,'unique org names'!A:C,3,FALSE))
</f>
        <v>Detroit Employment Solutions Corporation</v>
      </c>
      <c r="V1380" s="1" t="s">
        <v>1807</v>
      </c>
      <c r="W1380" s="1" t="s">
        <v>44</v>
      </c>
      <c r="X1380" s="1" t="s">
        <v>45</v>
      </c>
      <c r="Y1380" s="1">
        <v>4.82262917E8</v>
      </c>
      <c r="AA1380" s="1" t="s">
        <v>46</v>
      </c>
      <c r="AB1380" s="1" t="s">
        <v>45</v>
      </c>
      <c r="AC1380" s="1">
        <v>4.82022943E8</v>
      </c>
      <c r="AF1380" s="1">
        <v>2028600.0</v>
      </c>
      <c r="AG1380" s="2">
        <v>41556.0</v>
      </c>
      <c r="AH1380" s="1">
        <v>1600.0</v>
      </c>
      <c r="AI1380" s="1" t="s">
        <v>391</v>
      </c>
      <c r="AJ1380" s="1" t="s">
        <v>1881</v>
      </c>
      <c r="AK1380" s="1" t="s">
        <v>1882</v>
      </c>
      <c r="AL1380" s="1">
        <v>11.0</v>
      </c>
      <c r="AM1380" s="1">
        <v>2014.0</v>
      </c>
      <c r="AN1380" s="1">
        <v>2014.0</v>
      </c>
      <c r="AO1380" s="1" t="s">
        <v>1878</v>
      </c>
    </row>
    <row r="1381">
      <c r="A1381" s="5">
        <v>1.0</v>
      </c>
      <c r="B1381" s="1">
        <f t="shared" si="1"/>
        <v>1381</v>
      </c>
      <c r="C1381" s="1" t="s">
        <v>2651</v>
      </c>
      <c r="D1381" s="1" t="s">
        <v>2651</v>
      </c>
      <c r="E1381" s="1" t="s">
        <v>159</v>
      </c>
      <c r="G1381" s="1">
        <v>5297759.0</v>
      </c>
      <c r="H1381" s="2">
        <v>41548.0</v>
      </c>
      <c r="I1381" s="1" t="s">
        <v>2652</v>
      </c>
      <c r="K1381" s="1" t="s">
        <v>2652</v>
      </c>
      <c r="N1381" s="1" t="s">
        <v>40</v>
      </c>
      <c r="O1381" s="1">
        <v>7500.0</v>
      </c>
      <c r="P1381" s="1" t="s">
        <v>40</v>
      </c>
      <c r="Q1381" s="1" t="str">
        <f>IF(ISERROR(VLOOKUP(P1381,'unique fed agency names'!A:C,3,FALSE)),P1381,VLOOKUP(P1381,'unique fed agency names'!A:C,3,FALSE))
</f>
        <v>U.S. Department of Health and Human Services (DHHS)</v>
      </c>
      <c r="R1381" s="1">
        <v>3.8775243E7</v>
      </c>
      <c r="S1381" s="1" t="s">
        <v>209</v>
      </c>
      <c r="T1381" s="1" t="str">
        <f>IF(ISERROR(VLOOKUP(S1381,'unique org names'!A:C,3,FALSE)),S1381,VLOOKUP(S1381,'unique org names'!A:C,3,FALSE))
</f>
        <v>SOUTHEASTERN MICHIGAN HEALTH ASSOCIATION</v>
      </c>
      <c r="U1381" s="1" t="s">
        <v>210</v>
      </c>
      <c r="V1381" s="1" t="s">
        <v>211</v>
      </c>
      <c r="W1381" s="1" t="s">
        <v>44</v>
      </c>
      <c r="X1381" s="1" t="s">
        <v>45</v>
      </c>
      <c r="Y1381" s="1">
        <v>4.82023068E8</v>
      </c>
      <c r="AA1381" s="1" t="s">
        <v>46</v>
      </c>
      <c r="AB1381" s="1" t="s">
        <v>45</v>
      </c>
      <c r="AC1381" s="1">
        <v>4.82023068E8</v>
      </c>
      <c r="AD1381" s="1">
        <v>3.8775243E7</v>
      </c>
      <c r="AE1381" s="1" t="s">
        <v>209</v>
      </c>
      <c r="AF1381" s="1">
        <v>0.0</v>
      </c>
      <c r="AG1381" s="2">
        <v>41548.0</v>
      </c>
      <c r="AH1381" s="1">
        <v>7500.0</v>
      </c>
      <c r="AI1381" s="1" t="s">
        <v>40</v>
      </c>
      <c r="AJ1381" s="1">
        <v>2.0140127E7</v>
      </c>
      <c r="AK1381" s="1" t="s">
        <v>2653</v>
      </c>
      <c r="AL1381" s="1">
        <v>10.0</v>
      </c>
      <c r="AM1381" s="1">
        <v>2011.0</v>
      </c>
      <c r="AN1381" s="1">
        <v>2014.0</v>
      </c>
      <c r="AO1381" s="1" t="s">
        <v>2654</v>
      </c>
    </row>
    <row r="1382">
      <c r="A1382" s="5">
        <v>1.0</v>
      </c>
      <c r="B1382" s="1">
        <f t="shared" si="1"/>
        <v>1382</v>
      </c>
      <c r="C1382" s="1" t="s">
        <v>2651</v>
      </c>
      <c r="D1382" s="1" t="s">
        <v>2651</v>
      </c>
      <c r="E1382" s="1" t="s">
        <v>159</v>
      </c>
      <c r="G1382" s="1">
        <v>5297759.0</v>
      </c>
      <c r="H1382" s="2">
        <v>41183.0</v>
      </c>
      <c r="I1382" s="1" t="s">
        <v>2652</v>
      </c>
      <c r="K1382" s="1" t="s">
        <v>2652</v>
      </c>
      <c r="N1382" s="1" t="s">
        <v>40</v>
      </c>
      <c r="O1382" s="1">
        <v>7500.0</v>
      </c>
      <c r="P1382" s="1" t="s">
        <v>40</v>
      </c>
      <c r="Q1382" s="1" t="str">
        <f>IF(ISERROR(VLOOKUP(P1382,'unique fed agency names'!A:C,3,FALSE)),P1382,VLOOKUP(P1382,'unique fed agency names'!A:C,3,FALSE))
</f>
        <v>U.S. Department of Health and Human Services (DHHS)</v>
      </c>
      <c r="R1382" s="1">
        <v>8.09204196E8</v>
      </c>
      <c r="S1382" s="1" t="s">
        <v>175</v>
      </c>
      <c r="T1382" s="1" t="str">
        <f>IF(ISERROR(VLOOKUP(S1382,'unique org names'!A:C,3,FALSE)),S1382,VLOOKUP(S1382,'unique org names'!A:C,3,FALSE))
</f>
        <v>DETROIT WAYNE COUNTY HEALTH AUTHORITY</v>
      </c>
      <c r="V1382" s="1" t="s">
        <v>2078</v>
      </c>
      <c r="W1382" s="1" t="s">
        <v>44</v>
      </c>
      <c r="X1382" s="1" t="s">
        <v>45</v>
      </c>
      <c r="Y1382" s="1">
        <v>4.82023026E8</v>
      </c>
      <c r="AA1382" s="1" t="s">
        <v>46</v>
      </c>
      <c r="AB1382" s="1" t="s">
        <v>45</v>
      </c>
      <c r="AC1382" s="1">
        <v>4.82023025E8</v>
      </c>
      <c r="AD1382" s="1">
        <v>8.09204196E8</v>
      </c>
      <c r="AE1382" s="1" t="s">
        <v>175</v>
      </c>
      <c r="AF1382" s="1">
        <v>0.0</v>
      </c>
      <c r="AG1382" s="2">
        <v>41183.0</v>
      </c>
      <c r="AH1382" s="1">
        <v>7500.0</v>
      </c>
      <c r="AI1382" s="1" t="s">
        <v>40</v>
      </c>
      <c r="AJ1382" s="1">
        <v>2.0132271E7</v>
      </c>
      <c r="AK1382" s="1" t="s">
        <v>2653</v>
      </c>
      <c r="AL1382" s="1">
        <v>10.0</v>
      </c>
      <c r="AM1382" s="1">
        <v>2011.0</v>
      </c>
      <c r="AN1382" s="1">
        <v>2013.0</v>
      </c>
      <c r="AO1382" s="1" t="s">
        <v>2654</v>
      </c>
    </row>
    <row r="1383">
      <c r="A1383" s="5">
        <v>1.0</v>
      </c>
      <c r="B1383" s="1">
        <f t="shared" si="1"/>
        <v>1383</v>
      </c>
      <c r="C1383" s="1" t="s">
        <v>2651</v>
      </c>
      <c r="D1383" s="1" t="s">
        <v>2651</v>
      </c>
      <c r="E1383" s="1" t="s">
        <v>159</v>
      </c>
      <c r="G1383" s="1">
        <v>5297759.0</v>
      </c>
      <c r="H1383" s="2">
        <v>41183.0</v>
      </c>
      <c r="I1383" s="1" t="s">
        <v>2652</v>
      </c>
      <c r="K1383" s="1" t="s">
        <v>2652</v>
      </c>
      <c r="N1383" s="1" t="s">
        <v>40</v>
      </c>
      <c r="O1383" s="1">
        <v>7500.0</v>
      </c>
      <c r="P1383" s="1" t="s">
        <v>40</v>
      </c>
      <c r="Q1383" s="1" t="str">
        <f>IF(ISERROR(VLOOKUP(P1383,'unique fed agency names'!A:C,3,FALSE)),P1383,VLOOKUP(P1383,'unique fed agency names'!A:C,3,FALSE))
</f>
        <v>U.S. Department of Health and Human Services (DHHS)</v>
      </c>
      <c r="R1383" s="1">
        <v>7.8583404E7</v>
      </c>
      <c r="S1383" s="1" t="s">
        <v>65</v>
      </c>
      <c r="T1383" s="1" t="str">
        <f>IF(ISERROR(VLOOKUP(S1383,'unique org names'!A:C,3,FALSE)),S1383,VLOOKUP(S1383,'unique org names'!A:C,3,FALSE))
</f>
        <v>Institute for Population Health Inc.</v>
      </c>
      <c r="U1383" s="1" t="s">
        <v>2563</v>
      </c>
      <c r="V1383" s="1" t="s">
        <v>1573</v>
      </c>
      <c r="W1383" s="1" t="s">
        <v>44</v>
      </c>
      <c r="X1383" s="1" t="s">
        <v>45</v>
      </c>
      <c r="Y1383" s="1">
        <v>4.8207311E8</v>
      </c>
      <c r="AA1383" s="1" t="s">
        <v>46</v>
      </c>
      <c r="AB1383" s="1" t="s">
        <v>45</v>
      </c>
      <c r="AC1383" s="1">
        <v>4.82021732E8</v>
      </c>
      <c r="AD1383" s="1">
        <v>4.0574592E7</v>
      </c>
      <c r="AE1383" s="1" t="s">
        <v>2564</v>
      </c>
      <c r="AF1383" s="1">
        <v>40000.0</v>
      </c>
      <c r="AG1383" s="2">
        <v>41183.0</v>
      </c>
      <c r="AH1383" s="1">
        <v>7500.0</v>
      </c>
      <c r="AI1383" s="1" t="s">
        <v>40</v>
      </c>
      <c r="AJ1383" s="1">
        <v>2.01304E7</v>
      </c>
      <c r="AK1383" s="1" t="s">
        <v>2653</v>
      </c>
      <c r="AL1383" s="1">
        <v>10.0</v>
      </c>
      <c r="AM1383" s="1">
        <v>2011.0</v>
      </c>
      <c r="AN1383" s="1">
        <v>2013.0</v>
      </c>
      <c r="AO1383" s="1" t="s">
        <v>2654</v>
      </c>
    </row>
    <row r="1384">
      <c r="A1384" s="5">
        <v>1.0</v>
      </c>
      <c r="B1384" s="1">
        <f t="shared" si="1"/>
        <v>1384</v>
      </c>
      <c r="C1384" s="1" t="s">
        <v>2651</v>
      </c>
      <c r="D1384" s="1" t="s">
        <v>2651</v>
      </c>
      <c r="E1384" s="1" t="s">
        <v>159</v>
      </c>
      <c r="G1384" s="1">
        <v>5297759.0</v>
      </c>
      <c r="H1384" s="2">
        <v>41183.0</v>
      </c>
      <c r="I1384" s="1" t="s">
        <v>2652</v>
      </c>
      <c r="K1384" s="1" t="s">
        <v>2652</v>
      </c>
      <c r="N1384" s="1" t="s">
        <v>40</v>
      </c>
      <c r="O1384" s="1">
        <v>7500.0</v>
      </c>
      <c r="P1384" s="1" t="s">
        <v>40</v>
      </c>
      <c r="Q1384" s="1" t="str">
        <f>IF(ISERROR(VLOOKUP(P1384,'unique fed agency names'!A:C,3,FALSE)),P1384,VLOOKUP(P1384,'unique fed agency names'!A:C,3,FALSE))
</f>
        <v>U.S. Department of Health and Human Services (DHHS)</v>
      </c>
      <c r="R1384" s="1">
        <v>8.09204196E8</v>
      </c>
      <c r="S1384" s="1" t="s">
        <v>175</v>
      </c>
      <c r="T1384" s="1" t="str">
        <f>IF(ISERROR(VLOOKUP(S1384,'unique org names'!A:C,3,FALSE)),S1384,VLOOKUP(S1384,'unique org names'!A:C,3,FALSE))
</f>
        <v>DETROIT WAYNE COUNTY HEALTH AUTHORITY</v>
      </c>
      <c r="V1384" s="1" t="s">
        <v>2078</v>
      </c>
      <c r="W1384" s="1" t="s">
        <v>44</v>
      </c>
      <c r="X1384" s="1" t="s">
        <v>45</v>
      </c>
      <c r="Y1384" s="1">
        <v>4.82023026E8</v>
      </c>
      <c r="AA1384" s="1" t="s">
        <v>46</v>
      </c>
      <c r="AB1384" s="1" t="s">
        <v>45</v>
      </c>
      <c r="AC1384" s="1">
        <v>4.82023025E8</v>
      </c>
      <c r="AD1384" s="1">
        <v>8.09204196E8</v>
      </c>
      <c r="AE1384" s="1" t="s">
        <v>175</v>
      </c>
      <c r="AF1384" s="1">
        <v>198158.0</v>
      </c>
      <c r="AG1384" s="2">
        <v>41183.0</v>
      </c>
      <c r="AH1384" s="1">
        <v>7500.0</v>
      </c>
      <c r="AI1384" s="1" t="s">
        <v>40</v>
      </c>
      <c r="AJ1384" s="1">
        <v>2.0130326E7</v>
      </c>
      <c r="AK1384" s="1" t="s">
        <v>2653</v>
      </c>
      <c r="AL1384" s="1">
        <v>10.0</v>
      </c>
      <c r="AM1384" s="1">
        <v>2011.0</v>
      </c>
      <c r="AN1384" s="1">
        <v>2013.0</v>
      </c>
      <c r="AO1384" s="1" t="s">
        <v>2654</v>
      </c>
    </row>
    <row r="1385">
      <c r="A1385" s="5">
        <v>1.0</v>
      </c>
      <c r="B1385" s="1">
        <f t="shared" si="1"/>
        <v>1385</v>
      </c>
      <c r="C1385" s="1" t="s">
        <v>158</v>
      </c>
      <c r="D1385" s="1" t="s">
        <v>158</v>
      </c>
      <c r="E1385" s="1" t="s">
        <v>159</v>
      </c>
      <c r="G1385" s="1">
        <v>899985.0</v>
      </c>
      <c r="H1385" s="2">
        <v>41183.0</v>
      </c>
      <c r="I1385" s="1" t="s">
        <v>2655</v>
      </c>
      <c r="K1385" s="1" t="s">
        <v>2655</v>
      </c>
      <c r="N1385" s="1" t="s">
        <v>40</v>
      </c>
      <c r="O1385" s="1">
        <v>7500.0</v>
      </c>
      <c r="P1385" s="1" t="s">
        <v>40</v>
      </c>
      <c r="Q1385" s="1" t="str">
        <f>IF(ISERROR(VLOOKUP(P1385,'unique fed agency names'!A:C,3,FALSE)),P1385,VLOOKUP(P1385,'unique fed agency names'!A:C,3,FALSE))
</f>
        <v>U.S. Department of Health and Human Services (DHHS)</v>
      </c>
      <c r="R1385" s="1">
        <v>3.8775243E7</v>
      </c>
      <c r="S1385" s="1" t="s">
        <v>209</v>
      </c>
      <c r="T1385" s="1" t="str">
        <f>IF(ISERROR(VLOOKUP(S1385,'unique org names'!A:C,3,FALSE)),S1385,VLOOKUP(S1385,'unique org names'!A:C,3,FALSE))
</f>
        <v>SOUTHEASTERN MICHIGAN HEALTH ASSOCIATION</v>
      </c>
      <c r="U1385" s="1" t="s">
        <v>210</v>
      </c>
      <c r="V1385" s="1" t="s">
        <v>211</v>
      </c>
      <c r="W1385" s="1" t="s">
        <v>44</v>
      </c>
      <c r="X1385" s="1" t="s">
        <v>45</v>
      </c>
      <c r="Y1385" s="1">
        <v>4.82023068E8</v>
      </c>
      <c r="AA1385" s="1" t="s">
        <v>46</v>
      </c>
      <c r="AB1385" s="1" t="s">
        <v>45</v>
      </c>
      <c r="AC1385" s="1">
        <v>4.82023068E8</v>
      </c>
      <c r="AD1385" s="1">
        <v>3.8775243E7</v>
      </c>
      <c r="AE1385" s="1" t="s">
        <v>209</v>
      </c>
      <c r="AF1385" s="1">
        <v>0.0</v>
      </c>
      <c r="AG1385" s="2">
        <v>41183.0</v>
      </c>
      <c r="AH1385" s="1">
        <v>7500.0</v>
      </c>
      <c r="AI1385" s="1" t="s">
        <v>40</v>
      </c>
      <c r="AJ1385" s="1">
        <v>2.0131224E7</v>
      </c>
      <c r="AK1385" s="1" t="s">
        <v>2655</v>
      </c>
      <c r="AL1385" s="1">
        <v>10.0</v>
      </c>
      <c r="AM1385" s="1">
        <v>2011.0</v>
      </c>
      <c r="AN1385" s="1">
        <v>2013.0</v>
      </c>
      <c r="AO1385" s="1" t="s">
        <v>162</v>
      </c>
    </row>
    <row r="1386">
      <c r="A1386" s="5">
        <v>1.0</v>
      </c>
      <c r="B1386" s="1">
        <f t="shared" si="1"/>
        <v>1386</v>
      </c>
      <c r="C1386" s="1" t="s">
        <v>2825</v>
      </c>
      <c r="D1386" s="1" t="s">
        <v>2825</v>
      </c>
      <c r="E1386" s="1" t="s">
        <v>645</v>
      </c>
      <c r="G1386" s="1">
        <v>5.014612E7</v>
      </c>
      <c r="H1386" s="2">
        <v>41183.0</v>
      </c>
      <c r="I1386" s="1" t="s">
        <v>1577</v>
      </c>
      <c r="K1386" s="1" t="s">
        <v>1577</v>
      </c>
      <c r="N1386" s="1" t="s">
        <v>647</v>
      </c>
      <c r="O1386" s="1">
        <v>1200.0</v>
      </c>
      <c r="P1386" s="1" t="s">
        <v>647</v>
      </c>
      <c r="Q1386" s="1" t="str">
        <f>IF(ISERROR(VLOOKUP(P1386,'unique fed agency names'!A:C,3,FALSE)),P1386,VLOOKUP(P1386,'unique fed agency names'!A:C,3,FALSE))
</f>
        <v>U.S. Department of Agriculture (USDA)</v>
      </c>
      <c r="R1386" s="1">
        <v>3.8775243E7</v>
      </c>
      <c r="S1386" s="1" t="s">
        <v>209</v>
      </c>
      <c r="T1386" s="1" t="str">
        <f>IF(ISERROR(VLOOKUP(S1386,'unique org names'!A:C,3,FALSE)),S1386,VLOOKUP(S1386,'unique org names'!A:C,3,FALSE))
</f>
        <v>SOUTHEASTERN MICHIGAN HEALTH ASSOCIATION</v>
      </c>
      <c r="U1386" s="1" t="s">
        <v>210</v>
      </c>
      <c r="V1386" s="1" t="s">
        <v>211</v>
      </c>
      <c r="W1386" s="1" t="s">
        <v>44</v>
      </c>
      <c r="X1386" s="1" t="s">
        <v>45</v>
      </c>
      <c r="Y1386" s="1">
        <v>4.82023068E8</v>
      </c>
      <c r="AA1386" s="1" t="s">
        <v>46</v>
      </c>
      <c r="AB1386" s="1" t="s">
        <v>45</v>
      </c>
      <c r="AC1386" s="1">
        <v>4.82023068E8</v>
      </c>
      <c r="AD1386" s="1">
        <v>3.8775243E7</v>
      </c>
      <c r="AE1386" s="1" t="s">
        <v>209</v>
      </c>
      <c r="AF1386" s="1">
        <v>0.0</v>
      </c>
      <c r="AG1386" s="2">
        <v>41183.0</v>
      </c>
      <c r="AH1386" s="1">
        <v>1200.0</v>
      </c>
      <c r="AI1386" s="1" t="s">
        <v>647</v>
      </c>
      <c r="AJ1386" s="1">
        <v>2.013107E7</v>
      </c>
      <c r="AK1386" s="1" t="s">
        <v>2826</v>
      </c>
      <c r="AL1386" s="1">
        <v>10.0</v>
      </c>
      <c r="AM1386" s="1">
        <v>2012.0</v>
      </c>
      <c r="AN1386" s="1">
        <v>2013.0</v>
      </c>
      <c r="AO1386" s="1" t="s">
        <v>1580</v>
      </c>
    </row>
    <row r="1387">
      <c r="A1387" s="5">
        <v>1.0</v>
      </c>
      <c r="B1387" s="1">
        <f t="shared" si="1"/>
        <v>1387</v>
      </c>
      <c r="C1387" s="1" t="s">
        <v>2825</v>
      </c>
      <c r="D1387" s="1" t="s">
        <v>2825</v>
      </c>
      <c r="E1387" s="1" t="s">
        <v>645</v>
      </c>
      <c r="G1387" s="1">
        <v>5.014612E7</v>
      </c>
      <c r="H1387" s="2">
        <v>41183.0</v>
      </c>
      <c r="I1387" s="1" t="s">
        <v>1577</v>
      </c>
      <c r="K1387" s="1" t="s">
        <v>1577</v>
      </c>
      <c r="N1387" s="1" t="s">
        <v>647</v>
      </c>
      <c r="O1387" s="1">
        <v>1200.0</v>
      </c>
      <c r="P1387" s="1" t="s">
        <v>647</v>
      </c>
      <c r="Q1387" s="1" t="str">
        <f>IF(ISERROR(VLOOKUP(P1387,'unique fed agency names'!A:C,3,FALSE)),P1387,VLOOKUP(P1387,'unique fed agency names'!A:C,3,FALSE))
</f>
        <v>U.S. Department of Agriculture (USDA)</v>
      </c>
      <c r="R1387" s="1">
        <v>3.8775243E7</v>
      </c>
      <c r="S1387" s="1" t="s">
        <v>209</v>
      </c>
      <c r="T1387" s="1" t="str">
        <f>IF(ISERROR(VLOOKUP(S1387,'unique org names'!A:C,3,FALSE)),S1387,VLOOKUP(S1387,'unique org names'!A:C,3,FALSE))
</f>
        <v>SOUTHEASTERN MICHIGAN HEALTH ASSOCIATION</v>
      </c>
      <c r="U1387" s="1" t="s">
        <v>210</v>
      </c>
      <c r="V1387" s="1" t="s">
        <v>211</v>
      </c>
      <c r="W1387" s="1" t="s">
        <v>44</v>
      </c>
      <c r="X1387" s="1" t="s">
        <v>45</v>
      </c>
      <c r="Y1387" s="1">
        <v>4.82023068E8</v>
      </c>
      <c r="AA1387" s="1" t="s">
        <v>46</v>
      </c>
      <c r="AB1387" s="1" t="s">
        <v>45</v>
      </c>
      <c r="AC1387" s="1">
        <v>4.82023068E8</v>
      </c>
      <c r="AD1387" s="1">
        <v>3.8775243E7</v>
      </c>
      <c r="AE1387" s="1" t="s">
        <v>209</v>
      </c>
      <c r="AF1387" s="1">
        <v>0.0</v>
      </c>
      <c r="AG1387" s="2">
        <v>41183.0</v>
      </c>
      <c r="AH1387" s="1">
        <v>1200.0</v>
      </c>
      <c r="AI1387" s="1" t="s">
        <v>647</v>
      </c>
      <c r="AJ1387" s="1">
        <v>2.013107E7</v>
      </c>
      <c r="AK1387" s="1" t="s">
        <v>2826</v>
      </c>
      <c r="AL1387" s="1">
        <v>10.0</v>
      </c>
      <c r="AM1387" s="1">
        <v>2012.0</v>
      </c>
      <c r="AN1387" s="1">
        <v>2013.0</v>
      </c>
      <c r="AO1387" s="1" t="s">
        <v>1580</v>
      </c>
    </row>
    <row r="1388">
      <c r="A1388" s="5">
        <v>1.0</v>
      </c>
      <c r="B1388" s="1">
        <f t="shared" si="1"/>
        <v>1388</v>
      </c>
      <c r="C1388" s="1" t="s">
        <v>2825</v>
      </c>
      <c r="D1388" s="1" t="s">
        <v>2825</v>
      </c>
      <c r="E1388" s="1" t="s">
        <v>645</v>
      </c>
      <c r="G1388" s="1">
        <v>5.014612E7</v>
      </c>
      <c r="H1388" s="2">
        <v>41183.0</v>
      </c>
      <c r="I1388" s="1" t="s">
        <v>1577</v>
      </c>
      <c r="K1388" s="1" t="s">
        <v>1577</v>
      </c>
      <c r="N1388" s="1" t="s">
        <v>647</v>
      </c>
      <c r="O1388" s="1">
        <v>1200.0</v>
      </c>
      <c r="P1388" s="1" t="s">
        <v>647</v>
      </c>
      <c r="Q1388" s="1" t="str">
        <f>IF(ISERROR(VLOOKUP(P1388,'unique fed agency names'!A:C,3,FALSE)),P1388,VLOOKUP(P1388,'unique fed agency names'!A:C,3,FALSE))
</f>
        <v>U.S. Department of Agriculture (USDA)</v>
      </c>
      <c r="R1388" s="1">
        <v>7.8583404E7</v>
      </c>
      <c r="S1388" s="1" t="s">
        <v>65</v>
      </c>
      <c r="T1388" s="1" t="str">
        <f>IF(ISERROR(VLOOKUP(S1388,'unique org names'!A:C,3,FALSE)),S1388,VLOOKUP(S1388,'unique org names'!A:C,3,FALSE))
</f>
        <v>Institute for Population Health Inc.</v>
      </c>
      <c r="V1388" s="1" t="s">
        <v>1573</v>
      </c>
      <c r="W1388" s="1" t="s">
        <v>44</v>
      </c>
      <c r="X1388" s="1" t="s">
        <v>45</v>
      </c>
      <c r="Y1388" s="1">
        <v>4.8207311E8</v>
      </c>
      <c r="AA1388" s="1" t="s">
        <v>46</v>
      </c>
      <c r="AB1388" s="1" t="s">
        <v>45</v>
      </c>
      <c r="AC1388" s="1">
        <v>4.82021732E8</v>
      </c>
      <c r="AF1388" s="1">
        <v>5050059.0</v>
      </c>
      <c r="AG1388" s="2">
        <v>41183.0</v>
      </c>
      <c r="AH1388" s="1">
        <v>1200.0</v>
      </c>
      <c r="AI1388" s="1" t="s">
        <v>647</v>
      </c>
      <c r="AJ1388" s="1">
        <v>2.01304E7</v>
      </c>
      <c r="AK1388" s="1" t="s">
        <v>2826</v>
      </c>
      <c r="AL1388" s="1">
        <v>10.0</v>
      </c>
      <c r="AM1388" s="1">
        <v>2012.0</v>
      </c>
      <c r="AN1388" s="1">
        <v>2013.0</v>
      </c>
      <c r="AO1388" s="1" t="s">
        <v>1580</v>
      </c>
    </row>
    <row r="1389">
      <c r="A1389" s="5">
        <v>1.0</v>
      </c>
      <c r="B1389" s="1">
        <f t="shared" si="1"/>
        <v>1389</v>
      </c>
      <c r="C1389" s="1" t="s">
        <v>2825</v>
      </c>
      <c r="D1389" s="1" t="s">
        <v>2825</v>
      </c>
      <c r="E1389" s="1" t="s">
        <v>645</v>
      </c>
      <c r="G1389" s="1">
        <v>5.014612E7</v>
      </c>
      <c r="H1389" s="2">
        <v>41183.0</v>
      </c>
      <c r="I1389" s="1" t="s">
        <v>1577</v>
      </c>
      <c r="K1389" s="1" t="s">
        <v>1577</v>
      </c>
      <c r="N1389" s="1" t="s">
        <v>647</v>
      </c>
      <c r="O1389" s="1">
        <v>1200.0</v>
      </c>
      <c r="P1389" s="1" t="s">
        <v>647</v>
      </c>
      <c r="Q1389" s="1" t="str">
        <f>IF(ISERROR(VLOOKUP(P1389,'unique fed agency names'!A:C,3,FALSE)),P1389,VLOOKUP(P1389,'unique fed agency names'!A:C,3,FALSE))
</f>
        <v>U.S. Department of Agriculture (USDA)</v>
      </c>
      <c r="R1389" s="1">
        <v>7.6377316E7</v>
      </c>
      <c r="S1389" s="1" t="s">
        <v>2302</v>
      </c>
      <c r="T1389" s="1" t="str">
        <f>IF(ISERROR(VLOOKUP(S1389,'unique org names'!A:C,3,FALSE)),S1389,VLOOKUP(S1389,'unique org names'!A:C,3,FALSE))
</f>
        <v>VHS CHILDREN'S HOSPITAL OF MICHIGAN, INC.</v>
      </c>
      <c r="V1389" s="1" t="s">
        <v>2303</v>
      </c>
      <c r="W1389" s="1" t="s">
        <v>44</v>
      </c>
      <c r="X1389" s="1" t="s">
        <v>45</v>
      </c>
      <c r="Y1389" s="1">
        <v>4.82012119E8</v>
      </c>
      <c r="AA1389" s="1" t="s">
        <v>46</v>
      </c>
      <c r="AB1389" s="1" t="s">
        <v>45</v>
      </c>
      <c r="AC1389" s="1">
        <v>4.82012119E8</v>
      </c>
      <c r="AD1389" s="1">
        <v>5.3866661E7</v>
      </c>
      <c r="AF1389" s="1">
        <v>0.0</v>
      </c>
      <c r="AG1389" s="2">
        <v>41183.0</v>
      </c>
      <c r="AH1389" s="1">
        <v>1200.0</v>
      </c>
      <c r="AI1389" s="1" t="s">
        <v>647</v>
      </c>
      <c r="AJ1389" s="1">
        <v>2.0131023E7</v>
      </c>
      <c r="AK1389" s="1" t="s">
        <v>2826</v>
      </c>
      <c r="AL1389" s="1">
        <v>10.0</v>
      </c>
      <c r="AM1389" s="1">
        <v>2012.0</v>
      </c>
      <c r="AN1389" s="1">
        <v>2013.0</v>
      </c>
      <c r="AO1389" s="1" t="s">
        <v>1580</v>
      </c>
    </row>
    <row r="1390">
      <c r="A1390" s="5">
        <v>1.0</v>
      </c>
      <c r="B1390" s="1">
        <f t="shared" si="1"/>
        <v>1390</v>
      </c>
      <c r="C1390" s="1" t="s">
        <v>2825</v>
      </c>
      <c r="D1390" s="1" t="s">
        <v>2825</v>
      </c>
      <c r="E1390" s="1" t="s">
        <v>645</v>
      </c>
      <c r="G1390" s="1">
        <v>5.014612E7</v>
      </c>
      <c r="H1390" s="2">
        <v>41183.0</v>
      </c>
      <c r="I1390" s="1" t="s">
        <v>1577</v>
      </c>
      <c r="K1390" s="1" t="s">
        <v>1577</v>
      </c>
      <c r="N1390" s="1" t="s">
        <v>647</v>
      </c>
      <c r="O1390" s="1">
        <v>1200.0</v>
      </c>
      <c r="P1390" s="1" t="s">
        <v>647</v>
      </c>
      <c r="Q1390" s="1" t="str">
        <f>IF(ISERROR(VLOOKUP(P1390,'unique fed agency names'!A:C,3,FALSE)),P1390,VLOOKUP(P1390,'unique fed agency names'!A:C,3,FALSE))
</f>
        <v>U.S. Department of Agriculture (USDA)</v>
      </c>
      <c r="R1390" s="1">
        <v>3.8775243E7</v>
      </c>
      <c r="S1390" s="1" t="s">
        <v>209</v>
      </c>
      <c r="T1390" s="1" t="str">
        <f>IF(ISERROR(VLOOKUP(S1390,'unique org names'!A:C,3,FALSE)),S1390,VLOOKUP(S1390,'unique org names'!A:C,3,FALSE))
</f>
        <v>SOUTHEASTERN MICHIGAN HEALTH ASSOCIATION</v>
      </c>
      <c r="U1390" s="1" t="s">
        <v>210</v>
      </c>
      <c r="V1390" s="1" t="s">
        <v>211</v>
      </c>
      <c r="W1390" s="1" t="s">
        <v>44</v>
      </c>
      <c r="X1390" s="1" t="s">
        <v>45</v>
      </c>
      <c r="Y1390" s="1">
        <v>4.82023068E8</v>
      </c>
      <c r="AA1390" s="1" t="s">
        <v>46</v>
      </c>
      <c r="AB1390" s="1" t="s">
        <v>45</v>
      </c>
      <c r="AC1390" s="1">
        <v>4.82023068E8</v>
      </c>
      <c r="AD1390" s="1">
        <v>3.8775243E7</v>
      </c>
      <c r="AE1390" s="1" t="s">
        <v>209</v>
      </c>
      <c r="AF1390" s="1">
        <v>0.0</v>
      </c>
      <c r="AG1390" s="2">
        <v>41183.0</v>
      </c>
      <c r="AH1390" s="1">
        <v>1200.0</v>
      </c>
      <c r="AI1390" s="1" t="s">
        <v>647</v>
      </c>
      <c r="AJ1390" s="1">
        <v>2.013107E7</v>
      </c>
      <c r="AK1390" s="1" t="s">
        <v>2826</v>
      </c>
      <c r="AL1390" s="1">
        <v>10.0</v>
      </c>
      <c r="AM1390" s="1">
        <v>2012.0</v>
      </c>
      <c r="AN1390" s="1">
        <v>2013.0</v>
      </c>
      <c r="AO1390" s="1" t="s">
        <v>1580</v>
      </c>
    </row>
    <row r="1391">
      <c r="A1391" s="5">
        <v>1.0</v>
      </c>
      <c r="B1391" s="1">
        <f t="shared" si="1"/>
        <v>1391</v>
      </c>
      <c r="C1391" s="1" t="s">
        <v>2827</v>
      </c>
      <c r="D1391" s="1" t="s">
        <v>2827</v>
      </c>
      <c r="E1391" s="1" t="s">
        <v>1446</v>
      </c>
      <c r="G1391" s="1">
        <v>9116670.0</v>
      </c>
      <c r="H1391" s="2">
        <v>41835.0</v>
      </c>
      <c r="I1391" s="1" t="s">
        <v>2828</v>
      </c>
      <c r="K1391" s="1" t="s">
        <v>2828</v>
      </c>
      <c r="N1391" s="1" t="s">
        <v>1079</v>
      </c>
      <c r="O1391" s="1">
        <v>7000.0</v>
      </c>
      <c r="P1391" s="1" t="s">
        <v>1079</v>
      </c>
      <c r="Q1391" s="1" t="str">
        <f>IF(ISERROR(VLOOKUP(P1391,'unique fed agency names'!A:C,3,FALSE)),P1391,VLOOKUP(P1391,'unique fed agency names'!A:C,3,FALSE))
</f>
        <v>U.S. Department of Homeland Security (DHS)</v>
      </c>
      <c r="R1391" s="1">
        <v>7.3134884E7</v>
      </c>
      <c r="S1391" s="1" t="s">
        <v>1796</v>
      </c>
      <c r="T1391" s="1" t="str">
        <f>IF(ISERROR(VLOOKUP(S1391,'unique org names'!A:C,3,FALSE)),S1391,VLOOKUP(S1391,'unique org names'!A:C,3,FALSE))
</f>
        <v>Wayne County</v>
      </c>
      <c r="V1391" s="1" t="s">
        <v>1855</v>
      </c>
      <c r="W1391" s="1" t="s">
        <v>44</v>
      </c>
      <c r="X1391" s="1" t="s">
        <v>45</v>
      </c>
      <c r="Y1391" s="1">
        <v>48226.0</v>
      </c>
      <c r="AA1391" s="1" t="s">
        <v>46</v>
      </c>
      <c r="AB1391" s="1" t="s">
        <v>45</v>
      </c>
      <c r="AC1391" s="1">
        <v>48226.0</v>
      </c>
      <c r="AD1391" s="1">
        <v>7.3134884E7</v>
      </c>
      <c r="AE1391" s="1" t="s">
        <v>1796</v>
      </c>
      <c r="AF1391" s="1">
        <v>82239.0</v>
      </c>
      <c r="AG1391" s="2">
        <v>41835.0</v>
      </c>
      <c r="AH1391" s="1">
        <v>7000.0</v>
      </c>
      <c r="AI1391" s="1" t="s">
        <v>1079</v>
      </c>
      <c r="AJ1391" s="1" t="s">
        <v>2829</v>
      </c>
      <c r="AK1391" s="1" t="s">
        <v>2830</v>
      </c>
      <c r="AL1391" s="1">
        <v>9.0</v>
      </c>
      <c r="AM1391" s="1">
        <v>2014.0</v>
      </c>
      <c r="AN1391" s="1">
        <v>2014.0</v>
      </c>
      <c r="AO1391" s="1" t="s">
        <v>1458</v>
      </c>
    </row>
    <row r="1392">
      <c r="A1392" s="5">
        <v>1.0</v>
      </c>
      <c r="B1392" s="1">
        <f t="shared" si="1"/>
        <v>1392</v>
      </c>
      <c r="C1392" s="1" t="s">
        <v>2825</v>
      </c>
      <c r="D1392" s="1" t="s">
        <v>2825</v>
      </c>
      <c r="E1392" s="1" t="s">
        <v>645</v>
      </c>
      <c r="G1392" s="1">
        <v>5.014612E7</v>
      </c>
      <c r="H1392" s="2">
        <v>41183.0</v>
      </c>
      <c r="I1392" s="1" t="s">
        <v>1577</v>
      </c>
      <c r="K1392" s="1" t="s">
        <v>1577</v>
      </c>
      <c r="N1392" s="1" t="s">
        <v>647</v>
      </c>
      <c r="O1392" s="1">
        <v>1200.0</v>
      </c>
      <c r="P1392" s="1" t="s">
        <v>647</v>
      </c>
      <c r="Q1392" s="1" t="str">
        <f>IF(ISERROR(VLOOKUP(P1392,'unique fed agency names'!A:C,3,FALSE)),P1392,VLOOKUP(P1392,'unique fed agency names'!A:C,3,FALSE))
</f>
        <v>U.S. Department of Agriculture (USDA)</v>
      </c>
      <c r="R1392" s="1">
        <v>1.51978897E8</v>
      </c>
      <c r="S1392" s="1" t="s">
        <v>2831</v>
      </c>
      <c r="T1392" s="1" t="str">
        <f>IF(ISERROR(VLOOKUP(S1392,'unique org names'!A:C,3,FALSE)),S1392,VLOOKUP(S1392,'unique org names'!A:C,3,FALSE))
</f>
        <v>Detroit Urban League, Inc</v>
      </c>
      <c r="V1392" s="1" t="s">
        <v>2832</v>
      </c>
      <c r="W1392" s="1" t="s">
        <v>44</v>
      </c>
      <c r="X1392" s="1" t="s">
        <v>45</v>
      </c>
      <c r="Y1392" s="1">
        <v>4.82012418E8</v>
      </c>
      <c r="AA1392" s="1" t="s">
        <v>46</v>
      </c>
      <c r="AB1392" s="1" t="s">
        <v>45</v>
      </c>
      <c r="AC1392" s="1">
        <v>4.82012418E8</v>
      </c>
      <c r="AD1392" s="1">
        <v>1.51978897E8</v>
      </c>
      <c r="AF1392" s="1">
        <v>2018268.0</v>
      </c>
      <c r="AG1392" s="2">
        <v>41183.0</v>
      </c>
      <c r="AH1392" s="1">
        <v>1200.0</v>
      </c>
      <c r="AI1392" s="1" t="s">
        <v>647</v>
      </c>
      <c r="AJ1392" s="1">
        <v>2.0130128E7</v>
      </c>
      <c r="AK1392" s="1" t="s">
        <v>2826</v>
      </c>
      <c r="AL1392" s="1">
        <v>10.0</v>
      </c>
      <c r="AM1392" s="1">
        <v>2012.0</v>
      </c>
      <c r="AN1392" s="1">
        <v>2013.0</v>
      </c>
      <c r="AO1392" s="1" t="s">
        <v>1580</v>
      </c>
    </row>
    <row r="1393">
      <c r="A1393" s="5">
        <v>1.0</v>
      </c>
      <c r="B1393" s="1">
        <f t="shared" si="1"/>
        <v>1393</v>
      </c>
      <c r="C1393" s="1" t="s">
        <v>2825</v>
      </c>
      <c r="D1393" s="1" t="s">
        <v>2825</v>
      </c>
      <c r="E1393" s="1" t="s">
        <v>645</v>
      </c>
      <c r="G1393" s="1">
        <v>5.014612E7</v>
      </c>
      <c r="H1393" s="2">
        <v>41183.0</v>
      </c>
      <c r="I1393" s="1" t="s">
        <v>1577</v>
      </c>
      <c r="K1393" s="1" t="s">
        <v>1577</v>
      </c>
      <c r="N1393" s="1" t="s">
        <v>647</v>
      </c>
      <c r="O1393" s="1">
        <v>1200.0</v>
      </c>
      <c r="P1393" s="1" t="s">
        <v>647</v>
      </c>
      <c r="Q1393" s="1" t="str">
        <f>IF(ISERROR(VLOOKUP(P1393,'unique fed agency names'!A:C,3,FALSE)),P1393,VLOOKUP(P1393,'unique fed agency names'!A:C,3,FALSE))
</f>
        <v>U.S. Department of Agriculture (USDA)</v>
      </c>
      <c r="R1393" s="1">
        <v>7.8583404E7</v>
      </c>
      <c r="S1393" s="1" t="s">
        <v>65</v>
      </c>
      <c r="T1393" s="1" t="str">
        <f>IF(ISERROR(VLOOKUP(S1393,'unique org names'!A:C,3,FALSE)),S1393,VLOOKUP(S1393,'unique org names'!A:C,3,FALSE))
</f>
        <v>Institute for Population Health Inc.</v>
      </c>
      <c r="V1393" s="1" t="s">
        <v>1573</v>
      </c>
      <c r="W1393" s="1" t="s">
        <v>44</v>
      </c>
      <c r="X1393" s="1" t="s">
        <v>45</v>
      </c>
      <c r="Y1393" s="1">
        <v>4.8207311E8</v>
      </c>
      <c r="AA1393" s="1" t="s">
        <v>46</v>
      </c>
      <c r="AB1393" s="1" t="s">
        <v>45</v>
      </c>
      <c r="AC1393" s="1">
        <v>4.82021732E8</v>
      </c>
      <c r="AF1393" s="1">
        <v>33070.0</v>
      </c>
      <c r="AG1393" s="2">
        <v>41183.0</v>
      </c>
      <c r="AH1393" s="1">
        <v>1200.0</v>
      </c>
      <c r="AI1393" s="1" t="s">
        <v>647</v>
      </c>
      <c r="AJ1393" s="1">
        <v>2.01304E7</v>
      </c>
      <c r="AK1393" s="1" t="s">
        <v>2826</v>
      </c>
      <c r="AL1393" s="1">
        <v>10.0</v>
      </c>
      <c r="AM1393" s="1">
        <v>2012.0</v>
      </c>
      <c r="AN1393" s="1">
        <v>2013.0</v>
      </c>
      <c r="AO1393" s="1" t="s">
        <v>1580</v>
      </c>
    </row>
    <row r="1394">
      <c r="A1394" s="5">
        <v>1.0</v>
      </c>
      <c r="B1394" s="1">
        <f t="shared" si="1"/>
        <v>1394</v>
      </c>
      <c r="C1394" s="1" t="s">
        <v>2827</v>
      </c>
      <c r="D1394" s="1" t="s">
        <v>2827</v>
      </c>
      <c r="E1394" s="1" t="s">
        <v>1446</v>
      </c>
      <c r="G1394" s="1">
        <v>9116670.0</v>
      </c>
      <c r="H1394" s="2">
        <v>41835.0</v>
      </c>
      <c r="I1394" s="1" t="s">
        <v>2828</v>
      </c>
      <c r="K1394" s="1" t="s">
        <v>2828</v>
      </c>
      <c r="N1394" s="1" t="s">
        <v>1079</v>
      </c>
      <c r="O1394" s="1">
        <v>7000.0</v>
      </c>
      <c r="P1394" s="1" t="s">
        <v>1079</v>
      </c>
      <c r="Q1394" s="1" t="str">
        <f>IF(ISERROR(VLOOKUP(P1394,'unique fed agency names'!A:C,3,FALSE)),P1394,VLOOKUP(P1394,'unique fed agency names'!A:C,3,FALSE))
</f>
        <v>U.S. Department of Homeland Security (DHS)</v>
      </c>
      <c r="R1394" s="1">
        <v>6530661.0</v>
      </c>
      <c r="S1394" s="1" t="s">
        <v>73</v>
      </c>
      <c r="T1394" s="1" t="str">
        <f>IF(ISERROR(VLOOKUP(S1394,'unique org names'!A:C,3,FALSE)),S1394,VLOOKUP(S1394,'unique org names'!A:C,3,FALSE))
</f>
        <v>City Of Detroit</v>
      </c>
      <c r="U1394" s="1" t="s">
        <v>323</v>
      </c>
      <c r="V1394" s="1" t="s">
        <v>1961</v>
      </c>
      <c r="W1394" s="1" t="s">
        <v>44</v>
      </c>
      <c r="X1394" s="1" t="s">
        <v>45</v>
      </c>
      <c r="Y1394" s="1">
        <v>4.82263443E8</v>
      </c>
      <c r="AA1394" s="1" t="s">
        <v>44</v>
      </c>
      <c r="AB1394" s="1" t="s">
        <v>45</v>
      </c>
      <c r="AC1394" s="1">
        <v>4.82263443E8</v>
      </c>
      <c r="AD1394" s="1">
        <v>6530661.0</v>
      </c>
      <c r="AE1394" s="1" t="s">
        <v>76</v>
      </c>
      <c r="AF1394" s="1">
        <v>38558.0</v>
      </c>
      <c r="AG1394" s="2">
        <v>41835.0</v>
      </c>
      <c r="AH1394" s="1">
        <v>7000.0</v>
      </c>
      <c r="AI1394" s="1" t="s">
        <v>1079</v>
      </c>
      <c r="AJ1394" s="1" t="s">
        <v>2829</v>
      </c>
      <c r="AK1394" s="1" t="s">
        <v>2830</v>
      </c>
      <c r="AL1394" s="1">
        <v>9.0</v>
      </c>
      <c r="AM1394" s="1">
        <v>2014.0</v>
      </c>
      <c r="AN1394" s="1">
        <v>2014.0</v>
      </c>
      <c r="AO1394" s="1" t="s">
        <v>1458</v>
      </c>
    </row>
    <row r="1395">
      <c r="A1395" s="5">
        <v>1.0</v>
      </c>
      <c r="B1395" s="1">
        <f t="shared" si="1"/>
        <v>1395</v>
      </c>
      <c r="C1395" s="1" t="s">
        <v>2833</v>
      </c>
      <c r="D1395" s="1" t="s">
        <v>2833</v>
      </c>
      <c r="E1395" s="1" t="s">
        <v>194</v>
      </c>
      <c r="G1395" s="1">
        <v>3.5015472E7</v>
      </c>
      <c r="H1395" s="2">
        <v>41605.0</v>
      </c>
      <c r="I1395" s="1" t="s">
        <v>1380</v>
      </c>
      <c r="K1395" s="1" t="s">
        <v>1380</v>
      </c>
      <c r="N1395" s="1" t="s">
        <v>194</v>
      </c>
      <c r="O1395" s="1">
        <v>9100.0</v>
      </c>
      <c r="P1395" s="1" t="s">
        <v>194</v>
      </c>
      <c r="Q1395" s="1" t="str">
        <f>IF(ISERROR(VLOOKUP(P1395,'unique fed agency names'!A:C,3,FALSE)),P1395,VLOOKUP(P1395,'unique fed agency names'!A:C,3,FALSE))
</f>
        <v>U.S. Department of Education (ED)</v>
      </c>
      <c r="R1395" s="1">
        <v>7.6386556E7</v>
      </c>
      <c r="S1395" s="1" t="s">
        <v>1242</v>
      </c>
      <c r="T1395" s="1" t="str">
        <f>IF(ISERROR(VLOOKUP(S1395,'unique org names'!A:C,3,FALSE)),S1395,VLOOKUP(S1395,'unique org names'!A:C,3,FALSE))
</f>
        <v>WAYNE COUNTY COMMUNITY COLLEGE DISTRICT</v>
      </c>
      <c r="V1395" s="1" t="s">
        <v>1243</v>
      </c>
      <c r="W1395" s="1" t="s">
        <v>44</v>
      </c>
      <c r="X1395" s="1" t="s">
        <v>45</v>
      </c>
      <c r="Y1395" s="1">
        <v>4.8226301E8</v>
      </c>
      <c r="AA1395" s="1" t="s">
        <v>44</v>
      </c>
      <c r="AB1395" s="1" t="s">
        <v>45</v>
      </c>
      <c r="AC1395" s="1">
        <v>4.8226301E8</v>
      </c>
      <c r="AD1395" s="1">
        <v>7.6386556E7</v>
      </c>
      <c r="AE1395" s="1" t="s">
        <v>1242</v>
      </c>
      <c r="AF1395" s="1">
        <v>1080518.0</v>
      </c>
      <c r="AG1395" s="2">
        <v>41605.0</v>
      </c>
      <c r="AH1395" s="1">
        <v>9100.0</v>
      </c>
      <c r="AI1395" s="1" t="s">
        <v>194</v>
      </c>
      <c r="AJ1395" s="1" t="s">
        <v>2834</v>
      </c>
      <c r="AK1395" s="1" t="s">
        <v>1382</v>
      </c>
      <c r="AL1395" s="1">
        <v>9.0</v>
      </c>
      <c r="AM1395" s="1">
        <v>2014.0</v>
      </c>
      <c r="AN1395" s="1">
        <v>2014.0</v>
      </c>
      <c r="AO1395" s="1" t="s">
        <v>1383</v>
      </c>
    </row>
    <row r="1396">
      <c r="A1396" s="5">
        <v>1.0</v>
      </c>
      <c r="B1396" s="1">
        <f t="shared" si="1"/>
        <v>1396</v>
      </c>
      <c r="C1396" s="1" t="s">
        <v>2833</v>
      </c>
      <c r="D1396" s="1" t="s">
        <v>2833</v>
      </c>
      <c r="E1396" s="1" t="s">
        <v>194</v>
      </c>
      <c r="G1396" s="1">
        <v>3.5015472E7</v>
      </c>
      <c r="H1396" s="2">
        <v>41878.0</v>
      </c>
      <c r="I1396" s="1" t="s">
        <v>1380</v>
      </c>
      <c r="K1396" s="1" t="s">
        <v>1380</v>
      </c>
      <c r="N1396" s="1" t="s">
        <v>194</v>
      </c>
      <c r="O1396" s="1">
        <v>9100.0</v>
      </c>
      <c r="P1396" s="1" t="s">
        <v>194</v>
      </c>
      <c r="Q1396" s="1" t="str">
        <f>IF(ISERROR(VLOOKUP(P1396,'unique fed agency names'!A:C,3,FALSE)),P1396,VLOOKUP(P1396,'unique fed agency names'!A:C,3,FALSE))
</f>
        <v>U.S. Department of Education (ED)</v>
      </c>
      <c r="R1396" s="1">
        <v>7.6340843E7</v>
      </c>
      <c r="S1396" s="1" t="s">
        <v>461</v>
      </c>
      <c r="T1396" s="1" t="str">
        <f>IF(ISERROR(VLOOKUP(S1396,'unique org names'!A:C,3,FALSE)),S1396,VLOOKUP(S1396,'unique org names'!A:C,3,FALSE))
</f>
        <v>BOARD OF EDUCATION OF THE CITY OF DETROIT</v>
      </c>
      <c r="V1396" s="1" t="s">
        <v>1599</v>
      </c>
      <c r="W1396" s="1" t="s">
        <v>44</v>
      </c>
      <c r="X1396" s="1" t="s">
        <v>45</v>
      </c>
      <c r="Y1396" s="1">
        <v>4.8202301E8</v>
      </c>
      <c r="AA1396" s="1" t="s">
        <v>44</v>
      </c>
      <c r="AB1396" s="1" t="s">
        <v>45</v>
      </c>
      <c r="AC1396" s="1">
        <v>4.82023096E8</v>
      </c>
      <c r="AD1396" s="1">
        <v>7.6340843E7</v>
      </c>
      <c r="AE1396" s="1" t="s">
        <v>461</v>
      </c>
      <c r="AF1396" s="1">
        <v>2748666.0</v>
      </c>
      <c r="AG1396" s="2">
        <v>41878.0</v>
      </c>
      <c r="AH1396" s="1">
        <v>9100.0</v>
      </c>
      <c r="AI1396" s="1" t="s">
        <v>194</v>
      </c>
      <c r="AJ1396" s="1" t="s">
        <v>2835</v>
      </c>
      <c r="AK1396" s="1" t="s">
        <v>1382</v>
      </c>
      <c r="AL1396" s="1">
        <v>9.0</v>
      </c>
      <c r="AM1396" s="1">
        <v>2014.0</v>
      </c>
      <c r="AN1396" s="1">
        <v>2014.0</v>
      </c>
      <c r="AO1396" s="1" t="s">
        <v>1383</v>
      </c>
    </row>
    <row r="1397">
      <c r="A1397" s="5">
        <v>1.0</v>
      </c>
      <c r="B1397" s="1">
        <f t="shared" si="1"/>
        <v>1397</v>
      </c>
      <c r="C1397" s="1" t="s">
        <v>2836</v>
      </c>
      <c r="D1397" s="1" t="s">
        <v>2836</v>
      </c>
      <c r="E1397" s="1" t="s">
        <v>194</v>
      </c>
      <c r="G1397" s="1">
        <v>3.7308104E7</v>
      </c>
      <c r="H1397" s="2">
        <v>41649.0</v>
      </c>
      <c r="I1397" s="1" t="s">
        <v>279</v>
      </c>
      <c r="K1397" s="1" t="s">
        <v>279</v>
      </c>
      <c r="N1397" s="1" t="s">
        <v>194</v>
      </c>
      <c r="O1397" s="1">
        <v>9100.0</v>
      </c>
      <c r="P1397" s="1" t="s">
        <v>194</v>
      </c>
      <c r="Q1397" s="1" t="str">
        <f>IF(ISERROR(VLOOKUP(P1397,'unique fed agency names'!A:C,3,FALSE)),P1397,VLOOKUP(P1397,'unique fed agency names'!A:C,3,FALSE))
</f>
        <v>U.S. Department of Education (ED)</v>
      </c>
      <c r="R1397" s="1">
        <v>7.6340843E7</v>
      </c>
      <c r="S1397" s="1" t="s">
        <v>461</v>
      </c>
      <c r="T1397" s="1" t="str">
        <f>IF(ISERROR(VLOOKUP(S1397,'unique org names'!A:C,3,FALSE)),S1397,VLOOKUP(S1397,'unique org names'!A:C,3,FALSE))
</f>
        <v>BOARD OF EDUCATION OF THE CITY OF DETROIT</v>
      </c>
      <c r="V1397" s="1" t="s">
        <v>1599</v>
      </c>
      <c r="W1397" s="1" t="s">
        <v>44</v>
      </c>
      <c r="X1397" s="1" t="s">
        <v>45</v>
      </c>
      <c r="Y1397" s="1">
        <v>4.8202301E8</v>
      </c>
      <c r="AA1397" s="1" t="s">
        <v>44</v>
      </c>
      <c r="AB1397" s="1" t="s">
        <v>45</v>
      </c>
      <c r="AC1397" s="1">
        <v>4.82023096E8</v>
      </c>
      <c r="AD1397" s="1">
        <v>7.6340843E7</v>
      </c>
      <c r="AE1397" s="1" t="s">
        <v>461</v>
      </c>
      <c r="AF1397" s="1">
        <v>4725000.0</v>
      </c>
      <c r="AG1397" s="2">
        <v>41649.0</v>
      </c>
      <c r="AH1397" s="1">
        <v>9100.0</v>
      </c>
      <c r="AI1397" s="1" t="s">
        <v>194</v>
      </c>
      <c r="AJ1397" s="1" t="s">
        <v>2837</v>
      </c>
      <c r="AK1397" s="1" t="s">
        <v>284</v>
      </c>
      <c r="AL1397" s="1">
        <v>9.0</v>
      </c>
      <c r="AM1397" s="1">
        <v>2014.0</v>
      </c>
      <c r="AN1397" s="1">
        <v>2014.0</v>
      </c>
      <c r="AO1397" s="1" t="s">
        <v>285</v>
      </c>
    </row>
    <row r="1398">
      <c r="A1398" s="5">
        <v>1.0</v>
      </c>
      <c r="B1398" s="1">
        <f t="shared" si="1"/>
        <v>1398</v>
      </c>
      <c r="C1398" s="1" t="s">
        <v>2833</v>
      </c>
      <c r="D1398" s="1" t="s">
        <v>2833</v>
      </c>
      <c r="E1398" s="1" t="s">
        <v>194</v>
      </c>
      <c r="G1398" s="1">
        <v>3.5015472E7</v>
      </c>
      <c r="H1398" s="2">
        <v>41477.0</v>
      </c>
      <c r="I1398" s="1" t="s">
        <v>1380</v>
      </c>
      <c r="K1398" s="1" t="s">
        <v>1380</v>
      </c>
      <c r="N1398" s="1" t="s">
        <v>194</v>
      </c>
      <c r="O1398" s="1">
        <v>9100.0</v>
      </c>
      <c r="P1398" s="1" t="s">
        <v>194</v>
      </c>
      <c r="Q1398" s="1" t="str">
        <f>IF(ISERROR(VLOOKUP(P1398,'unique fed agency names'!A:C,3,FALSE)),P1398,VLOOKUP(P1398,'unique fed agency names'!A:C,3,FALSE))
</f>
        <v>U.S. Department of Education (ED)</v>
      </c>
      <c r="R1398" s="1">
        <v>1962224.0</v>
      </c>
      <c r="S1398" s="1" t="s">
        <v>52</v>
      </c>
      <c r="T1398" s="1" t="str">
        <f>IF(ISERROR(VLOOKUP(S1398,'unique org names'!A:C,3,FALSE)),S1398,VLOOKUP(S1398,'unique org names'!A:C,3,FALSE))
</f>
        <v>WAYNE STATE UNIVERSITY</v>
      </c>
      <c r="U1398" s="1" t="s">
        <v>1566</v>
      </c>
      <c r="V1398" s="1" t="s">
        <v>53</v>
      </c>
      <c r="W1398" s="1" t="s">
        <v>44</v>
      </c>
      <c r="X1398" s="1" t="s">
        <v>45</v>
      </c>
      <c r="Y1398" s="1">
        <v>4.82023692E8</v>
      </c>
      <c r="AA1398" s="1" t="s">
        <v>44</v>
      </c>
      <c r="AB1398" s="1" t="s">
        <v>45</v>
      </c>
      <c r="AC1398" s="1">
        <v>4.82023424E8</v>
      </c>
      <c r="AD1398" s="1">
        <v>1962224.0</v>
      </c>
      <c r="AE1398" s="1" t="s">
        <v>52</v>
      </c>
      <c r="AF1398" s="1">
        <v>25000.0</v>
      </c>
      <c r="AG1398" s="2">
        <v>41477.0</v>
      </c>
      <c r="AH1398" s="1">
        <v>9100.0</v>
      </c>
      <c r="AI1398" s="1" t="s">
        <v>194</v>
      </c>
      <c r="AJ1398" s="1" t="s">
        <v>2838</v>
      </c>
      <c r="AK1398" s="1" t="s">
        <v>1382</v>
      </c>
      <c r="AL1398" s="1">
        <v>9.0</v>
      </c>
      <c r="AM1398" s="1">
        <v>2014.0</v>
      </c>
      <c r="AN1398" s="1">
        <v>2013.0</v>
      </c>
      <c r="AO1398" s="1" t="s">
        <v>1383</v>
      </c>
    </row>
    <row r="1399">
      <c r="A1399" s="5">
        <v>1.0</v>
      </c>
      <c r="B1399" s="1">
        <f t="shared" si="1"/>
        <v>1399</v>
      </c>
      <c r="C1399" s="1" t="s">
        <v>2836</v>
      </c>
      <c r="D1399" s="1" t="s">
        <v>2836</v>
      </c>
      <c r="E1399" s="1" t="s">
        <v>194</v>
      </c>
      <c r="G1399" s="1">
        <v>3.7308104E7</v>
      </c>
      <c r="H1399" s="2">
        <v>41605.0</v>
      </c>
      <c r="I1399" s="1" t="s">
        <v>279</v>
      </c>
      <c r="K1399" s="1" t="s">
        <v>279</v>
      </c>
      <c r="N1399" s="1" t="s">
        <v>194</v>
      </c>
      <c r="O1399" s="1">
        <v>9100.0</v>
      </c>
      <c r="P1399" s="1" t="s">
        <v>194</v>
      </c>
      <c r="Q1399" s="1" t="str">
        <f>IF(ISERROR(VLOOKUP(P1399,'unique fed agency names'!A:C,3,FALSE)),P1399,VLOOKUP(P1399,'unique fed agency names'!A:C,3,FALSE))
</f>
        <v>U.S. Department of Education (ED)</v>
      </c>
      <c r="R1399" s="1">
        <v>1.86295734E8</v>
      </c>
      <c r="S1399" s="1" t="s">
        <v>2839</v>
      </c>
      <c r="T1399" s="1" t="str">
        <f>IF(ISERROR(VLOOKUP(S1399,'unique org names'!A:C,3,FALSE)),S1399,VLOOKUP(S1399,'unique org names'!A:C,3,FALSE))
</f>
        <v>Omankane The Collective</v>
      </c>
      <c r="V1399" s="1" t="s">
        <v>2840</v>
      </c>
      <c r="W1399" s="1" t="s">
        <v>44</v>
      </c>
      <c r="X1399" s="1" t="s">
        <v>45</v>
      </c>
      <c r="Y1399" s="1">
        <v>4.8221244E8</v>
      </c>
      <c r="AA1399" s="1" t="s">
        <v>44</v>
      </c>
      <c r="AB1399" s="1" t="s">
        <v>45</v>
      </c>
      <c r="AC1399" s="1">
        <v>4.82142437E8</v>
      </c>
      <c r="AF1399" s="1">
        <v>135000.0</v>
      </c>
      <c r="AG1399" s="2">
        <v>41605.0</v>
      </c>
      <c r="AH1399" s="1">
        <v>9100.0</v>
      </c>
      <c r="AI1399" s="1" t="s">
        <v>194</v>
      </c>
      <c r="AJ1399" s="1" t="s">
        <v>2841</v>
      </c>
      <c r="AK1399" s="1" t="s">
        <v>284</v>
      </c>
      <c r="AL1399" s="1">
        <v>9.0</v>
      </c>
      <c r="AM1399" s="1">
        <v>2014.0</v>
      </c>
      <c r="AN1399" s="1">
        <v>2014.0</v>
      </c>
      <c r="AO1399" s="1" t="s">
        <v>285</v>
      </c>
    </row>
    <row r="1400">
      <c r="A1400" s="5">
        <v>1.0</v>
      </c>
      <c r="B1400" s="1">
        <f t="shared" si="1"/>
        <v>1400</v>
      </c>
      <c r="C1400" s="1" t="s">
        <v>2833</v>
      </c>
      <c r="D1400" s="1" t="s">
        <v>2833</v>
      </c>
      <c r="E1400" s="1" t="s">
        <v>194</v>
      </c>
      <c r="G1400" s="1">
        <v>3.5015472E7</v>
      </c>
      <c r="H1400" s="2">
        <v>41773.0</v>
      </c>
      <c r="I1400" s="1" t="s">
        <v>1380</v>
      </c>
      <c r="K1400" s="1" t="s">
        <v>1380</v>
      </c>
      <c r="N1400" s="1" t="s">
        <v>194</v>
      </c>
      <c r="O1400" s="1">
        <v>9100.0</v>
      </c>
      <c r="P1400" s="1" t="s">
        <v>194</v>
      </c>
      <c r="Q1400" s="1" t="str">
        <f>IF(ISERROR(VLOOKUP(P1400,'unique fed agency names'!A:C,3,FALSE)),P1400,VLOOKUP(P1400,'unique fed agency names'!A:C,3,FALSE))
</f>
        <v>U.S. Department of Education (ED)</v>
      </c>
      <c r="R1400" s="1">
        <v>7.8346351E7</v>
      </c>
      <c r="S1400" s="1" t="s">
        <v>615</v>
      </c>
      <c r="T1400" s="1" t="str">
        <f>IF(ISERROR(VLOOKUP(S1400,'unique org names'!A:C,3,FALSE)),S1400,VLOOKUP(S1400,'unique org names'!A:C,3,FALSE))
</f>
        <v>Education Achievement Authority</v>
      </c>
      <c r="V1400" s="1" t="s">
        <v>1708</v>
      </c>
      <c r="W1400" s="1" t="s">
        <v>44</v>
      </c>
      <c r="X1400" s="1" t="s">
        <v>45</v>
      </c>
      <c r="Y1400" s="1">
        <v>4.82074457E8</v>
      </c>
      <c r="AA1400" s="1" t="s">
        <v>44</v>
      </c>
      <c r="AB1400" s="1" t="s">
        <v>45</v>
      </c>
      <c r="AC1400" s="1">
        <v>4.82074298E8</v>
      </c>
      <c r="AF1400" s="1">
        <v>173765.0</v>
      </c>
      <c r="AG1400" s="2">
        <v>41773.0</v>
      </c>
      <c r="AH1400" s="1">
        <v>9100.0</v>
      </c>
      <c r="AI1400" s="1" t="s">
        <v>194</v>
      </c>
      <c r="AJ1400" s="1" t="s">
        <v>2842</v>
      </c>
      <c r="AK1400" s="1" t="s">
        <v>1382</v>
      </c>
      <c r="AL1400" s="1">
        <v>9.0</v>
      </c>
      <c r="AM1400" s="1">
        <v>2014.0</v>
      </c>
      <c r="AN1400" s="1">
        <v>2014.0</v>
      </c>
      <c r="AO1400" s="1" t="s">
        <v>1383</v>
      </c>
    </row>
    <row r="1401">
      <c r="A1401" s="5">
        <v>1.0</v>
      </c>
      <c r="B1401" s="1">
        <f t="shared" si="1"/>
        <v>1401</v>
      </c>
      <c r="C1401" s="1" t="s">
        <v>2833</v>
      </c>
      <c r="D1401" s="1" t="s">
        <v>2833</v>
      </c>
      <c r="E1401" s="1" t="s">
        <v>194</v>
      </c>
      <c r="G1401" s="1">
        <v>3.5015472E7</v>
      </c>
      <c r="H1401" s="2">
        <v>41730.0</v>
      </c>
      <c r="I1401" s="1" t="s">
        <v>1380</v>
      </c>
      <c r="K1401" s="1" t="s">
        <v>1380</v>
      </c>
      <c r="N1401" s="1" t="s">
        <v>194</v>
      </c>
      <c r="O1401" s="1">
        <v>9100.0</v>
      </c>
      <c r="P1401" s="1" t="s">
        <v>194</v>
      </c>
      <c r="Q1401" s="1" t="str">
        <f>IF(ISERROR(VLOOKUP(P1401,'unique fed agency names'!A:C,3,FALSE)),P1401,VLOOKUP(P1401,'unique fed agency names'!A:C,3,FALSE))
</f>
        <v>U.S. Department of Education (ED)</v>
      </c>
      <c r="R1401" s="1">
        <v>7.6386556E7</v>
      </c>
      <c r="S1401" s="1" t="s">
        <v>1242</v>
      </c>
      <c r="T1401" s="1" t="str">
        <f>IF(ISERROR(VLOOKUP(S1401,'unique org names'!A:C,3,FALSE)),S1401,VLOOKUP(S1401,'unique org names'!A:C,3,FALSE))
</f>
        <v>WAYNE COUNTY COMMUNITY COLLEGE DISTRICT</v>
      </c>
      <c r="V1401" s="1" t="s">
        <v>1243</v>
      </c>
      <c r="W1401" s="1" t="s">
        <v>44</v>
      </c>
      <c r="X1401" s="1" t="s">
        <v>45</v>
      </c>
      <c r="Y1401" s="1">
        <v>4.8226301E8</v>
      </c>
      <c r="AA1401" s="1" t="s">
        <v>44</v>
      </c>
      <c r="AB1401" s="1" t="s">
        <v>45</v>
      </c>
      <c r="AC1401" s="1">
        <v>4.8226301E8</v>
      </c>
      <c r="AD1401" s="1">
        <v>7.6386556E7</v>
      </c>
      <c r="AE1401" s="1" t="s">
        <v>1242</v>
      </c>
      <c r="AF1401" s="1">
        <v>1180722.0</v>
      </c>
      <c r="AG1401" s="2">
        <v>41730.0</v>
      </c>
      <c r="AH1401" s="1">
        <v>9100.0</v>
      </c>
      <c r="AI1401" s="1" t="s">
        <v>194</v>
      </c>
      <c r="AJ1401" s="1" t="s">
        <v>2834</v>
      </c>
      <c r="AK1401" s="1" t="s">
        <v>1382</v>
      </c>
      <c r="AL1401" s="1">
        <v>9.0</v>
      </c>
      <c r="AM1401" s="1">
        <v>2014.0</v>
      </c>
      <c r="AN1401" s="1">
        <v>2014.0</v>
      </c>
      <c r="AO1401" s="1" t="s">
        <v>1383</v>
      </c>
    </row>
    <row r="1402">
      <c r="A1402" s="5">
        <v>1.0</v>
      </c>
      <c r="B1402" s="1">
        <f t="shared" si="1"/>
        <v>1402</v>
      </c>
      <c r="C1402" s="1" t="s">
        <v>2836</v>
      </c>
      <c r="D1402" s="1" t="s">
        <v>2836</v>
      </c>
      <c r="E1402" s="1" t="s">
        <v>194</v>
      </c>
      <c r="G1402" s="1">
        <v>3.7308104E7</v>
      </c>
      <c r="H1402" s="2">
        <v>41549.0</v>
      </c>
      <c r="I1402" s="1" t="s">
        <v>279</v>
      </c>
      <c r="K1402" s="1" t="s">
        <v>279</v>
      </c>
      <c r="N1402" s="1" t="s">
        <v>194</v>
      </c>
      <c r="O1402" s="1">
        <v>9100.0</v>
      </c>
      <c r="P1402" s="1" t="s">
        <v>194</v>
      </c>
      <c r="Q1402" s="1" t="str">
        <f>IF(ISERROR(VLOOKUP(P1402,'unique fed agency names'!A:C,3,FALSE)),P1402,VLOOKUP(P1402,'unique fed agency names'!A:C,3,FALSE))
</f>
        <v>U.S. Department of Education (ED)</v>
      </c>
      <c r="R1402" s="1">
        <v>7.8398153E7</v>
      </c>
      <c r="S1402" s="1" t="s">
        <v>2843</v>
      </c>
      <c r="T1402" s="1" t="str">
        <f>IF(ISERROR(VLOOKUP(S1402,'unique org names'!A:C,3,FALSE)),S1402,VLOOKUP(S1402,'unique org names'!A:C,3,FALSE))
</f>
        <v>Don Bosco Hall, Inc</v>
      </c>
      <c r="V1402" s="1" t="s">
        <v>2844</v>
      </c>
      <c r="W1402" s="1" t="s">
        <v>44</v>
      </c>
      <c r="X1402" s="1" t="s">
        <v>45</v>
      </c>
      <c r="Y1402" s="1">
        <v>4.8206156E8</v>
      </c>
      <c r="AA1402" s="1" t="s">
        <v>44</v>
      </c>
      <c r="AB1402" s="1" t="s">
        <v>45</v>
      </c>
      <c r="AC1402" s="1">
        <v>4.82043908E8</v>
      </c>
      <c r="AD1402" s="1">
        <v>7.8398153E7</v>
      </c>
      <c r="AE1402" s="1" t="s">
        <v>2843</v>
      </c>
      <c r="AF1402" s="1">
        <v>405000.0</v>
      </c>
      <c r="AG1402" s="2">
        <v>41549.0</v>
      </c>
      <c r="AH1402" s="1">
        <v>9100.0</v>
      </c>
      <c r="AI1402" s="1" t="s">
        <v>194</v>
      </c>
      <c r="AJ1402" s="1" t="s">
        <v>2845</v>
      </c>
      <c r="AK1402" s="1" t="s">
        <v>284</v>
      </c>
      <c r="AL1402" s="1">
        <v>9.0</v>
      </c>
      <c r="AM1402" s="1">
        <v>2014.0</v>
      </c>
      <c r="AN1402" s="1">
        <v>2014.0</v>
      </c>
      <c r="AO1402" s="1" t="s">
        <v>285</v>
      </c>
    </row>
    <row r="1403">
      <c r="A1403" s="5">
        <v>1.0</v>
      </c>
      <c r="B1403" s="1">
        <f t="shared" si="1"/>
        <v>1403</v>
      </c>
      <c r="C1403" s="1" t="s">
        <v>2836</v>
      </c>
      <c r="D1403" s="1" t="s">
        <v>2836</v>
      </c>
      <c r="E1403" s="1" t="s">
        <v>194</v>
      </c>
      <c r="G1403" s="1">
        <v>3.7308104E7</v>
      </c>
      <c r="H1403" s="2">
        <v>41605.0</v>
      </c>
      <c r="I1403" s="1" t="s">
        <v>279</v>
      </c>
      <c r="K1403" s="1" t="s">
        <v>279</v>
      </c>
      <c r="N1403" s="1" t="s">
        <v>194</v>
      </c>
      <c r="O1403" s="1">
        <v>9100.0</v>
      </c>
      <c r="P1403" s="1" t="s">
        <v>194</v>
      </c>
      <c r="Q1403" s="1" t="str">
        <f>IF(ISERROR(VLOOKUP(P1403,'unique fed agency names'!A:C,3,FALSE)),P1403,VLOOKUP(P1403,'unique fed agency names'!A:C,3,FALSE))
</f>
        <v>U.S. Department of Education (ED)</v>
      </c>
      <c r="R1403" s="1">
        <v>1.86295734E8</v>
      </c>
      <c r="S1403" s="1" t="s">
        <v>2839</v>
      </c>
      <c r="T1403" s="1" t="str">
        <f>IF(ISERROR(VLOOKUP(S1403,'unique org names'!A:C,3,FALSE)),S1403,VLOOKUP(S1403,'unique org names'!A:C,3,FALSE))
</f>
        <v>Omankane The Collective</v>
      </c>
      <c r="V1403" s="1" t="s">
        <v>2840</v>
      </c>
      <c r="W1403" s="1" t="s">
        <v>44</v>
      </c>
      <c r="X1403" s="1" t="s">
        <v>45</v>
      </c>
      <c r="Y1403" s="1">
        <v>4.8221244E8</v>
      </c>
      <c r="AA1403" s="1" t="s">
        <v>44</v>
      </c>
      <c r="AB1403" s="1" t="s">
        <v>45</v>
      </c>
      <c r="AC1403" s="1">
        <v>4.82142437E8</v>
      </c>
      <c r="AF1403" s="1">
        <v>135000.0</v>
      </c>
      <c r="AG1403" s="2">
        <v>41605.0</v>
      </c>
      <c r="AH1403" s="1">
        <v>9100.0</v>
      </c>
      <c r="AI1403" s="1" t="s">
        <v>194</v>
      </c>
      <c r="AJ1403" s="1" t="s">
        <v>2841</v>
      </c>
      <c r="AK1403" s="1" t="s">
        <v>284</v>
      </c>
      <c r="AL1403" s="1">
        <v>9.0</v>
      </c>
      <c r="AM1403" s="1">
        <v>2014.0</v>
      </c>
      <c r="AN1403" s="1">
        <v>2014.0</v>
      </c>
      <c r="AO1403" s="1" t="s">
        <v>285</v>
      </c>
    </row>
    <row r="1404">
      <c r="A1404" s="5">
        <v>1.0</v>
      </c>
      <c r="B1404" s="1">
        <f t="shared" si="1"/>
        <v>1404</v>
      </c>
      <c r="C1404" s="1" t="s">
        <v>2836</v>
      </c>
      <c r="D1404" s="1" t="s">
        <v>2836</v>
      </c>
      <c r="E1404" s="1" t="s">
        <v>194</v>
      </c>
      <c r="G1404" s="1">
        <v>3.7308104E7</v>
      </c>
      <c r="H1404" s="2">
        <v>41513.0</v>
      </c>
      <c r="I1404" s="1" t="s">
        <v>279</v>
      </c>
      <c r="K1404" s="1" t="s">
        <v>279</v>
      </c>
      <c r="N1404" s="1" t="s">
        <v>194</v>
      </c>
      <c r="O1404" s="1">
        <v>9100.0</v>
      </c>
      <c r="P1404" s="1" t="s">
        <v>194</v>
      </c>
      <c r="Q1404" s="1" t="str">
        <f>IF(ISERROR(VLOOKUP(P1404,'unique fed agency names'!A:C,3,FALSE)),P1404,VLOOKUP(P1404,'unique fed agency names'!A:C,3,FALSE))
</f>
        <v>U.S. Department of Education (ED)</v>
      </c>
      <c r="R1404" s="1">
        <v>7.97531295E8</v>
      </c>
      <c r="S1404" s="1" t="s">
        <v>582</v>
      </c>
      <c r="T1404" s="1" t="str">
        <f>IF(ISERROR(VLOOKUP(S1404,'unique org names'!A:C,3,FALSE)),S1404,VLOOKUP(S1404,'unique org names'!A:C,3,FALSE))
</f>
        <v>FRONTIER INTERNATIONAL ACADEMY, THE</v>
      </c>
      <c r="V1404" s="1" t="s">
        <v>583</v>
      </c>
      <c r="W1404" s="1" t="s">
        <v>44</v>
      </c>
      <c r="X1404" s="1" t="s">
        <v>45</v>
      </c>
      <c r="Y1404" s="1">
        <v>4.82123452E8</v>
      </c>
      <c r="AA1404" s="1" t="s">
        <v>498</v>
      </c>
      <c r="AB1404" s="1" t="s">
        <v>45</v>
      </c>
      <c r="AC1404" s="1">
        <v>4.82123452E8</v>
      </c>
      <c r="AF1404" s="1">
        <v>130194.0</v>
      </c>
      <c r="AG1404" s="2">
        <v>41513.0</v>
      </c>
      <c r="AH1404" s="1">
        <v>9100.0</v>
      </c>
      <c r="AI1404" s="1" t="s">
        <v>194</v>
      </c>
      <c r="AJ1404" s="1" t="s">
        <v>2846</v>
      </c>
      <c r="AK1404" s="1" t="s">
        <v>284</v>
      </c>
      <c r="AL1404" s="1">
        <v>9.0</v>
      </c>
      <c r="AM1404" s="1">
        <v>2014.0</v>
      </c>
      <c r="AN1404" s="1">
        <v>2013.0</v>
      </c>
      <c r="AO1404" s="1" t="s">
        <v>285</v>
      </c>
    </row>
    <row r="1405">
      <c r="A1405" s="5">
        <v>1.0</v>
      </c>
      <c r="B1405" s="1">
        <f t="shared" si="1"/>
        <v>1405</v>
      </c>
      <c r="C1405" s="1" t="s">
        <v>2836</v>
      </c>
      <c r="D1405" s="1" t="s">
        <v>2836</v>
      </c>
      <c r="E1405" s="1" t="s">
        <v>194</v>
      </c>
      <c r="G1405" s="1">
        <v>3.7308104E7</v>
      </c>
      <c r="H1405" s="2">
        <v>41481.0</v>
      </c>
      <c r="I1405" s="1" t="s">
        <v>279</v>
      </c>
      <c r="K1405" s="1" t="s">
        <v>279</v>
      </c>
      <c r="N1405" s="1" t="s">
        <v>194</v>
      </c>
      <c r="O1405" s="1">
        <v>9100.0</v>
      </c>
      <c r="P1405" s="1" t="s">
        <v>194</v>
      </c>
      <c r="Q1405" s="1" t="str">
        <f>IF(ISERROR(VLOOKUP(P1405,'unique fed agency names'!A:C,3,FALSE)),P1405,VLOOKUP(P1405,'unique fed agency names'!A:C,3,FALSE))
</f>
        <v>U.S. Department of Education (ED)</v>
      </c>
      <c r="R1405" s="1">
        <v>7.8359005E7</v>
      </c>
      <c r="S1405" s="1" t="s">
        <v>486</v>
      </c>
      <c r="T1405" s="1" t="str">
        <f>IF(ISERROR(VLOOKUP(S1405,'unique org names'!A:C,3,FALSE)),S1405,VLOOKUP(S1405,'unique org names'!A:C,3,FALSE))
</f>
        <v>GEE EDMONSON ACADEMY</v>
      </c>
      <c r="V1405" s="1" t="s">
        <v>487</v>
      </c>
      <c r="W1405" s="1" t="s">
        <v>44</v>
      </c>
      <c r="X1405" s="1" t="s">
        <v>45</v>
      </c>
      <c r="Y1405" s="1">
        <v>4.82011006E8</v>
      </c>
      <c r="AA1405" s="1" t="s">
        <v>46</v>
      </c>
      <c r="AB1405" s="1" t="s">
        <v>45</v>
      </c>
      <c r="AC1405" s="1">
        <v>4.82011006E8</v>
      </c>
      <c r="AF1405" s="1">
        <v>270000.0</v>
      </c>
      <c r="AG1405" s="2">
        <v>41481.0</v>
      </c>
      <c r="AH1405" s="1">
        <v>9100.0</v>
      </c>
      <c r="AI1405" s="1" t="s">
        <v>194</v>
      </c>
      <c r="AJ1405" s="1" t="s">
        <v>2847</v>
      </c>
      <c r="AK1405" s="1" t="s">
        <v>284</v>
      </c>
      <c r="AL1405" s="1">
        <v>9.0</v>
      </c>
      <c r="AM1405" s="1">
        <v>2014.0</v>
      </c>
      <c r="AN1405" s="1">
        <v>2013.0</v>
      </c>
      <c r="AO1405" s="1" t="s">
        <v>285</v>
      </c>
    </row>
    <row r="1406">
      <c r="A1406" s="5">
        <v>1.0</v>
      </c>
      <c r="B1406" s="1">
        <f t="shared" si="1"/>
        <v>1406</v>
      </c>
      <c r="C1406" s="1" t="s">
        <v>2836</v>
      </c>
      <c r="D1406" s="1" t="s">
        <v>2836</v>
      </c>
      <c r="E1406" s="1" t="s">
        <v>194</v>
      </c>
      <c r="G1406" s="1">
        <v>3.7308104E7</v>
      </c>
      <c r="H1406" s="2">
        <v>41481.0</v>
      </c>
      <c r="I1406" s="1" t="s">
        <v>279</v>
      </c>
      <c r="K1406" s="1" t="s">
        <v>279</v>
      </c>
      <c r="N1406" s="1" t="s">
        <v>194</v>
      </c>
      <c r="O1406" s="1">
        <v>9100.0</v>
      </c>
      <c r="P1406" s="1" t="s">
        <v>194</v>
      </c>
      <c r="Q1406" s="1" t="str">
        <f>IF(ISERROR(VLOOKUP(P1406,'unique fed agency names'!A:C,3,FALSE)),P1406,VLOOKUP(P1406,'unique fed agency names'!A:C,3,FALSE))
</f>
        <v>U.S. Department of Education (ED)</v>
      </c>
      <c r="R1406" s="1">
        <v>1962224.0</v>
      </c>
      <c r="S1406" s="1" t="s">
        <v>52</v>
      </c>
      <c r="T1406" s="1" t="str">
        <f>IF(ISERROR(VLOOKUP(S1406,'unique org names'!A:C,3,FALSE)),S1406,VLOOKUP(S1406,'unique org names'!A:C,3,FALSE))
</f>
        <v>WAYNE STATE UNIVERSITY</v>
      </c>
      <c r="U1406" s="1" t="s">
        <v>1566</v>
      </c>
      <c r="V1406" s="1" t="s">
        <v>53</v>
      </c>
      <c r="W1406" s="1" t="s">
        <v>44</v>
      </c>
      <c r="X1406" s="1" t="s">
        <v>45</v>
      </c>
      <c r="Y1406" s="1">
        <v>4.82023692E8</v>
      </c>
      <c r="AA1406" s="1" t="s">
        <v>44</v>
      </c>
      <c r="AB1406" s="1" t="s">
        <v>45</v>
      </c>
      <c r="AC1406" s="1">
        <v>4.82023424E8</v>
      </c>
      <c r="AD1406" s="1">
        <v>1962224.0</v>
      </c>
      <c r="AE1406" s="1" t="s">
        <v>52</v>
      </c>
      <c r="AF1406" s="1">
        <v>675000.0</v>
      </c>
      <c r="AG1406" s="2">
        <v>41481.0</v>
      </c>
      <c r="AH1406" s="1">
        <v>9100.0</v>
      </c>
      <c r="AI1406" s="1" t="s">
        <v>194</v>
      </c>
      <c r="AJ1406" s="1" t="s">
        <v>2848</v>
      </c>
      <c r="AK1406" s="1" t="s">
        <v>284</v>
      </c>
      <c r="AL1406" s="1">
        <v>9.0</v>
      </c>
      <c r="AM1406" s="1">
        <v>2014.0</v>
      </c>
      <c r="AN1406" s="1">
        <v>2013.0</v>
      </c>
      <c r="AO1406" s="1" t="s">
        <v>285</v>
      </c>
    </row>
    <row r="1407">
      <c r="A1407" s="5">
        <v>1.0</v>
      </c>
      <c r="B1407" s="1">
        <f t="shared" si="1"/>
        <v>1407</v>
      </c>
      <c r="C1407" s="1" t="s">
        <v>2836</v>
      </c>
      <c r="D1407" s="1" t="s">
        <v>2836</v>
      </c>
      <c r="E1407" s="1" t="s">
        <v>194</v>
      </c>
      <c r="G1407" s="1">
        <v>3.7308104E7</v>
      </c>
      <c r="H1407" s="2">
        <v>41481.0</v>
      </c>
      <c r="I1407" s="1" t="s">
        <v>279</v>
      </c>
      <c r="K1407" s="1" t="s">
        <v>279</v>
      </c>
      <c r="N1407" s="1" t="s">
        <v>194</v>
      </c>
      <c r="O1407" s="1">
        <v>9100.0</v>
      </c>
      <c r="P1407" s="1" t="s">
        <v>194</v>
      </c>
      <c r="Q1407" s="1" t="str">
        <f>IF(ISERROR(VLOOKUP(P1407,'unique fed agency names'!A:C,3,FALSE)),P1407,VLOOKUP(P1407,'unique fed agency names'!A:C,3,FALSE))
</f>
        <v>U.S. Department of Education (ED)</v>
      </c>
      <c r="R1407" s="1">
        <v>8.01081899E8</v>
      </c>
      <c r="S1407" s="1" t="s">
        <v>280</v>
      </c>
      <c r="T1407" s="1" t="str">
        <f>IF(ISERROR(VLOOKUP(S1407,'unique org names'!A:C,3,FALSE)),S1407,VLOOKUP(S1407,'unique org names'!A:C,3,FALSE))
</f>
        <v>ACE ACADEMY</v>
      </c>
      <c r="V1407" s="1" t="s">
        <v>281</v>
      </c>
      <c r="W1407" s="1" t="s">
        <v>44</v>
      </c>
      <c r="X1407" s="1" t="s">
        <v>45</v>
      </c>
      <c r="Y1407" s="1">
        <v>4.82033277E8</v>
      </c>
      <c r="AA1407" s="1" t="s">
        <v>282</v>
      </c>
      <c r="AB1407" s="1" t="s">
        <v>45</v>
      </c>
      <c r="AC1407" s="1">
        <v>4.82202899E8</v>
      </c>
      <c r="AF1407" s="1">
        <v>1350000.0</v>
      </c>
      <c r="AG1407" s="2">
        <v>41481.0</v>
      </c>
      <c r="AH1407" s="1">
        <v>9100.0</v>
      </c>
      <c r="AI1407" s="1" t="s">
        <v>194</v>
      </c>
      <c r="AJ1407" s="1" t="s">
        <v>2849</v>
      </c>
      <c r="AK1407" s="1" t="s">
        <v>284</v>
      </c>
      <c r="AL1407" s="1">
        <v>9.0</v>
      </c>
      <c r="AM1407" s="1">
        <v>2014.0</v>
      </c>
      <c r="AN1407" s="1">
        <v>2013.0</v>
      </c>
      <c r="AO1407" s="1" t="s">
        <v>285</v>
      </c>
    </row>
    <row r="1408">
      <c r="A1408" s="5">
        <v>1.0</v>
      </c>
      <c r="B1408" s="1">
        <f t="shared" si="1"/>
        <v>1408</v>
      </c>
      <c r="C1408" s="1" t="s">
        <v>2850</v>
      </c>
      <c r="D1408" s="1" t="s">
        <v>2850</v>
      </c>
      <c r="E1408" s="1" t="s">
        <v>85</v>
      </c>
      <c r="G1408" s="1">
        <v>5.5656128E7</v>
      </c>
      <c r="H1408" s="2">
        <v>41548.0</v>
      </c>
      <c r="I1408" s="1" t="s">
        <v>2851</v>
      </c>
      <c r="K1408" s="1" t="s">
        <v>2851</v>
      </c>
      <c r="N1408" s="1" t="s">
        <v>40</v>
      </c>
      <c r="O1408" s="1">
        <v>7500.0</v>
      </c>
      <c r="P1408" s="1" t="s">
        <v>40</v>
      </c>
      <c r="Q1408" s="1" t="str">
        <f>IF(ISERROR(VLOOKUP(P1408,'unique fed agency names'!A:C,3,FALSE)),P1408,VLOOKUP(P1408,'unique fed agency names'!A:C,3,FALSE))
</f>
        <v>U.S. Department of Health and Human Services (DHHS)</v>
      </c>
      <c r="R1408" s="1">
        <v>7596352.0</v>
      </c>
      <c r="S1408" s="1" t="s">
        <v>73</v>
      </c>
      <c r="T1408" s="1" t="str">
        <f>IF(ISERROR(VLOOKUP(S1408,'unique org names'!A:C,3,FALSE)),S1408,VLOOKUP(S1408,'unique org names'!A:C,3,FALSE))
</f>
        <v>City Of Detroit</v>
      </c>
      <c r="V1408" s="1" t="s">
        <v>1578</v>
      </c>
      <c r="W1408" s="1" t="s">
        <v>44</v>
      </c>
      <c r="X1408" s="1" t="s">
        <v>45</v>
      </c>
      <c r="Y1408" s="1">
        <v>4.82263269E8</v>
      </c>
      <c r="AA1408" s="1" t="s">
        <v>46</v>
      </c>
      <c r="AB1408" s="1" t="s">
        <v>45</v>
      </c>
      <c r="AC1408" s="1">
        <v>4.82263269E8</v>
      </c>
      <c r="AD1408" s="1">
        <v>6530661.0</v>
      </c>
      <c r="AE1408" s="1" t="s">
        <v>76</v>
      </c>
      <c r="AF1408" s="1">
        <v>1.0082067E7</v>
      </c>
      <c r="AG1408" s="2">
        <v>41548.0</v>
      </c>
      <c r="AH1408" s="1">
        <v>7500.0</v>
      </c>
      <c r="AI1408" s="1" t="s">
        <v>40</v>
      </c>
      <c r="AJ1408" s="1">
        <v>2.014095E7</v>
      </c>
      <c r="AK1408" s="1" t="s">
        <v>1359</v>
      </c>
      <c r="AL1408" s="1">
        <v>10.0</v>
      </c>
      <c r="AM1408" s="1">
        <v>2013.0</v>
      </c>
      <c r="AN1408" s="1">
        <v>2014.0</v>
      </c>
      <c r="AO1408" s="1" t="s">
        <v>1360</v>
      </c>
    </row>
    <row r="1409">
      <c r="A1409" s="5">
        <v>1.0</v>
      </c>
      <c r="B1409" s="1">
        <f t="shared" si="1"/>
        <v>1409</v>
      </c>
      <c r="C1409" s="1" t="s">
        <v>2852</v>
      </c>
      <c r="D1409" s="1" t="s">
        <v>2852</v>
      </c>
      <c r="E1409" s="1" t="s">
        <v>38</v>
      </c>
      <c r="G1409" s="1">
        <v>1179318.0</v>
      </c>
      <c r="H1409" s="2">
        <v>41899.0</v>
      </c>
      <c r="I1409" s="1" t="s">
        <v>2853</v>
      </c>
      <c r="K1409" s="1" t="s">
        <v>2853</v>
      </c>
      <c r="N1409" s="1" t="s">
        <v>40</v>
      </c>
      <c r="O1409" s="1">
        <v>7500.0</v>
      </c>
      <c r="P1409" s="1" t="s">
        <v>40</v>
      </c>
      <c r="Q1409" s="1" t="str">
        <f>IF(ISERROR(VLOOKUP(P1409,'unique fed agency names'!A:C,3,FALSE)),P1409,VLOOKUP(P1409,'unique fed agency names'!A:C,3,FALSE))
</f>
        <v>U.S. Department of Health and Human Services (DHHS)</v>
      </c>
      <c r="R1409" s="1">
        <v>1962224.0</v>
      </c>
      <c r="S1409" s="1" t="s">
        <v>52</v>
      </c>
      <c r="T1409" s="1" t="str">
        <f>IF(ISERROR(VLOOKUP(S1409,'unique org names'!A:C,3,FALSE)),S1409,VLOOKUP(S1409,'unique org names'!A:C,3,FALSE))
</f>
        <v>WAYNE STATE UNIVERSITY</v>
      </c>
      <c r="V1409" s="1" t="s">
        <v>53</v>
      </c>
      <c r="W1409" s="1" t="s">
        <v>44</v>
      </c>
      <c r="X1409" s="1" t="s">
        <v>45</v>
      </c>
      <c r="Y1409" s="1">
        <v>4.82023692E8</v>
      </c>
      <c r="AA1409" s="1" t="s">
        <v>46</v>
      </c>
      <c r="AB1409" s="1" t="s">
        <v>45</v>
      </c>
      <c r="AC1409" s="1">
        <v>4.8202405E8</v>
      </c>
      <c r="AD1409" s="1">
        <v>1962224.0</v>
      </c>
      <c r="AE1409" s="1" t="s">
        <v>52</v>
      </c>
      <c r="AF1409" s="1">
        <v>187032.0</v>
      </c>
      <c r="AG1409" s="2">
        <v>41899.0</v>
      </c>
      <c r="AH1409" s="1">
        <v>7500.0</v>
      </c>
      <c r="AI1409" s="1" t="s">
        <v>40</v>
      </c>
      <c r="AJ1409" s="1" t="s">
        <v>2854</v>
      </c>
      <c r="AK1409" s="1" t="s">
        <v>2855</v>
      </c>
      <c r="AL1409" s="1">
        <v>10.0</v>
      </c>
      <c r="AM1409" s="1">
        <v>2012.0</v>
      </c>
      <c r="AN1409" s="1">
        <v>2014.0</v>
      </c>
      <c r="AO1409" s="1" t="s">
        <v>2053</v>
      </c>
    </row>
    <row r="1410">
      <c r="A1410" s="5">
        <v>1.0</v>
      </c>
      <c r="B1410" s="1">
        <f t="shared" si="1"/>
        <v>1410</v>
      </c>
      <c r="C1410" s="1" t="s">
        <v>1833</v>
      </c>
      <c r="D1410" s="1" t="s">
        <v>1833</v>
      </c>
      <c r="E1410" s="1" t="s">
        <v>38</v>
      </c>
      <c r="G1410" s="1">
        <v>3243882.0</v>
      </c>
      <c r="H1410" s="2">
        <v>41858.0</v>
      </c>
      <c r="I1410" s="1" t="s">
        <v>2856</v>
      </c>
      <c r="K1410" s="1" t="s">
        <v>2856</v>
      </c>
      <c r="N1410" s="1" t="s">
        <v>40</v>
      </c>
      <c r="O1410" s="1">
        <v>7500.0</v>
      </c>
      <c r="P1410" s="1" t="s">
        <v>40</v>
      </c>
      <c r="Q1410" s="1" t="str">
        <f>IF(ISERROR(VLOOKUP(P1410,'unique fed agency names'!A:C,3,FALSE)),P1410,VLOOKUP(P1410,'unique fed agency names'!A:C,3,FALSE))
</f>
        <v>U.S. Department of Health and Human Services (DHHS)</v>
      </c>
      <c r="R1410" s="1">
        <v>1962224.0</v>
      </c>
      <c r="S1410" s="1" t="s">
        <v>52</v>
      </c>
      <c r="T1410" s="1" t="str">
        <f>IF(ISERROR(VLOOKUP(S1410,'unique org names'!A:C,3,FALSE)),S1410,VLOOKUP(S1410,'unique org names'!A:C,3,FALSE))
</f>
        <v>WAYNE STATE UNIVERSITY</v>
      </c>
      <c r="U1410" s="1" t="s">
        <v>1566</v>
      </c>
      <c r="V1410" s="1" t="s">
        <v>1885</v>
      </c>
      <c r="W1410" s="1" t="s">
        <v>44</v>
      </c>
      <c r="X1410" s="1" t="s">
        <v>45</v>
      </c>
      <c r="Y1410" s="1">
        <v>4.82021347E8</v>
      </c>
      <c r="AA1410" s="1" t="s">
        <v>46</v>
      </c>
      <c r="AB1410" s="1" t="s">
        <v>45</v>
      </c>
      <c r="AC1410" s="1">
        <v>4.8201405E8</v>
      </c>
      <c r="AD1410" s="1">
        <v>1962224.0</v>
      </c>
      <c r="AE1410" s="1" t="s">
        <v>52</v>
      </c>
      <c r="AF1410" s="1">
        <v>31502.0</v>
      </c>
      <c r="AG1410" s="2">
        <v>41858.0</v>
      </c>
      <c r="AH1410" s="1">
        <v>7500.0</v>
      </c>
      <c r="AI1410" s="1" t="s">
        <v>40</v>
      </c>
      <c r="AJ1410" s="1" t="s">
        <v>2857</v>
      </c>
      <c r="AK1410" s="1" t="s">
        <v>2858</v>
      </c>
      <c r="AL1410" s="1">
        <v>9.0</v>
      </c>
      <c r="AM1410" s="1">
        <v>2014.0</v>
      </c>
      <c r="AN1410" s="1">
        <v>2014.0</v>
      </c>
      <c r="AO1410" s="1" t="s">
        <v>1837</v>
      </c>
    </row>
    <row r="1411">
      <c r="A1411" s="5">
        <v>1.0</v>
      </c>
      <c r="B1411" s="1">
        <f t="shared" si="1"/>
        <v>1411</v>
      </c>
      <c r="C1411" s="1" t="s">
        <v>2859</v>
      </c>
      <c r="D1411" s="1" t="s">
        <v>2859</v>
      </c>
      <c r="E1411" s="1" t="s">
        <v>85</v>
      </c>
      <c r="G1411" s="1">
        <v>1.4264923E7</v>
      </c>
      <c r="H1411" s="2">
        <v>41855.0</v>
      </c>
      <c r="I1411" s="1" t="s">
        <v>2860</v>
      </c>
      <c r="K1411" s="1" t="s">
        <v>2860</v>
      </c>
      <c r="N1411" s="1" t="s">
        <v>40</v>
      </c>
      <c r="O1411" s="1">
        <v>7500.0</v>
      </c>
      <c r="P1411" s="1" t="s">
        <v>40</v>
      </c>
      <c r="Q1411" s="1" t="str">
        <f>IF(ISERROR(VLOOKUP(P1411,'unique fed agency names'!A:C,3,FALSE)),P1411,VLOOKUP(P1411,'unique fed agency names'!A:C,3,FALSE))
</f>
        <v>U.S. Department of Health and Human Services (DHHS)</v>
      </c>
      <c r="R1411" s="1">
        <v>3.6094215E8</v>
      </c>
      <c r="S1411" s="1" t="s">
        <v>2861</v>
      </c>
      <c r="T1411" s="1" t="str">
        <f>IF(ISERROR(VLOOKUP(S1411,'unique org names'!A:C,3,FALSE)),S1411,VLOOKUP(S1411,'unique org names'!A:C,3,FALSE))
</f>
        <v>Covenant Community Care, Inc</v>
      </c>
      <c r="V1411" s="1" t="s">
        <v>2862</v>
      </c>
      <c r="W1411" s="1" t="s">
        <v>44</v>
      </c>
      <c r="X1411" s="1" t="s">
        <v>45</v>
      </c>
      <c r="Y1411" s="1">
        <v>4.821622E8</v>
      </c>
      <c r="AA1411" s="1" t="s">
        <v>2863</v>
      </c>
      <c r="AB1411" s="1" t="s">
        <v>2864</v>
      </c>
      <c r="AC1411" s="1">
        <v>3.03081907E8</v>
      </c>
      <c r="AD1411" s="1">
        <v>3.6094215E8</v>
      </c>
      <c r="AE1411" s="1" t="s">
        <v>2861</v>
      </c>
      <c r="AF1411" s="1">
        <v>64525.0</v>
      </c>
      <c r="AG1411" s="2">
        <v>41855.0</v>
      </c>
      <c r="AH1411" s="1">
        <v>7500.0</v>
      </c>
      <c r="AI1411" s="1" t="s">
        <v>40</v>
      </c>
      <c r="AJ1411" s="3">
        <v>4.41932E11</v>
      </c>
      <c r="AK1411" s="1" t="s">
        <v>2865</v>
      </c>
      <c r="AL1411" s="1">
        <v>9.0</v>
      </c>
      <c r="AM1411" s="1">
        <v>2014.0</v>
      </c>
      <c r="AN1411" s="1">
        <v>2014.0</v>
      </c>
      <c r="AO1411" s="1" t="s">
        <v>1099</v>
      </c>
    </row>
    <row r="1412">
      <c r="A1412" s="5">
        <v>1.0</v>
      </c>
      <c r="B1412" s="1">
        <f t="shared" si="1"/>
        <v>1412</v>
      </c>
      <c r="C1412" s="1" t="s">
        <v>2866</v>
      </c>
      <c r="D1412" s="1" t="s">
        <v>2866</v>
      </c>
      <c r="E1412" s="1" t="s">
        <v>645</v>
      </c>
      <c r="G1412" s="1">
        <v>638408.0</v>
      </c>
      <c r="H1412" s="2">
        <v>41908.0</v>
      </c>
      <c r="I1412" s="1" t="s">
        <v>2867</v>
      </c>
      <c r="K1412" s="1" t="s">
        <v>2867</v>
      </c>
      <c r="N1412" s="1" t="s">
        <v>647</v>
      </c>
      <c r="O1412" s="1">
        <v>1200.0</v>
      </c>
      <c r="P1412" s="1" t="s">
        <v>647</v>
      </c>
      <c r="Q1412" s="1" t="str">
        <f>IF(ISERROR(VLOOKUP(P1412,'unique fed agency names'!A:C,3,FALSE)),P1412,VLOOKUP(P1412,'unique fed agency names'!A:C,3,FALSE))
</f>
        <v>U.S. Department of Agriculture (USDA)</v>
      </c>
      <c r="R1412" s="1">
        <v>3.9866801E7</v>
      </c>
      <c r="S1412" s="1" t="s">
        <v>612</v>
      </c>
      <c r="T1412" s="1" t="str">
        <f>IF(ISERROR(VLOOKUP(S1412,'unique org names'!A:C,3,FALSE)),S1412,VLOOKUP(S1412,'unique org names'!A:C,3,FALSE))
</f>
        <v>HAMTRAMCK PUBLIC SCHOOLS</v>
      </c>
      <c r="V1412" s="1" t="s">
        <v>613</v>
      </c>
      <c r="W1412" s="1" t="s">
        <v>44</v>
      </c>
      <c r="X1412" s="1" t="s">
        <v>45</v>
      </c>
      <c r="Y1412" s="1">
        <v>4.8212E8</v>
      </c>
      <c r="AA1412" s="1" t="s">
        <v>607</v>
      </c>
      <c r="AB1412" s="1" t="s">
        <v>45</v>
      </c>
      <c r="AC1412" s="1">
        <v>4.82120012E8</v>
      </c>
      <c r="AD1412" s="1">
        <v>3.9866801E7</v>
      </c>
      <c r="AE1412" s="1" t="s">
        <v>612</v>
      </c>
      <c r="AF1412" s="1">
        <v>27402.0</v>
      </c>
      <c r="AG1412" s="2">
        <v>41908.0</v>
      </c>
      <c r="AH1412" s="1">
        <v>1200.0</v>
      </c>
      <c r="AI1412" s="1" t="s">
        <v>647</v>
      </c>
      <c r="AJ1412" s="1" t="s">
        <v>2868</v>
      </c>
      <c r="AK1412" s="1" t="s">
        <v>712</v>
      </c>
      <c r="AL1412" s="1">
        <v>10.0</v>
      </c>
      <c r="AM1412" s="1">
        <v>2014.0</v>
      </c>
      <c r="AN1412" s="1">
        <v>2014.0</v>
      </c>
      <c r="AO1412" s="1" t="s">
        <v>2869</v>
      </c>
    </row>
    <row r="1413">
      <c r="A1413" s="5">
        <v>1.0</v>
      </c>
      <c r="B1413" s="1">
        <f t="shared" si="1"/>
        <v>1413</v>
      </c>
      <c r="C1413" s="1" t="s">
        <v>335</v>
      </c>
      <c r="D1413" s="1" t="s">
        <v>335</v>
      </c>
      <c r="E1413" s="1" t="s">
        <v>38</v>
      </c>
      <c r="G1413" s="1">
        <v>5500162.0</v>
      </c>
      <c r="H1413" s="2">
        <v>41416.0</v>
      </c>
      <c r="I1413" s="1" t="s">
        <v>2870</v>
      </c>
      <c r="K1413" s="1" t="s">
        <v>2870</v>
      </c>
      <c r="N1413" s="1" t="s">
        <v>40</v>
      </c>
      <c r="O1413" s="1">
        <v>7500.0</v>
      </c>
      <c r="P1413" s="1" t="s">
        <v>40</v>
      </c>
      <c r="Q1413" s="1" t="str">
        <f>IF(ISERROR(VLOOKUP(P1413,'unique fed agency names'!A:C,3,FALSE)),P1413,VLOOKUP(P1413,'unique fed agency names'!A:C,3,FALSE))
</f>
        <v>U.S. Department of Health and Human Services (DHHS)</v>
      </c>
      <c r="R1413" s="1">
        <v>7.3134603E7</v>
      </c>
      <c r="S1413" s="1" t="s">
        <v>41</v>
      </c>
      <c r="T1413" s="1" t="str">
        <f>IF(ISERROR(VLOOKUP(S1413,'unique org names'!A:C,3,FALSE)),S1413,VLOOKUP(S1413,'unique org names'!A:C,3,FALSE))
</f>
        <v>Henry Ford Health System</v>
      </c>
      <c r="U1413" s="1" t="s">
        <v>252</v>
      </c>
      <c r="V1413" s="1" t="s">
        <v>253</v>
      </c>
      <c r="W1413" s="1" t="s">
        <v>44</v>
      </c>
      <c r="X1413" s="1" t="s">
        <v>45</v>
      </c>
      <c r="Y1413" s="1">
        <v>4.8202345E8</v>
      </c>
      <c r="AA1413" s="1" t="s">
        <v>46</v>
      </c>
      <c r="AB1413" s="1" t="s">
        <v>45</v>
      </c>
      <c r="AC1413" s="1">
        <v>4.82022689E8</v>
      </c>
      <c r="AD1413" s="1">
        <v>7.3134603E7</v>
      </c>
      <c r="AE1413" s="1" t="s">
        <v>41</v>
      </c>
      <c r="AF1413" s="1">
        <v>14284.0</v>
      </c>
      <c r="AG1413" s="2">
        <v>41416.0</v>
      </c>
      <c r="AH1413" s="1">
        <v>7500.0</v>
      </c>
      <c r="AI1413" s="1" t="s">
        <v>40</v>
      </c>
      <c r="AJ1413" s="1">
        <v>1025970.0</v>
      </c>
      <c r="AK1413" s="1" t="s">
        <v>337</v>
      </c>
      <c r="AL1413" s="1">
        <v>10.0</v>
      </c>
      <c r="AM1413" s="1">
        <v>2014.0</v>
      </c>
      <c r="AN1413" s="1">
        <v>2013.0</v>
      </c>
      <c r="AO1413" s="1" t="s">
        <v>338</v>
      </c>
    </row>
    <row r="1414">
      <c r="A1414" s="5">
        <v>1.0</v>
      </c>
      <c r="B1414" s="1">
        <f t="shared" si="1"/>
        <v>1414</v>
      </c>
      <c r="C1414" s="1" t="s">
        <v>2871</v>
      </c>
      <c r="D1414" s="1" t="s">
        <v>2871</v>
      </c>
      <c r="E1414" s="1" t="s">
        <v>645</v>
      </c>
      <c r="G1414" s="1">
        <v>5309682.0</v>
      </c>
      <c r="H1414" s="2">
        <v>41821.0</v>
      </c>
      <c r="I1414" s="1" t="s">
        <v>958</v>
      </c>
      <c r="K1414" s="1" t="s">
        <v>958</v>
      </c>
      <c r="N1414" s="1" t="s">
        <v>647</v>
      </c>
      <c r="O1414" s="1">
        <v>1200.0</v>
      </c>
      <c r="P1414" s="1" t="s">
        <v>647</v>
      </c>
      <c r="Q1414" s="1" t="str">
        <f>IF(ISERROR(VLOOKUP(P1414,'unique fed agency names'!A:C,3,FALSE)),P1414,VLOOKUP(P1414,'unique fed agency names'!A:C,3,FALSE))
</f>
        <v>U.S. Department of Agriculture (USDA)</v>
      </c>
      <c r="R1414" s="1">
        <v>7.83491541E8</v>
      </c>
      <c r="S1414" s="1" t="s">
        <v>1996</v>
      </c>
      <c r="T1414" s="1" t="str">
        <f>IF(ISERROR(VLOOKUP(S1414,'unique org names'!A:C,3,FALSE)),S1414,VLOOKUP(S1414,'unique org names'!A:C,3,FALSE))
</f>
        <v>Serco, Inc</v>
      </c>
      <c r="V1414" s="1" t="s">
        <v>1997</v>
      </c>
      <c r="W1414" s="1" t="s">
        <v>44</v>
      </c>
      <c r="X1414" s="1" t="s">
        <v>45</v>
      </c>
      <c r="Y1414" s="1">
        <v>4.82102038E8</v>
      </c>
      <c r="AA1414" s="1" t="s">
        <v>879</v>
      </c>
      <c r="AB1414" s="1" t="s">
        <v>880</v>
      </c>
      <c r="AC1414" s="1">
        <v>6.06233738E8</v>
      </c>
      <c r="AD1414" s="1">
        <v>1.8010168E8</v>
      </c>
      <c r="AF1414" s="1">
        <v>51926.0</v>
      </c>
      <c r="AG1414" s="2">
        <v>41821.0</v>
      </c>
      <c r="AH1414" s="1">
        <v>1200.0</v>
      </c>
      <c r="AI1414" s="1" t="s">
        <v>647</v>
      </c>
      <c r="AJ1414" s="1" t="s">
        <v>2872</v>
      </c>
      <c r="AK1414" s="1" t="s">
        <v>2873</v>
      </c>
      <c r="AL1414" s="1">
        <v>7.0</v>
      </c>
      <c r="AM1414" s="1">
        <v>2014.0</v>
      </c>
      <c r="AN1414" s="1">
        <v>2014.0</v>
      </c>
      <c r="AO1414" s="1" t="s">
        <v>961</v>
      </c>
    </row>
    <row r="1415">
      <c r="A1415" s="5">
        <v>1.0</v>
      </c>
      <c r="B1415" s="1">
        <f t="shared" si="1"/>
        <v>1415</v>
      </c>
      <c r="C1415" s="1" t="s">
        <v>2866</v>
      </c>
      <c r="D1415" s="1" t="s">
        <v>2866</v>
      </c>
      <c r="E1415" s="1" t="s">
        <v>645</v>
      </c>
      <c r="G1415" s="1">
        <v>638408.0</v>
      </c>
      <c r="H1415" s="2">
        <v>41908.0</v>
      </c>
      <c r="I1415" s="1" t="s">
        <v>2867</v>
      </c>
      <c r="K1415" s="1" t="s">
        <v>2867</v>
      </c>
      <c r="N1415" s="1" t="s">
        <v>647</v>
      </c>
      <c r="O1415" s="1">
        <v>1200.0</v>
      </c>
      <c r="P1415" s="1" t="s">
        <v>647</v>
      </c>
      <c r="Q1415" s="1" t="str">
        <f>IF(ISERROR(VLOOKUP(P1415,'unique fed agency names'!A:C,3,FALSE)),P1415,VLOOKUP(P1415,'unique fed agency names'!A:C,3,FALSE))
</f>
        <v>U.S. Department of Agriculture (USDA)</v>
      </c>
      <c r="R1415" s="1">
        <v>7.6340843E7</v>
      </c>
      <c r="S1415" s="1" t="s">
        <v>461</v>
      </c>
      <c r="T1415" s="1" t="str">
        <f>IF(ISERROR(VLOOKUP(S1415,'unique org names'!A:C,3,FALSE)),S1415,VLOOKUP(S1415,'unique org names'!A:C,3,FALSE))
</f>
        <v>BOARD OF EDUCATION OF THE CITY OF DETROIT</v>
      </c>
      <c r="V1415" s="1" t="s">
        <v>1599</v>
      </c>
      <c r="W1415" s="1" t="s">
        <v>44</v>
      </c>
      <c r="X1415" s="1" t="s">
        <v>45</v>
      </c>
      <c r="Y1415" s="1">
        <v>4.8202301E8</v>
      </c>
      <c r="AA1415" s="1" t="s">
        <v>44</v>
      </c>
      <c r="AB1415" s="1" t="s">
        <v>45</v>
      </c>
      <c r="AC1415" s="1">
        <v>4.82023096E8</v>
      </c>
      <c r="AD1415" s="1">
        <v>7.6340843E7</v>
      </c>
      <c r="AE1415" s="1" t="s">
        <v>461</v>
      </c>
      <c r="AF1415" s="1">
        <v>68348.0</v>
      </c>
      <c r="AG1415" s="2">
        <v>41908.0</v>
      </c>
      <c r="AH1415" s="1">
        <v>1200.0</v>
      </c>
      <c r="AI1415" s="1" t="s">
        <v>647</v>
      </c>
      <c r="AJ1415" s="1" t="s">
        <v>2874</v>
      </c>
      <c r="AK1415" s="1" t="s">
        <v>712</v>
      </c>
      <c r="AL1415" s="1">
        <v>10.0</v>
      </c>
      <c r="AM1415" s="1">
        <v>2014.0</v>
      </c>
      <c r="AN1415" s="1">
        <v>2014.0</v>
      </c>
      <c r="AO1415" s="1" t="s">
        <v>2869</v>
      </c>
    </row>
    <row r="1416">
      <c r="A1416" s="5">
        <v>1.0</v>
      </c>
      <c r="B1416" s="1">
        <f t="shared" si="1"/>
        <v>1416</v>
      </c>
      <c r="C1416" s="1" t="s">
        <v>2875</v>
      </c>
      <c r="D1416" s="1" t="s">
        <v>2875</v>
      </c>
      <c r="E1416" s="1" t="s">
        <v>38</v>
      </c>
      <c r="G1416" s="1">
        <v>924289.0</v>
      </c>
      <c r="H1416" s="2">
        <v>41942.0</v>
      </c>
      <c r="I1416" s="1" t="s">
        <v>2876</v>
      </c>
      <c r="K1416" s="1" t="s">
        <v>2876</v>
      </c>
      <c r="N1416" s="1" t="s">
        <v>40</v>
      </c>
      <c r="O1416" s="1">
        <v>7500.0</v>
      </c>
      <c r="P1416" s="1" t="s">
        <v>40</v>
      </c>
      <c r="Q1416" s="1" t="str">
        <f>IF(ISERROR(VLOOKUP(P1416,'unique fed agency names'!A:C,3,FALSE)),P1416,VLOOKUP(P1416,'unique fed agency names'!A:C,3,FALSE))
</f>
        <v>U.S. Department of Health and Human Services (DHHS)</v>
      </c>
      <c r="R1416" s="1">
        <v>7.6377316E7</v>
      </c>
      <c r="S1416" s="1" t="s">
        <v>2302</v>
      </c>
      <c r="T1416" s="1" t="str">
        <f>IF(ISERROR(VLOOKUP(S1416,'unique org names'!A:C,3,FALSE)),S1416,VLOOKUP(S1416,'unique org names'!A:C,3,FALSE))
</f>
        <v>VHS CHILDREN'S HOSPITAL OF MICHIGAN, INC.</v>
      </c>
      <c r="V1416" s="1" t="s">
        <v>2303</v>
      </c>
      <c r="W1416" s="1" t="s">
        <v>44</v>
      </c>
      <c r="X1416" s="1" t="s">
        <v>45</v>
      </c>
      <c r="Y1416" s="1">
        <v>4.82012119E8</v>
      </c>
      <c r="AA1416" s="1" t="s">
        <v>46</v>
      </c>
      <c r="AB1416" s="1" t="s">
        <v>45</v>
      </c>
      <c r="AC1416" s="1">
        <v>4.82012119E8</v>
      </c>
      <c r="AD1416" s="1">
        <v>5.3866661E7</v>
      </c>
      <c r="AF1416" s="1">
        <v>45651.0</v>
      </c>
      <c r="AG1416" s="2">
        <v>41942.0</v>
      </c>
      <c r="AH1416" s="1">
        <v>7500.0</v>
      </c>
      <c r="AI1416" s="1" t="s">
        <v>40</v>
      </c>
      <c r="AJ1416" s="1" t="s">
        <v>2877</v>
      </c>
      <c r="AK1416" s="1" t="s">
        <v>2878</v>
      </c>
      <c r="AL1416" s="1">
        <v>11.0</v>
      </c>
      <c r="AM1416" s="1">
        <v>2014.0</v>
      </c>
      <c r="AN1416" s="1">
        <v>2015.0</v>
      </c>
      <c r="AO1416" s="1" t="s">
        <v>1443</v>
      </c>
    </row>
    <row r="1417">
      <c r="A1417" s="5">
        <v>1.0</v>
      </c>
      <c r="B1417" s="1">
        <f t="shared" si="1"/>
        <v>1417</v>
      </c>
      <c r="C1417" s="1" t="s">
        <v>2879</v>
      </c>
      <c r="D1417" s="1" t="s">
        <v>2879</v>
      </c>
      <c r="E1417" s="1" t="s">
        <v>194</v>
      </c>
      <c r="G1417" s="1">
        <v>400000.0</v>
      </c>
      <c r="H1417" s="2">
        <v>41941.0</v>
      </c>
      <c r="I1417" s="1" t="s">
        <v>195</v>
      </c>
      <c r="K1417" s="1" t="s">
        <v>195</v>
      </c>
      <c r="N1417" s="1" t="s">
        <v>194</v>
      </c>
      <c r="O1417" s="1">
        <v>9100.0</v>
      </c>
      <c r="P1417" s="1" t="s">
        <v>194</v>
      </c>
      <c r="Q1417" s="1" t="str">
        <f>IF(ISERROR(VLOOKUP(P1417,'unique fed agency names'!A:C,3,FALSE)),P1417,VLOOKUP(P1417,'unique fed agency names'!A:C,3,FALSE))
</f>
        <v>U.S. Department of Education (ED)</v>
      </c>
      <c r="R1417" s="1">
        <v>2.5475267E7</v>
      </c>
      <c r="S1417" s="1" t="s">
        <v>2880</v>
      </c>
      <c r="T1417" s="1" t="str">
        <f>IF(ISERROR(VLOOKUP(S1417,'unique org names'!A:C,3,FALSE)),S1417,VLOOKUP(S1417,'unique org names'!A:C,3,FALSE))
</f>
        <v>Metropolitan Detroit Center for Independent Living</v>
      </c>
      <c r="V1417" s="1" t="s">
        <v>2881</v>
      </c>
      <c r="W1417" s="1" t="s">
        <v>44</v>
      </c>
      <c r="X1417" s="1" t="s">
        <v>45</v>
      </c>
      <c r="Y1417" s="1">
        <v>4.8213E8</v>
      </c>
      <c r="AA1417" s="1" t="s">
        <v>46</v>
      </c>
      <c r="AB1417" s="1" t="s">
        <v>45</v>
      </c>
      <c r="AC1417" s="1">
        <v>48213.0</v>
      </c>
      <c r="AF1417" s="1">
        <v>634790.0</v>
      </c>
      <c r="AG1417" s="2">
        <v>41941.0</v>
      </c>
      <c r="AH1417" s="1">
        <v>9100.0</v>
      </c>
      <c r="AI1417" s="1" t="s">
        <v>194</v>
      </c>
      <c r="AJ1417" s="1" t="s">
        <v>2882</v>
      </c>
      <c r="AK1417" s="1" t="s">
        <v>2883</v>
      </c>
      <c r="AL1417" s="1">
        <v>11.0</v>
      </c>
      <c r="AM1417" s="1">
        <v>2014.0</v>
      </c>
      <c r="AN1417" s="1">
        <v>2015.0</v>
      </c>
      <c r="AO1417" s="1" t="s">
        <v>197</v>
      </c>
    </row>
    <row r="1418">
      <c r="A1418" s="5">
        <v>1.0</v>
      </c>
      <c r="B1418" s="1">
        <f t="shared" si="1"/>
        <v>1418</v>
      </c>
      <c r="C1418" s="1" t="s">
        <v>2884</v>
      </c>
      <c r="D1418" s="1" t="s">
        <v>2884</v>
      </c>
      <c r="E1418" s="1" t="s">
        <v>129</v>
      </c>
      <c r="G1418" s="1">
        <v>786466.0</v>
      </c>
      <c r="H1418" s="2">
        <v>41913.0</v>
      </c>
      <c r="I1418" s="1" t="s">
        <v>2885</v>
      </c>
      <c r="K1418" s="1" t="s">
        <v>2885</v>
      </c>
      <c r="N1418" s="1" t="s">
        <v>40</v>
      </c>
      <c r="O1418" s="1">
        <v>7500.0</v>
      </c>
      <c r="P1418" s="1" t="s">
        <v>40</v>
      </c>
      <c r="Q1418" s="1" t="str">
        <f>IF(ISERROR(VLOOKUP(P1418,'unique fed agency names'!A:C,3,FALSE)),P1418,VLOOKUP(P1418,'unique fed agency names'!A:C,3,FALSE))
</f>
        <v>U.S. Department of Health and Human Services (DHHS)</v>
      </c>
      <c r="R1418" s="1">
        <v>6.9840817E7</v>
      </c>
      <c r="S1418" s="1" t="s">
        <v>131</v>
      </c>
      <c r="T1418" s="1" t="str">
        <f>IF(ISERROR(VLOOKUP(S1418,'unique org names'!A:C,3,FALSE)),S1418,VLOOKUP(S1418,'unique org names'!A:C,3,FALSE))
</f>
        <v>LUTHERAN SOCIAL SERVICES OF MICHIGAN</v>
      </c>
      <c r="V1418" s="1" t="s">
        <v>132</v>
      </c>
      <c r="W1418" s="1" t="s">
        <v>44</v>
      </c>
      <c r="X1418" s="1" t="s">
        <v>45</v>
      </c>
      <c r="Y1418" s="1">
        <v>4.8214261E8</v>
      </c>
      <c r="AA1418" s="1" t="s">
        <v>44</v>
      </c>
      <c r="AB1418" s="1" t="s">
        <v>45</v>
      </c>
      <c r="AC1418" s="1">
        <v>4.8214261E8</v>
      </c>
      <c r="AD1418" s="1">
        <v>6.9840817E7</v>
      </c>
      <c r="AE1418" s="1" t="s">
        <v>131</v>
      </c>
      <c r="AF1418" s="1">
        <v>2300000.0</v>
      </c>
      <c r="AG1418" s="2">
        <v>41913.0</v>
      </c>
      <c r="AH1418" s="1">
        <v>7500.0</v>
      </c>
      <c r="AI1418" s="1" t="s">
        <v>40</v>
      </c>
      <c r="AJ1418" s="1" t="s">
        <v>2886</v>
      </c>
      <c r="AK1418" s="1" t="s">
        <v>2887</v>
      </c>
      <c r="AL1418" s="1">
        <v>10.0</v>
      </c>
      <c r="AM1418" s="1">
        <v>2014.0</v>
      </c>
      <c r="AN1418" s="1">
        <v>2015.0</v>
      </c>
      <c r="AO1418" s="1" t="s">
        <v>2888</v>
      </c>
    </row>
    <row r="1419">
      <c r="A1419" s="5">
        <v>1.0</v>
      </c>
      <c r="B1419" s="1">
        <f t="shared" si="1"/>
        <v>1419</v>
      </c>
      <c r="C1419" s="1" t="s">
        <v>1308</v>
      </c>
      <c r="D1419" s="1" t="s">
        <v>1308</v>
      </c>
      <c r="E1419" s="1" t="s">
        <v>129</v>
      </c>
      <c r="G1419" s="1">
        <v>2265546.0</v>
      </c>
      <c r="H1419" s="2">
        <v>41913.0</v>
      </c>
      <c r="I1419" s="1" t="s">
        <v>876</v>
      </c>
      <c r="K1419" s="1" t="s">
        <v>876</v>
      </c>
      <c r="N1419" s="1" t="s">
        <v>40</v>
      </c>
      <c r="O1419" s="1">
        <v>7500.0</v>
      </c>
      <c r="P1419" s="1" t="s">
        <v>40</v>
      </c>
      <c r="Q1419" s="1" t="str">
        <f>IF(ISERROR(VLOOKUP(P1419,'unique fed agency names'!A:C,3,FALSE)),P1419,VLOOKUP(P1419,'unique fed agency names'!A:C,3,FALSE))
</f>
        <v>U.S. Department of Health and Human Services (DHHS)</v>
      </c>
      <c r="R1419" s="1">
        <v>1.21516199E8</v>
      </c>
      <c r="S1419" s="1" t="s">
        <v>380</v>
      </c>
      <c r="T1419" s="1" t="str">
        <f>IF(ISERROR(VLOOKUP(S1419,'unique org names'!A:C,3,FALSE)),S1419,VLOOKUP(S1419,'unique org names'!A:C,3,FALSE))
</f>
        <v>YWCA of Metropolitan Detroit</v>
      </c>
      <c r="U1419" s="1" t="s">
        <v>381</v>
      </c>
      <c r="V1419" s="1" t="s">
        <v>382</v>
      </c>
      <c r="W1419" s="1" t="s">
        <v>44</v>
      </c>
      <c r="X1419" s="1" t="s">
        <v>45</v>
      </c>
      <c r="Y1419" s="1">
        <v>4.82073156E8</v>
      </c>
      <c r="AA1419" s="1" t="s">
        <v>44</v>
      </c>
      <c r="AB1419" s="1" t="s">
        <v>45</v>
      </c>
      <c r="AC1419" s="1">
        <v>4.82073127E8</v>
      </c>
      <c r="AD1419" s="1">
        <v>1.21516199E8</v>
      </c>
      <c r="AE1419" s="1" t="s">
        <v>380</v>
      </c>
      <c r="AF1419" s="1">
        <v>164858.02</v>
      </c>
      <c r="AG1419" s="2">
        <v>41913.0</v>
      </c>
      <c r="AH1419" s="1">
        <v>7500.0</v>
      </c>
      <c r="AI1419" s="1" t="s">
        <v>40</v>
      </c>
      <c r="AJ1419" s="1" t="s">
        <v>2889</v>
      </c>
      <c r="AK1419" s="1" t="s">
        <v>1310</v>
      </c>
      <c r="AL1419" s="1">
        <v>10.0</v>
      </c>
      <c r="AM1419" s="1">
        <v>2014.0</v>
      </c>
      <c r="AN1419" s="1">
        <v>2015.0</v>
      </c>
      <c r="AO1419" s="1" t="s">
        <v>2890</v>
      </c>
    </row>
    <row r="1420">
      <c r="A1420" s="5">
        <v>1.0</v>
      </c>
      <c r="B1420" s="1">
        <f t="shared" si="1"/>
        <v>1420</v>
      </c>
      <c r="C1420" s="1" t="s">
        <v>1314</v>
      </c>
      <c r="D1420" s="1" t="s">
        <v>1314</v>
      </c>
      <c r="E1420" s="1" t="s">
        <v>70</v>
      </c>
      <c r="G1420" s="1">
        <v>3726339.0</v>
      </c>
      <c r="H1420" s="2">
        <v>41913.0</v>
      </c>
      <c r="I1420" s="1" t="s">
        <v>1315</v>
      </c>
      <c r="K1420" s="1" t="s">
        <v>1315</v>
      </c>
      <c r="N1420" s="1" t="s">
        <v>72</v>
      </c>
      <c r="O1420" s="1">
        <v>1500.0</v>
      </c>
      <c r="P1420" s="1" t="s">
        <v>72</v>
      </c>
      <c r="Q1420" s="1" t="str">
        <f>IF(ISERROR(VLOOKUP(P1420,'unique fed agency names'!A:C,3,FALSE)),P1420,VLOOKUP(P1420,'unique fed agency names'!A:C,3,FALSE))
</f>
        <v>U.S. Department of Justice (DOJ)</v>
      </c>
      <c r="R1420" s="1">
        <v>1.58142448E8</v>
      </c>
      <c r="S1420" s="1" t="s">
        <v>1316</v>
      </c>
      <c r="T1420" s="1" t="str">
        <f>IF(ISERROR(VLOOKUP(S1420,'unique org names'!A:C,3,FALSE)),S1420,VLOOKUP(S1420,'unique org names'!A:C,3,FALSE))
</f>
        <v>Community Health and Social Services Center</v>
      </c>
      <c r="U1420" s="1" t="s">
        <v>1317</v>
      </c>
      <c r="V1420" s="1" t="s">
        <v>1318</v>
      </c>
      <c r="W1420" s="1" t="s">
        <v>44</v>
      </c>
      <c r="X1420" s="1" t="s">
        <v>45</v>
      </c>
      <c r="Y1420" s="1">
        <v>4.82093154E8</v>
      </c>
      <c r="AA1420" s="1" t="s">
        <v>46</v>
      </c>
      <c r="AB1420" s="1" t="s">
        <v>45</v>
      </c>
      <c r="AC1420" s="1">
        <v>4.82093154E8</v>
      </c>
      <c r="AD1420" s="1">
        <v>1.58142448E8</v>
      </c>
      <c r="AE1420" s="1" t="s">
        <v>1316</v>
      </c>
      <c r="AF1420" s="1">
        <v>119951.0</v>
      </c>
      <c r="AG1420" s="2">
        <v>41913.0</v>
      </c>
      <c r="AH1420" s="1">
        <v>1500.0</v>
      </c>
      <c r="AI1420" s="1" t="s">
        <v>72</v>
      </c>
      <c r="AJ1420" s="1" t="s">
        <v>2891</v>
      </c>
      <c r="AK1420" s="1" t="s">
        <v>1320</v>
      </c>
      <c r="AL1420" s="1">
        <v>10.0</v>
      </c>
      <c r="AM1420" s="1">
        <v>2014.0</v>
      </c>
      <c r="AN1420" s="1">
        <v>2015.0</v>
      </c>
      <c r="AO1420" s="1" t="s">
        <v>1321</v>
      </c>
    </row>
    <row r="1421">
      <c r="A1421" s="5">
        <v>1.0</v>
      </c>
      <c r="B1421" s="1">
        <f t="shared" si="1"/>
        <v>1421</v>
      </c>
      <c r="C1421" s="1" t="s">
        <v>1314</v>
      </c>
      <c r="D1421" s="1" t="s">
        <v>1314</v>
      </c>
      <c r="E1421" s="1" t="s">
        <v>70</v>
      </c>
      <c r="G1421" s="1">
        <v>3726339.0</v>
      </c>
      <c r="H1421" s="2">
        <v>41913.0</v>
      </c>
      <c r="I1421" s="1" t="s">
        <v>1315</v>
      </c>
      <c r="K1421" s="1" t="s">
        <v>1315</v>
      </c>
      <c r="N1421" s="1" t="s">
        <v>72</v>
      </c>
      <c r="O1421" s="1">
        <v>1500.0</v>
      </c>
      <c r="P1421" s="1" t="s">
        <v>72</v>
      </c>
      <c r="Q1421" s="1" t="str">
        <f>IF(ISERROR(VLOOKUP(P1421,'unique fed agency names'!A:C,3,FALSE)),P1421,VLOOKUP(P1421,'unique fed agency names'!A:C,3,FALSE))
</f>
        <v>U.S. Department of Justice (DOJ)</v>
      </c>
      <c r="R1421" s="1">
        <v>1.21516199E8</v>
      </c>
      <c r="S1421" s="1" t="s">
        <v>380</v>
      </c>
      <c r="T1421" s="1" t="str">
        <f>IF(ISERROR(VLOOKUP(S1421,'unique org names'!A:C,3,FALSE)),S1421,VLOOKUP(S1421,'unique org names'!A:C,3,FALSE))
</f>
        <v>YWCA of Metropolitan Detroit</v>
      </c>
      <c r="U1421" s="1" t="s">
        <v>381</v>
      </c>
      <c r="V1421" s="1" t="s">
        <v>382</v>
      </c>
      <c r="W1421" s="1" t="s">
        <v>44</v>
      </c>
      <c r="X1421" s="1" t="s">
        <v>45</v>
      </c>
      <c r="Y1421" s="1">
        <v>4.82073156E8</v>
      </c>
      <c r="AA1421" s="1" t="s">
        <v>44</v>
      </c>
      <c r="AB1421" s="1" t="s">
        <v>45</v>
      </c>
      <c r="AC1421" s="1">
        <v>4.82073156E8</v>
      </c>
      <c r="AD1421" s="1">
        <v>1.21516199E8</v>
      </c>
      <c r="AE1421" s="1" t="s">
        <v>380</v>
      </c>
      <c r="AF1421" s="1">
        <v>105765.0</v>
      </c>
      <c r="AG1421" s="2">
        <v>41913.0</v>
      </c>
      <c r="AH1421" s="1">
        <v>1500.0</v>
      </c>
      <c r="AI1421" s="1" t="s">
        <v>72</v>
      </c>
      <c r="AJ1421" s="1" t="s">
        <v>2892</v>
      </c>
      <c r="AK1421" s="1" t="s">
        <v>1323</v>
      </c>
      <c r="AL1421" s="1">
        <v>10.0</v>
      </c>
      <c r="AM1421" s="1">
        <v>2014.0</v>
      </c>
      <c r="AN1421" s="1">
        <v>2015.0</v>
      </c>
      <c r="AO1421" s="1" t="s">
        <v>1321</v>
      </c>
    </row>
    <row r="1422">
      <c r="A1422" s="5">
        <v>1.0</v>
      </c>
      <c r="B1422" s="1">
        <f t="shared" si="1"/>
        <v>1422</v>
      </c>
      <c r="C1422" s="1" t="s">
        <v>2893</v>
      </c>
      <c r="D1422" s="1" t="s">
        <v>2893</v>
      </c>
      <c r="E1422" s="1" t="s">
        <v>100</v>
      </c>
      <c r="G1422" s="1">
        <v>4354622.0</v>
      </c>
      <c r="H1422" s="2">
        <v>41906.0</v>
      </c>
      <c r="I1422" s="1" t="s">
        <v>1433</v>
      </c>
      <c r="K1422" s="1" t="s">
        <v>1433</v>
      </c>
      <c r="N1422" s="1" t="s">
        <v>102</v>
      </c>
      <c r="O1422" s="1">
        <v>8600.0</v>
      </c>
      <c r="P1422" s="1" t="s">
        <v>102</v>
      </c>
      <c r="Q1422" s="1" t="str">
        <f>IF(ISERROR(VLOOKUP(P1422,'unique fed agency names'!A:C,3,FALSE)),P1422,VLOOKUP(P1422,'unique fed agency names'!A:C,3,FALSE))
</f>
        <v>U.S. Department of Housing and Urban Development (HUD)</v>
      </c>
      <c r="R1422" s="1">
        <v>1.54693043E8</v>
      </c>
      <c r="S1422" s="1" t="s">
        <v>362</v>
      </c>
      <c r="T1422" s="1" t="str">
        <f>IF(ISERROR(VLOOKUP(S1422,'unique org names'!A:C,3,FALSE)),S1422,VLOOKUP(S1422,'unique org names'!A:C,3,FALSE))
</f>
        <v>Homeless Action Network of Detroit (HAND)</v>
      </c>
      <c r="U1422" s="1" t="s">
        <v>363</v>
      </c>
      <c r="V1422" s="1" t="s">
        <v>2894</v>
      </c>
      <c r="W1422" s="1" t="s">
        <v>44</v>
      </c>
      <c r="X1422" s="1" t="s">
        <v>45</v>
      </c>
      <c r="Y1422" s="1">
        <v>4.82011559E8</v>
      </c>
      <c r="AA1422" s="1" t="s">
        <v>46</v>
      </c>
      <c r="AB1422" s="1" t="s">
        <v>45</v>
      </c>
      <c r="AC1422" s="1">
        <v>4.82011559E8</v>
      </c>
      <c r="AF1422" s="1">
        <v>301979.0</v>
      </c>
      <c r="AG1422" s="2">
        <v>41906.0</v>
      </c>
      <c r="AH1422" s="1">
        <v>8600.0</v>
      </c>
      <c r="AI1422" s="1" t="s">
        <v>102</v>
      </c>
      <c r="AJ1422" s="1" t="s">
        <v>2895</v>
      </c>
      <c r="AK1422" s="1" t="s">
        <v>2896</v>
      </c>
      <c r="AL1422" s="1">
        <v>11.0</v>
      </c>
      <c r="AM1422" s="1">
        <v>2014.0</v>
      </c>
      <c r="AN1422" s="1">
        <v>2014.0</v>
      </c>
      <c r="AO1422" s="1" t="s">
        <v>367</v>
      </c>
    </row>
    <row r="1423">
      <c r="A1423" s="5">
        <v>1.0</v>
      </c>
      <c r="B1423" s="1">
        <f t="shared" si="1"/>
        <v>1423</v>
      </c>
      <c r="C1423" s="1" t="s">
        <v>2789</v>
      </c>
      <c r="D1423" s="1" t="s">
        <v>2789</v>
      </c>
      <c r="E1423" s="1" t="s">
        <v>207</v>
      </c>
      <c r="G1423" s="1">
        <v>2.11124045E9</v>
      </c>
      <c r="H1423" s="2">
        <v>41183.0</v>
      </c>
      <c r="I1423" s="1" t="s">
        <v>2790</v>
      </c>
      <c r="K1423" s="1" t="s">
        <v>2790</v>
      </c>
      <c r="N1423" s="1" t="s">
        <v>40</v>
      </c>
      <c r="O1423" s="1">
        <v>7500.0</v>
      </c>
      <c r="P1423" s="1" t="s">
        <v>40</v>
      </c>
      <c r="Q1423" s="1" t="str">
        <f>IF(ISERROR(VLOOKUP(P1423,'unique fed agency names'!A:C,3,FALSE)),P1423,VLOOKUP(P1423,'unique fed agency names'!A:C,3,FALSE))
</f>
        <v>U.S. Department of Health and Human Services (DHHS)</v>
      </c>
      <c r="R1423" s="1">
        <v>3.8775243E7</v>
      </c>
      <c r="S1423" s="1" t="s">
        <v>209</v>
      </c>
      <c r="T1423" s="1" t="str">
        <f>IF(ISERROR(VLOOKUP(S1423,'unique org names'!A:C,3,FALSE)),S1423,VLOOKUP(S1423,'unique org names'!A:C,3,FALSE))
</f>
        <v>SOUTHEASTERN MICHIGAN HEALTH ASSOCIATION</v>
      </c>
      <c r="U1423" s="1" t="s">
        <v>210</v>
      </c>
      <c r="V1423" s="1" t="s">
        <v>211</v>
      </c>
      <c r="W1423" s="1" t="s">
        <v>44</v>
      </c>
      <c r="X1423" s="1" t="s">
        <v>45</v>
      </c>
      <c r="Y1423" s="1">
        <v>4.82023068E8</v>
      </c>
      <c r="AA1423" s="1" t="s">
        <v>46</v>
      </c>
      <c r="AB1423" s="1" t="s">
        <v>45</v>
      </c>
      <c r="AC1423" s="1">
        <v>4.82023068E8</v>
      </c>
      <c r="AD1423" s="1">
        <v>3.8775243E7</v>
      </c>
      <c r="AE1423" s="1" t="s">
        <v>209</v>
      </c>
      <c r="AF1423" s="1">
        <v>2145.97</v>
      </c>
      <c r="AG1423" s="2">
        <v>41183.0</v>
      </c>
      <c r="AH1423" s="1">
        <v>7500.0</v>
      </c>
      <c r="AI1423" s="1" t="s">
        <v>40</v>
      </c>
      <c r="AJ1423" s="1">
        <v>2.0131083E7</v>
      </c>
      <c r="AK1423" s="1" t="s">
        <v>212</v>
      </c>
      <c r="AL1423" s="1">
        <v>10.0</v>
      </c>
      <c r="AM1423" s="1">
        <v>2012.0</v>
      </c>
      <c r="AN1423" s="1">
        <v>2013.0</v>
      </c>
      <c r="AO1423" s="1" t="s">
        <v>213</v>
      </c>
    </row>
    <row r="1424">
      <c r="A1424" s="5">
        <v>1.0</v>
      </c>
      <c r="B1424" s="1">
        <f t="shared" si="1"/>
        <v>1424</v>
      </c>
      <c r="C1424" s="1" t="s">
        <v>2789</v>
      </c>
      <c r="D1424" s="1" t="s">
        <v>2789</v>
      </c>
      <c r="E1424" s="1" t="s">
        <v>207</v>
      </c>
      <c r="G1424" s="1">
        <v>2.11124045E9</v>
      </c>
      <c r="H1424" s="2">
        <v>41183.0</v>
      </c>
      <c r="I1424" s="1" t="s">
        <v>2790</v>
      </c>
      <c r="K1424" s="1" t="s">
        <v>2790</v>
      </c>
      <c r="N1424" s="1" t="s">
        <v>40</v>
      </c>
      <c r="O1424" s="1">
        <v>7500.0</v>
      </c>
      <c r="P1424" s="1" t="s">
        <v>40</v>
      </c>
      <c r="Q1424" s="1" t="str">
        <f>IF(ISERROR(VLOOKUP(P1424,'unique fed agency names'!A:C,3,FALSE)),P1424,VLOOKUP(P1424,'unique fed agency names'!A:C,3,FALSE))
</f>
        <v>U.S. Department of Health and Human Services (DHHS)</v>
      </c>
      <c r="R1424" s="1">
        <v>3.8775243E7</v>
      </c>
      <c r="S1424" s="1" t="s">
        <v>209</v>
      </c>
      <c r="T1424" s="1" t="str">
        <f>IF(ISERROR(VLOOKUP(S1424,'unique org names'!A:C,3,FALSE)),S1424,VLOOKUP(S1424,'unique org names'!A:C,3,FALSE))
</f>
        <v>SOUTHEASTERN MICHIGAN HEALTH ASSOCIATION</v>
      </c>
      <c r="U1424" s="1" t="s">
        <v>210</v>
      </c>
      <c r="V1424" s="1" t="s">
        <v>211</v>
      </c>
      <c r="W1424" s="1" t="s">
        <v>44</v>
      </c>
      <c r="X1424" s="1" t="s">
        <v>45</v>
      </c>
      <c r="Y1424" s="1">
        <v>4.82023068E8</v>
      </c>
      <c r="AA1424" s="1" t="s">
        <v>46</v>
      </c>
      <c r="AB1424" s="1" t="s">
        <v>45</v>
      </c>
      <c r="AC1424" s="1">
        <v>4.82023068E8</v>
      </c>
      <c r="AD1424" s="1">
        <v>3.8775243E7</v>
      </c>
      <c r="AE1424" s="1" t="s">
        <v>209</v>
      </c>
      <c r="AF1424" s="1">
        <v>5994.38</v>
      </c>
      <c r="AG1424" s="2">
        <v>41183.0</v>
      </c>
      <c r="AH1424" s="1">
        <v>7500.0</v>
      </c>
      <c r="AI1424" s="1" t="s">
        <v>40</v>
      </c>
      <c r="AJ1424" s="1">
        <v>2.0131083E7</v>
      </c>
      <c r="AK1424" s="1" t="s">
        <v>212</v>
      </c>
      <c r="AL1424" s="1">
        <v>10.0</v>
      </c>
      <c r="AM1424" s="1">
        <v>2012.0</v>
      </c>
      <c r="AN1424" s="1">
        <v>2013.0</v>
      </c>
      <c r="AO1424" s="1" t="s">
        <v>213</v>
      </c>
    </row>
    <row r="1425">
      <c r="A1425" s="5">
        <v>1.0</v>
      </c>
      <c r="B1425" s="1">
        <f t="shared" si="1"/>
        <v>1425</v>
      </c>
      <c r="C1425" s="1" t="s">
        <v>2789</v>
      </c>
      <c r="D1425" s="1" t="s">
        <v>2789</v>
      </c>
      <c r="E1425" s="1" t="s">
        <v>207</v>
      </c>
      <c r="G1425" s="1">
        <v>2.11124045E9</v>
      </c>
      <c r="H1425" s="2">
        <v>41183.0</v>
      </c>
      <c r="I1425" s="1" t="s">
        <v>2790</v>
      </c>
      <c r="K1425" s="1" t="s">
        <v>2790</v>
      </c>
      <c r="N1425" s="1" t="s">
        <v>40</v>
      </c>
      <c r="O1425" s="1">
        <v>7500.0</v>
      </c>
      <c r="P1425" s="1" t="s">
        <v>40</v>
      </c>
      <c r="Q1425" s="1" t="str">
        <f>IF(ISERROR(VLOOKUP(P1425,'unique fed agency names'!A:C,3,FALSE)),P1425,VLOOKUP(P1425,'unique fed agency names'!A:C,3,FALSE))
</f>
        <v>U.S. Department of Health and Human Services (DHHS)</v>
      </c>
      <c r="R1425" s="1">
        <v>3.8775243E7</v>
      </c>
      <c r="S1425" s="1" t="s">
        <v>209</v>
      </c>
      <c r="T1425" s="1" t="str">
        <f>IF(ISERROR(VLOOKUP(S1425,'unique org names'!A:C,3,FALSE)),S1425,VLOOKUP(S1425,'unique org names'!A:C,3,FALSE))
</f>
        <v>SOUTHEASTERN MICHIGAN HEALTH ASSOCIATION</v>
      </c>
      <c r="U1425" s="1" t="s">
        <v>210</v>
      </c>
      <c r="V1425" s="1" t="s">
        <v>211</v>
      </c>
      <c r="W1425" s="1" t="s">
        <v>44</v>
      </c>
      <c r="X1425" s="1" t="s">
        <v>45</v>
      </c>
      <c r="Y1425" s="1">
        <v>4.82023068E8</v>
      </c>
      <c r="AA1425" s="1" t="s">
        <v>46</v>
      </c>
      <c r="AB1425" s="1" t="s">
        <v>45</v>
      </c>
      <c r="AC1425" s="1">
        <v>4.82023068E8</v>
      </c>
      <c r="AD1425" s="1">
        <v>3.8775243E7</v>
      </c>
      <c r="AE1425" s="1" t="s">
        <v>209</v>
      </c>
      <c r="AF1425" s="1">
        <v>13067.38</v>
      </c>
      <c r="AG1425" s="2">
        <v>41183.0</v>
      </c>
      <c r="AH1425" s="1">
        <v>7500.0</v>
      </c>
      <c r="AI1425" s="1" t="s">
        <v>40</v>
      </c>
      <c r="AJ1425" s="1">
        <v>2.013108E7</v>
      </c>
      <c r="AK1425" s="1" t="s">
        <v>212</v>
      </c>
      <c r="AL1425" s="1">
        <v>10.0</v>
      </c>
      <c r="AM1425" s="1">
        <v>2012.0</v>
      </c>
      <c r="AN1425" s="1">
        <v>2013.0</v>
      </c>
      <c r="AO1425" s="1" t="s">
        <v>213</v>
      </c>
    </row>
    <row r="1426">
      <c r="A1426" s="5">
        <v>1.0</v>
      </c>
      <c r="B1426" s="1">
        <f t="shared" si="1"/>
        <v>1426</v>
      </c>
      <c r="C1426" s="1" t="s">
        <v>2789</v>
      </c>
      <c r="D1426" s="1" t="s">
        <v>2789</v>
      </c>
      <c r="E1426" s="1" t="s">
        <v>207</v>
      </c>
      <c r="G1426" s="1">
        <v>2.11124045E9</v>
      </c>
      <c r="H1426" s="2">
        <v>41183.0</v>
      </c>
      <c r="I1426" s="1" t="s">
        <v>2790</v>
      </c>
      <c r="K1426" s="1" t="s">
        <v>2790</v>
      </c>
      <c r="N1426" s="1" t="s">
        <v>40</v>
      </c>
      <c r="O1426" s="1">
        <v>7500.0</v>
      </c>
      <c r="P1426" s="1" t="s">
        <v>40</v>
      </c>
      <c r="Q1426" s="1" t="str">
        <f>IF(ISERROR(VLOOKUP(P1426,'unique fed agency names'!A:C,3,FALSE)),P1426,VLOOKUP(P1426,'unique fed agency names'!A:C,3,FALSE))
</f>
        <v>U.S. Department of Health and Human Services (DHHS)</v>
      </c>
      <c r="R1426" s="1">
        <v>3.8775243E7</v>
      </c>
      <c r="S1426" s="1" t="s">
        <v>209</v>
      </c>
      <c r="T1426" s="1" t="str">
        <f>IF(ISERROR(VLOOKUP(S1426,'unique org names'!A:C,3,FALSE)),S1426,VLOOKUP(S1426,'unique org names'!A:C,3,FALSE))
</f>
        <v>SOUTHEASTERN MICHIGAN HEALTH ASSOCIATION</v>
      </c>
      <c r="U1426" s="1" t="s">
        <v>210</v>
      </c>
      <c r="V1426" s="1" t="s">
        <v>211</v>
      </c>
      <c r="W1426" s="1" t="s">
        <v>44</v>
      </c>
      <c r="X1426" s="1" t="s">
        <v>45</v>
      </c>
      <c r="Y1426" s="1">
        <v>4.82023068E8</v>
      </c>
      <c r="AA1426" s="1" t="s">
        <v>46</v>
      </c>
      <c r="AB1426" s="1" t="s">
        <v>45</v>
      </c>
      <c r="AC1426" s="1">
        <v>4.82023068E8</v>
      </c>
      <c r="AD1426" s="1">
        <v>3.8775243E7</v>
      </c>
      <c r="AE1426" s="1" t="s">
        <v>209</v>
      </c>
      <c r="AF1426" s="1">
        <v>731.25</v>
      </c>
      <c r="AG1426" s="2">
        <v>41183.0</v>
      </c>
      <c r="AH1426" s="1">
        <v>7500.0</v>
      </c>
      <c r="AI1426" s="1" t="s">
        <v>40</v>
      </c>
      <c r="AJ1426" s="1">
        <v>2.0131087E7</v>
      </c>
      <c r="AK1426" s="1" t="s">
        <v>212</v>
      </c>
      <c r="AL1426" s="1">
        <v>10.0</v>
      </c>
      <c r="AM1426" s="1">
        <v>2012.0</v>
      </c>
      <c r="AN1426" s="1">
        <v>2013.0</v>
      </c>
      <c r="AO1426" s="1" t="s">
        <v>213</v>
      </c>
    </row>
    <row r="1427">
      <c r="A1427" s="5">
        <v>1.0</v>
      </c>
      <c r="B1427" s="1">
        <f t="shared" si="1"/>
        <v>1427</v>
      </c>
      <c r="C1427" s="1" t="s">
        <v>2789</v>
      </c>
      <c r="D1427" s="1" t="s">
        <v>2789</v>
      </c>
      <c r="E1427" s="1" t="s">
        <v>207</v>
      </c>
      <c r="G1427" s="1">
        <v>2.11124045E9</v>
      </c>
      <c r="H1427" s="2">
        <v>41183.0</v>
      </c>
      <c r="I1427" s="1" t="s">
        <v>2790</v>
      </c>
      <c r="K1427" s="1" t="s">
        <v>2790</v>
      </c>
      <c r="N1427" s="1" t="s">
        <v>40</v>
      </c>
      <c r="O1427" s="1">
        <v>7500.0</v>
      </c>
      <c r="P1427" s="1" t="s">
        <v>40</v>
      </c>
      <c r="Q1427" s="1" t="str">
        <f>IF(ISERROR(VLOOKUP(P1427,'unique fed agency names'!A:C,3,FALSE)),P1427,VLOOKUP(P1427,'unique fed agency names'!A:C,3,FALSE))
</f>
        <v>U.S. Department of Health and Human Services (DHHS)</v>
      </c>
      <c r="R1427" s="1">
        <v>3.8775243E7</v>
      </c>
      <c r="S1427" s="1" t="s">
        <v>209</v>
      </c>
      <c r="T1427" s="1" t="str">
        <f>IF(ISERROR(VLOOKUP(S1427,'unique org names'!A:C,3,FALSE)),S1427,VLOOKUP(S1427,'unique org names'!A:C,3,FALSE))
</f>
        <v>SOUTHEASTERN MICHIGAN HEALTH ASSOCIATION</v>
      </c>
      <c r="U1427" s="1" t="s">
        <v>210</v>
      </c>
      <c r="V1427" s="1" t="s">
        <v>211</v>
      </c>
      <c r="W1427" s="1" t="s">
        <v>44</v>
      </c>
      <c r="X1427" s="1" t="s">
        <v>45</v>
      </c>
      <c r="Y1427" s="1">
        <v>4.82023068E8</v>
      </c>
      <c r="AA1427" s="1" t="s">
        <v>46</v>
      </c>
      <c r="AB1427" s="1" t="s">
        <v>45</v>
      </c>
      <c r="AC1427" s="1">
        <v>4.82023068E8</v>
      </c>
      <c r="AD1427" s="1">
        <v>3.8775243E7</v>
      </c>
      <c r="AE1427" s="1" t="s">
        <v>209</v>
      </c>
      <c r="AF1427" s="1">
        <v>26013.75</v>
      </c>
      <c r="AG1427" s="2">
        <v>41183.0</v>
      </c>
      <c r="AH1427" s="1">
        <v>7500.0</v>
      </c>
      <c r="AI1427" s="1" t="s">
        <v>40</v>
      </c>
      <c r="AJ1427" s="1">
        <v>2.0131095E7</v>
      </c>
      <c r="AK1427" s="1" t="s">
        <v>212</v>
      </c>
      <c r="AL1427" s="1">
        <v>10.0</v>
      </c>
      <c r="AM1427" s="1">
        <v>2012.0</v>
      </c>
      <c r="AN1427" s="1">
        <v>2013.0</v>
      </c>
      <c r="AO1427" s="1" t="s">
        <v>213</v>
      </c>
    </row>
    <row r="1428">
      <c r="A1428" s="5">
        <v>1.0</v>
      </c>
      <c r="B1428" s="1">
        <f t="shared" si="1"/>
        <v>1428</v>
      </c>
      <c r="C1428" s="1" t="s">
        <v>2789</v>
      </c>
      <c r="D1428" s="1" t="s">
        <v>2789</v>
      </c>
      <c r="E1428" s="1" t="s">
        <v>207</v>
      </c>
      <c r="G1428" s="1">
        <v>2.11124045E9</v>
      </c>
      <c r="H1428" s="2">
        <v>41183.0</v>
      </c>
      <c r="I1428" s="1" t="s">
        <v>2790</v>
      </c>
      <c r="K1428" s="1" t="s">
        <v>2790</v>
      </c>
      <c r="N1428" s="1" t="s">
        <v>40</v>
      </c>
      <c r="O1428" s="1">
        <v>7500.0</v>
      </c>
      <c r="P1428" s="1" t="s">
        <v>40</v>
      </c>
      <c r="Q1428" s="1" t="str">
        <f>IF(ISERROR(VLOOKUP(P1428,'unique fed agency names'!A:C,3,FALSE)),P1428,VLOOKUP(P1428,'unique fed agency names'!A:C,3,FALSE))
</f>
        <v>U.S. Department of Health and Human Services (DHHS)</v>
      </c>
      <c r="R1428" s="1">
        <v>3.8775243E7</v>
      </c>
      <c r="S1428" s="1" t="s">
        <v>209</v>
      </c>
      <c r="T1428" s="1" t="str">
        <f>IF(ISERROR(VLOOKUP(S1428,'unique org names'!A:C,3,FALSE)),S1428,VLOOKUP(S1428,'unique org names'!A:C,3,FALSE))
</f>
        <v>SOUTHEASTERN MICHIGAN HEALTH ASSOCIATION</v>
      </c>
      <c r="U1428" s="1" t="s">
        <v>210</v>
      </c>
      <c r="V1428" s="1" t="s">
        <v>211</v>
      </c>
      <c r="W1428" s="1" t="s">
        <v>44</v>
      </c>
      <c r="X1428" s="1" t="s">
        <v>45</v>
      </c>
      <c r="Y1428" s="1">
        <v>4.82023068E8</v>
      </c>
      <c r="AA1428" s="1" t="s">
        <v>46</v>
      </c>
      <c r="AB1428" s="1" t="s">
        <v>45</v>
      </c>
      <c r="AC1428" s="1">
        <v>4.82023068E8</v>
      </c>
      <c r="AD1428" s="1">
        <v>3.8775243E7</v>
      </c>
      <c r="AE1428" s="1" t="s">
        <v>209</v>
      </c>
      <c r="AF1428" s="1">
        <v>9966.75</v>
      </c>
      <c r="AG1428" s="2">
        <v>41183.0</v>
      </c>
      <c r="AH1428" s="1">
        <v>7500.0</v>
      </c>
      <c r="AI1428" s="1" t="s">
        <v>40</v>
      </c>
      <c r="AJ1428" s="1">
        <v>2.0131079E7</v>
      </c>
      <c r="AK1428" s="1" t="s">
        <v>212</v>
      </c>
      <c r="AL1428" s="1">
        <v>10.0</v>
      </c>
      <c r="AM1428" s="1">
        <v>2012.0</v>
      </c>
      <c r="AN1428" s="1">
        <v>2013.0</v>
      </c>
      <c r="AO1428" s="1" t="s">
        <v>213</v>
      </c>
    </row>
    <row r="1429">
      <c r="A1429" s="5">
        <v>1.0</v>
      </c>
      <c r="B1429" s="1">
        <f t="shared" si="1"/>
        <v>1429</v>
      </c>
      <c r="C1429" s="1" t="s">
        <v>1314</v>
      </c>
      <c r="D1429" s="1" t="s">
        <v>1314</v>
      </c>
      <c r="E1429" s="1" t="s">
        <v>70</v>
      </c>
      <c r="G1429" s="1">
        <v>3726339.0</v>
      </c>
      <c r="H1429" s="2">
        <v>41913.0</v>
      </c>
      <c r="I1429" s="1" t="s">
        <v>1315</v>
      </c>
      <c r="K1429" s="1" t="s">
        <v>1315</v>
      </c>
      <c r="N1429" s="1" t="s">
        <v>72</v>
      </c>
      <c r="O1429" s="1">
        <v>1500.0</v>
      </c>
      <c r="P1429" s="1" t="s">
        <v>72</v>
      </c>
      <c r="Q1429" s="1" t="str">
        <f>IF(ISERROR(VLOOKUP(P1429,'unique fed agency names'!A:C,3,FALSE)),P1429,VLOOKUP(P1429,'unique fed agency names'!A:C,3,FALSE))
</f>
        <v>U.S. Department of Justice (DOJ)</v>
      </c>
      <c r="R1429" s="1">
        <v>7.89629859E8</v>
      </c>
      <c r="S1429" s="1" t="s">
        <v>416</v>
      </c>
      <c r="T1429" s="1" t="str">
        <f>IF(ISERROR(VLOOKUP(S1429,'unique org names'!A:C,3,FALSE)),S1429,VLOOKUP(S1429,'unique org names'!A:C,3,FALSE))
</f>
        <v>Wayne County SAFE Program</v>
      </c>
      <c r="V1429" s="1" t="s">
        <v>417</v>
      </c>
      <c r="W1429" s="1" t="s">
        <v>44</v>
      </c>
      <c r="X1429" s="1" t="s">
        <v>45</v>
      </c>
      <c r="Y1429" s="1">
        <v>4.82343241E8</v>
      </c>
      <c r="AA1429" s="1" t="s">
        <v>44</v>
      </c>
      <c r="AB1429" s="1" t="s">
        <v>45</v>
      </c>
      <c r="AC1429" s="1">
        <v>4.80673241E8</v>
      </c>
      <c r="AF1429" s="1">
        <v>100000.0</v>
      </c>
      <c r="AG1429" s="2">
        <v>41913.0</v>
      </c>
      <c r="AH1429" s="1">
        <v>1500.0</v>
      </c>
      <c r="AI1429" s="1" t="s">
        <v>72</v>
      </c>
      <c r="AJ1429" s="1" t="s">
        <v>2897</v>
      </c>
      <c r="AK1429" s="1" t="s">
        <v>1323</v>
      </c>
      <c r="AL1429" s="1">
        <v>10.0</v>
      </c>
      <c r="AM1429" s="1">
        <v>2014.0</v>
      </c>
      <c r="AN1429" s="1">
        <v>2015.0</v>
      </c>
      <c r="AO1429" s="1" t="s">
        <v>1321</v>
      </c>
    </row>
    <row r="1430">
      <c r="A1430" s="5">
        <v>1.0</v>
      </c>
      <c r="B1430" s="1">
        <f t="shared" si="1"/>
        <v>1430</v>
      </c>
      <c r="C1430" s="1" t="s">
        <v>2789</v>
      </c>
      <c r="D1430" s="1" t="s">
        <v>2789</v>
      </c>
      <c r="E1430" s="1" t="s">
        <v>207</v>
      </c>
      <c r="G1430" s="1">
        <v>2.11124045E9</v>
      </c>
      <c r="H1430" s="2">
        <v>41183.0</v>
      </c>
      <c r="I1430" s="1" t="s">
        <v>2790</v>
      </c>
      <c r="K1430" s="1" t="s">
        <v>2790</v>
      </c>
      <c r="N1430" s="1" t="s">
        <v>40</v>
      </c>
      <c r="O1430" s="1">
        <v>7500.0</v>
      </c>
      <c r="P1430" s="1" t="s">
        <v>40</v>
      </c>
      <c r="Q1430" s="1" t="str">
        <f>IF(ISERROR(VLOOKUP(P1430,'unique fed agency names'!A:C,3,FALSE)),P1430,VLOOKUP(P1430,'unique fed agency names'!A:C,3,FALSE))
</f>
        <v>U.S. Department of Health and Human Services (DHHS)</v>
      </c>
      <c r="R1430" s="1">
        <v>8.09204196E8</v>
      </c>
      <c r="S1430" s="1" t="s">
        <v>175</v>
      </c>
      <c r="T1430" s="1" t="str">
        <f>IF(ISERROR(VLOOKUP(S1430,'unique org names'!A:C,3,FALSE)),S1430,VLOOKUP(S1430,'unique org names'!A:C,3,FALSE))
</f>
        <v>DETROIT WAYNE COUNTY HEALTH AUTHORITY</v>
      </c>
      <c r="U1430" s="1" t="s">
        <v>2775</v>
      </c>
      <c r="V1430" s="1" t="s">
        <v>2078</v>
      </c>
      <c r="W1430" s="1" t="s">
        <v>44</v>
      </c>
      <c r="X1430" s="1" t="s">
        <v>45</v>
      </c>
      <c r="Y1430" s="1">
        <v>4.82023026E8</v>
      </c>
      <c r="AA1430" s="1" t="s">
        <v>46</v>
      </c>
      <c r="AB1430" s="1" t="s">
        <v>45</v>
      </c>
      <c r="AC1430" s="1">
        <v>4.82023025E8</v>
      </c>
      <c r="AD1430" s="1">
        <v>8.09204196E8</v>
      </c>
      <c r="AE1430" s="1" t="s">
        <v>175</v>
      </c>
      <c r="AF1430" s="1">
        <v>157655.5</v>
      </c>
      <c r="AG1430" s="2">
        <v>41183.0</v>
      </c>
      <c r="AH1430" s="1">
        <v>7500.0</v>
      </c>
      <c r="AI1430" s="1" t="s">
        <v>40</v>
      </c>
      <c r="AJ1430" s="1">
        <v>2.0131444E7</v>
      </c>
      <c r="AK1430" s="1" t="s">
        <v>212</v>
      </c>
      <c r="AL1430" s="1">
        <v>10.0</v>
      </c>
      <c r="AM1430" s="1">
        <v>2012.0</v>
      </c>
      <c r="AN1430" s="1">
        <v>2013.0</v>
      </c>
      <c r="AO1430" s="1" t="s">
        <v>213</v>
      </c>
    </row>
    <row r="1431">
      <c r="A1431" s="5">
        <v>1.0</v>
      </c>
      <c r="B1431" s="1">
        <f t="shared" si="1"/>
        <v>1431</v>
      </c>
      <c r="C1431" s="1" t="s">
        <v>2789</v>
      </c>
      <c r="D1431" s="1" t="s">
        <v>2789</v>
      </c>
      <c r="E1431" s="1" t="s">
        <v>207</v>
      </c>
      <c r="G1431" s="1">
        <v>2.11124045E9</v>
      </c>
      <c r="H1431" s="2">
        <v>41183.0</v>
      </c>
      <c r="I1431" s="1" t="s">
        <v>2790</v>
      </c>
      <c r="K1431" s="1" t="s">
        <v>2790</v>
      </c>
      <c r="N1431" s="1" t="s">
        <v>40</v>
      </c>
      <c r="O1431" s="1">
        <v>7500.0</v>
      </c>
      <c r="P1431" s="1" t="s">
        <v>40</v>
      </c>
      <c r="Q1431" s="1" t="str">
        <f>IF(ISERROR(VLOOKUP(P1431,'unique fed agency names'!A:C,3,FALSE)),P1431,VLOOKUP(P1431,'unique fed agency names'!A:C,3,FALSE))
</f>
        <v>U.S. Department of Health and Human Services (DHHS)</v>
      </c>
      <c r="R1431" s="1">
        <v>7.8583404E7</v>
      </c>
      <c r="S1431" s="1" t="s">
        <v>65</v>
      </c>
      <c r="T1431" s="1" t="str">
        <f>IF(ISERROR(VLOOKUP(S1431,'unique org names'!A:C,3,FALSE)),S1431,VLOOKUP(S1431,'unique org names'!A:C,3,FALSE))
</f>
        <v>Institute for Population Health Inc.</v>
      </c>
      <c r="U1431" s="1" t="s">
        <v>1420</v>
      </c>
      <c r="V1431" s="1" t="s">
        <v>1573</v>
      </c>
      <c r="W1431" s="1" t="s">
        <v>44</v>
      </c>
      <c r="X1431" s="1" t="s">
        <v>45</v>
      </c>
      <c r="Y1431" s="1">
        <v>4.8207311E8</v>
      </c>
      <c r="AA1431" s="1" t="s">
        <v>46</v>
      </c>
      <c r="AB1431" s="1" t="s">
        <v>45</v>
      </c>
      <c r="AC1431" s="1">
        <v>4.82021732E8</v>
      </c>
      <c r="AD1431" s="1">
        <v>5.3343976E7</v>
      </c>
      <c r="AE1431" s="1" t="s">
        <v>1421</v>
      </c>
      <c r="AF1431" s="1">
        <v>100785.0</v>
      </c>
      <c r="AG1431" s="2">
        <v>41183.0</v>
      </c>
      <c r="AH1431" s="1">
        <v>7500.0</v>
      </c>
      <c r="AI1431" s="1" t="s">
        <v>40</v>
      </c>
      <c r="AJ1431" s="1">
        <v>2.01304E7</v>
      </c>
      <c r="AK1431" s="1" t="s">
        <v>212</v>
      </c>
      <c r="AL1431" s="1">
        <v>10.0</v>
      </c>
      <c r="AM1431" s="1">
        <v>2012.0</v>
      </c>
      <c r="AN1431" s="1">
        <v>2013.0</v>
      </c>
      <c r="AO1431" s="1" t="s">
        <v>213</v>
      </c>
    </row>
    <row r="1432">
      <c r="A1432" s="5">
        <v>1.0</v>
      </c>
      <c r="B1432" s="1">
        <f t="shared" si="1"/>
        <v>1432</v>
      </c>
      <c r="C1432" s="1" t="s">
        <v>2789</v>
      </c>
      <c r="D1432" s="1" t="s">
        <v>2789</v>
      </c>
      <c r="E1432" s="1" t="s">
        <v>207</v>
      </c>
      <c r="G1432" s="1">
        <v>2.11124045E9</v>
      </c>
      <c r="H1432" s="2">
        <v>41183.0</v>
      </c>
      <c r="I1432" s="1" t="s">
        <v>2790</v>
      </c>
      <c r="K1432" s="1" t="s">
        <v>2790</v>
      </c>
      <c r="N1432" s="1" t="s">
        <v>40</v>
      </c>
      <c r="O1432" s="1">
        <v>7500.0</v>
      </c>
      <c r="P1432" s="1" t="s">
        <v>40</v>
      </c>
      <c r="Q1432" s="1" t="str">
        <f>IF(ISERROR(VLOOKUP(P1432,'unique fed agency names'!A:C,3,FALSE)),P1432,VLOOKUP(P1432,'unique fed agency names'!A:C,3,FALSE))
</f>
        <v>U.S. Department of Health and Human Services (DHHS)</v>
      </c>
      <c r="R1432" s="1">
        <v>7.3134884E7</v>
      </c>
      <c r="S1432" s="1" t="s">
        <v>259</v>
      </c>
      <c r="T1432" s="1" t="str">
        <f>IF(ISERROR(VLOOKUP(S1432,'unique org names'!A:C,3,FALSE)),S1432,VLOOKUP(S1432,'unique org names'!A:C,3,FALSE))
</f>
        <v>Wayne County</v>
      </c>
      <c r="V1432" s="1" t="s">
        <v>286</v>
      </c>
      <c r="W1432" s="1" t="s">
        <v>44</v>
      </c>
      <c r="X1432" s="1" t="s">
        <v>45</v>
      </c>
      <c r="Y1432" s="1">
        <v>4.82262841E8</v>
      </c>
      <c r="AA1432" s="1" t="s">
        <v>46</v>
      </c>
      <c r="AB1432" s="1" t="s">
        <v>45</v>
      </c>
      <c r="AC1432" s="1">
        <v>4.8226348E8</v>
      </c>
      <c r="AD1432" s="1">
        <v>7.3134884E7</v>
      </c>
      <c r="AE1432" s="1" t="s">
        <v>1796</v>
      </c>
      <c r="AF1432" s="1">
        <v>410870.1</v>
      </c>
      <c r="AG1432" s="2">
        <v>41183.0</v>
      </c>
      <c r="AH1432" s="1">
        <v>7500.0</v>
      </c>
      <c r="AI1432" s="1" t="s">
        <v>40</v>
      </c>
      <c r="AJ1432" s="1">
        <v>2.0131302E7</v>
      </c>
      <c r="AK1432" s="1" t="s">
        <v>212</v>
      </c>
      <c r="AL1432" s="1">
        <v>10.0</v>
      </c>
      <c r="AM1432" s="1">
        <v>2012.0</v>
      </c>
      <c r="AN1432" s="1">
        <v>2013.0</v>
      </c>
      <c r="AO1432" s="1" t="s">
        <v>213</v>
      </c>
    </row>
    <row r="1433">
      <c r="A1433" s="5">
        <v>1.0</v>
      </c>
      <c r="B1433" s="1">
        <f t="shared" si="1"/>
        <v>1433</v>
      </c>
      <c r="C1433" s="1" t="s">
        <v>206</v>
      </c>
      <c r="D1433" s="1" t="s">
        <v>206</v>
      </c>
      <c r="E1433" s="1" t="s">
        <v>207</v>
      </c>
      <c r="G1433" s="1">
        <v>2.02101094E9</v>
      </c>
      <c r="H1433" s="2">
        <v>41183.0</v>
      </c>
      <c r="I1433" s="1" t="s">
        <v>208</v>
      </c>
      <c r="K1433" s="1" t="s">
        <v>208</v>
      </c>
      <c r="N1433" s="1" t="s">
        <v>40</v>
      </c>
      <c r="O1433" s="1">
        <v>7500.0</v>
      </c>
      <c r="P1433" s="1" t="s">
        <v>40</v>
      </c>
      <c r="Q1433" s="1" t="str">
        <f>IF(ISERROR(VLOOKUP(P1433,'unique fed agency names'!A:C,3,FALSE)),P1433,VLOOKUP(P1433,'unique fed agency names'!A:C,3,FALSE))
</f>
        <v>U.S. Department of Health and Human Services (DHHS)</v>
      </c>
      <c r="R1433" s="1">
        <v>3.8775243E7</v>
      </c>
      <c r="S1433" s="1" t="s">
        <v>209</v>
      </c>
      <c r="T1433" s="1" t="str">
        <f>IF(ISERROR(VLOOKUP(S1433,'unique org names'!A:C,3,FALSE)),S1433,VLOOKUP(S1433,'unique org names'!A:C,3,FALSE))
</f>
        <v>SOUTHEASTERN MICHIGAN HEALTH ASSOCIATION</v>
      </c>
      <c r="U1433" s="1" t="s">
        <v>210</v>
      </c>
      <c r="V1433" s="1" t="s">
        <v>211</v>
      </c>
      <c r="W1433" s="1" t="s">
        <v>44</v>
      </c>
      <c r="X1433" s="1" t="s">
        <v>45</v>
      </c>
      <c r="Y1433" s="1">
        <v>4.82023068E8</v>
      </c>
      <c r="AA1433" s="1" t="s">
        <v>46</v>
      </c>
      <c r="AB1433" s="1" t="s">
        <v>45</v>
      </c>
      <c r="AC1433" s="1">
        <v>4.82023068E8</v>
      </c>
      <c r="AD1433" s="1">
        <v>3.8775243E7</v>
      </c>
      <c r="AE1433" s="1" t="s">
        <v>209</v>
      </c>
      <c r="AF1433" s="1">
        <v>11056.5</v>
      </c>
      <c r="AG1433" s="2">
        <v>41183.0</v>
      </c>
      <c r="AH1433" s="1">
        <v>7500.0</v>
      </c>
      <c r="AI1433" s="1" t="s">
        <v>40</v>
      </c>
      <c r="AJ1433" s="1">
        <v>2.0131257E7</v>
      </c>
      <c r="AK1433" s="1" t="s">
        <v>212</v>
      </c>
      <c r="AL1433" s="1">
        <v>10.0</v>
      </c>
      <c r="AM1433" s="1">
        <v>2012.0</v>
      </c>
      <c r="AN1433" s="1">
        <v>2013.0</v>
      </c>
      <c r="AO1433" s="1" t="s">
        <v>213</v>
      </c>
    </row>
    <row r="1434">
      <c r="A1434" s="5">
        <v>1.0</v>
      </c>
      <c r="B1434" s="1">
        <f t="shared" si="1"/>
        <v>1434</v>
      </c>
      <c r="C1434" s="1" t="s">
        <v>206</v>
      </c>
      <c r="D1434" s="1" t="s">
        <v>206</v>
      </c>
      <c r="E1434" s="1" t="s">
        <v>207</v>
      </c>
      <c r="G1434" s="1">
        <v>2.02101094E9</v>
      </c>
      <c r="H1434" s="2">
        <v>41183.0</v>
      </c>
      <c r="I1434" s="1" t="s">
        <v>208</v>
      </c>
      <c r="K1434" s="1" t="s">
        <v>208</v>
      </c>
      <c r="N1434" s="1" t="s">
        <v>40</v>
      </c>
      <c r="O1434" s="1">
        <v>7500.0</v>
      </c>
      <c r="P1434" s="1" t="s">
        <v>40</v>
      </c>
      <c r="Q1434" s="1" t="str">
        <f>IF(ISERROR(VLOOKUP(P1434,'unique fed agency names'!A:C,3,FALSE)),P1434,VLOOKUP(P1434,'unique fed agency names'!A:C,3,FALSE))
</f>
        <v>U.S. Department of Health and Human Services (DHHS)</v>
      </c>
      <c r="R1434" s="1">
        <v>4.6842605E7</v>
      </c>
      <c r="S1434" s="1" t="s">
        <v>165</v>
      </c>
      <c r="T1434" s="1" t="str">
        <f>IF(ISERROR(VLOOKUP(S1434,'unique org names'!A:C,3,FALSE)),S1434,VLOOKUP(S1434,'unique org names'!A:C,3,FALSE))
</f>
        <v>DETROIT AREA AGENCY ON AGING</v>
      </c>
      <c r="U1434" s="1" t="s">
        <v>166</v>
      </c>
      <c r="V1434" s="1" t="s">
        <v>167</v>
      </c>
      <c r="W1434" s="1" t="s">
        <v>44</v>
      </c>
      <c r="X1434" s="1" t="s">
        <v>45</v>
      </c>
      <c r="Y1434" s="1">
        <v>4.82074544E8</v>
      </c>
      <c r="AA1434" s="1" t="s">
        <v>46</v>
      </c>
      <c r="AB1434" s="1" t="s">
        <v>45</v>
      </c>
      <c r="AC1434" s="1">
        <v>4.82074544E8</v>
      </c>
      <c r="AD1434" s="1">
        <v>7.3134603E7</v>
      </c>
      <c r="AE1434" s="1" t="s">
        <v>41</v>
      </c>
      <c r="AF1434" s="1">
        <v>3575679.92</v>
      </c>
      <c r="AG1434" s="2">
        <v>41183.0</v>
      </c>
      <c r="AH1434" s="1">
        <v>7500.0</v>
      </c>
      <c r="AI1434" s="1" t="s">
        <v>40</v>
      </c>
      <c r="AJ1434" s="1">
        <v>2.0130477E7</v>
      </c>
      <c r="AK1434" s="1" t="s">
        <v>2771</v>
      </c>
      <c r="AL1434" s="1">
        <v>10.0</v>
      </c>
      <c r="AM1434" s="1">
        <v>2012.0</v>
      </c>
      <c r="AN1434" s="1">
        <v>2013.0</v>
      </c>
      <c r="AO1434" s="1" t="s">
        <v>213</v>
      </c>
    </row>
    <row r="1435">
      <c r="A1435" s="5">
        <v>1.0</v>
      </c>
      <c r="B1435" s="1">
        <f t="shared" si="1"/>
        <v>1435</v>
      </c>
      <c r="C1435" s="1" t="s">
        <v>206</v>
      </c>
      <c r="D1435" s="1" t="s">
        <v>206</v>
      </c>
      <c r="E1435" s="1" t="s">
        <v>207</v>
      </c>
      <c r="G1435" s="1">
        <v>2.02101094E9</v>
      </c>
      <c r="H1435" s="2">
        <v>41183.0</v>
      </c>
      <c r="I1435" s="1" t="s">
        <v>208</v>
      </c>
      <c r="K1435" s="1" t="s">
        <v>208</v>
      </c>
      <c r="N1435" s="1" t="s">
        <v>40</v>
      </c>
      <c r="O1435" s="1">
        <v>7500.0</v>
      </c>
      <c r="P1435" s="1" t="s">
        <v>40</v>
      </c>
      <c r="Q1435" s="1" t="str">
        <f>IF(ISERROR(VLOOKUP(P1435,'unique fed agency names'!A:C,3,FALSE)),P1435,VLOOKUP(P1435,'unique fed agency names'!A:C,3,FALSE))
</f>
        <v>U.S. Department of Health and Human Services (DHHS)</v>
      </c>
      <c r="R1435" s="1">
        <v>3.8775243E7</v>
      </c>
      <c r="S1435" s="1" t="s">
        <v>209</v>
      </c>
      <c r="T1435" s="1" t="str">
        <f>IF(ISERROR(VLOOKUP(S1435,'unique org names'!A:C,3,FALSE)),S1435,VLOOKUP(S1435,'unique org names'!A:C,3,FALSE))
</f>
        <v>SOUTHEASTERN MICHIGAN HEALTH ASSOCIATION</v>
      </c>
      <c r="U1435" s="1" t="s">
        <v>210</v>
      </c>
      <c r="V1435" s="1" t="s">
        <v>211</v>
      </c>
      <c r="W1435" s="1" t="s">
        <v>44</v>
      </c>
      <c r="X1435" s="1" t="s">
        <v>45</v>
      </c>
      <c r="Y1435" s="1">
        <v>4.82023068E8</v>
      </c>
      <c r="AA1435" s="1" t="s">
        <v>46</v>
      </c>
      <c r="AB1435" s="1" t="s">
        <v>45</v>
      </c>
      <c r="AC1435" s="1">
        <v>4.82023068E8</v>
      </c>
      <c r="AD1435" s="1">
        <v>3.8775243E7</v>
      </c>
      <c r="AE1435" s="1" t="s">
        <v>209</v>
      </c>
      <c r="AF1435" s="1">
        <v>5994.38</v>
      </c>
      <c r="AG1435" s="2">
        <v>41183.0</v>
      </c>
      <c r="AH1435" s="1">
        <v>7500.0</v>
      </c>
      <c r="AI1435" s="1" t="s">
        <v>40</v>
      </c>
      <c r="AJ1435" s="1">
        <v>2.0131083E7</v>
      </c>
      <c r="AK1435" s="1" t="s">
        <v>212</v>
      </c>
      <c r="AL1435" s="1">
        <v>10.0</v>
      </c>
      <c r="AM1435" s="1">
        <v>2012.0</v>
      </c>
      <c r="AN1435" s="1">
        <v>2013.0</v>
      </c>
      <c r="AO1435" s="1" t="s">
        <v>213</v>
      </c>
    </row>
    <row r="1436">
      <c r="A1436" s="5">
        <v>1.0</v>
      </c>
      <c r="B1436" s="1">
        <f t="shared" si="1"/>
        <v>1436</v>
      </c>
      <c r="C1436" s="1" t="s">
        <v>206</v>
      </c>
      <c r="D1436" s="1" t="s">
        <v>206</v>
      </c>
      <c r="E1436" s="1" t="s">
        <v>207</v>
      </c>
      <c r="G1436" s="1">
        <v>2.02101094E9</v>
      </c>
      <c r="H1436" s="2">
        <v>41183.0</v>
      </c>
      <c r="I1436" s="1" t="s">
        <v>208</v>
      </c>
      <c r="K1436" s="1" t="s">
        <v>208</v>
      </c>
      <c r="N1436" s="1" t="s">
        <v>40</v>
      </c>
      <c r="O1436" s="1">
        <v>7500.0</v>
      </c>
      <c r="P1436" s="1" t="s">
        <v>40</v>
      </c>
      <c r="Q1436" s="1" t="str">
        <f>IF(ISERROR(VLOOKUP(P1436,'unique fed agency names'!A:C,3,FALSE)),P1436,VLOOKUP(P1436,'unique fed agency names'!A:C,3,FALSE))
</f>
        <v>U.S. Department of Health and Human Services (DHHS)</v>
      </c>
      <c r="R1436" s="1">
        <v>3.8775243E7</v>
      </c>
      <c r="S1436" s="1" t="s">
        <v>209</v>
      </c>
      <c r="T1436" s="1" t="str">
        <f>IF(ISERROR(VLOOKUP(S1436,'unique org names'!A:C,3,FALSE)),S1436,VLOOKUP(S1436,'unique org names'!A:C,3,FALSE))
</f>
        <v>SOUTHEASTERN MICHIGAN HEALTH ASSOCIATION</v>
      </c>
      <c r="U1436" s="1" t="s">
        <v>210</v>
      </c>
      <c r="V1436" s="1" t="s">
        <v>211</v>
      </c>
      <c r="W1436" s="1" t="s">
        <v>44</v>
      </c>
      <c r="X1436" s="1" t="s">
        <v>45</v>
      </c>
      <c r="Y1436" s="1">
        <v>4.82023068E8</v>
      </c>
      <c r="AA1436" s="1" t="s">
        <v>46</v>
      </c>
      <c r="AB1436" s="1" t="s">
        <v>45</v>
      </c>
      <c r="AC1436" s="1">
        <v>4.82023068E8</v>
      </c>
      <c r="AD1436" s="1">
        <v>3.8775243E7</v>
      </c>
      <c r="AE1436" s="1" t="s">
        <v>209</v>
      </c>
      <c r="AF1436" s="1">
        <v>9966.75</v>
      </c>
      <c r="AG1436" s="2">
        <v>41183.0</v>
      </c>
      <c r="AH1436" s="1">
        <v>7500.0</v>
      </c>
      <c r="AI1436" s="1" t="s">
        <v>40</v>
      </c>
      <c r="AJ1436" s="1">
        <v>2.0131079E7</v>
      </c>
      <c r="AK1436" s="1" t="s">
        <v>212</v>
      </c>
      <c r="AL1436" s="1">
        <v>10.0</v>
      </c>
      <c r="AM1436" s="1">
        <v>2012.0</v>
      </c>
      <c r="AN1436" s="1">
        <v>2013.0</v>
      </c>
      <c r="AO1436" s="1" t="s">
        <v>213</v>
      </c>
    </row>
    <row r="1437">
      <c r="A1437" s="5">
        <v>1.0</v>
      </c>
      <c r="B1437" s="1">
        <f t="shared" si="1"/>
        <v>1437</v>
      </c>
      <c r="C1437" s="1" t="s">
        <v>206</v>
      </c>
      <c r="D1437" s="1" t="s">
        <v>206</v>
      </c>
      <c r="E1437" s="1" t="s">
        <v>207</v>
      </c>
      <c r="G1437" s="1">
        <v>2.02101094E9</v>
      </c>
      <c r="H1437" s="2">
        <v>41183.0</v>
      </c>
      <c r="I1437" s="1" t="s">
        <v>208</v>
      </c>
      <c r="K1437" s="1" t="s">
        <v>208</v>
      </c>
      <c r="N1437" s="1" t="s">
        <v>40</v>
      </c>
      <c r="O1437" s="1">
        <v>7500.0</v>
      </c>
      <c r="P1437" s="1" t="s">
        <v>40</v>
      </c>
      <c r="Q1437" s="1" t="str">
        <f>IF(ISERROR(VLOOKUP(P1437,'unique fed agency names'!A:C,3,FALSE)),P1437,VLOOKUP(P1437,'unique fed agency names'!A:C,3,FALSE))
</f>
        <v>U.S. Department of Health and Human Services (DHHS)</v>
      </c>
      <c r="R1437" s="1">
        <v>3.8775243E7</v>
      </c>
      <c r="S1437" s="1" t="s">
        <v>209</v>
      </c>
      <c r="T1437" s="1" t="str">
        <f>IF(ISERROR(VLOOKUP(S1437,'unique org names'!A:C,3,FALSE)),S1437,VLOOKUP(S1437,'unique org names'!A:C,3,FALSE))
</f>
        <v>SOUTHEASTERN MICHIGAN HEALTH ASSOCIATION</v>
      </c>
      <c r="U1437" s="1" t="s">
        <v>210</v>
      </c>
      <c r="V1437" s="1" t="s">
        <v>211</v>
      </c>
      <c r="W1437" s="1" t="s">
        <v>44</v>
      </c>
      <c r="X1437" s="1" t="s">
        <v>45</v>
      </c>
      <c r="Y1437" s="1">
        <v>4.82023068E8</v>
      </c>
      <c r="AA1437" s="1" t="s">
        <v>46</v>
      </c>
      <c r="AB1437" s="1" t="s">
        <v>45</v>
      </c>
      <c r="AC1437" s="1">
        <v>4.82023068E8</v>
      </c>
      <c r="AD1437" s="1">
        <v>3.8775243E7</v>
      </c>
      <c r="AE1437" s="1" t="s">
        <v>209</v>
      </c>
      <c r="AF1437" s="1">
        <v>13067.38</v>
      </c>
      <c r="AG1437" s="2">
        <v>41183.0</v>
      </c>
      <c r="AH1437" s="1">
        <v>7500.0</v>
      </c>
      <c r="AI1437" s="1" t="s">
        <v>40</v>
      </c>
      <c r="AJ1437" s="1">
        <v>2.013108E7</v>
      </c>
      <c r="AK1437" s="1" t="s">
        <v>212</v>
      </c>
      <c r="AL1437" s="1">
        <v>10.0</v>
      </c>
      <c r="AM1437" s="1">
        <v>2012.0</v>
      </c>
      <c r="AN1437" s="1">
        <v>2013.0</v>
      </c>
      <c r="AO1437" s="1" t="s">
        <v>213</v>
      </c>
    </row>
    <row r="1438">
      <c r="A1438" s="5">
        <v>1.0</v>
      </c>
      <c r="B1438" s="1">
        <f t="shared" si="1"/>
        <v>1438</v>
      </c>
      <c r="C1438" s="1" t="s">
        <v>206</v>
      </c>
      <c r="D1438" s="1" t="s">
        <v>206</v>
      </c>
      <c r="E1438" s="1" t="s">
        <v>207</v>
      </c>
      <c r="G1438" s="1">
        <v>2.02101094E9</v>
      </c>
      <c r="H1438" s="2">
        <v>41183.0</v>
      </c>
      <c r="I1438" s="1" t="s">
        <v>208</v>
      </c>
      <c r="K1438" s="1" t="s">
        <v>208</v>
      </c>
      <c r="N1438" s="1" t="s">
        <v>40</v>
      </c>
      <c r="O1438" s="1">
        <v>7500.0</v>
      </c>
      <c r="P1438" s="1" t="s">
        <v>40</v>
      </c>
      <c r="Q1438" s="1" t="str">
        <f>IF(ISERROR(VLOOKUP(P1438,'unique fed agency names'!A:C,3,FALSE)),P1438,VLOOKUP(P1438,'unique fed agency names'!A:C,3,FALSE))
</f>
        <v>U.S. Department of Health and Human Services (DHHS)</v>
      </c>
      <c r="R1438" s="1">
        <v>7.3134884E7</v>
      </c>
      <c r="S1438" s="1" t="s">
        <v>259</v>
      </c>
      <c r="T1438" s="1" t="str">
        <f>IF(ISERROR(VLOOKUP(S1438,'unique org names'!A:C,3,FALSE)),S1438,VLOOKUP(S1438,'unique org names'!A:C,3,FALSE))
</f>
        <v>Wayne County</v>
      </c>
      <c r="V1438" s="1" t="s">
        <v>286</v>
      </c>
      <c r="W1438" s="1" t="s">
        <v>44</v>
      </c>
      <c r="X1438" s="1" t="s">
        <v>45</v>
      </c>
      <c r="Y1438" s="1">
        <v>4.82262841E8</v>
      </c>
      <c r="AA1438" s="1" t="s">
        <v>46</v>
      </c>
      <c r="AB1438" s="1" t="s">
        <v>45</v>
      </c>
      <c r="AC1438" s="1">
        <v>4.8226348E8</v>
      </c>
      <c r="AD1438" s="1">
        <v>7.3134884E7</v>
      </c>
      <c r="AE1438" s="1" t="s">
        <v>1796</v>
      </c>
      <c r="AF1438" s="1">
        <v>410870.1</v>
      </c>
      <c r="AG1438" s="2">
        <v>41183.0</v>
      </c>
      <c r="AH1438" s="1">
        <v>7500.0</v>
      </c>
      <c r="AI1438" s="1" t="s">
        <v>40</v>
      </c>
      <c r="AJ1438" s="1">
        <v>2.0131302E7</v>
      </c>
      <c r="AK1438" s="1" t="s">
        <v>212</v>
      </c>
      <c r="AL1438" s="1">
        <v>10.0</v>
      </c>
      <c r="AM1438" s="1">
        <v>2012.0</v>
      </c>
      <c r="AN1438" s="1">
        <v>2013.0</v>
      </c>
      <c r="AO1438" s="1" t="s">
        <v>213</v>
      </c>
    </row>
    <row r="1439">
      <c r="A1439" s="5">
        <v>1.0</v>
      </c>
      <c r="B1439" s="1">
        <f t="shared" si="1"/>
        <v>1439</v>
      </c>
      <c r="C1439" s="1" t="s">
        <v>206</v>
      </c>
      <c r="D1439" s="1" t="s">
        <v>206</v>
      </c>
      <c r="E1439" s="1" t="s">
        <v>207</v>
      </c>
      <c r="G1439" s="1">
        <v>2.02101094E9</v>
      </c>
      <c r="H1439" s="2">
        <v>41183.0</v>
      </c>
      <c r="I1439" s="1" t="s">
        <v>208</v>
      </c>
      <c r="K1439" s="1" t="s">
        <v>208</v>
      </c>
      <c r="N1439" s="1" t="s">
        <v>40</v>
      </c>
      <c r="O1439" s="1">
        <v>7500.0</v>
      </c>
      <c r="P1439" s="1" t="s">
        <v>40</v>
      </c>
      <c r="Q1439" s="1" t="str">
        <f>IF(ISERROR(VLOOKUP(P1439,'unique fed agency names'!A:C,3,FALSE)),P1439,VLOOKUP(P1439,'unique fed agency names'!A:C,3,FALSE))
</f>
        <v>U.S. Department of Health and Human Services (DHHS)</v>
      </c>
      <c r="R1439" s="1">
        <v>7.8583404E7</v>
      </c>
      <c r="S1439" s="1" t="s">
        <v>65</v>
      </c>
      <c r="T1439" s="1" t="str">
        <f>IF(ISERROR(VLOOKUP(S1439,'unique org names'!A:C,3,FALSE)),S1439,VLOOKUP(S1439,'unique org names'!A:C,3,FALSE))
</f>
        <v>Institute for Population Health Inc.</v>
      </c>
      <c r="U1439" s="1" t="s">
        <v>2014</v>
      </c>
      <c r="V1439" s="1" t="s">
        <v>1573</v>
      </c>
      <c r="W1439" s="1" t="s">
        <v>44</v>
      </c>
      <c r="X1439" s="1" t="s">
        <v>45</v>
      </c>
      <c r="Y1439" s="1">
        <v>4.8207311E8</v>
      </c>
      <c r="AA1439" s="1" t="s">
        <v>46</v>
      </c>
      <c r="AB1439" s="1" t="s">
        <v>45</v>
      </c>
      <c r="AC1439" s="1">
        <v>4.82021732E8</v>
      </c>
      <c r="AD1439" s="1">
        <v>8.6183175E7</v>
      </c>
      <c r="AE1439" s="1" t="s">
        <v>2776</v>
      </c>
      <c r="AF1439" s="1">
        <v>100785.0</v>
      </c>
      <c r="AG1439" s="2">
        <v>41183.0</v>
      </c>
      <c r="AH1439" s="1">
        <v>7500.0</v>
      </c>
      <c r="AI1439" s="1" t="s">
        <v>40</v>
      </c>
      <c r="AJ1439" s="1">
        <v>2.01304E7</v>
      </c>
      <c r="AK1439" s="1" t="s">
        <v>212</v>
      </c>
      <c r="AL1439" s="1">
        <v>10.0</v>
      </c>
      <c r="AM1439" s="1">
        <v>2012.0</v>
      </c>
      <c r="AN1439" s="1">
        <v>2013.0</v>
      </c>
      <c r="AO1439" s="1" t="s">
        <v>213</v>
      </c>
    </row>
    <row r="1440">
      <c r="A1440" s="5">
        <v>1.0</v>
      </c>
      <c r="B1440" s="1">
        <f t="shared" si="1"/>
        <v>1440</v>
      </c>
      <c r="C1440" s="1" t="s">
        <v>2898</v>
      </c>
      <c r="D1440" s="1" t="s">
        <v>2898</v>
      </c>
      <c r="E1440" s="1" t="s">
        <v>224</v>
      </c>
      <c r="G1440" s="1">
        <v>31622.0</v>
      </c>
      <c r="H1440" s="2">
        <v>41898.0</v>
      </c>
      <c r="I1440" s="1" t="s">
        <v>2899</v>
      </c>
      <c r="K1440" s="1" t="s">
        <v>2899</v>
      </c>
      <c r="N1440" s="1" t="s">
        <v>151</v>
      </c>
      <c r="O1440" s="1">
        <v>6900.0</v>
      </c>
      <c r="P1440" s="1" t="s">
        <v>151</v>
      </c>
      <c r="Q1440" s="1" t="str">
        <f>IF(ISERROR(VLOOKUP(P1440,'unique fed agency names'!A:C,3,FALSE)),P1440,VLOOKUP(P1440,'unique fed agency names'!A:C,3,FALSE))
</f>
        <v>U.S. Department of Transportation (DOT)</v>
      </c>
      <c r="R1440" s="1">
        <v>9.63886101E8</v>
      </c>
      <c r="S1440" s="1" t="s">
        <v>259</v>
      </c>
      <c r="T1440" s="1" t="str">
        <f>IF(ISERROR(VLOOKUP(S1440,'unique org names'!A:C,3,FALSE)),S1440,VLOOKUP(S1440,'unique org names'!A:C,3,FALSE))
</f>
        <v>Wayne County</v>
      </c>
      <c r="U1440" s="1" t="s">
        <v>1795</v>
      </c>
      <c r="V1440" s="1" t="s">
        <v>260</v>
      </c>
      <c r="W1440" s="1" t="s">
        <v>44</v>
      </c>
      <c r="X1440" s="1" t="s">
        <v>45</v>
      </c>
      <c r="Y1440" s="1">
        <v>4.8226348E8</v>
      </c>
      <c r="AA1440" s="1" t="s">
        <v>46</v>
      </c>
      <c r="AB1440" s="1" t="s">
        <v>45</v>
      </c>
      <c r="AC1440" s="1">
        <v>4.8226348E8</v>
      </c>
      <c r="AD1440" s="1">
        <v>7.3134884E7</v>
      </c>
      <c r="AE1440" s="1" t="s">
        <v>1796</v>
      </c>
      <c r="AF1440" s="1">
        <v>31622.94</v>
      </c>
      <c r="AG1440" s="2">
        <v>41898.0</v>
      </c>
      <c r="AH1440" s="1">
        <v>6900.0</v>
      </c>
      <c r="AI1440" s="1" t="s">
        <v>151</v>
      </c>
      <c r="AJ1440" s="1">
        <v>145552.0</v>
      </c>
      <c r="AK1440" s="1" t="s">
        <v>2900</v>
      </c>
      <c r="AL1440" s="1">
        <v>9.0</v>
      </c>
      <c r="AM1440" s="1">
        <v>2014.0</v>
      </c>
      <c r="AN1440" s="1">
        <v>2014.0</v>
      </c>
      <c r="AO1440" s="1" t="s">
        <v>229</v>
      </c>
    </row>
    <row r="1441">
      <c r="A1441" s="5">
        <v>1.0</v>
      </c>
      <c r="B1441" s="1">
        <f t="shared" si="1"/>
        <v>1441</v>
      </c>
      <c r="C1441" s="1" t="s">
        <v>2901</v>
      </c>
      <c r="D1441" s="1" t="s">
        <v>2901</v>
      </c>
      <c r="E1441" s="1" t="s">
        <v>224</v>
      </c>
      <c r="G1441" s="1">
        <v>200315.0</v>
      </c>
      <c r="H1441" s="2">
        <v>41898.0</v>
      </c>
      <c r="I1441" s="1" t="s">
        <v>2899</v>
      </c>
      <c r="K1441" s="1" t="s">
        <v>2899</v>
      </c>
      <c r="N1441" s="1" t="s">
        <v>151</v>
      </c>
      <c r="O1441" s="1">
        <v>6900.0</v>
      </c>
      <c r="P1441" s="1" t="s">
        <v>151</v>
      </c>
      <c r="Q1441" s="1" t="str">
        <f>IF(ISERROR(VLOOKUP(P1441,'unique fed agency names'!A:C,3,FALSE)),P1441,VLOOKUP(P1441,'unique fed agency names'!A:C,3,FALSE))
</f>
        <v>U.S. Department of Transportation (DOT)</v>
      </c>
      <c r="R1441" s="1">
        <v>9.63886101E8</v>
      </c>
      <c r="S1441" s="1" t="s">
        <v>259</v>
      </c>
      <c r="T1441" s="1" t="str">
        <f>IF(ISERROR(VLOOKUP(S1441,'unique org names'!A:C,3,FALSE)),S1441,VLOOKUP(S1441,'unique org names'!A:C,3,FALSE))
</f>
        <v>Wayne County</v>
      </c>
      <c r="U1441" s="1" t="s">
        <v>1795</v>
      </c>
      <c r="V1441" s="1" t="s">
        <v>260</v>
      </c>
      <c r="W1441" s="1" t="s">
        <v>44</v>
      </c>
      <c r="X1441" s="1" t="s">
        <v>45</v>
      </c>
      <c r="Y1441" s="1">
        <v>4.8226348E8</v>
      </c>
      <c r="AA1441" s="1" t="s">
        <v>46</v>
      </c>
      <c r="AB1441" s="1" t="s">
        <v>45</v>
      </c>
      <c r="AC1441" s="1">
        <v>4.8226348E8</v>
      </c>
      <c r="AD1441" s="1">
        <v>7.3134884E7</v>
      </c>
      <c r="AE1441" s="1" t="s">
        <v>1796</v>
      </c>
      <c r="AF1441" s="1">
        <v>200315.6</v>
      </c>
      <c r="AG1441" s="2">
        <v>41898.0</v>
      </c>
      <c r="AH1441" s="1">
        <v>6900.0</v>
      </c>
      <c r="AI1441" s="1" t="s">
        <v>151</v>
      </c>
      <c r="AJ1441" s="1">
        <v>145552.0</v>
      </c>
      <c r="AK1441" s="1" t="s">
        <v>2900</v>
      </c>
      <c r="AL1441" s="1">
        <v>9.0</v>
      </c>
      <c r="AM1441" s="1">
        <v>2014.0</v>
      </c>
      <c r="AN1441" s="1">
        <v>2014.0</v>
      </c>
      <c r="AO1441" s="1" t="s">
        <v>229</v>
      </c>
    </row>
    <row r="1442">
      <c r="A1442" s="5">
        <v>1.0</v>
      </c>
      <c r="B1442" s="1">
        <f t="shared" si="1"/>
        <v>1442</v>
      </c>
      <c r="C1442" s="1" t="s">
        <v>2721</v>
      </c>
      <c r="D1442" s="1" t="s">
        <v>2721</v>
      </c>
      <c r="E1442" s="1" t="s">
        <v>194</v>
      </c>
      <c r="G1442" s="1">
        <v>1.3188316E7</v>
      </c>
      <c r="H1442" s="2">
        <v>41592.0</v>
      </c>
      <c r="I1442" s="1" t="s">
        <v>1228</v>
      </c>
      <c r="K1442" s="1" t="s">
        <v>1228</v>
      </c>
      <c r="N1442" s="1" t="s">
        <v>194</v>
      </c>
      <c r="O1442" s="1">
        <v>9100.0</v>
      </c>
      <c r="P1442" s="1" t="s">
        <v>194</v>
      </c>
      <c r="Q1442" s="1" t="str">
        <f>IF(ISERROR(VLOOKUP(P1442,'unique fed agency names'!A:C,3,FALSE)),P1442,VLOOKUP(P1442,'unique fed agency names'!A:C,3,FALSE))
</f>
        <v>U.S. Department of Education (ED)</v>
      </c>
      <c r="R1442" s="1">
        <v>7.6386556E7</v>
      </c>
      <c r="S1442" s="1" t="s">
        <v>1242</v>
      </c>
      <c r="T1442" s="1" t="str">
        <f>IF(ISERROR(VLOOKUP(S1442,'unique org names'!A:C,3,FALSE)),S1442,VLOOKUP(S1442,'unique org names'!A:C,3,FALSE))
</f>
        <v>WAYNE COUNTY COMMUNITY COLLEGE DISTRICT</v>
      </c>
      <c r="V1442" s="1" t="s">
        <v>1243</v>
      </c>
      <c r="W1442" s="1" t="s">
        <v>44</v>
      </c>
      <c r="X1442" s="1" t="s">
        <v>45</v>
      </c>
      <c r="Y1442" s="1">
        <v>4.8226301E8</v>
      </c>
      <c r="AA1442" s="1" t="s">
        <v>44</v>
      </c>
      <c r="AB1442" s="1" t="s">
        <v>45</v>
      </c>
      <c r="AC1442" s="1">
        <v>4.8226301E8</v>
      </c>
      <c r="AD1442" s="1">
        <v>7.6386556E7</v>
      </c>
      <c r="AE1442" s="1" t="s">
        <v>1242</v>
      </c>
      <c r="AF1442" s="1">
        <v>250000.0</v>
      </c>
      <c r="AG1442" s="2">
        <v>41592.0</v>
      </c>
      <c r="AH1442" s="1">
        <v>9100.0</v>
      </c>
      <c r="AI1442" s="1" t="s">
        <v>194</v>
      </c>
      <c r="AJ1442" s="1" t="s">
        <v>2902</v>
      </c>
      <c r="AK1442" s="1" t="s">
        <v>1232</v>
      </c>
      <c r="AL1442" s="1">
        <v>10.0</v>
      </c>
      <c r="AM1442" s="1">
        <v>2014.0</v>
      </c>
      <c r="AN1442" s="1">
        <v>2014.0</v>
      </c>
      <c r="AO1442" s="1" t="s">
        <v>1233</v>
      </c>
    </row>
    <row r="1443">
      <c r="A1443" s="5">
        <v>1.0</v>
      </c>
      <c r="B1443" s="1">
        <f t="shared" si="1"/>
        <v>1443</v>
      </c>
      <c r="C1443" s="1" t="s">
        <v>2721</v>
      </c>
      <c r="D1443" s="1" t="s">
        <v>2721</v>
      </c>
      <c r="E1443" s="1" t="s">
        <v>194</v>
      </c>
      <c r="G1443" s="1">
        <v>1.3188316E7</v>
      </c>
      <c r="H1443" s="2">
        <v>41512.0</v>
      </c>
      <c r="I1443" s="1" t="s">
        <v>1228</v>
      </c>
      <c r="K1443" s="1" t="s">
        <v>1228</v>
      </c>
      <c r="N1443" s="1" t="s">
        <v>194</v>
      </c>
      <c r="O1443" s="1">
        <v>9100.0</v>
      </c>
      <c r="P1443" s="1" t="s">
        <v>194</v>
      </c>
      <c r="Q1443" s="1" t="str">
        <f>IF(ISERROR(VLOOKUP(P1443,'unique fed agency names'!A:C,3,FALSE)),P1443,VLOOKUP(P1443,'unique fed agency names'!A:C,3,FALSE))
</f>
        <v>U.S. Department of Education (ED)</v>
      </c>
      <c r="R1443" s="1">
        <v>6.13353846E8</v>
      </c>
      <c r="S1443" s="1" t="s">
        <v>1229</v>
      </c>
      <c r="T1443" s="1" t="str">
        <f>IF(ISERROR(VLOOKUP(S1443,'unique org names'!A:C,3,FALSE)),S1443,VLOOKUP(S1443,'unique org names'!A:C,3,FALSE))
</f>
        <v>Pro-Literacy Detroit</v>
      </c>
      <c r="V1443" s="1" t="s">
        <v>1230</v>
      </c>
      <c r="W1443" s="1" t="s">
        <v>44</v>
      </c>
      <c r="X1443" s="1" t="s">
        <v>45</v>
      </c>
      <c r="Y1443" s="1">
        <v>4.82013473E8</v>
      </c>
      <c r="AA1443" s="1" t="s">
        <v>44</v>
      </c>
      <c r="AB1443" s="1" t="s">
        <v>45</v>
      </c>
      <c r="AC1443" s="1">
        <v>4.82013421E8</v>
      </c>
      <c r="AF1443" s="1">
        <v>100000.0</v>
      </c>
      <c r="AG1443" s="2">
        <v>41512.0</v>
      </c>
      <c r="AH1443" s="1">
        <v>9100.0</v>
      </c>
      <c r="AI1443" s="1" t="s">
        <v>194</v>
      </c>
      <c r="AJ1443" s="1" t="s">
        <v>2903</v>
      </c>
      <c r="AK1443" s="1" t="s">
        <v>1232</v>
      </c>
      <c r="AL1443" s="1">
        <v>10.0</v>
      </c>
      <c r="AM1443" s="1">
        <v>2014.0</v>
      </c>
      <c r="AN1443" s="1">
        <v>2013.0</v>
      </c>
      <c r="AO1443" s="1" t="s">
        <v>1233</v>
      </c>
    </row>
    <row r="1444">
      <c r="A1444" s="5">
        <v>1.0</v>
      </c>
      <c r="B1444" s="1">
        <f t="shared" si="1"/>
        <v>1444</v>
      </c>
      <c r="C1444" s="1" t="s">
        <v>2721</v>
      </c>
      <c r="D1444" s="1" t="s">
        <v>2721</v>
      </c>
      <c r="E1444" s="1" t="s">
        <v>194</v>
      </c>
      <c r="G1444" s="1">
        <v>1.3188316E7</v>
      </c>
      <c r="H1444" s="2">
        <v>41813.0</v>
      </c>
      <c r="I1444" s="1" t="s">
        <v>1228</v>
      </c>
      <c r="K1444" s="1" t="s">
        <v>1228</v>
      </c>
      <c r="N1444" s="1" t="s">
        <v>194</v>
      </c>
      <c r="O1444" s="1">
        <v>9100.0</v>
      </c>
      <c r="P1444" s="1" t="s">
        <v>194</v>
      </c>
      <c r="Q1444" s="1" t="str">
        <f>IF(ISERROR(VLOOKUP(P1444,'unique fed agency names'!A:C,3,FALSE)),P1444,VLOOKUP(P1444,'unique fed agency names'!A:C,3,FALSE))
</f>
        <v>U.S. Department of Education (ED)</v>
      </c>
      <c r="R1444" s="1">
        <v>7.6386556E7</v>
      </c>
      <c r="S1444" s="1" t="s">
        <v>1242</v>
      </c>
      <c r="T1444" s="1" t="str">
        <f>IF(ISERROR(VLOOKUP(S1444,'unique org names'!A:C,3,FALSE)),S1444,VLOOKUP(S1444,'unique org names'!A:C,3,FALSE))
</f>
        <v>WAYNE COUNTY COMMUNITY COLLEGE DISTRICT</v>
      </c>
      <c r="V1444" s="1" t="s">
        <v>1243</v>
      </c>
      <c r="W1444" s="1" t="s">
        <v>44</v>
      </c>
      <c r="X1444" s="1" t="s">
        <v>45</v>
      </c>
      <c r="Y1444" s="1">
        <v>4.8226301E8</v>
      </c>
      <c r="AA1444" s="1" t="s">
        <v>44</v>
      </c>
      <c r="AB1444" s="1" t="s">
        <v>45</v>
      </c>
      <c r="AC1444" s="1">
        <v>4.8226301E8</v>
      </c>
      <c r="AD1444" s="1">
        <v>7.6386556E7</v>
      </c>
      <c r="AE1444" s="1" t="s">
        <v>1242</v>
      </c>
      <c r="AF1444" s="1">
        <v>36000.0</v>
      </c>
      <c r="AG1444" s="2">
        <v>41813.0</v>
      </c>
      <c r="AH1444" s="1">
        <v>9100.0</v>
      </c>
      <c r="AI1444" s="1" t="s">
        <v>194</v>
      </c>
      <c r="AJ1444" s="1" t="s">
        <v>2904</v>
      </c>
      <c r="AK1444" s="1" t="s">
        <v>1232</v>
      </c>
      <c r="AL1444" s="1">
        <v>10.0</v>
      </c>
      <c r="AM1444" s="1">
        <v>2014.0</v>
      </c>
      <c r="AN1444" s="1">
        <v>2014.0</v>
      </c>
      <c r="AO1444" s="1" t="s">
        <v>1233</v>
      </c>
    </row>
    <row r="1445">
      <c r="A1445" s="5">
        <v>1.0</v>
      </c>
      <c r="B1445" s="1">
        <f t="shared" si="1"/>
        <v>1445</v>
      </c>
      <c r="C1445" s="1" t="s">
        <v>2721</v>
      </c>
      <c r="D1445" s="1" t="s">
        <v>2721</v>
      </c>
      <c r="E1445" s="1" t="s">
        <v>194</v>
      </c>
      <c r="G1445" s="1">
        <v>1.3188316E7</v>
      </c>
      <c r="H1445" s="2">
        <v>41501.0</v>
      </c>
      <c r="I1445" s="1" t="s">
        <v>1228</v>
      </c>
      <c r="K1445" s="1" t="s">
        <v>1228</v>
      </c>
      <c r="N1445" s="1" t="s">
        <v>194</v>
      </c>
      <c r="O1445" s="1">
        <v>9100.0</v>
      </c>
      <c r="P1445" s="1" t="s">
        <v>194</v>
      </c>
      <c r="Q1445" s="1" t="str">
        <f>IF(ISERROR(VLOOKUP(P1445,'unique fed agency names'!A:C,3,FALSE)),P1445,VLOOKUP(P1445,'unique fed agency names'!A:C,3,FALSE))
</f>
        <v>U.S. Department of Education (ED)</v>
      </c>
      <c r="R1445" s="1">
        <v>8.00230674E8</v>
      </c>
      <c r="S1445" s="1" t="s">
        <v>2905</v>
      </c>
      <c r="T1445" s="1" t="str">
        <f>IF(ISERROR(VLOOKUP(S1445,'unique org names'!A:C,3,FALSE)),S1445,VLOOKUP(S1445,'unique org names'!A:C,3,FALSE))
</f>
        <v>Detroit Literacy Coalition</v>
      </c>
      <c r="V1445" s="1" t="s">
        <v>2906</v>
      </c>
      <c r="W1445" s="1" t="s">
        <v>44</v>
      </c>
      <c r="X1445" s="1" t="s">
        <v>45</v>
      </c>
      <c r="Y1445" s="1">
        <v>4.8202405E8</v>
      </c>
      <c r="AA1445" s="1" t="s">
        <v>44</v>
      </c>
      <c r="AB1445" s="1" t="s">
        <v>45</v>
      </c>
      <c r="AC1445" s="1">
        <v>4.8202405E8</v>
      </c>
      <c r="AF1445" s="1">
        <v>30000.0</v>
      </c>
      <c r="AG1445" s="2">
        <v>41501.0</v>
      </c>
      <c r="AH1445" s="1">
        <v>9100.0</v>
      </c>
      <c r="AI1445" s="1" t="s">
        <v>194</v>
      </c>
      <c r="AJ1445" s="1" t="s">
        <v>2907</v>
      </c>
      <c r="AK1445" s="1" t="s">
        <v>1232</v>
      </c>
      <c r="AL1445" s="1">
        <v>10.0</v>
      </c>
      <c r="AM1445" s="1">
        <v>2014.0</v>
      </c>
      <c r="AN1445" s="1">
        <v>2013.0</v>
      </c>
      <c r="AO1445" s="1" t="s">
        <v>1233</v>
      </c>
    </row>
    <row r="1446">
      <c r="A1446" s="5">
        <v>1.0</v>
      </c>
      <c r="B1446" s="1">
        <f t="shared" si="1"/>
        <v>1446</v>
      </c>
      <c r="C1446" s="1" t="s">
        <v>198</v>
      </c>
      <c r="D1446" s="1" t="s">
        <v>198</v>
      </c>
      <c r="E1446" s="1" t="s">
        <v>38</v>
      </c>
      <c r="G1446" s="1">
        <v>9391444.0</v>
      </c>
      <c r="H1446" s="2">
        <v>41908.0</v>
      </c>
      <c r="I1446" s="1" t="s">
        <v>2086</v>
      </c>
      <c r="K1446" s="1" t="s">
        <v>2086</v>
      </c>
      <c r="N1446" s="1" t="s">
        <v>40</v>
      </c>
      <c r="O1446" s="1">
        <v>7500.0</v>
      </c>
      <c r="P1446" s="1" t="s">
        <v>40</v>
      </c>
      <c r="Q1446" s="1" t="str">
        <f>IF(ISERROR(VLOOKUP(P1446,'unique fed agency names'!A:C,3,FALSE)),P1446,VLOOKUP(P1446,'unique fed agency names'!A:C,3,FALSE))
</f>
        <v>U.S. Department of Health and Human Services (DHHS)</v>
      </c>
      <c r="R1446" s="1">
        <v>7.3134603E7</v>
      </c>
      <c r="S1446" s="1" t="s">
        <v>41</v>
      </c>
      <c r="T1446" s="1" t="str">
        <f>IF(ISERROR(VLOOKUP(S1446,'unique org names'!A:C,3,FALSE)),S1446,VLOOKUP(S1446,'unique org names'!A:C,3,FALSE))
</f>
        <v>Henry Ford Health System</v>
      </c>
      <c r="U1446" s="1" t="s">
        <v>252</v>
      </c>
      <c r="V1446" s="1" t="s">
        <v>253</v>
      </c>
      <c r="W1446" s="1" t="s">
        <v>44</v>
      </c>
      <c r="X1446" s="1" t="s">
        <v>45</v>
      </c>
      <c r="Y1446" s="1">
        <v>4.8202345E8</v>
      </c>
      <c r="AA1446" s="1" t="s">
        <v>46</v>
      </c>
      <c r="AB1446" s="1" t="s">
        <v>45</v>
      </c>
      <c r="AC1446" s="1">
        <v>4.8202345E8</v>
      </c>
      <c r="AD1446" s="1">
        <v>7.3134603E7</v>
      </c>
      <c r="AE1446" s="1" t="s">
        <v>41</v>
      </c>
      <c r="AF1446" s="1">
        <v>20995.0</v>
      </c>
      <c r="AG1446" s="2">
        <v>41908.0</v>
      </c>
      <c r="AH1446" s="1">
        <v>7500.0</v>
      </c>
      <c r="AI1446" s="1" t="s">
        <v>40</v>
      </c>
      <c r="AJ1446" s="1" t="s">
        <v>2908</v>
      </c>
      <c r="AK1446" s="1" t="s">
        <v>2909</v>
      </c>
      <c r="AL1446" s="1">
        <v>10.0</v>
      </c>
      <c r="AM1446" s="1">
        <v>2014.0</v>
      </c>
      <c r="AN1446" s="1">
        <v>2014.0</v>
      </c>
      <c r="AO1446" s="1" t="s">
        <v>202</v>
      </c>
    </row>
    <row r="1447">
      <c r="A1447" s="5">
        <v>1.0</v>
      </c>
      <c r="B1447" s="1">
        <f t="shared" si="1"/>
        <v>1447</v>
      </c>
      <c r="C1447" s="1" t="s">
        <v>2910</v>
      </c>
      <c r="D1447" s="1" t="s">
        <v>2910</v>
      </c>
      <c r="E1447" s="1" t="s">
        <v>100</v>
      </c>
      <c r="G1447" s="1">
        <v>1.4511747E7</v>
      </c>
      <c r="H1447" s="2">
        <v>41925.0</v>
      </c>
      <c r="I1447" s="1" t="s">
        <v>122</v>
      </c>
      <c r="K1447" s="1" t="s">
        <v>122</v>
      </c>
      <c r="N1447" s="1" t="s">
        <v>102</v>
      </c>
      <c r="O1447" s="1">
        <v>8600.0</v>
      </c>
      <c r="P1447" s="1" t="s">
        <v>102</v>
      </c>
      <c r="Q1447" s="1" t="str">
        <f>IF(ISERROR(VLOOKUP(P1447,'unique fed agency names'!A:C,3,FALSE)),P1447,VLOOKUP(P1447,'unique fed agency names'!A:C,3,FALSE))
</f>
        <v>U.S. Department of Housing and Urban Development (HUD)</v>
      </c>
      <c r="R1447" s="1">
        <v>8.47399933E8</v>
      </c>
      <c r="S1447" s="1" t="s">
        <v>2911</v>
      </c>
      <c r="T1447" s="1" t="str">
        <f>IF(ISERROR(VLOOKUP(S1447,'unique org names'!A:C,3,FALSE)),S1447,VLOOKUP(S1447,'unique org names'!A:C,3,FALSE))
</f>
        <v>Midtown Detroit, Inc</v>
      </c>
      <c r="V1447" s="1" t="s">
        <v>1462</v>
      </c>
      <c r="W1447" s="1" t="s">
        <v>44</v>
      </c>
      <c r="X1447" s="1" t="s">
        <v>45</v>
      </c>
      <c r="Y1447" s="1">
        <v>4.82012009E8</v>
      </c>
      <c r="AA1447" s="1" t="s">
        <v>46</v>
      </c>
      <c r="AB1447" s="1" t="s">
        <v>45</v>
      </c>
      <c r="AC1447" s="1">
        <v>4.82012009E8</v>
      </c>
      <c r="AF1447" s="1">
        <v>250000.0</v>
      </c>
      <c r="AG1447" s="2">
        <v>41925.0</v>
      </c>
      <c r="AH1447" s="1">
        <v>8600.0</v>
      </c>
      <c r="AI1447" s="1" t="s">
        <v>102</v>
      </c>
      <c r="AJ1447" s="1" t="s">
        <v>2912</v>
      </c>
      <c r="AK1447" s="1" t="s">
        <v>2913</v>
      </c>
      <c r="AL1447" s="1">
        <v>10.0</v>
      </c>
      <c r="AM1447" s="1">
        <v>2014.0</v>
      </c>
      <c r="AN1447" s="1">
        <v>2015.0</v>
      </c>
      <c r="AO1447" s="1" t="s">
        <v>127</v>
      </c>
    </row>
    <row r="1448">
      <c r="A1448" s="5">
        <v>1.0</v>
      </c>
      <c r="B1448" s="1">
        <f t="shared" si="1"/>
        <v>1448</v>
      </c>
      <c r="C1448" s="1" t="s">
        <v>2910</v>
      </c>
      <c r="D1448" s="1" t="s">
        <v>2910</v>
      </c>
      <c r="E1448" s="1" t="s">
        <v>100</v>
      </c>
      <c r="G1448" s="1">
        <v>1.4511747E7</v>
      </c>
      <c r="H1448" s="2">
        <v>41821.0</v>
      </c>
      <c r="I1448" s="1" t="s">
        <v>122</v>
      </c>
      <c r="K1448" s="1" t="s">
        <v>122</v>
      </c>
      <c r="N1448" s="1" t="s">
        <v>102</v>
      </c>
      <c r="O1448" s="1">
        <v>8600.0</v>
      </c>
      <c r="P1448" s="1" t="s">
        <v>102</v>
      </c>
      <c r="Q1448" s="1" t="str">
        <f>IF(ISERROR(VLOOKUP(P1448,'unique fed agency names'!A:C,3,FALSE)),P1448,VLOOKUP(P1448,'unique fed agency names'!A:C,3,FALSE))
</f>
        <v>U.S. Department of Housing and Urban Development (HUD)</v>
      </c>
      <c r="R1448" s="1">
        <v>8.34085698E8</v>
      </c>
      <c r="S1448" s="1" t="s">
        <v>2443</v>
      </c>
      <c r="T1448" s="1" t="str">
        <f>IF(ISERROR(VLOOKUP(S1448,'unique org names'!A:C,3,FALSE)),S1448,VLOOKUP(S1448,'unique org names'!A:C,3,FALSE))
</f>
        <v>Detroit Catholic Pastoral Alliance</v>
      </c>
      <c r="V1448" s="1" t="s">
        <v>2444</v>
      </c>
      <c r="W1448" s="1" t="s">
        <v>44</v>
      </c>
      <c r="X1448" s="1" t="s">
        <v>45</v>
      </c>
      <c r="Y1448" s="1">
        <v>4.82133858E8</v>
      </c>
      <c r="AA1448" s="1" t="s">
        <v>46</v>
      </c>
      <c r="AB1448" s="1" t="s">
        <v>45</v>
      </c>
      <c r="AC1448" s="1">
        <v>4.82133858E8</v>
      </c>
      <c r="AF1448" s="1">
        <v>41250.0</v>
      </c>
      <c r="AG1448" s="2">
        <v>41821.0</v>
      </c>
      <c r="AH1448" s="1">
        <v>8600.0</v>
      </c>
      <c r="AI1448" s="1" t="s">
        <v>102</v>
      </c>
      <c r="AJ1448" s="1" t="s">
        <v>2914</v>
      </c>
      <c r="AK1448" s="1" t="s">
        <v>2915</v>
      </c>
      <c r="AL1448" s="1">
        <v>10.0</v>
      </c>
      <c r="AM1448" s="1">
        <v>2014.0</v>
      </c>
      <c r="AN1448" s="1">
        <v>2014.0</v>
      </c>
      <c r="AO1448" s="1" t="s">
        <v>127</v>
      </c>
    </row>
    <row r="1449">
      <c r="A1449" s="5">
        <v>1.0</v>
      </c>
      <c r="B1449" s="1">
        <f t="shared" si="1"/>
        <v>1449</v>
      </c>
      <c r="C1449" s="1" t="s">
        <v>2910</v>
      </c>
      <c r="D1449" s="1" t="s">
        <v>2910</v>
      </c>
      <c r="E1449" s="1" t="s">
        <v>100</v>
      </c>
      <c r="G1449" s="1">
        <v>1.4511747E7</v>
      </c>
      <c r="H1449" s="2">
        <v>41821.0</v>
      </c>
      <c r="I1449" s="1" t="s">
        <v>122</v>
      </c>
      <c r="K1449" s="1" t="s">
        <v>122</v>
      </c>
      <c r="N1449" s="1" t="s">
        <v>102</v>
      </c>
      <c r="O1449" s="1">
        <v>8600.0</v>
      </c>
      <c r="P1449" s="1" t="s">
        <v>102</v>
      </c>
      <c r="Q1449" s="1" t="str">
        <f>IF(ISERROR(VLOOKUP(P1449,'unique fed agency names'!A:C,3,FALSE)),P1449,VLOOKUP(P1449,'unique fed agency names'!A:C,3,FALSE))
</f>
        <v>U.S. Department of Housing and Urban Development (HUD)</v>
      </c>
      <c r="R1449" s="1">
        <v>9.33501314E8</v>
      </c>
      <c r="S1449" s="1" t="s">
        <v>2209</v>
      </c>
      <c r="T1449" s="1" t="str">
        <f>IF(ISERROR(VLOOKUP(S1449,'unique org names'!A:C,3,FALSE)),S1449,VLOOKUP(S1449,'unique org names'!A:C,3,FALSE))
</f>
        <v>Jefferson East, Inc</v>
      </c>
      <c r="U1449" s="1" t="s">
        <v>2210</v>
      </c>
      <c r="V1449" s="1" t="s">
        <v>2211</v>
      </c>
      <c r="W1449" s="1" t="s">
        <v>44</v>
      </c>
      <c r="X1449" s="1" t="s">
        <v>45</v>
      </c>
      <c r="Y1449" s="1">
        <v>4.82152967E8</v>
      </c>
      <c r="AA1449" s="1" t="s">
        <v>46</v>
      </c>
      <c r="AB1449" s="1" t="s">
        <v>45</v>
      </c>
      <c r="AC1449" s="1">
        <v>4.82152967E8</v>
      </c>
      <c r="AF1449" s="1">
        <v>50000.0</v>
      </c>
      <c r="AG1449" s="2">
        <v>41821.0</v>
      </c>
      <c r="AH1449" s="1">
        <v>8600.0</v>
      </c>
      <c r="AI1449" s="1" t="s">
        <v>102</v>
      </c>
      <c r="AJ1449" s="1" t="s">
        <v>2916</v>
      </c>
      <c r="AK1449" s="1" t="s">
        <v>2917</v>
      </c>
      <c r="AL1449" s="1">
        <v>10.0</v>
      </c>
      <c r="AM1449" s="1">
        <v>2014.0</v>
      </c>
      <c r="AN1449" s="1">
        <v>2014.0</v>
      </c>
      <c r="AO1449" s="1" t="s">
        <v>127</v>
      </c>
    </row>
    <row r="1450">
      <c r="A1450" s="5">
        <v>1.0</v>
      </c>
      <c r="B1450" s="1">
        <f t="shared" si="1"/>
        <v>1450</v>
      </c>
      <c r="C1450" s="1" t="s">
        <v>1894</v>
      </c>
      <c r="D1450" s="1" t="s">
        <v>1894</v>
      </c>
      <c r="E1450" s="1" t="s">
        <v>645</v>
      </c>
      <c r="G1450" s="1">
        <v>902980.0</v>
      </c>
      <c r="H1450" s="2">
        <v>41914.0</v>
      </c>
      <c r="I1450" s="1" t="s">
        <v>646</v>
      </c>
      <c r="K1450" s="1" t="s">
        <v>646</v>
      </c>
      <c r="N1450" s="1" t="s">
        <v>647</v>
      </c>
      <c r="O1450" s="1">
        <v>1200.0</v>
      </c>
      <c r="P1450" s="1" t="s">
        <v>647</v>
      </c>
      <c r="Q1450" s="1" t="str">
        <f>IF(ISERROR(VLOOKUP(P1450,'unique fed agency names'!A:C,3,FALSE)),P1450,VLOOKUP(P1450,'unique fed agency names'!A:C,3,FALSE))
</f>
        <v>U.S. Department of Agriculture (USDA)</v>
      </c>
      <c r="R1450" s="1">
        <v>7.3134884E7</v>
      </c>
      <c r="S1450" s="1" t="s">
        <v>1796</v>
      </c>
      <c r="T1450" s="1" t="str">
        <f>IF(ISERROR(VLOOKUP(S1450,'unique org names'!A:C,3,FALSE)),S1450,VLOOKUP(S1450,'unique org names'!A:C,3,FALSE))
</f>
        <v>Wayne County</v>
      </c>
      <c r="V1450" s="1" t="s">
        <v>1855</v>
      </c>
      <c r="W1450" s="1" t="s">
        <v>44</v>
      </c>
      <c r="X1450" s="1" t="s">
        <v>45</v>
      </c>
      <c r="Y1450" s="1">
        <v>48226.0</v>
      </c>
      <c r="AA1450" s="1" t="s">
        <v>648</v>
      </c>
      <c r="AB1450" s="1" t="s">
        <v>45</v>
      </c>
      <c r="AC1450" s="1">
        <v>4.81865305E8</v>
      </c>
      <c r="AD1450" s="1">
        <v>7.3134884E7</v>
      </c>
      <c r="AE1450" s="1" t="s">
        <v>1796</v>
      </c>
      <c r="AF1450" s="1">
        <v>65093.0</v>
      </c>
      <c r="AG1450" s="2">
        <v>41914.0</v>
      </c>
      <c r="AH1450" s="1">
        <v>1200.0</v>
      </c>
      <c r="AI1450" s="1" t="s">
        <v>647</v>
      </c>
      <c r="AJ1450" s="1" t="s">
        <v>1895</v>
      </c>
      <c r="AK1450" s="1" t="s">
        <v>712</v>
      </c>
      <c r="AL1450" s="1">
        <v>10.0</v>
      </c>
      <c r="AM1450" s="1">
        <v>2014.0</v>
      </c>
      <c r="AN1450" s="1">
        <v>2015.0</v>
      </c>
      <c r="AO1450" s="1" t="s">
        <v>651</v>
      </c>
    </row>
    <row r="1451">
      <c r="A1451" s="5">
        <v>1.0</v>
      </c>
      <c r="B1451" s="1">
        <f t="shared" si="1"/>
        <v>1451</v>
      </c>
      <c r="C1451" s="1" t="s">
        <v>1016</v>
      </c>
      <c r="D1451" s="1" t="s">
        <v>1016</v>
      </c>
      <c r="E1451" s="1" t="s">
        <v>38</v>
      </c>
      <c r="G1451" s="1">
        <v>2263924.0</v>
      </c>
      <c r="H1451" s="2">
        <v>41909.0</v>
      </c>
      <c r="I1451" s="1" t="s">
        <v>2918</v>
      </c>
      <c r="K1451" s="1" t="s">
        <v>2918</v>
      </c>
      <c r="N1451" s="1" t="s">
        <v>40</v>
      </c>
      <c r="O1451" s="1">
        <v>7500.0</v>
      </c>
      <c r="P1451" s="1" t="s">
        <v>40</v>
      </c>
      <c r="Q1451" s="1" t="str">
        <f>IF(ISERROR(VLOOKUP(P1451,'unique fed agency names'!A:C,3,FALSE)),P1451,VLOOKUP(P1451,'unique fed agency names'!A:C,3,FALSE))
</f>
        <v>U.S. Department of Health and Human Services (DHHS)</v>
      </c>
      <c r="R1451" s="1">
        <v>8.29081207E8</v>
      </c>
      <c r="S1451" s="1" t="s">
        <v>1018</v>
      </c>
      <c r="T1451" s="1" t="str">
        <f>IF(ISERROR(VLOOKUP(S1451,'unique org names'!A:C,3,FALSE)),S1451,VLOOKUP(S1451,'unique org names'!A:C,3,FALSE))
</f>
        <v>FRIENDS OF PARKSIDE</v>
      </c>
      <c r="V1451" s="1" t="s">
        <v>1019</v>
      </c>
      <c r="W1451" s="1" t="s">
        <v>44</v>
      </c>
      <c r="X1451" s="1" t="s">
        <v>45</v>
      </c>
      <c r="Y1451" s="1">
        <v>4.82133402E8</v>
      </c>
      <c r="AA1451" s="1" t="s">
        <v>46</v>
      </c>
      <c r="AB1451" s="1" t="s">
        <v>45</v>
      </c>
      <c r="AC1451" s="1">
        <v>4.82133402E8</v>
      </c>
      <c r="AF1451" s="1">
        <v>43504.0</v>
      </c>
      <c r="AG1451" s="2">
        <v>41909.0</v>
      </c>
      <c r="AH1451" s="1">
        <v>7500.0</v>
      </c>
      <c r="AI1451" s="1" t="s">
        <v>40</v>
      </c>
      <c r="AJ1451" s="1">
        <v>3.002042445E9</v>
      </c>
      <c r="AK1451" s="1" t="s">
        <v>2919</v>
      </c>
      <c r="AL1451" s="1">
        <v>9.0</v>
      </c>
      <c r="AM1451" s="1">
        <v>2014.0</v>
      </c>
      <c r="AN1451" s="1">
        <v>2014.0</v>
      </c>
      <c r="AO1451" s="1" t="s">
        <v>1021</v>
      </c>
    </row>
    <row r="1452">
      <c r="A1452" s="5">
        <v>1.0</v>
      </c>
      <c r="B1452" s="1">
        <f t="shared" si="1"/>
        <v>1452</v>
      </c>
      <c r="C1452" s="1" t="s">
        <v>1345</v>
      </c>
      <c r="D1452" s="1" t="s">
        <v>1345</v>
      </c>
      <c r="E1452" s="1" t="s">
        <v>159</v>
      </c>
      <c r="G1452" s="1">
        <v>4573069.0</v>
      </c>
      <c r="H1452" s="2">
        <v>41883.0</v>
      </c>
      <c r="I1452" s="1" t="s">
        <v>1346</v>
      </c>
      <c r="K1452" s="1" t="s">
        <v>1346</v>
      </c>
      <c r="N1452" s="1" t="s">
        <v>40</v>
      </c>
      <c r="O1452" s="1">
        <v>7500.0</v>
      </c>
      <c r="P1452" s="1" t="s">
        <v>40</v>
      </c>
      <c r="Q1452" s="1" t="str">
        <f>IF(ISERROR(VLOOKUP(P1452,'unique fed agency names'!A:C,3,FALSE)),P1452,VLOOKUP(P1452,'unique fed agency names'!A:C,3,FALSE))
</f>
        <v>U.S. Department of Health and Human Services (DHHS)</v>
      </c>
      <c r="R1452" s="1">
        <v>1962224.0</v>
      </c>
      <c r="S1452" s="1" t="s">
        <v>52</v>
      </c>
      <c r="T1452" s="1" t="str">
        <f>IF(ISERROR(VLOOKUP(S1452,'unique org names'!A:C,3,FALSE)),S1452,VLOOKUP(S1452,'unique org names'!A:C,3,FALSE))
</f>
        <v>WAYNE STATE UNIVERSITY</v>
      </c>
      <c r="V1452" s="1" t="s">
        <v>1885</v>
      </c>
      <c r="W1452" s="1" t="s">
        <v>44</v>
      </c>
      <c r="X1452" s="1" t="s">
        <v>45</v>
      </c>
      <c r="Y1452" s="1">
        <v>4.82021347E8</v>
      </c>
      <c r="AA1452" s="1" t="s">
        <v>46</v>
      </c>
      <c r="AB1452" s="1" t="s">
        <v>45</v>
      </c>
      <c r="AC1452" s="1">
        <v>4.82024E8</v>
      </c>
      <c r="AD1452" s="1">
        <v>1962224.0</v>
      </c>
      <c r="AE1452" s="1" t="s">
        <v>52</v>
      </c>
      <c r="AF1452" s="1">
        <v>139357.0</v>
      </c>
      <c r="AG1452" s="2">
        <v>41883.0</v>
      </c>
      <c r="AH1452" s="1">
        <v>7500.0</v>
      </c>
      <c r="AI1452" s="1" t="s">
        <v>40</v>
      </c>
      <c r="AJ1452" s="1">
        <v>3.002120343E9</v>
      </c>
      <c r="AK1452" s="1" t="s">
        <v>2920</v>
      </c>
      <c r="AL1452" s="1">
        <v>9.0</v>
      </c>
      <c r="AM1452" s="1">
        <v>2014.0</v>
      </c>
      <c r="AN1452" s="1">
        <v>2014.0</v>
      </c>
      <c r="AO1452" s="1" t="s">
        <v>1348</v>
      </c>
    </row>
    <row r="1453">
      <c r="A1453" s="5">
        <v>1.0</v>
      </c>
      <c r="B1453" s="1">
        <f t="shared" si="1"/>
        <v>1453</v>
      </c>
      <c r="C1453" s="1" t="s">
        <v>1513</v>
      </c>
      <c r="D1453" s="1" t="s">
        <v>1513</v>
      </c>
      <c r="E1453" s="1" t="s">
        <v>194</v>
      </c>
      <c r="G1453" s="1">
        <v>398052.0</v>
      </c>
      <c r="H1453" s="2">
        <v>41900.0</v>
      </c>
      <c r="I1453" s="1" t="s">
        <v>195</v>
      </c>
      <c r="K1453" s="1" t="s">
        <v>195</v>
      </c>
      <c r="N1453" s="1" t="s">
        <v>194</v>
      </c>
      <c r="O1453" s="1">
        <v>9100.0</v>
      </c>
      <c r="P1453" s="1" t="s">
        <v>194</v>
      </c>
      <c r="Q1453" s="1" t="str">
        <f>IF(ISERROR(VLOOKUP(P1453,'unique fed agency names'!A:C,3,FALSE)),P1453,VLOOKUP(P1453,'unique fed agency names'!A:C,3,FALSE))
</f>
        <v>U.S. Department of Education (ED)</v>
      </c>
      <c r="R1453" s="1">
        <v>1962224.0</v>
      </c>
      <c r="S1453" s="1" t="s">
        <v>52</v>
      </c>
      <c r="T1453" s="1" t="str">
        <f>IF(ISERROR(VLOOKUP(S1453,'unique org names'!A:C,3,FALSE)),S1453,VLOOKUP(S1453,'unique org names'!A:C,3,FALSE))
</f>
        <v>WAYNE STATE UNIVERSITY</v>
      </c>
      <c r="V1453" s="1" t="s">
        <v>1885</v>
      </c>
      <c r="W1453" s="1" t="s">
        <v>44</v>
      </c>
      <c r="X1453" s="1" t="s">
        <v>45</v>
      </c>
      <c r="Y1453" s="1">
        <v>4.82021347E8</v>
      </c>
      <c r="AA1453" s="1" t="s">
        <v>46</v>
      </c>
      <c r="AB1453" s="1" t="s">
        <v>45</v>
      </c>
      <c r="AC1453" s="1">
        <v>4.82024E8</v>
      </c>
      <c r="AD1453" s="1">
        <v>1962224.0</v>
      </c>
      <c r="AE1453" s="1" t="s">
        <v>52</v>
      </c>
      <c r="AF1453" s="1">
        <v>71393.0</v>
      </c>
      <c r="AG1453" s="2">
        <v>41900.0</v>
      </c>
      <c r="AH1453" s="1">
        <v>9100.0</v>
      </c>
      <c r="AI1453" s="1" t="s">
        <v>194</v>
      </c>
      <c r="AJ1453" s="1">
        <v>3.002891343E9</v>
      </c>
      <c r="AK1453" s="1" t="s">
        <v>2921</v>
      </c>
      <c r="AL1453" s="1">
        <v>9.0</v>
      </c>
      <c r="AM1453" s="1">
        <v>2014.0</v>
      </c>
      <c r="AN1453" s="1">
        <v>2014.0</v>
      </c>
      <c r="AO1453" s="1" t="s">
        <v>197</v>
      </c>
    </row>
    <row r="1454">
      <c r="A1454" s="5">
        <v>1.0</v>
      </c>
      <c r="B1454" s="1">
        <f t="shared" si="1"/>
        <v>1454</v>
      </c>
      <c r="C1454" s="1" t="s">
        <v>2922</v>
      </c>
      <c r="D1454" s="1" t="s">
        <v>2922</v>
      </c>
      <c r="E1454" s="1" t="s">
        <v>38</v>
      </c>
      <c r="G1454" s="1">
        <v>760304.0</v>
      </c>
      <c r="H1454" s="2">
        <v>41256.0</v>
      </c>
      <c r="I1454" s="1" t="s">
        <v>2923</v>
      </c>
      <c r="K1454" s="1" t="s">
        <v>2923</v>
      </c>
      <c r="N1454" s="1" t="s">
        <v>40</v>
      </c>
      <c r="O1454" s="1">
        <v>7500.0</v>
      </c>
      <c r="P1454" s="1" t="s">
        <v>40</v>
      </c>
      <c r="Q1454" s="1" t="str">
        <f>IF(ISERROR(VLOOKUP(P1454,'unique fed agency names'!A:C,3,FALSE)),P1454,VLOOKUP(P1454,'unique fed agency names'!A:C,3,FALSE))
</f>
        <v>U.S. Department of Health and Human Services (DHHS)</v>
      </c>
      <c r="R1454" s="1">
        <v>7.3134603E7</v>
      </c>
      <c r="S1454" s="1" t="s">
        <v>41</v>
      </c>
      <c r="T1454" s="1" t="str">
        <f>IF(ISERROR(VLOOKUP(S1454,'unique org names'!A:C,3,FALSE)),S1454,VLOOKUP(S1454,'unique org names'!A:C,3,FALSE))
</f>
        <v>Henry Ford Health System</v>
      </c>
      <c r="U1454" s="1" t="s">
        <v>42</v>
      </c>
      <c r="V1454" s="1" t="s">
        <v>43</v>
      </c>
      <c r="W1454" s="1" t="s">
        <v>44</v>
      </c>
      <c r="X1454" s="1" t="s">
        <v>45</v>
      </c>
      <c r="Y1454" s="1">
        <v>4.8202345E8</v>
      </c>
      <c r="AA1454" s="1" t="s">
        <v>46</v>
      </c>
      <c r="AB1454" s="1" t="s">
        <v>45</v>
      </c>
      <c r="AC1454" s="1">
        <v>4.82022689E8</v>
      </c>
      <c r="AD1454" s="1">
        <v>7.3134603E7</v>
      </c>
      <c r="AE1454" s="1" t="s">
        <v>41</v>
      </c>
      <c r="AF1454" s="1">
        <v>25276.0</v>
      </c>
      <c r="AG1454" s="2">
        <v>41256.0</v>
      </c>
      <c r="AH1454" s="1">
        <v>7500.0</v>
      </c>
      <c r="AI1454" s="1" t="s">
        <v>40</v>
      </c>
      <c r="AJ1454" s="1">
        <v>2.012119719E9</v>
      </c>
      <c r="AK1454" s="1" t="s">
        <v>2924</v>
      </c>
      <c r="AL1454" s="1">
        <v>10.0</v>
      </c>
      <c r="AM1454" s="1">
        <v>2014.0</v>
      </c>
      <c r="AN1454" s="1">
        <v>2013.0</v>
      </c>
      <c r="AO1454" s="1" t="s">
        <v>352</v>
      </c>
    </row>
    <row r="1455">
      <c r="A1455" s="5">
        <v>1.0</v>
      </c>
      <c r="B1455" s="1">
        <f t="shared" si="1"/>
        <v>1455</v>
      </c>
      <c r="C1455" s="1" t="s">
        <v>2925</v>
      </c>
      <c r="D1455" s="1" t="s">
        <v>2925</v>
      </c>
      <c r="E1455" s="1" t="s">
        <v>38</v>
      </c>
      <c r="G1455" s="1">
        <v>692240.0</v>
      </c>
      <c r="H1455" s="2">
        <v>41995.0</v>
      </c>
      <c r="I1455" s="1" t="s">
        <v>2926</v>
      </c>
      <c r="K1455" s="1" t="s">
        <v>2926</v>
      </c>
      <c r="N1455" s="1" t="s">
        <v>40</v>
      </c>
      <c r="O1455" s="1">
        <v>7500.0</v>
      </c>
      <c r="P1455" s="1" t="s">
        <v>40</v>
      </c>
      <c r="Q1455" s="1" t="str">
        <f>IF(ISERROR(VLOOKUP(P1455,'unique fed agency names'!A:C,3,FALSE)),P1455,VLOOKUP(P1455,'unique fed agency names'!A:C,3,FALSE))
</f>
        <v>U.S. Department of Health and Human Services (DHHS)</v>
      </c>
      <c r="R1455" s="1">
        <v>1962224.0</v>
      </c>
      <c r="S1455" s="1" t="s">
        <v>52</v>
      </c>
      <c r="T1455" s="1" t="str">
        <f>IF(ISERROR(VLOOKUP(S1455,'unique org names'!A:C,3,FALSE)),S1455,VLOOKUP(S1455,'unique org names'!A:C,3,FALSE))
</f>
        <v>WAYNE STATE UNIVERSITY</v>
      </c>
      <c r="V1455" s="1" t="s">
        <v>1885</v>
      </c>
      <c r="W1455" s="1" t="s">
        <v>44</v>
      </c>
      <c r="X1455" s="1" t="s">
        <v>45</v>
      </c>
      <c r="Y1455" s="1">
        <v>4.82021347E8</v>
      </c>
      <c r="AA1455" s="1" t="s">
        <v>46</v>
      </c>
      <c r="AB1455" s="1" t="s">
        <v>45</v>
      </c>
      <c r="AC1455" s="1">
        <v>4.8202405E8</v>
      </c>
      <c r="AD1455" s="1">
        <v>1962224.0</v>
      </c>
      <c r="AE1455" s="1" t="s">
        <v>52</v>
      </c>
      <c r="AF1455" s="1">
        <v>218144.0</v>
      </c>
      <c r="AG1455" s="2">
        <v>41995.0</v>
      </c>
      <c r="AH1455" s="1">
        <v>7500.0</v>
      </c>
      <c r="AI1455" s="1" t="s">
        <v>40</v>
      </c>
      <c r="AJ1455" s="1" t="s">
        <v>2927</v>
      </c>
      <c r="AK1455" s="1" t="s">
        <v>2928</v>
      </c>
      <c r="AL1455" s="1">
        <v>1.0</v>
      </c>
      <c r="AM1455" s="1">
        <v>2015.0</v>
      </c>
      <c r="AN1455" s="1">
        <v>2015.0</v>
      </c>
      <c r="AO1455" s="1" t="s">
        <v>415</v>
      </c>
    </row>
    <row r="1456">
      <c r="A1456" s="5">
        <v>1.0</v>
      </c>
      <c r="B1456" s="1">
        <f t="shared" si="1"/>
        <v>1456</v>
      </c>
      <c r="C1456" s="1" t="s">
        <v>2929</v>
      </c>
      <c r="D1456" s="1" t="s">
        <v>2929</v>
      </c>
      <c r="E1456" s="1" t="s">
        <v>63</v>
      </c>
      <c r="G1456" s="1">
        <v>1.2733216E7</v>
      </c>
      <c r="H1456" s="2">
        <v>41548.0</v>
      </c>
      <c r="I1456" s="1" t="s">
        <v>2930</v>
      </c>
      <c r="K1456" s="1" t="s">
        <v>2930</v>
      </c>
      <c r="N1456" s="1" t="s">
        <v>40</v>
      </c>
      <c r="O1456" s="1">
        <v>7500.0</v>
      </c>
      <c r="P1456" s="1" t="s">
        <v>40</v>
      </c>
      <c r="Q1456" s="1" t="str">
        <f>IF(ISERROR(VLOOKUP(P1456,'unique fed agency names'!A:C,3,FALSE)),P1456,VLOOKUP(P1456,'unique fed agency names'!A:C,3,FALSE))
</f>
        <v>U.S. Department of Health and Human Services (DHHS)</v>
      </c>
      <c r="R1456" s="1">
        <v>3.8775243E7</v>
      </c>
      <c r="S1456" s="1" t="s">
        <v>209</v>
      </c>
      <c r="T1456" s="1" t="str">
        <f>IF(ISERROR(VLOOKUP(S1456,'unique org names'!A:C,3,FALSE)),S1456,VLOOKUP(S1456,'unique org names'!A:C,3,FALSE))
</f>
        <v>SOUTHEASTERN MICHIGAN HEALTH ASSOCIATION</v>
      </c>
      <c r="U1456" s="1" t="s">
        <v>210</v>
      </c>
      <c r="V1456" s="1" t="s">
        <v>211</v>
      </c>
      <c r="W1456" s="1" t="s">
        <v>44</v>
      </c>
      <c r="X1456" s="1" t="s">
        <v>45</v>
      </c>
      <c r="Y1456" s="1">
        <v>4.82023068E8</v>
      </c>
      <c r="AA1456" s="1" t="s">
        <v>46</v>
      </c>
      <c r="AB1456" s="1" t="s">
        <v>45</v>
      </c>
      <c r="AC1456" s="1">
        <v>4.82023068E8</v>
      </c>
      <c r="AD1456" s="1">
        <v>3.8775243E7</v>
      </c>
      <c r="AE1456" s="1" t="s">
        <v>209</v>
      </c>
      <c r="AF1456" s="1">
        <v>8348.0</v>
      </c>
      <c r="AG1456" s="2">
        <v>41548.0</v>
      </c>
      <c r="AH1456" s="1">
        <v>7500.0</v>
      </c>
      <c r="AI1456" s="1" t="s">
        <v>40</v>
      </c>
      <c r="AJ1456" s="1">
        <v>2.0140707E7</v>
      </c>
      <c r="AK1456" s="1" t="s">
        <v>2931</v>
      </c>
      <c r="AL1456" s="1">
        <v>10.0</v>
      </c>
      <c r="AM1456" s="1">
        <v>2010.0</v>
      </c>
      <c r="AN1456" s="1">
        <v>2014.0</v>
      </c>
      <c r="AO1456" s="1" t="s">
        <v>2932</v>
      </c>
    </row>
    <row r="1457">
      <c r="A1457" s="5">
        <v>1.0</v>
      </c>
      <c r="B1457" s="1">
        <f t="shared" si="1"/>
        <v>1457</v>
      </c>
      <c r="C1457" s="1" t="s">
        <v>2929</v>
      </c>
      <c r="D1457" s="1" t="s">
        <v>2929</v>
      </c>
      <c r="E1457" s="1" t="s">
        <v>63</v>
      </c>
      <c r="G1457" s="1">
        <v>1.2733216E7</v>
      </c>
      <c r="H1457" s="2">
        <v>41183.0</v>
      </c>
      <c r="I1457" s="1" t="s">
        <v>2930</v>
      </c>
      <c r="K1457" s="1" t="s">
        <v>2930</v>
      </c>
      <c r="N1457" s="1" t="s">
        <v>40</v>
      </c>
      <c r="O1457" s="1">
        <v>7500.0</v>
      </c>
      <c r="P1457" s="1" t="s">
        <v>40</v>
      </c>
      <c r="Q1457" s="1" t="str">
        <f>IF(ISERROR(VLOOKUP(P1457,'unique fed agency names'!A:C,3,FALSE)),P1457,VLOOKUP(P1457,'unique fed agency names'!A:C,3,FALSE))
</f>
        <v>U.S. Department of Health and Human Services (DHHS)</v>
      </c>
      <c r="R1457" s="1">
        <v>3.8775243E7</v>
      </c>
      <c r="S1457" s="1" t="s">
        <v>209</v>
      </c>
      <c r="T1457" s="1" t="str">
        <f>IF(ISERROR(VLOOKUP(S1457,'unique org names'!A:C,3,FALSE)),S1457,VLOOKUP(S1457,'unique org names'!A:C,3,FALSE))
</f>
        <v>SOUTHEASTERN MICHIGAN HEALTH ASSOCIATION</v>
      </c>
      <c r="U1457" s="1" t="s">
        <v>210</v>
      </c>
      <c r="V1457" s="1" t="s">
        <v>211</v>
      </c>
      <c r="W1457" s="1" t="s">
        <v>44</v>
      </c>
      <c r="X1457" s="1" t="s">
        <v>45</v>
      </c>
      <c r="Y1457" s="1">
        <v>4.82023068E8</v>
      </c>
      <c r="AA1457" s="1" t="s">
        <v>46</v>
      </c>
      <c r="AB1457" s="1" t="s">
        <v>45</v>
      </c>
      <c r="AC1457" s="1">
        <v>4.82023068E8</v>
      </c>
      <c r="AD1457" s="1">
        <v>3.8775243E7</v>
      </c>
      <c r="AE1457" s="1" t="s">
        <v>209</v>
      </c>
      <c r="AF1457" s="1">
        <v>41729.18</v>
      </c>
      <c r="AG1457" s="2">
        <v>41183.0</v>
      </c>
      <c r="AH1457" s="1">
        <v>7500.0</v>
      </c>
      <c r="AI1457" s="1" t="s">
        <v>40</v>
      </c>
      <c r="AJ1457" s="1">
        <v>2.0131223E7</v>
      </c>
      <c r="AK1457" s="1" t="s">
        <v>2931</v>
      </c>
      <c r="AL1457" s="1">
        <v>10.0</v>
      </c>
      <c r="AM1457" s="1">
        <v>2010.0</v>
      </c>
      <c r="AN1457" s="1">
        <v>2013.0</v>
      </c>
      <c r="AO1457" s="1" t="s">
        <v>2932</v>
      </c>
    </row>
    <row r="1458">
      <c r="A1458" s="5">
        <v>1.0</v>
      </c>
      <c r="B1458" s="1">
        <f t="shared" si="1"/>
        <v>1458</v>
      </c>
      <c r="C1458" s="1" t="s">
        <v>2933</v>
      </c>
      <c r="D1458" s="1" t="s">
        <v>2933</v>
      </c>
      <c r="E1458" s="1" t="s">
        <v>63</v>
      </c>
      <c r="G1458" s="1">
        <v>1992967.0</v>
      </c>
      <c r="H1458" s="2">
        <v>41183.0</v>
      </c>
      <c r="I1458" s="1" t="s">
        <v>2934</v>
      </c>
      <c r="K1458" s="1" t="s">
        <v>2934</v>
      </c>
      <c r="N1458" s="1" t="s">
        <v>40</v>
      </c>
      <c r="O1458" s="1">
        <v>7500.0</v>
      </c>
      <c r="P1458" s="1" t="s">
        <v>40</v>
      </c>
      <c r="Q1458" s="1" t="str">
        <f>IF(ISERROR(VLOOKUP(P1458,'unique fed agency names'!A:C,3,FALSE)),P1458,VLOOKUP(P1458,'unique fed agency names'!A:C,3,FALSE))
</f>
        <v>U.S. Department of Health and Human Services (DHHS)</v>
      </c>
      <c r="R1458" s="1">
        <v>3.8775243E7</v>
      </c>
      <c r="S1458" s="1" t="s">
        <v>209</v>
      </c>
      <c r="T1458" s="1" t="str">
        <f>IF(ISERROR(VLOOKUP(S1458,'unique org names'!A:C,3,FALSE)),S1458,VLOOKUP(S1458,'unique org names'!A:C,3,FALSE))
</f>
        <v>SOUTHEASTERN MICHIGAN HEALTH ASSOCIATION</v>
      </c>
      <c r="U1458" s="1" t="s">
        <v>210</v>
      </c>
      <c r="V1458" s="1" t="s">
        <v>211</v>
      </c>
      <c r="W1458" s="1" t="s">
        <v>44</v>
      </c>
      <c r="X1458" s="1" t="s">
        <v>45</v>
      </c>
      <c r="Y1458" s="1">
        <v>4.82023068E8</v>
      </c>
      <c r="AA1458" s="1" t="s">
        <v>46</v>
      </c>
      <c r="AB1458" s="1" t="s">
        <v>45</v>
      </c>
      <c r="AC1458" s="1">
        <v>4.82013096E8</v>
      </c>
      <c r="AD1458" s="1">
        <v>3.8775243E7</v>
      </c>
      <c r="AE1458" s="1" t="s">
        <v>209</v>
      </c>
      <c r="AF1458" s="1">
        <v>3720.0</v>
      </c>
      <c r="AG1458" s="2">
        <v>41183.0</v>
      </c>
      <c r="AH1458" s="1">
        <v>7500.0</v>
      </c>
      <c r="AI1458" s="1" t="s">
        <v>40</v>
      </c>
      <c r="AJ1458" s="1">
        <v>2.013109E7</v>
      </c>
      <c r="AK1458" s="1" t="s">
        <v>2935</v>
      </c>
      <c r="AL1458" s="1">
        <v>10.0</v>
      </c>
      <c r="AM1458" s="1">
        <v>2011.0</v>
      </c>
      <c r="AN1458" s="1">
        <v>2013.0</v>
      </c>
      <c r="AO1458" s="1" t="s">
        <v>2936</v>
      </c>
    </row>
    <row r="1459">
      <c r="A1459" s="5">
        <v>1.0</v>
      </c>
      <c r="B1459" s="1">
        <f t="shared" si="1"/>
        <v>1459</v>
      </c>
      <c r="C1459" s="1" t="s">
        <v>2929</v>
      </c>
      <c r="D1459" s="1" t="s">
        <v>2929</v>
      </c>
      <c r="E1459" s="1" t="s">
        <v>63</v>
      </c>
      <c r="G1459" s="1">
        <v>1.2733216E7</v>
      </c>
      <c r="H1459" s="2">
        <v>41548.0</v>
      </c>
      <c r="I1459" s="1" t="s">
        <v>2930</v>
      </c>
      <c r="K1459" s="1" t="s">
        <v>2930</v>
      </c>
      <c r="N1459" s="1" t="s">
        <v>40</v>
      </c>
      <c r="O1459" s="1">
        <v>7500.0</v>
      </c>
      <c r="P1459" s="1" t="s">
        <v>40</v>
      </c>
      <c r="Q1459" s="1" t="str">
        <f>IF(ISERROR(VLOOKUP(P1459,'unique fed agency names'!A:C,3,FALSE)),P1459,VLOOKUP(P1459,'unique fed agency names'!A:C,3,FALSE))
</f>
        <v>U.S. Department of Health and Human Services (DHHS)</v>
      </c>
      <c r="R1459" s="1">
        <v>1.41947783E8</v>
      </c>
      <c r="S1459" s="1" t="s">
        <v>144</v>
      </c>
      <c r="T1459" s="1" t="str">
        <f>IF(ISERROR(VLOOKUP(S1459,'unique org names'!A:C,3,FALSE)),S1459,VLOOKUP(S1459,'unique org names'!A:C,3,FALSE))
</f>
        <v>St John Community Health Investment Corporation</v>
      </c>
      <c r="U1459" s="1" t="s">
        <v>210</v>
      </c>
      <c r="V1459" s="1" t="s">
        <v>145</v>
      </c>
      <c r="W1459" s="1" t="s">
        <v>44</v>
      </c>
      <c r="X1459" s="1" t="s">
        <v>45</v>
      </c>
      <c r="Y1459" s="1">
        <v>4.82362148E8</v>
      </c>
      <c r="AA1459" s="1" t="s">
        <v>46</v>
      </c>
      <c r="AB1459" s="1" t="s">
        <v>45</v>
      </c>
      <c r="AC1459" s="1">
        <v>4.82362148E8</v>
      </c>
      <c r="AD1459" s="1">
        <v>3.8775243E7</v>
      </c>
      <c r="AE1459" s="1" t="s">
        <v>209</v>
      </c>
      <c r="AF1459" s="1">
        <v>0.0</v>
      </c>
      <c r="AG1459" s="2">
        <v>41548.0</v>
      </c>
      <c r="AH1459" s="1">
        <v>7500.0</v>
      </c>
      <c r="AI1459" s="1" t="s">
        <v>40</v>
      </c>
      <c r="AJ1459" s="1">
        <v>2.0140231E7</v>
      </c>
      <c r="AK1459" s="1" t="s">
        <v>2931</v>
      </c>
      <c r="AL1459" s="1">
        <v>10.0</v>
      </c>
      <c r="AM1459" s="1">
        <v>2010.0</v>
      </c>
      <c r="AN1459" s="1">
        <v>2014.0</v>
      </c>
      <c r="AO1459" s="1" t="s">
        <v>2932</v>
      </c>
    </row>
    <row r="1460">
      <c r="A1460" s="5">
        <v>1.0</v>
      </c>
      <c r="B1460" s="1">
        <f t="shared" si="1"/>
        <v>1460</v>
      </c>
      <c r="C1460" s="1" t="s">
        <v>2929</v>
      </c>
      <c r="D1460" s="1" t="s">
        <v>2929</v>
      </c>
      <c r="E1460" s="1" t="s">
        <v>63</v>
      </c>
      <c r="G1460" s="1">
        <v>1.2733216E7</v>
      </c>
      <c r="H1460" s="2">
        <v>41183.0</v>
      </c>
      <c r="I1460" s="1" t="s">
        <v>2930</v>
      </c>
      <c r="K1460" s="1" t="s">
        <v>2930</v>
      </c>
      <c r="N1460" s="1" t="s">
        <v>40</v>
      </c>
      <c r="O1460" s="1">
        <v>7500.0</v>
      </c>
      <c r="P1460" s="1" t="s">
        <v>40</v>
      </c>
      <c r="Q1460" s="1" t="str">
        <f>IF(ISERROR(VLOOKUP(P1460,'unique fed agency names'!A:C,3,FALSE)),P1460,VLOOKUP(P1460,'unique fed agency names'!A:C,3,FALSE))
</f>
        <v>U.S. Department of Health and Human Services (DHHS)</v>
      </c>
      <c r="R1460" s="1">
        <v>1962224.0</v>
      </c>
      <c r="S1460" s="1" t="s">
        <v>52</v>
      </c>
      <c r="T1460" s="1" t="str">
        <f>IF(ISERROR(VLOOKUP(S1460,'unique org names'!A:C,3,FALSE)),S1460,VLOOKUP(S1460,'unique org names'!A:C,3,FALSE))
</f>
        <v>WAYNE STATE UNIVERSITY</v>
      </c>
      <c r="U1460" s="1" t="s">
        <v>1408</v>
      </c>
      <c r="V1460" s="1" t="s">
        <v>1885</v>
      </c>
      <c r="W1460" s="1" t="s">
        <v>44</v>
      </c>
      <c r="X1460" s="1" t="s">
        <v>45</v>
      </c>
      <c r="Y1460" s="1">
        <v>4.82021347E8</v>
      </c>
      <c r="AA1460" s="1" t="s">
        <v>46</v>
      </c>
      <c r="AB1460" s="1" t="s">
        <v>45</v>
      </c>
      <c r="AC1460" s="1">
        <v>4.82023692E8</v>
      </c>
      <c r="AD1460" s="1">
        <v>1962224.0</v>
      </c>
      <c r="AE1460" s="1" t="s">
        <v>52</v>
      </c>
      <c r="AF1460" s="1">
        <v>2500.0</v>
      </c>
      <c r="AG1460" s="2">
        <v>41183.0</v>
      </c>
      <c r="AH1460" s="1">
        <v>7500.0</v>
      </c>
      <c r="AI1460" s="1" t="s">
        <v>40</v>
      </c>
      <c r="AJ1460" s="1">
        <v>2.0133256E7</v>
      </c>
      <c r="AK1460" s="1" t="s">
        <v>2931</v>
      </c>
      <c r="AL1460" s="1">
        <v>10.0</v>
      </c>
      <c r="AM1460" s="1">
        <v>2010.0</v>
      </c>
      <c r="AN1460" s="1">
        <v>2013.0</v>
      </c>
      <c r="AO1460" s="1" t="s">
        <v>2932</v>
      </c>
    </row>
    <row r="1461">
      <c r="A1461" s="5">
        <v>1.0</v>
      </c>
      <c r="B1461" s="1">
        <f t="shared" si="1"/>
        <v>1461</v>
      </c>
      <c r="C1461" s="1" t="s">
        <v>2933</v>
      </c>
      <c r="D1461" s="1" t="s">
        <v>2933</v>
      </c>
      <c r="E1461" s="1" t="s">
        <v>63</v>
      </c>
      <c r="G1461" s="1">
        <v>1992967.0</v>
      </c>
      <c r="H1461" s="2">
        <v>41548.0</v>
      </c>
      <c r="I1461" s="1" t="s">
        <v>2934</v>
      </c>
      <c r="K1461" s="1" t="s">
        <v>2934</v>
      </c>
      <c r="N1461" s="1" t="s">
        <v>40</v>
      </c>
      <c r="O1461" s="1">
        <v>7500.0</v>
      </c>
      <c r="P1461" s="1" t="s">
        <v>40</v>
      </c>
      <c r="Q1461" s="1" t="str">
        <f>IF(ISERROR(VLOOKUP(P1461,'unique fed agency names'!A:C,3,FALSE)),P1461,VLOOKUP(P1461,'unique fed agency names'!A:C,3,FALSE))
</f>
        <v>U.S. Department of Health and Human Services (DHHS)</v>
      </c>
      <c r="R1461" s="1">
        <v>3.8775243E7</v>
      </c>
      <c r="S1461" s="1" t="s">
        <v>209</v>
      </c>
      <c r="T1461" s="1" t="str">
        <f>IF(ISERROR(VLOOKUP(S1461,'unique org names'!A:C,3,FALSE)),S1461,VLOOKUP(S1461,'unique org names'!A:C,3,FALSE))
</f>
        <v>SOUTHEASTERN MICHIGAN HEALTH ASSOCIATION</v>
      </c>
      <c r="U1461" s="1" t="s">
        <v>210</v>
      </c>
      <c r="V1461" s="1" t="s">
        <v>211</v>
      </c>
      <c r="W1461" s="1" t="s">
        <v>44</v>
      </c>
      <c r="X1461" s="1" t="s">
        <v>45</v>
      </c>
      <c r="Y1461" s="1">
        <v>4.82023068E8</v>
      </c>
      <c r="AA1461" s="1" t="s">
        <v>46</v>
      </c>
      <c r="AB1461" s="1" t="s">
        <v>45</v>
      </c>
      <c r="AC1461" s="1">
        <v>4.82013096E8</v>
      </c>
      <c r="AD1461" s="1">
        <v>3.8775243E7</v>
      </c>
      <c r="AE1461" s="1" t="s">
        <v>209</v>
      </c>
      <c r="AF1461" s="1">
        <v>3829.0</v>
      </c>
      <c r="AG1461" s="2">
        <v>41548.0</v>
      </c>
      <c r="AH1461" s="1">
        <v>7500.0</v>
      </c>
      <c r="AI1461" s="1" t="s">
        <v>40</v>
      </c>
      <c r="AJ1461" s="1">
        <v>2.01407E7</v>
      </c>
      <c r="AK1461" s="1" t="s">
        <v>2935</v>
      </c>
      <c r="AL1461" s="1">
        <v>10.0</v>
      </c>
      <c r="AM1461" s="1">
        <v>2011.0</v>
      </c>
      <c r="AN1461" s="1">
        <v>2014.0</v>
      </c>
      <c r="AO1461" s="1" t="s">
        <v>2936</v>
      </c>
    </row>
    <row r="1462">
      <c r="A1462" s="5">
        <v>1.0</v>
      </c>
      <c r="B1462" s="1">
        <f t="shared" si="1"/>
        <v>1462</v>
      </c>
      <c r="C1462" s="1" t="s">
        <v>2937</v>
      </c>
      <c r="D1462" s="1" t="s">
        <v>2937</v>
      </c>
      <c r="E1462" s="1" t="s">
        <v>63</v>
      </c>
      <c r="G1462" s="1">
        <v>2957870.0</v>
      </c>
      <c r="H1462" s="2">
        <v>41548.0</v>
      </c>
      <c r="I1462" s="1" t="s">
        <v>2938</v>
      </c>
      <c r="K1462" s="1" t="s">
        <v>2938</v>
      </c>
      <c r="N1462" s="1" t="s">
        <v>40</v>
      </c>
      <c r="O1462" s="1">
        <v>7500.0</v>
      </c>
      <c r="P1462" s="1" t="s">
        <v>40</v>
      </c>
      <c r="Q1462" s="1" t="str">
        <f>IF(ISERROR(VLOOKUP(P1462,'unique fed agency names'!A:C,3,FALSE)),P1462,VLOOKUP(P1462,'unique fed agency names'!A:C,3,FALSE))
</f>
        <v>U.S. Department of Health and Human Services (DHHS)</v>
      </c>
      <c r="R1462" s="1">
        <v>7.3135402E7</v>
      </c>
      <c r="S1462" s="1" t="s">
        <v>152</v>
      </c>
      <c r="T1462" s="1" t="str">
        <f>IF(ISERROR(VLOOKUP(S1462,'unique org names'!A:C,3,FALSE)),S1462,VLOOKUP(S1462,'unique org names'!A:C,3,FALSE))
</f>
        <v>UNIVERSITY OF DETROIT MERCY</v>
      </c>
      <c r="U1462" s="1" t="s">
        <v>153</v>
      </c>
      <c r="V1462" s="1" t="s">
        <v>154</v>
      </c>
      <c r="W1462" s="1" t="s">
        <v>44</v>
      </c>
      <c r="X1462" s="1" t="s">
        <v>45</v>
      </c>
      <c r="Y1462" s="1">
        <v>4.82213038E8</v>
      </c>
      <c r="AA1462" s="1" t="s">
        <v>46</v>
      </c>
      <c r="AB1462" s="1" t="s">
        <v>45</v>
      </c>
      <c r="AC1462" s="1">
        <v>4.82213038E8</v>
      </c>
      <c r="AD1462" s="1">
        <v>7.3135402E7</v>
      </c>
      <c r="AE1462" s="1" t="s">
        <v>152</v>
      </c>
      <c r="AF1462" s="1">
        <v>1511.0</v>
      </c>
      <c r="AG1462" s="2">
        <v>41548.0</v>
      </c>
      <c r="AH1462" s="1">
        <v>7500.0</v>
      </c>
      <c r="AI1462" s="1" t="s">
        <v>40</v>
      </c>
      <c r="AJ1462" s="1">
        <v>2.0140567E7</v>
      </c>
      <c r="AK1462" s="1" t="s">
        <v>1009</v>
      </c>
      <c r="AL1462" s="1">
        <v>7.0</v>
      </c>
      <c r="AM1462" s="1">
        <v>2013.0</v>
      </c>
      <c r="AN1462" s="1">
        <v>2014.0</v>
      </c>
      <c r="AO1462" s="1" t="s">
        <v>2939</v>
      </c>
    </row>
    <row r="1463">
      <c r="A1463" s="5">
        <v>1.0</v>
      </c>
      <c r="B1463" s="1">
        <f t="shared" si="1"/>
        <v>1463</v>
      </c>
      <c r="C1463" s="1" t="s">
        <v>2940</v>
      </c>
      <c r="D1463" s="1" t="s">
        <v>2940</v>
      </c>
      <c r="E1463" s="1" t="s">
        <v>63</v>
      </c>
      <c r="G1463" s="1">
        <v>4589908.0</v>
      </c>
      <c r="H1463" s="2">
        <v>41548.0</v>
      </c>
      <c r="I1463" s="1" t="s">
        <v>2941</v>
      </c>
      <c r="K1463" s="1" t="s">
        <v>2941</v>
      </c>
      <c r="N1463" s="1" t="s">
        <v>40</v>
      </c>
      <c r="O1463" s="1">
        <v>7500.0</v>
      </c>
      <c r="P1463" s="1" t="s">
        <v>40</v>
      </c>
      <c r="Q1463" s="1" t="str">
        <f>IF(ISERROR(VLOOKUP(P1463,'unique fed agency names'!A:C,3,FALSE)),P1463,VLOOKUP(P1463,'unique fed agency names'!A:C,3,FALSE))
</f>
        <v>U.S. Department of Health and Human Services (DHHS)</v>
      </c>
      <c r="R1463" s="1">
        <v>6530661.0</v>
      </c>
      <c r="S1463" s="1" t="s">
        <v>73</v>
      </c>
      <c r="T1463" s="1" t="str">
        <f>IF(ISERROR(VLOOKUP(S1463,'unique org names'!A:C,3,FALSE)),S1463,VLOOKUP(S1463,'unique org names'!A:C,3,FALSE))
</f>
        <v>City Of Detroit</v>
      </c>
      <c r="U1463" s="1" t="s">
        <v>323</v>
      </c>
      <c r="V1463" s="1" t="s">
        <v>1961</v>
      </c>
      <c r="W1463" s="1" t="s">
        <v>44</v>
      </c>
      <c r="X1463" s="1" t="s">
        <v>45</v>
      </c>
      <c r="Y1463" s="1">
        <v>4.82263443E8</v>
      </c>
      <c r="AA1463" s="1" t="s">
        <v>46</v>
      </c>
      <c r="AB1463" s="1" t="s">
        <v>45</v>
      </c>
      <c r="AC1463" s="1">
        <v>4.82021732E8</v>
      </c>
      <c r="AD1463" s="1">
        <v>6530661.0</v>
      </c>
      <c r="AE1463" s="1" t="s">
        <v>76</v>
      </c>
      <c r="AF1463" s="1">
        <v>30000.0</v>
      </c>
      <c r="AG1463" s="2">
        <v>41548.0</v>
      </c>
      <c r="AH1463" s="1">
        <v>7500.0</v>
      </c>
      <c r="AI1463" s="1" t="s">
        <v>40</v>
      </c>
      <c r="AJ1463" s="1">
        <v>2.0141454E7</v>
      </c>
      <c r="AK1463" s="1" t="s">
        <v>2942</v>
      </c>
      <c r="AL1463" s="1">
        <v>10.0</v>
      </c>
      <c r="AM1463" s="1">
        <v>2012.0</v>
      </c>
      <c r="AN1463" s="1">
        <v>2014.0</v>
      </c>
      <c r="AO1463" s="1" t="s">
        <v>2943</v>
      </c>
    </row>
    <row r="1464">
      <c r="A1464" s="5">
        <v>1.0</v>
      </c>
      <c r="B1464" s="1">
        <f t="shared" si="1"/>
        <v>1464</v>
      </c>
      <c r="C1464" s="1" t="s">
        <v>2944</v>
      </c>
      <c r="D1464" s="1" t="s">
        <v>2944</v>
      </c>
      <c r="E1464" s="1" t="s">
        <v>159</v>
      </c>
      <c r="G1464" s="1">
        <v>3375416.0</v>
      </c>
      <c r="H1464" s="2">
        <v>41183.0</v>
      </c>
      <c r="I1464" s="1" t="s">
        <v>2945</v>
      </c>
      <c r="K1464" s="1" t="s">
        <v>2945</v>
      </c>
      <c r="N1464" s="1" t="s">
        <v>40</v>
      </c>
      <c r="O1464" s="1">
        <v>7500.0</v>
      </c>
      <c r="P1464" s="1" t="s">
        <v>40</v>
      </c>
      <c r="Q1464" s="1" t="str">
        <f>IF(ISERROR(VLOOKUP(P1464,'unique fed agency names'!A:C,3,FALSE)),P1464,VLOOKUP(P1464,'unique fed agency names'!A:C,3,FALSE))
</f>
        <v>U.S. Department of Health and Human Services (DHHS)</v>
      </c>
      <c r="R1464" s="1">
        <v>8.48764171E8</v>
      </c>
      <c r="S1464" s="1" t="s">
        <v>1050</v>
      </c>
      <c r="T1464" s="1" t="str">
        <f>IF(ISERROR(VLOOKUP(S1464,'unique org names'!A:C,3,FALSE)),S1464,VLOOKUP(S1464,'unique org names'!A:C,3,FALSE))
</f>
        <v>AIDS Partnership Michigan, Inc</v>
      </c>
      <c r="U1464" s="1" t="s">
        <v>1051</v>
      </c>
      <c r="V1464" s="1" t="s">
        <v>1052</v>
      </c>
      <c r="W1464" s="1" t="s">
        <v>44</v>
      </c>
      <c r="X1464" s="1" t="s">
        <v>45</v>
      </c>
      <c r="Y1464" s="1">
        <v>4.820741E8</v>
      </c>
      <c r="AA1464" s="1" t="s">
        <v>46</v>
      </c>
      <c r="AB1464" s="1" t="s">
        <v>45</v>
      </c>
      <c r="AC1464" s="1">
        <v>4.820741E8</v>
      </c>
      <c r="AD1464" s="1">
        <v>3.8775243E7</v>
      </c>
      <c r="AE1464" s="1" t="s">
        <v>209</v>
      </c>
      <c r="AF1464" s="1">
        <v>16227.0</v>
      </c>
      <c r="AG1464" s="2">
        <v>41183.0</v>
      </c>
      <c r="AH1464" s="1">
        <v>7500.0</v>
      </c>
      <c r="AI1464" s="1" t="s">
        <v>40</v>
      </c>
      <c r="AJ1464" s="1">
        <v>2.0130202E7</v>
      </c>
      <c r="AK1464" s="1" t="s">
        <v>2946</v>
      </c>
      <c r="AL1464" s="1">
        <v>10.0</v>
      </c>
      <c r="AM1464" s="1">
        <v>2011.0</v>
      </c>
      <c r="AN1464" s="1">
        <v>2013.0</v>
      </c>
      <c r="AO1464" s="1" t="s">
        <v>2947</v>
      </c>
    </row>
    <row r="1465">
      <c r="A1465" s="5">
        <v>1.0</v>
      </c>
      <c r="B1465" s="1">
        <f t="shared" si="1"/>
        <v>1465</v>
      </c>
      <c r="C1465" s="1" t="s">
        <v>2937</v>
      </c>
      <c r="D1465" s="1" t="s">
        <v>2937</v>
      </c>
      <c r="E1465" s="1" t="s">
        <v>63</v>
      </c>
      <c r="G1465" s="1">
        <v>2957870.0</v>
      </c>
      <c r="H1465" s="2">
        <v>41548.0</v>
      </c>
      <c r="I1465" s="1" t="s">
        <v>2938</v>
      </c>
      <c r="K1465" s="1" t="s">
        <v>2938</v>
      </c>
      <c r="N1465" s="1" t="s">
        <v>40</v>
      </c>
      <c r="O1465" s="1">
        <v>7500.0</v>
      </c>
      <c r="P1465" s="1" t="s">
        <v>40</v>
      </c>
      <c r="Q1465" s="1" t="str">
        <f>IF(ISERROR(VLOOKUP(P1465,'unique fed agency names'!A:C,3,FALSE)),P1465,VLOOKUP(P1465,'unique fed agency names'!A:C,3,FALSE))
</f>
        <v>U.S. Department of Health and Human Services (DHHS)</v>
      </c>
      <c r="R1465" s="1">
        <v>7.3135402E7</v>
      </c>
      <c r="S1465" s="1" t="s">
        <v>152</v>
      </c>
      <c r="T1465" s="1" t="str">
        <f>IF(ISERROR(VLOOKUP(S1465,'unique org names'!A:C,3,FALSE)),S1465,VLOOKUP(S1465,'unique org names'!A:C,3,FALSE))
</f>
        <v>UNIVERSITY OF DETROIT MERCY</v>
      </c>
      <c r="U1465" s="1" t="s">
        <v>153</v>
      </c>
      <c r="V1465" s="1" t="s">
        <v>154</v>
      </c>
      <c r="W1465" s="1" t="s">
        <v>44</v>
      </c>
      <c r="X1465" s="1" t="s">
        <v>45</v>
      </c>
      <c r="Y1465" s="1">
        <v>4.82213038E8</v>
      </c>
      <c r="AA1465" s="1" t="s">
        <v>46</v>
      </c>
      <c r="AB1465" s="1" t="s">
        <v>45</v>
      </c>
      <c r="AC1465" s="1">
        <v>4.82213038E8</v>
      </c>
      <c r="AD1465" s="1">
        <v>7.3135402E7</v>
      </c>
      <c r="AE1465" s="1" t="s">
        <v>152</v>
      </c>
      <c r="AF1465" s="1">
        <v>7805.0</v>
      </c>
      <c r="AG1465" s="2">
        <v>41548.0</v>
      </c>
      <c r="AH1465" s="1">
        <v>7500.0</v>
      </c>
      <c r="AI1465" s="1" t="s">
        <v>40</v>
      </c>
      <c r="AJ1465" s="1">
        <v>2.0140567E7</v>
      </c>
      <c r="AK1465" s="1" t="s">
        <v>1009</v>
      </c>
      <c r="AL1465" s="1">
        <v>7.0</v>
      </c>
      <c r="AM1465" s="1">
        <v>2013.0</v>
      </c>
      <c r="AN1465" s="1">
        <v>2014.0</v>
      </c>
      <c r="AO1465" s="1" t="s">
        <v>2939</v>
      </c>
    </row>
    <row r="1466">
      <c r="A1466" s="5">
        <v>1.0</v>
      </c>
      <c r="B1466" s="1">
        <f t="shared" si="1"/>
        <v>1466</v>
      </c>
      <c r="C1466" s="1" t="s">
        <v>2948</v>
      </c>
      <c r="D1466" s="1" t="s">
        <v>2948</v>
      </c>
      <c r="E1466" s="1" t="s">
        <v>159</v>
      </c>
      <c r="G1466" s="1">
        <v>1474347.0</v>
      </c>
      <c r="H1466" s="2">
        <v>41183.0</v>
      </c>
      <c r="I1466" s="1" t="s">
        <v>2949</v>
      </c>
      <c r="K1466" s="1" t="s">
        <v>2949</v>
      </c>
      <c r="N1466" s="1" t="s">
        <v>40</v>
      </c>
      <c r="O1466" s="1">
        <v>7500.0</v>
      </c>
      <c r="P1466" s="1" t="s">
        <v>40</v>
      </c>
      <c r="Q1466" s="1" t="str">
        <f>IF(ISERROR(VLOOKUP(P1466,'unique fed agency names'!A:C,3,FALSE)),P1466,VLOOKUP(P1466,'unique fed agency names'!A:C,3,FALSE))
</f>
        <v>U.S. Department of Health and Human Services (DHHS)</v>
      </c>
      <c r="R1466" s="1">
        <v>1962224.0</v>
      </c>
      <c r="S1466" s="1" t="s">
        <v>52</v>
      </c>
      <c r="T1466" s="1" t="str">
        <f>IF(ISERROR(VLOOKUP(S1466,'unique org names'!A:C,3,FALSE)),S1466,VLOOKUP(S1466,'unique org names'!A:C,3,FALSE))
</f>
        <v>WAYNE STATE UNIVERSITY</v>
      </c>
      <c r="U1466" s="1" t="s">
        <v>1566</v>
      </c>
      <c r="V1466" s="1" t="s">
        <v>1885</v>
      </c>
      <c r="W1466" s="1" t="s">
        <v>44</v>
      </c>
      <c r="X1466" s="1" t="s">
        <v>45</v>
      </c>
      <c r="Y1466" s="1">
        <v>4.82021347E8</v>
      </c>
      <c r="AA1466" s="1" t="s">
        <v>46</v>
      </c>
      <c r="AB1466" s="1" t="s">
        <v>45</v>
      </c>
      <c r="AC1466" s="1">
        <v>4.82023692E8</v>
      </c>
      <c r="AD1466" s="1">
        <v>1962224.0</v>
      </c>
      <c r="AE1466" s="1" t="s">
        <v>52</v>
      </c>
      <c r="AF1466" s="1">
        <v>123068.05</v>
      </c>
      <c r="AG1466" s="2">
        <v>41183.0</v>
      </c>
      <c r="AH1466" s="1">
        <v>7500.0</v>
      </c>
      <c r="AI1466" s="1" t="s">
        <v>40</v>
      </c>
      <c r="AJ1466" s="1">
        <v>2.0131727E7</v>
      </c>
      <c r="AK1466" s="1" t="s">
        <v>2950</v>
      </c>
      <c r="AL1466" s="1">
        <v>10.0</v>
      </c>
      <c r="AM1466" s="1">
        <v>2012.0</v>
      </c>
      <c r="AN1466" s="1">
        <v>2013.0</v>
      </c>
      <c r="AO1466" s="1" t="s">
        <v>2951</v>
      </c>
    </row>
    <row r="1467">
      <c r="A1467" s="5">
        <v>1.0</v>
      </c>
      <c r="B1467" s="1">
        <f t="shared" si="1"/>
        <v>1467</v>
      </c>
      <c r="C1467" s="1" t="s">
        <v>2952</v>
      </c>
      <c r="D1467" s="1" t="s">
        <v>2952</v>
      </c>
      <c r="E1467" s="1" t="s">
        <v>159</v>
      </c>
      <c r="G1467" s="1">
        <v>1.05784672E8</v>
      </c>
      <c r="H1467" s="2">
        <v>41548.0</v>
      </c>
      <c r="I1467" s="1" t="s">
        <v>2953</v>
      </c>
      <c r="K1467" s="1" t="s">
        <v>2953</v>
      </c>
      <c r="N1467" s="1" t="s">
        <v>40</v>
      </c>
      <c r="O1467" s="1">
        <v>7500.0</v>
      </c>
      <c r="P1467" s="1" t="s">
        <v>40</v>
      </c>
      <c r="Q1467" s="1" t="str">
        <f>IF(ISERROR(VLOOKUP(P1467,'unique fed agency names'!A:C,3,FALSE)),P1467,VLOOKUP(P1467,'unique fed agency names'!A:C,3,FALSE))
</f>
        <v>U.S. Department of Health and Human Services (DHHS)</v>
      </c>
      <c r="R1467" s="1">
        <v>1962224.0</v>
      </c>
      <c r="S1467" s="1" t="s">
        <v>52</v>
      </c>
      <c r="T1467" s="1" t="str">
        <f>IF(ISERROR(VLOOKUP(S1467,'unique org names'!A:C,3,FALSE)),S1467,VLOOKUP(S1467,'unique org names'!A:C,3,FALSE))
</f>
        <v>WAYNE STATE UNIVERSITY</v>
      </c>
      <c r="U1467" s="1" t="s">
        <v>210</v>
      </c>
      <c r="V1467" s="1" t="s">
        <v>1885</v>
      </c>
      <c r="W1467" s="1" t="s">
        <v>44</v>
      </c>
      <c r="X1467" s="1" t="s">
        <v>45</v>
      </c>
      <c r="Y1467" s="1">
        <v>4.82021347E8</v>
      </c>
      <c r="AA1467" s="1" t="s">
        <v>46</v>
      </c>
      <c r="AB1467" s="1" t="s">
        <v>45</v>
      </c>
      <c r="AC1467" s="1">
        <v>4.82023692E8</v>
      </c>
      <c r="AD1467" s="1">
        <v>1962224.0</v>
      </c>
      <c r="AE1467" s="1" t="s">
        <v>52</v>
      </c>
      <c r="AF1467" s="1">
        <v>58666.0</v>
      </c>
      <c r="AG1467" s="2">
        <v>41548.0</v>
      </c>
      <c r="AH1467" s="1">
        <v>7500.0</v>
      </c>
      <c r="AI1467" s="1" t="s">
        <v>40</v>
      </c>
      <c r="AJ1467" s="1">
        <v>2.0141516E7</v>
      </c>
      <c r="AK1467" s="1" t="s">
        <v>2954</v>
      </c>
      <c r="AL1467" s="1">
        <v>10.0</v>
      </c>
      <c r="AM1467" s="1">
        <v>2010.0</v>
      </c>
      <c r="AN1467" s="1">
        <v>2014.0</v>
      </c>
      <c r="AO1467" s="1" t="s">
        <v>2955</v>
      </c>
    </row>
    <row r="1468">
      <c r="A1468" s="5">
        <v>1.0</v>
      </c>
      <c r="B1468" s="1">
        <f t="shared" si="1"/>
        <v>1468</v>
      </c>
      <c r="C1468" s="1" t="s">
        <v>2952</v>
      </c>
      <c r="D1468" s="1" t="s">
        <v>2952</v>
      </c>
      <c r="E1468" s="1" t="s">
        <v>159</v>
      </c>
      <c r="G1468" s="1">
        <v>1.05784672E8</v>
      </c>
      <c r="H1468" s="2">
        <v>41548.0</v>
      </c>
      <c r="I1468" s="1" t="s">
        <v>2953</v>
      </c>
      <c r="K1468" s="1" t="s">
        <v>2953</v>
      </c>
      <c r="N1468" s="1" t="s">
        <v>40</v>
      </c>
      <c r="O1468" s="1">
        <v>7500.0</v>
      </c>
      <c r="P1468" s="1" t="s">
        <v>40</v>
      </c>
      <c r="Q1468" s="1" t="str">
        <f>IF(ISERROR(VLOOKUP(P1468,'unique fed agency names'!A:C,3,FALSE)),P1468,VLOOKUP(P1468,'unique fed agency names'!A:C,3,FALSE))
</f>
        <v>U.S. Department of Health and Human Services (DHHS)</v>
      </c>
      <c r="R1468" s="1">
        <v>1.3151134E7</v>
      </c>
      <c r="S1468" s="1" t="s">
        <v>2956</v>
      </c>
      <c r="T1468" s="1" t="str">
        <f>IF(ISERROR(VLOOKUP(S1468,'unique org names'!A:C,3,FALSE)),S1468,VLOOKUP(S1468,'unique org names'!A:C,3,FALSE))
</f>
        <v>Voices of Detroit Initiative</v>
      </c>
      <c r="U1468" s="1" t="s">
        <v>210</v>
      </c>
      <c r="V1468" s="1" t="s">
        <v>2957</v>
      </c>
      <c r="W1468" s="1" t="s">
        <v>44</v>
      </c>
      <c r="X1468" s="1" t="s">
        <v>45</v>
      </c>
      <c r="Y1468" s="1">
        <v>4.82012153E8</v>
      </c>
      <c r="AA1468" s="1" t="s">
        <v>46</v>
      </c>
      <c r="AB1468" s="1" t="s">
        <v>45</v>
      </c>
      <c r="AC1468" s="1">
        <v>4.82012153E8</v>
      </c>
      <c r="AD1468" s="1">
        <v>3.8775243E7</v>
      </c>
      <c r="AE1468" s="1" t="s">
        <v>209</v>
      </c>
      <c r="AF1468" s="1">
        <v>87518.0</v>
      </c>
      <c r="AG1468" s="2">
        <v>41548.0</v>
      </c>
      <c r="AH1468" s="1">
        <v>7500.0</v>
      </c>
      <c r="AI1468" s="1" t="s">
        <v>40</v>
      </c>
      <c r="AJ1468" s="1">
        <v>2.0141571E7</v>
      </c>
      <c r="AK1468" s="1" t="s">
        <v>2954</v>
      </c>
      <c r="AL1468" s="1">
        <v>10.0</v>
      </c>
      <c r="AM1468" s="1">
        <v>2010.0</v>
      </c>
      <c r="AN1468" s="1">
        <v>2014.0</v>
      </c>
      <c r="AO1468" s="1" t="s">
        <v>2955</v>
      </c>
    </row>
    <row r="1469">
      <c r="A1469" s="5">
        <v>1.0</v>
      </c>
      <c r="B1469" s="1">
        <f t="shared" si="1"/>
        <v>1469</v>
      </c>
      <c r="C1469" s="1" t="s">
        <v>2952</v>
      </c>
      <c r="D1469" s="1" t="s">
        <v>2952</v>
      </c>
      <c r="E1469" s="1" t="s">
        <v>159</v>
      </c>
      <c r="G1469" s="1">
        <v>1.05784672E8</v>
      </c>
      <c r="H1469" s="2">
        <v>41548.0</v>
      </c>
      <c r="I1469" s="1" t="s">
        <v>2953</v>
      </c>
      <c r="K1469" s="1" t="s">
        <v>2953</v>
      </c>
      <c r="N1469" s="1" t="s">
        <v>40</v>
      </c>
      <c r="O1469" s="1">
        <v>7500.0</v>
      </c>
      <c r="P1469" s="1" t="s">
        <v>40</v>
      </c>
      <c r="Q1469" s="1" t="str">
        <f>IF(ISERROR(VLOOKUP(P1469,'unique fed agency names'!A:C,3,FALSE)),P1469,VLOOKUP(P1469,'unique fed agency names'!A:C,3,FALSE))
</f>
        <v>U.S. Department of Health and Human Services (DHHS)</v>
      </c>
      <c r="R1469" s="1">
        <v>8.48764171E8</v>
      </c>
      <c r="S1469" s="1" t="s">
        <v>1050</v>
      </c>
      <c r="T1469" s="1" t="str">
        <f>IF(ISERROR(VLOOKUP(S1469,'unique org names'!A:C,3,FALSE)),S1469,VLOOKUP(S1469,'unique org names'!A:C,3,FALSE))
</f>
        <v>AIDS Partnership Michigan, Inc</v>
      </c>
      <c r="U1469" s="1" t="s">
        <v>1051</v>
      </c>
      <c r="V1469" s="1" t="s">
        <v>1052</v>
      </c>
      <c r="W1469" s="1" t="s">
        <v>44</v>
      </c>
      <c r="X1469" s="1" t="s">
        <v>45</v>
      </c>
      <c r="Y1469" s="1">
        <v>4.820741E8</v>
      </c>
      <c r="AA1469" s="1" t="s">
        <v>46</v>
      </c>
      <c r="AB1469" s="1" t="s">
        <v>45</v>
      </c>
      <c r="AC1469" s="1">
        <v>4.820741E8</v>
      </c>
      <c r="AD1469" s="1">
        <v>1962224.0</v>
      </c>
      <c r="AE1469" s="1" t="s">
        <v>52</v>
      </c>
      <c r="AF1469" s="1">
        <v>74425.0</v>
      </c>
      <c r="AG1469" s="2">
        <v>41548.0</v>
      </c>
      <c r="AH1469" s="1">
        <v>7500.0</v>
      </c>
      <c r="AI1469" s="1" t="s">
        <v>40</v>
      </c>
      <c r="AJ1469" s="1">
        <v>2.0141543E7</v>
      </c>
      <c r="AK1469" s="1" t="s">
        <v>2954</v>
      </c>
      <c r="AL1469" s="1">
        <v>10.0</v>
      </c>
      <c r="AM1469" s="1">
        <v>2010.0</v>
      </c>
      <c r="AN1469" s="1">
        <v>2014.0</v>
      </c>
      <c r="AO1469" s="1" t="s">
        <v>2955</v>
      </c>
    </row>
    <row r="1470">
      <c r="A1470" s="5">
        <v>1.0</v>
      </c>
      <c r="B1470" s="1">
        <f t="shared" si="1"/>
        <v>1470</v>
      </c>
      <c r="C1470" s="1" t="s">
        <v>2952</v>
      </c>
      <c r="D1470" s="1" t="s">
        <v>2952</v>
      </c>
      <c r="E1470" s="1" t="s">
        <v>159</v>
      </c>
      <c r="G1470" s="1">
        <v>1.05784672E8</v>
      </c>
      <c r="H1470" s="2">
        <v>41548.0</v>
      </c>
      <c r="I1470" s="1" t="s">
        <v>2953</v>
      </c>
      <c r="K1470" s="1" t="s">
        <v>2953</v>
      </c>
      <c r="N1470" s="1" t="s">
        <v>40</v>
      </c>
      <c r="O1470" s="1">
        <v>7500.0</v>
      </c>
      <c r="P1470" s="1" t="s">
        <v>40</v>
      </c>
      <c r="Q1470" s="1" t="str">
        <f>IF(ISERROR(VLOOKUP(P1470,'unique fed agency names'!A:C,3,FALSE)),P1470,VLOOKUP(P1470,'unique fed agency names'!A:C,3,FALSE))
</f>
        <v>U.S. Department of Health and Human Services (DHHS)</v>
      </c>
      <c r="R1470" s="1">
        <v>3.8775243E7</v>
      </c>
      <c r="S1470" s="1" t="s">
        <v>209</v>
      </c>
      <c r="T1470" s="1" t="str">
        <f>IF(ISERROR(VLOOKUP(S1470,'unique org names'!A:C,3,FALSE)),S1470,VLOOKUP(S1470,'unique org names'!A:C,3,FALSE))
</f>
        <v>SOUTHEASTERN MICHIGAN HEALTH ASSOCIATION</v>
      </c>
      <c r="U1470" s="1" t="s">
        <v>210</v>
      </c>
      <c r="V1470" s="1" t="s">
        <v>211</v>
      </c>
      <c r="W1470" s="1" t="s">
        <v>44</v>
      </c>
      <c r="X1470" s="1" t="s">
        <v>45</v>
      </c>
      <c r="Y1470" s="1">
        <v>4.82023068E8</v>
      </c>
      <c r="AA1470" s="1" t="s">
        <v>46</v>
      </c>
      <c r="AB1470" s="1" t="s">
        <v>45</v>
      </c>
      <c r="AC1470" s="1">
        <v>4.82023068E8</v>
      </c>
      <c r="AD1470" s="1">
        <v>3.8775243E7</v>
      </c>
      <c r="AE1470" s="1" t="s">
        <v>209</v>
      </c>
      <c r="AF1470" s="1">
        <v>178477.45</v>
      </c>
      <c r="AG1470" s="2">
        <v>41548.0</v>
      </c>
      <c r="AH1470" s="1">
        <v>7500.0</v>
      </c>
      <c r="AI1470" s="1" t="s">
        <v>40</v>
      </c>
      <c r="AJ1470" s="1">
        <v>2.014068E7</v>
      </c>
      <c r="AK1470" s="1" t="s">
        <v>2954</v>
      </c>
      <c r="AL1470" s="1">
        <v>10.0</v>
      </c>
      <c r="AM1470" s="1">
        <v>2010.0</v>
      </c>
      <c r="AN1470" s="1">
        <v>2014.0</v>
      </c>
      <c r="AO1470" s="1" t="s">
        <v>2955</v>
      </c>
    </row>
    <row r="1471">
      <c r="A1471" s="5">
        <v>1.0</v>
      </c>
      <c r="B1471" s="1">
        <f t="shared" si="1"/>
        <v>1471</v>
      </c>
      <c r="C1471" s="1" t="s">
        <v>2952</v>
      </c>
      <c r="D1471" s="1" t="s">
        <v>2952</v>
      </c>
      <c r="E1471" s="1" t="s">
        <v>159</v>
      </c>
      <c r="G1471" s="1">
        <v>1.05784672E8</v>
      </c>
      <c r="H1471" s="2">
        <v>41183.0</v>
      </c>
      <c r="I1471" s="1" t="s">
        <v>2953</v>
      </c>
      <c r="K1471" s="1" t="s">
        <v>2953</v>
      </c>
      <c r="N1471" s="1" t="s">
        <v>40</v>
      </c>
      <c r="O1471" s="1">
        <v>7500.0</v>
      </c>
      <c r="P1471" s="1" t="s">
        <v>40</v>
      </c>
      <c r="Q1471" s="1" t="str">
        <f>IF(ISERROR(VLOOKUP(P1471,'unique fed agency names'!A:C,3,FALSE)),P1471,VLOOKUP(P1471,'unique fed agency names'!A:C,3,FALSE))
</f>
        <v>U.S. Department of Health and Human Services (DHHS)</v>
      </c>
      <c r="R1471" s="1">
        <v>1962224.0</v>
      </c>
      <c r="S1471" s="1" t="s">
        <v>52</v>
      </c>
      <c r="T1471" s="1" t="str">
        <f>IF(ISERROR(VLOOKUP(S1471,'unique org names'!A:C,3,FALSE)),S1471,VLOOKUP(S1471,'unique org names'!A:C,3,FALSE))
</f>
        <v>WAYNE STATE UNIVERSITY</v>
      </c>
      <c r="U1471" s="1" t="s">
        <v>2958</v>
      </c>
      <c r="V1471" s="1" t="s">
        <v>1885</v>
      </c>
      <c r="W1471" s="1" t="s">
        <v>44</v>
      </c>
      <c r="X1471" s="1" t="s">
        <v>45</v>
      </c>
      <c r="Y1471" s="1">
        <v>4.82021347E8</v>
      </c>
      <c r="AA1471" s="1" t="s">
        <v>46</v>
      </c>
      <c r="AB1471" s="1" t="s">
        <v>45</v>
      </c>
      <c r="AC1471" s="1">
        <v>4.82023692E8</v>
      </c>
      <c r="AD1471" s="1">
        <v>1962224.0</v>
      </c>
      <c r="AE1471" s="1" t="s">
        <v>52</v>
      </c>
      <c r="AF1471" s="1">
        <v>80449.27</v>
      </c>
      <c r="AG1471" s="2">
        <v>41183.0</v>
      </c>
      <c r="AH1471" s="1">
        <v>7500.0</v>
      </c>
      <c r="AI1471" s="1" t="s">
        <v>40</v>
      </c>
      <c r="AJ1471" s="1">
        <v>2.0131064E7</v>
      </c>
      <c r="AK1471" s="1" t="s">
        <v>2954</v>
      </c>
      <c r="AL1471" s="1">
        <v>10.0</v>
      </c>
      <c r="AM1471" s="1">
        <v>2010.0</v>
      </c>
      <c r="AN1471" s="1">
        <v>2013.0</v>
      </c>
      <c r="AO1471" s="1" t="s">
        <v>2955</v>
      </c>
    </row>
    <row r="1472">
      <c r="A1472" s="5">
        <v>1.0</v>
      </c>
      <c r="B1472" s="1">
        <f t="shared" si="1"/>
        <v>1472</v>
      </c>
      <c r="C1472" s="1" t="s">
        <v>2952</v>
      </c>
      <c r="D1472" s="1" t="s">
        <v>2952</v>
      </c>
      <c r="E1472" s="1" t="s">
        <v>159</v>
      </c>
      <c r="G1472" s="1">
        <v>1.05784672E8</v>
      </c>
      <c r="H1472" s="2">
        <v>41183.0</v>
      </c>
      <c r="I1472" s="1" t="s">
        <v>2953</v>
      </c>
      <c r="K1472" s="1" t="s">
        <v>2953</v>
      </c>
      <c r="N1472" s="1" t="s">
        <v>40</v>
      </c>
      <c r="O1472" s="1">
        <v>7500.0</v>
      </c>
      <c r="P1472" s="1" t="s">
        <v>40</v>
      </c>
      <c r="Q1472" s="1" t="str">
        <f>IF(ISERROR(VLOOKUP(P1472,'unique fed agency names'!A:C,3,FALSE)),P1472,VLOOKUP(P1472,'unique fed agency names'!A:C,3,FALSE))
</f>
        <v>U.S. Department of Health and Human Services (DHHS)</v>
      </c>
      <c r="R1472" s="1">
        <v>1962224.0</v>
      </c>
      <c r="S1472" s="1" t="s">
        <v>52</v>
      </c>
      <c r="T1472" s="1" t="str">
        <f>IF(ISERROR(VLOOKUP(S1472,'unique org names'!A:C,3,FALSE)),S1472,VLOOKUP(S1472,'unique org names'!A:C,3,FALSE))
</f>
        <v>WAYNE STATE UNIVERSITY</v>
      </c>
      <c r="U1472" s="1" t="s">
        <v>2958</v>
      </c>
      <c r="V1472" s="1" t="s">
        <v>1885</v>
      </c>
      <c r="W1472" s="1" t="s">
        <v>44</v>
      </c>
      <c r="X1472" s="1" t="s">
        <v>45</v>
      </c>
      <c r="Y1472" s="1">
        <v>4.82021347E8</v>
      </c>
      <c r="AA1472" s="1" t="s">
        <v>46</v>
      </c>
      <c r="AB1472" s="1" t="s">
        <v>45</v>
      </c>
      <c r="AC1472" s="1">
        <v>4.82023692E8</v>
      </c>
      <c r="AD1472" s="1">
        <v>1962224.0</v>
      </c>
      <c r="AE1472" s="1" t="s">
        <v>52</v>
      </c>
      <c r="AF1472" s="1">
        <v>51550.73</v>
      </c>
      <c r="AG1472" s="2">
        <v>41183.0</v>
      </c>
      <c r="AH1472" s="1">
        <v>7500.0</v>
      </c>
      <c r="AI1472" s="1" t="s">
        <v>40</v>
      </c>
      <c r="AJ1472" s="1">
        <v>2.0131064E7</v>
      </c>
      <c r="AK1472" s="1" t="s">
        <v>2954</v>
      </c>
      <c r="AL1472" s="1">
        <v>10.0</v>
      </c>
      <c r="AM1472" s="1">
        <v>2010.0</v>
      </c>
      <c r="AN1472" s="1">
        <v>2013.0</v>
      </c>
      <c r="AO1472" s="1" t="s">
        <v>2955</v>
      </c>
    </row>
    <row r="1473">
      <c r="A1473" s="5">
        <v>1.0</v>
      </c>
      <c r="B1473" s="1">
        <f t="shared" si="1"/>
        <v>1473</v>
      </c>
      <c r="C1473" s="1" t="s">
        <v>2959</v>
      </c>
      <c r="D1473" s="1" t="s">
        <v>2959</v>
      </c>
      <c r="E1473" s="1" t="s">
        <v>85</v>
      </c>
      <c r="G1473" s="1">
        <v>1.4638954E7</v>
      </c>
      <c r="H1473" s="2">
        <v>41548.0</v>
      </c>
      <c r="I1473" s="1" t="s">
        <v>2860</v>
      </c>
      <c r="K1473" s="1" t="s">
        <v>2860</v>
      </c>
      <c r="N1473" s="1" t="s">
        <v>40</v>
      </c>
      <c r="O1473" s="1">
        <v>7500.0</v>
      </c>
      <c r="P1473" s="1" t="s">
        <v>40</v>
      </c>
      <c r="Q1473" s="1" t="str">
        <f>IF(ISERROR(VLOOKUP(P1473,'unique fed agency names'!A:C,3,FALSE)),P1473,VLOOKUP(P1473,'unique fed agency names'!A:C,3,FALSE))
</f>
        <v>U.S. Department of Health and Human Services (DHHS)</v>
      </c>
      <c r="R1473" s="1">
        <v>3.8775243E7</v>
      </c>
      <c r="S1473" s="1" t="s">
        <v>209</v>
      </c>
      <c r="T1473" s="1" t="str">
        <f>IF(ISERROR(VLOOKUP(S1473,'unique org names'!A:C,3,FALSE)),S1473,VLOOKUP(S1473,'unique org names'!A:C,3,FALSE))
</f>
        <v>SOUTHEASTERN MICHIGAN HEALTH ASSOCIATION</v>
      </c>
      <c r="U1473" s="1" t="s">
        <v>210</v>
      </c>
      <c r="V1473" s="1" t="s">
        <v>211</v>
      </c>
      <c r="W1473" s="1" t="s">
        <v>44</v>
      </c>
      <c r="X1473" s="1" t="s">
        <v>45</v>
      </c>
      <c r="Y1473" s="1">
        <v>4.82023068E8</v>
      </c>
      <c r="AA1473" s="1" t="s">
        <v>46</v>
      </c>
      <c r="AB1473" s="1" t="s">
        <v>45</v>
      </c>
      <c r="AC1473" s="1">
        <v>4.82023068E8</v>
      </c>
      <c r="AD1473" s="1">
        <v>3.8775243E7</v>
      </c>
      <c r="AE1473" s="1" t="s">
        <v>209</v>
      </c>
      <c r="AF1473" s="1">
        <v>10449.38</v>
      </c>
      <c r="AG1473" s="2">
        <v>41548.0</v>
      </c>
      <c r="AH1473" s="1">
        <v>7500.0</v>
      </c>
      <c r="AI1473" s="1" t="s">
        <v>40</v>
      </c>
      <c r="AJ1473" s="1">
        <v>2.0140694E7</v>
      </c>
      <c r="AK1473" s="1" t="s">
        <v>1098</v>
      </c>
      <c r="AL1473" s="1">
        <v>10.0</v>
      </c>
      <c r="AM1473" s="1">
        <v>2013.0</v>
      </c>
      <c r="AN1473" s="1">
        <v>2014.0</v>
      </c>
      <c r="AO1473" s="1" t="s">
        <v>1099</v>
      </c>
    </row>
    <row r="1474">
      <c r="A1474" s="5">
        <v>1.0</v>
      </c>
      <c r="B1474" s="1">
        <f t="shared" si="1"/>
        <v>1474</v>
      </c>
      <c r="C1474" s="1" t="s">
        <v>2960</v>
      </c>
      <c r="D1474" s="1" t="s">
        <v>2960</v>
      </c>
      <c r="E1474" s="1" t="s">
        <v>745</v>
      </c>
      <c r="G1474" s="1">
        <v>5000000.0</v>
      </c>
      <c r="H1474" s="2">
        <v>41849.0</v>
      </c>
      <c r="I1474" s="1" t="s">
        <v>2961</v>
      </c>
      <c r="K1474" s="1" t="s">
        <v>2961</v>
      </c>
      <c r="N1474" s="1" t="s">
        <v>151</v>
      </c>
      <c r="O1474" s="1">
        <v>6900.0</v>
      </c>
      <c r="P1474" s="1" t="s">
        <v>151</v>
      </c>
      <c r="Q1474" s="1" t="str">
        <f>IF(ISERROR(VLOOKUP(P1474,'unique fed agency names'!A:C,3,FALSE)),P1474,VLOOKUP(P1474,'unique fed agency names'!A:C,3,FALSE))
</f>
        <v>U.S. Department of Transportation (DOT)</v>
      </c>
      <c r="R1474" s="1">
        <v>7.9110614E7</v>
      </c>
      <c r="S1474" s="1" t="s">
        <v>2962</v>
      </c>
      <c r="T1474" s="1" t="str">
        <f>IF(ISERROR(VLOOKUP(S1474,'unique org names'!A:C,3,FALSE)),S1474,VLOOKUP(S1474,'unique org names'!A:C,3,FALSE))
</f>
        <v>M-1 Rail</v>
      </c>
      <c r="V1474" s="1" t="s">
        <v>2963</v>
      </c>
      <c r="W1474" s="1" t="s">
        <v>44</v>
      </c>
      <c r="X1474" s="1" t="s">
        <v>45</v>
      </c>
      <c r="Y1474" s="1">
        <v>4.82431805E8</v>
      </c>
      <c r="AA1474" s="1" t="s">
        <v>46</v>
      </c>
      <c r="AB1474" s="1" t="s">
        <v>45</v>
      </c>
      <c r="AC1474" s="1">
        <v>4.82431805E8</v>
      </c>
      <c r="AF1474" s="1">
        <v>5000000.0</v>
      </c>
      <c r="AG1474" s="2">
        <v>41849.0</v>
      </c>
      <c r="AH1474" s="1">
        <v>6900.0</v>
      </c>
      <c r="AI1474" s="1" t="s">
        <v>151</v>
      </c>
      <c r="AJ1474" s="1">
        <v>4.82431805E8</v>
      </c>
      <c r="AK1474" s="1" t="s">
        <v>2964</v>
      </c>
      <c r="AL1474" s="1">
        <v>11.0</v>
      </c>
      <c r="AM1474" s="1">
        <v>2014.0</v>
      </c>
      <c r="AN1474" s="1">
        <v>2014.0</v>
      </c>
      <c r="AO1474" s="1" t="s">
        <v>2965</v>
      </c>
    </row>
    <row r="1475">
      <c r="A1475" s="5">
        <v>1.0</v>
      </c>
      <c r="B1475" s="1">
        <f t="shared" si="1"/>
        <v>1475</v>
      </c>
      <c r="C1475" s="1" t="s">
        <v>2966</v>
      </c>
      <c r="D1475" s="1" t="s">
        <v>2966</v>
      </c>
      <c r="E1475" s="1" t="s">
        <v>85</v>
      </c>
      <c r="G1475" s="1">
        <v>1729000.0</v>
      </c>
      <c r="H1475" s="2">
        <v>41913.0</v>
      </c>
      <c r="I1475" s="1" t="s">
        <v>2605</v>
      </c>
      <c r="K1475" s="1" t="s">
        <v>2605</v>
      </c>
      <c r="N1475" s="1" t="s">
        <v>40</v>
      </c>
      <c r="O1475" s="1">
        <v>7500.0</v>
      </c>
      <c r="P1475" s="1" t="s">
        <v>40</v>
      </c>
      <c r="Q1475" s="1" t="str">
        <f>IF(ISERROR(VLOOKUP(P1475,'unique fed agency names'!A:C,3,FALSE)),P1475,VLOOKUP(P1475,'unique fed agency names'!A:C,3,FALSE))
</f>
        <v>U.S. Department of Health and Human Services (DHHS)</v>
      </c>
      <c r="R1475" s="1">
        <v>7.914812E7</v>
      </c>
      <c r="S1475" s="1" t="s">
        <v>1944</v>
      </c>
      <c r="T1475" s="1" t="str">
        <f>IF(ISERROR(VLOOKUP(S1475,'unique org names'!A:C,3,FALSE)),S1475,VLOOKUP(S1475,'unique org names'!A:C,3,FALSE))
</f>
        <v>DETROIT WAYNE MENTAL HEALTH AUTHORITY</v>
      </c>
      <c r="V1475" s="1" t="s">
        <v>1945</v>
      </c>
      <c r="W1475" s="1" t="s">
        <v>44</v>
      </c>
      <c r="X1475" s="1" t="s">
        <v>45</v>
      </c>
      <c r="Y1475" s="1">
        <v>4.820125E8</v>
      </c>
      <c r="AA1475" s="1" t="s">
        <v>46</v>
      </c>
      <c r="AB1475" s="1" t="s">
        <v>45</v>
      </c>
      <c r="AC1475" s="1">
        <v>4.8226348E8</v>
      </c>
      <c r="AF1475" s="1">
        <v>37470.0</v>
      </c>
      <c r="AG1475" s="2">
        <v>41913.0</v>
      </c>
      <c r="AH1475" s="1">
        <v>7500.0</v>
      </c>
      <c r="AI1475" s="1" t="s">
        <v>40</v>
      </c>
      <c r="AJ1475" s="1">
        <v>2.0151701E7</v>
      </c>
      <c r="AK1475" s="1" t="s">
        <v>2698</v>
      </c>
      <c r="AL1475" s="1">
        <v>10.0</v>
      </c>
      <c r="AM1475" s="1">
        <v>2013.0</v>
      </c>
      <c r="AN1475" s="1">
        <v>2015.0</v>
      </c>
      <c r="AO1475" s="1" t="s">
        <v>2699</v>
      </c>
    </row>
    <row r="1476">
      <c r="A1476" s="5">
        <v>1.0</v>
      </c>
      <c r="B1476" s="1">
        <f t="shared" si="1"/>
        <v>1476</v>
      </c>
      <c r="C1476" s="1" t="s">
        <v>2966</v>
      </c>
      <c r="D1476" s="1" t="s">
        <v>2966</v>
      </c>
      <c r="E1476" s="1" t="s">
        <v>85</v>
      </c>
      <c r="G1476" s="1">
        <v>1729000.0</v>
      </c>
      <c r="H1476" s="2">
        <v>41913.0</v>
      </c>
      <c r="I1476" s="1" t="s">
        <v>2605</v>
      </c>
      <c r="K1476" s="1" t="s">
        <v>2605</v>
      </c>
      <c r="N1476" s="1" t="s">
        <v>40</v>
      </c>
      <c r="O1476" s="1">
        <v>7500.0</v>
      </c>
      <c r="P1476" s="1" t="s">
        <v>40</v>
      </c>
      <c r="Q1476" s="1" t="str">
        <f>IF(ISERROR(VLOOKUP(P1476,'unique fed agency names'!A:C,3,FALSE)),P1476,VLOOKUP(P1476,'unique fed agency names'!A:C,3,FALSE))
</f>
        <v>U.S. Department of Health and Human Services (DHHS)</v>
      </c>
      <c r="R1476" s="1">
        <v>7.914812E7</v>
      </c>
      <c r="S1476" s="1" t="s">
        <v>1944</v>
      </c>
      <c r="T1476" s="1" t="str">
        <f>IF(ISERROR(VLOOKUP(S1476,'unique org names'!A:C,3,FALSE)),S1476,VLOOKUP(S1476,'unique org names'!A:C,3,FALSE))
</f>
        <v>DETROIT WAYNE MENTAL HEALTH AUTHORITY</v>
      </c>
      <c r="V1476" s="1" t="s">
        <v>1945</v>
      </c>
      <c r="W1476" s="1" t="s">
        <v>44</v>
      </c>
      <c r="X1476" s="1" t="s">
        <v>45</v>
      </c>
      <c r="Y1476" s="1">
        <v>4.820125E8</v>
      </c>
      <c r="AA1476" s="1" t="s">
        <v>46</v>
      </c>
      <c r="AB1476" s="1" t="s">
        <v>45</v>
      </c>
      <c r="AC1476" s="1">
        <v>4.8226348E8</v>
      </c>
      <c r="AD1476" s="1">
        <v>5.480424E7</v>
      </c>
      <c r="AE1476" s="1" t="s">
        <v>2967</v>
      </c>
      <c r="AF1476" s="1">
        <v>127627.0</v>
      </c>
      <c r="AG1476" s="2">
        <v>41913.0</v>
      </c>
      <c r="AH1476" s="1">
        <v>7500.0</v>
      </c>
      <c r="AI1476" s="1" t="s">
        <v>40</v>
      </c>
      <c r="AJ1476" s="1">
        <v>2.0151702E7</v>
      </c>
      <c r="AK1476" s="1" t="s">
        <v>2698</v>
      </c>
      <c r="AL1476" s="1">
        <v>10.0</v>
      </c>
      <c r="AM1476" s="1">
        <v>2013.0</v>
      </c>
      <c r="AN1476" s="1">
        <v>2015.0</v>
      </c>
      <c r="AO1476" s="1" t="s">
        <v>2699</v>
      </c>
    </row>
    <row r="1477">
      <c r="A1477" s="5">
        <v>1.0</v>
      </c>
      <c r="B1477" s="1">
        <f t="shared" si="1"/>
        <v>1477</v>
      </c>
      <c r="C1477" s="1" t="s">
        <v>2968</v>
      </c>
      <c r="D1477" s="1" t="s">
        <v>2968</v>
      </c>
      <c r="E1477" s="1" t="s">
        <v>100</v>
      </c>
      <c r="G1477" s="1">
        <v>4951200.0</v>
      </c>
      <c r="H1477" s="2">
        <v>41456.0</v>
      </c>
      <c r="I1477" s="1" t="s">
        <v>2969</v>
      </c>
      <c r="K1477" s="1" t="s">
        <v>2969</v>
      </c>
      <c r="N1477" s="1" t="s">
        <v>102</v>
      </c>
      <c r="O1477" s="1">
        <v>8600.0</v>
      </c>
      <c r="P1477" s="1" t="s">
        <v>102</v>
      </c>
      <c r="Q1477" s="1" t="str">
        <f>IF(ISERROR(VLOOKUP(P1477,'unique fed agency names'!A:C,3,FALSE)),P1477,VLOOKUP(P1477,'unique fed agency names'!A:C,3,FALSE))
</f>
        <v>U.S. Department of Housing and Urban Development (HUD)</v>
      </c>
      <c r="R1477" s="1">
        <v>6.03701959E8</v>
      </c>
      <c r="S1477" s="1" t="s">
        <v>2970</v>
      </c>
      <c r="T1477" s="1" t="str">
        <f>IF(ISERROR(VLOOKUP(S1477,'unique org names'!A:C,3,FALSE)),S1477,VLOOKUP(S1477,'unique org names'!A:C,3,FALSE))
</f>
        <v>Detroit Recovery Project</v>
      </c>
      <c r="V1477" s="1" t="s">
        <v>2971</v>
      </c>
      <c r="W1477" s="1" t="s">
        <v>44</v>
      </c>
      <c r="X1477" s="1" t="s">
        <v>45</v>
      </c>
      <c r="Y1477" s="1">
        <v>4.82032857E8</v>
      </c>
      <c r="AA1477" s="1" t="s">
        <v>46</v>
      </c>
      <c r="AB1477" s="1" t="s">
        <v>45</v>
      </c>
      <c r="AC1477" s="1">
        <v>4.82032857E8</v>
      </c>
      <c r="AD1477" s="1">
        <v>6.03701959E8</v>
      </c>
      <c r="AE1477" s="1" t="s">
        <v>2970</v>
      </c>
      <c r="AF1477" s="1">
        <v>25000.0</v>
      </c>
      <c r="AG1477" s="2">
        <v>41456.0</v>
      </c>
      <c r="AH1477" s="1">
        <v>8600.0</v>
      </c>
      <c r="AI1477" s="1" t="s">
        <v>102</v>
      </c>
      <c r="AJ1477" s="1" t="s">
        <v>2972</v>
      </c>
      <c r="AK1477" s="1" t="s">
        <v>2973</v>
      </c>
      <c r="AL1477" s="1">
        <v>12.0</v>
      </c>
      <c r="AM1477" s="1">
        <v>2014.0</v>
      </c>
      <c r="AN1477" s="1">
        <v>2013.0</v>
      </c>
      <c r="AO1477" s="1" t="s">
        <v>305</v>
      </c>
    </row>
    <row r="1478">
      <c r="A1478" s="5">
        <v>1.0</v>
      </c>
      <c r="B1478" s="1">
        <f t="shared" si="1"/>
        <v>1478</v>
      </c>
      <c r="C1478" s="1" t="s">
        <v>2944</v>
      </c>
      <c r="D1478" s="1" t="s">
        <v>2944</v>
      </c>
      <c r="E1478" s="1" t="s">
        <v>159</v>
      </c>
      <c r="G1478" s="1">
        <v>3375416.0</v>
      </c>
      <c r="H1478" s="2">
        <v>41548.0</v>
      </c>
      <c r="I1478" s="1" t="s">
        <v>2945</v>
      </c>
      <c r="K1478" s="1" t="s">
        <v>2945</v>
      </c>
      <c r="N1478" s="1" t="s">
        <v>40</v>
      </c>
      <c r="O1478" s="1">
        <v>7500.0</v>
      </c>
      <c r="P1478" s="1" t="s">
        <v>40</v>
      </c>
      <c r="Q1478" s="1" t="str">
        <f>IF(ISERROR(VLOOKUP(P1478,'unique fed agency names'!A:C,3,FALSE)),P1478,VLOOKUP(P1478,'unique fed agency names'!A:C,3,FALSE))
</f>
        <v>U.S. Department of Health and Human Services (DHHS)</v>
      </c>
      <c r="R1478" s="1">
        <v>1962224.0</v>
      </c>
      <c r="S1478" s="1" t="s">
        <v>52</v>
      </c>
      <c r="T1478" s="1" t="str">
        <f>IF(ISERROR(VLOOKUP(S1478,'unique org names'!A:C,3,FALSE)),S1478,VLOOKUP(S1478,'unique org names'!A:C,3,FALSE))
</f>
        <v>WAYNE STATE UNIVERSITY</v>
      </c>
      <c r="U1478" s="1" t="s">
        <v>2974</v>
      </c>
      <c r="V1478" s="1" t="s">
        <v>1885</v>
      </c>
      <c r="W1478" s="1" t="s">
        <v>44</v>
      </c>
      <c r="X1478" s="1" t="s">
        <v>45</v>
      </c>
      <c r="Y1478" s="1">
        <v>4.82021347E8</v>
      </c>
      <c r="AA1478" s="1" t="s">
        <v>46</v>
      </c>
      <c r="AB1478" s="1" t="s">
        <v>45</v>
      </c>
      <c r="AC1478" s="1">
        <v>4.82023692E8</v>
      </c>
      <c r="AD1478" s="1">
        <v>1962224.0</v>
      </c>
      <c r="AE1478" s="1" t="s">
        <v>52</v>
      </c>
      <c r="AF1478" s="1">
        <v>603195.28</v>
      </c>
      <c r="AG1478" s="2">
        <v>41548.0</v>
      </c>
      <c r="AH1478" s="1">
        <v>7500.0</v>
      </c>
      <c r="AI1478" s="1" t="s">
        <v>40</v>
      </c>
      <c r="AJ1478" s="1">
        <v>2.0141517E7</v>
      </c>
      <c r="AK1478" s="1" t="s">
        <v>2946</v>
      </c>
      <c r="AL1478" s="1">
        <v>10.0</v>
      </c>
      <c r="AM1478" s="1">
        <v>2011.0</v>
      </c>
      <c r="AN1478" s="1">
        <v>2014.0</v>
      </c>
      <c r="AO1478" s="1" t="s">
        <v>2947</v>
      </c>
    </row>
    <row r="1479">
      <c r="A1479" s="5">
        <v>1.0</v>
      </c>
      <c r="B1479" s="1">
        <f t="shared" si="1"/>
        <v>1479</v>
      </c>
      <c r="C1479" s="1" t="s">
        <v>2944</v>
      </c>
      <c r="D1479" s="1" t="s">
        <v>2944</v>
      </c>
      <c r="E1479" s="1" t="s">
        <v>159</v>
      </c>
      <c r="G1479" s="1">
        <v>3375416.0</v>
      </c>
      <c r="H1479" s="2">
        <v>41548.0</v>
      </c>
      <c r="I1479" s="1" t="s">
        <v>2945</v>
      </c>
      <c r="K1479" s="1" t="s">
        <v>2945</v>
      </c>
      <c r="N1479" s="1" t="s">
        <v>40</v>
      </c>
      <c r="O1479" s="1">
        <v>7500.0</v>
      </c>
      <c r="P1479" s="1" t="s">
        <v>40</v>
      </c>
      <c r="Q1479" s="1" t="str">
        <f>IF(ISERROR(VLOOKUP(P1479,'unique fed agency names'!A:C,3,FALSE)),P1479,VLOOKUP(P1479,'unique fed agency names'!A:C,3,FALSE))
</f>
        <v>U.S. Department of Health and Human Services (DHHS)</v>
      </c>
      <c r="R1479" s="1">
        <v>8.48764171E8</v>
      </c>
      <c r="S1479" s="1" t="s">
        <v>1050</v>
      </c>
      <c r="T1479" s="1" t="str">
        <f>IF(ISERROR(VLOOKUP(S1479,'unique org names'!A:C,3,FALSE)),S1479,VLOOKUP(S1479,'unique org names'!A:C,3,FALSE))
</f>
        <v>AIDS Partnership Michigan, Inc</v>
      </c>
      <c r="U1479" s="1" t="s">
        <v>1051</v>
      </c>
      <c r="V1479" s="1" t="s">
        <v>1052</v>
      </c>
      <c r="W1479" s="1" t="s">
        <v>44</v>
      </c>
      <c r="X1479" s="1" t="s">
        <v>45</v>
      </c>
      <c r="Y1479" s="1">
        <v>4.820741E8</v>
      </c>
      <c r="AA1479" s="1" t="s">
        <v>46</v>
      </c>
      <c r="AB1479" s="1" t="s">
        <v>45</v>
      </c>
      <c r="AC1479" s="1">
        <v>4.820741E8</v>
      </c>
      <c r="AF1479" s="1">
        <v>14355.0</v>
      </c>
      <c r="AG1479" s="2">
        <v>41548.0</v>
      </c>
      <c r="AH1479" s="1">
        <v>7500.0</v>
      </c>
      <c r="AI1479" s="1" t="s">
        <v>40</v>
      </c>
      <c r="AJ1479" s="1">
        <v>2.0141547E7</v>
      </c>
      <c r="AK1479" s="1" t="s">
        <v>2946</v>
      </c>
      <c r="AL1479" s="1">
        <v>10.0</v>
      </c>
      <c r="AM1479" s="1">
        <v>2011.0</v>
      </c>
      <c r="AN1479" s="1">
        <v>2014.0</v>
      </c>
      <c r="AO1479" s="1" t="s">
        <v>2947</v>
      </c>
    </row>
    <row r="1480">
      <c r="A1480" s="5">
        <v>1.0</v>
      </c>
      <c r="B1480" s="1">
        <f t="shared" si="1"/>
        <v>1480</v>
      </c>
      <c r="C1480" s="1" t="s">
        <v>2944</v>
      </c>
      <c r="D1480" s="1" t="s">
        <v>2944</v>
      </c>
      <c r="E1480" s="1" t="s">
        <v>159</v>
      </c>
      <c r="G1480" s="1">
        <v>3375416.0</v>
      </c>
      <c r="H1480" s="2">
        <v>41183.0</v>
      </c>
      <c r="I1480" s="1" t="s">
        <v>2945</v>
      </c>
      <c r="K1480" s="1" t="s">
        <v>2945</v>
      </c>
      <c r="N1480" s="1" t="s">
        <v>40</v>
      </c>
      <c r="O1480" s="1">
        <v>7500.0</v>
      </c>
      <c r="P1480" s="1" t="s">
        <v>40</v>
      </c>
      <c r="Q1480" s="1" t="str">
        <f>IF(ISERROR(VLOOKUP(P1480,'unique fed agency names'!A:C,3,FALSE)),P1480,VLOOKUP(P1480,'unique fed agency names'!A:C,3,FALSE))
</f>
        <v>U.S. Department of Health and Human Services (DHHS)</v>
      </c>
      <c r="R1480" s="1">
        <v>1962224.0</v>
      </c>
      <c r="S1480" s="1" t="s">
        <v>52</v>
      </c>
      <c r="T1480" s="1" t="str">
        <f>IF(ISERROR(VLOOKUP(S1480,'unique org names'!A:C,3,FALSE)),S1480,VLOOKUP(S1480,'unique org names'!A:C,3,FALSE))
</f>
        <v>WAYNE STATE UNIVERSITY</v>
      </c>
      <c r="U1480" s="1" t="s">
        <v>2974</v>
      </c>
      <c r="V1480" s="1" t="s">
        <v>1885</v>
      </c>
      <c r="W1480" s="1" t="s">
        <v>44</v>
      </c>
      <c r="X1480" s="1" t="s">
        <v>45</v>
      </c>
      <c r="Y1480" s="1">
        <v>4.82021347E8</v>
      </c>
      <c r="AA1480" s="1" t="s">
        <v>46</v>
      </c>
      <c r="AB1480" s="1" t="s">
        <v>45</v>
      </c>
      <c r="AC1480" s="1">
        <v>4.82023692E8</v>
      </c>
      <c r="AD1480" s="1">
        <v>1962224.0</v>
      </c>
      <c r="AE1480" s="1" t="s">
        <v>52</v>
      </c>
      <c r="AF1480" s="1">
        <v>626523.0</v>
      </c>
      <c r="AG1480" s="2">
        <v>41183.0</v>
      </c>
      <c r="AH1480" s="1">
        <v>7500.0</v>
      </c>
      <c r="AI1480" s="1" t="s">
        <v>40</v>
      </c>
      <c r="AJ1480" s="1">
        <v>2.0131065E7</v>
      </c>
      <c r="AK1480" s="1" t="s">
        <v>2946</v>
      </c>
      <c r="AL1480" s="1">
        <v>10.0</v>
      </c>
      <c r="AM1480" s="1">
        <v>2011.0</v>
      </c>
      <c r="AN1480" s="1">
        <v>2013.0</v>
      </c>
      <c r="AO1480" s="1" t="s">
        <v>2947</v>
      </c>
    </row>
    <row r="1481">
      <c r="A1481" s="5">
        <v>1.0</v>
      </c>
      <c r="B1481" s="1">
        <f t="shared" si="1"/>
        <v>1481</v>
      </c>
      <c r="C1481" s="1" t="s">
        <v>2944</v>
      </c>
      <c r="D1481" s="1" t="s">
        <v>2944</v>
      </c>
      <c r="E1481" s="1" t="s">
        <v>159</v>
      </c>
      <c r="G1481" s="1">
        <v>3375416.0</v>
      </c>
      <c r="H1481" s="2">
        <v>41548.0</v>
      </c>
      <c r="I1481" s="1" t="s">
        <v>2945</v>
      </c>
      <c r="K1481" s="1" t="s">
        <v>2945</v>
      </c>
      <c r="N1481" s="1" t="s">
        <v>40</v>
      </c>
      <c r="O1481" s="1">
        <v>7500.0</v>
      </c>
      <c r="P1481" s="1" t="s">
        <v>40</v>
      </c>
      <c r="Q1481" s="1" t="str">
        <f>IF(ISERROR(VLOOKUP(P1481,'unique fed agency names'!A:C,3,FALSE)),P1481,VLOOKUP(P1481,'unique fed agency names'!A:C,3,FALSE))
</f>
        <v>U.S. Department of Health and Human Services (DHHS)</v>
      </c>
      <c r="R1481" s="1">
        <v>8.48764171E8</v>
      </c>
      <c r="S1481" s="1" t="s">
        <v>1050</v>
      </c>
      <c r="T1481" s="1" t="str">
        <f>IF(ISERROR(VLOOKUP(S1481,'unique org names'!A:C,3,FALSE)),S1481,VLOOKUP(S1481,'unique org names'!A:C,3,FALSE))
</f>
        <v>AIDS Partnership Michigan, Inc</v>
      </c>
      <c r="U1481" s="1" t="s">
        <v>1051</v>
      </c>
      <c r="V1481" s="1" t="s">
        <v>1052</v>
      </c>
      <c r="W1481" s="1" t="s">
        <v>44</v>
      </c>
      <c r="X1481" s="1" t="s">
        <v>45</v>
      </c>
      <c r="Y1481" s="1">
        <v>4.820741E8</v>
      </c>
      <c r="AA1481" s="1" t="s">
        <v>46</v>
      </c>
      <c r="AB1481" s="1" t="s">
        <v>45</v>
      </c>
      <c r="AC1481" s="1">
        <v>4.820741E8</v>
      </c>
      <c r="AD1481" s="1">
        <v>3.8775243E7</v>
      </c>
      <c r="AE1481" s="1" t="s">
        <v>209</v>
      </c>
      <c r="AF1481" s="1">
        <v>71773.0</v>
      </c>
      <c r="AG1481" s="2">
        <v>41548.0</v>
      </c>
      <c r="AH1481" s="1">
        <v>7500.0</v>
      </c>
      <c r="AI1481" s="1" t="s">
        <v>40</v>
      </c>
      <c r="AJ1481" s="1">
        <v>2.0141547E7</v>
      </c>
      <c r="AK1481" s="1" t="s">
        <v>2946</v>
      </c>
      <c r="AL1481" s="1">
        <v>10.0</v>
      </c>
      <c r="AM1481" s="1">
        <v>2011.0</v>
      </c>
      <c r="AN1481" s="1">
        <v>2014.0</v>
      </c>
      <c r="AO1481" s="1" t="s">
        <v>2947</v>
      </c>
    </row>
    <row r="1482">
      <c r="A1482" s="5">
        <v>1.0</v>
      </c>
      <c r="B1482" s="1">
        <f t="shared" si="1"/>
        <v>1482</v>
      </c>
      <c r="C1482" s="1" t="s">
        <v>2944</v>
      </c>
      <c r="D1482" s="1" t="s">
        <v>2944</v>
      </c>
      <c r="E1482" s="1" t="s">
        <v>159</v>
      </c>
      <c r="G1482" s="1">
        <v>3375416.0</v>
      </c>
      <c r="H1482" s="2">
        <v>41183.0</v>
      </c>
      <c r="I1482" s="1" t="s">
        <v>2945</v>
      </c>
      <c r="K1482" s="1" t="s">
        <v>2945</v>
      </c>
      <c r="N1482" s="1" t="s">
        <v>40</v>
      </c>
      <c r="O1482" s="1">
        <v>7500.0</v>
      </c>
      <c r="P1482" s="1" t="s">
        <v>40</v>
      </c>
      <c r="Q1482" s="1" t="str">
        <f>IF(ISERROR(VLOOKUP(P1482,'unique fed agency names'!A:C,3,FALSE)),P1482,VLOOKUP(P1482,'unique fed agency names'!A:C,3,FALSE))
</f>
        <v>U.S. Department of Health and Human Services (DHHS)</v>
      </c>
      <c r="R1482" s="1">
        <v>3.8775243E7</v>
      </c>
      <c r="S1482" s="1" t="s">
        <v>209</v>
      </c>
      <c r="T1482" s="1" t="str">
        <f>IF(ISERROR(VLOOKUP(S1482,'unique org names'!A:C,3,FALSE)),S1482,VLOOKUP(S1482,'unique org names'!A:C,3,FALSE))
</f>
        <v>SOUTHEASTERN MICHIGAN HEALTH ASSOCIATION</v>
      </c>
      <c r="U1482" s="1" t="s">
        <v>210</v>
      </c>
      <c r="V1482" s="1" t="s">
        <v>211</v>
      </c>
      <c r="W1482" s="1" t="s">
        <v>44</v>
      </c>
      <c r="X1482" s="1" t="s">
        <v>45</v>
      </c>
      <c r="Y1482" s="1">
        <v>4.82023068E8</v>
      </c>
      <c r="AA1482" s="1" t="s">
        <v>46</v>
      </c>
      <c r="AB1482" s="1" t="s">
        <v>45</v>
      </c>
      <c r="AC1482" s="1">
        <v>4.82023068E8</v>
      </c>
      <c r="AD1482" s="1">
        <v>3.8775243E7</v>
      </c>
      <c r="AE1482" s="1" t="s">
        <v>209</v>
      </c>
      <c r="AF1482" s="1">
        <v>52069.69</v>
      </c>
      <c r="AG1482" s="2">
        <v>41183.0</v>
      </c>
      <c r="AH1482" s="1">
        <v>7500.0</v>
      </c>
      <c r="AI1482" s="1" t="s">
        <v>40</v>
      </c>
      <c r="AJ1482" s="1">
        <v>2.013124E7</v>
      </c>
      <c r="AK1482" s="1" t="s">
        <v>2946</v>
      </c>
      <c r="AL1482" s="1">
        <v>10.0</v>
      </c>
      <c r="AM1482" s="1">
        <v>2011.0</v>
      </c>
      <c r="AN1482" s="1">
        <v>2013.0</v>
      </c>
      <c r="AO1482" s="1" t="s">
        <v>2947</v>
      </c>
    </row>
    <row r="1483">
      <c r="A1483" s="5">
        <v>1.0</v>
      </c>
      <c r="B1483" s="1">
        <f t="shared" si="1"/>
        <v>1483</v>
      </c>
      <c r="C1483" s="1" t="s">
        <v>2944</v>
      </c>
      <c r="D1483" s="1" t="s">
        <v>2944</v>
      </c>
      <c r="E1483" s="1" t="s">
        <v>159</v>
      </c>
      <c r="G1483" s="1">
        <v>3375416.0</v>
      </c>
      <c r="H1483" s="2">
        <v>41183.0</v>
      </c>
      <c r="I1483" s="1" t="s">
        <v>2945</v>
      </c>
      <c r="K1483" s="1" t="s">
        <v>2945</v>
      </c>
      <c r="N1483" s="1" t="s">
        <v>40</v>
      </c>
      <c r="O1483" s="1">
        <v>7500.0</v>
      </c>
      <c r="P1483" s="1" t="s">
        <v>40</v>
      </c>
      <c r="Q1483" s="1" t="str">
        <f>IF(ISERROR(VLOOKUP(P1483,'unique fed agency names'!A:C,3,FALSE)),P1483,VLOOKUP(P1483,'unique fed agency names'!A:C,3,FALSE))
</f>
        <v>U.S. Department of Health and Human Services (DHHS)</v>
      </c>
      <c r="R1483" s="1">
        <v>3.8775243E7</v>
      </c>
      <c r="S1483" s="1" t="s">
        <v>209</v>
      </c>
      <c r="T1483" s="1" t="str">
        <f>IF(ISERROR(VLOOKUP(S1483,'unique org names'!A:C,3,FALSE)),S1483,VLOOKUP(S1483,'unique org names'!A:C,3,FALSE))
</f>
        <v>SOUTHEASTERN MICHIGAN HEALTH ASSOCIATION</v>
      </c>
      <c r="U1483" s="1" t="s">
        <v>210</v>
      </c>
      <c r="V1483" s="1" t="s">
        <v>211</v>
      </c>
      <c r="W1483" s="1" t="s">
        <v>44</v>
      </c>
      <c r="X1483" s="1" t="s">
        <v>45</v>
      </c>
      <c r="Y1483" s="1">
        <v>4.82023068E8</v>
      </c>
      <c r="AA1483" s="1" t="s">
        <v>46</v>
      </c>
      <c r="AB1483" s="1" t="s">
        <v>45</v>
      </c>
      <c r="AC1483" s="1">
        <v>4.82023068E8</v>
      </c>
      <c r="AD1483" s="1">
        <v>3.8775243E7</v>
      </c>
      <c r="AE1483" s="1" t="s">
        <v>209</v>
      </c>
      <c r="AF1483" s="1">
        <v>141134.2</v>
      </c>
      <c r="AG1483" s="2">
        <v>41183.0</v>
      </c>
      <c r="AH1483" s="1">
        <v>7500.0</v>
      </c>
      <c r="AI1483" s="1" t="s">
        <v>40</v>
      </c>
      <c r="AJ1483" s="1">
        <v>2.013124E7</v>
      </c>
      <c r="AK1483" s="1" t="s">
        <v>2946</v>
      </c>
      <c r="AL1483" s="1">
        <v>10.0</v>
      </c>
      <c r="AM1483" s="1">
        <v>2011.0</v>
      </c>
      <c r="AN1483" s="1">
        <v>2013.0</v>
      </c>
      <c r="AO1483" s="1" t="s">
        <v>2947</v>
      </c>
    </row>
    <row r="1484">
      <c r="A1484" s="5">
        <v>1.0</v>
      </c>
      <c r="B1484" s="1">
        <f t="shared" si="1"/>
        <v>1484</v>
      </c>
      <c r="C1484" s="1" t="s">
        <v>2948</v>
      </c>
      <c r="D1484" s="1" t="s">
        <v>2948</v>
      </c>
      <c r="E1484" s="1" t="s">
        <v>159</v>
      </c>
      <c r="G1484" s="1">
        <v>1474347.0</v>
      </c>
      <c r="H1484" s="2">
        <v>41548.0</v>
      </c>
      <c r="I1484" s="1" t="s">
        <v>2949</v>
      </c>
      <c r="K1484" s="1" t="s">
        <v>2949</v>
      </c>
      <c r="N1484" s="1" t="s">
        <v>40</v>
      </c>
      <c r="O1484" s="1">
        <v>7500.0</v>
      </c>
      <c r="P1484" s="1" t="s">
        <v>40</v>
      </c>
      <c r="Q1484" s="1" t="str">
        <f>IF(ISERROR(VLOOKUP(P1484,'unique fed agency names'!A:C,3,FALSE)),P1484,VLOOKUP(P1484,'unique fed agency names'!A:C,3,FALSE))
</f>
        <v>U.S. Department of Health and Human Services (DHHS)</v>
      </c>
      <c r="R1484" s="1">
        <v>1962224.0</v>
      </c>
      <c r="S1484" s="1" t="s">
        <v>52</v>
      </c>
      <c r="T1484" s="1" t="str">
        <f>IF(ISERROR(VLOOKUP(S1484,'unique org names'!A:C,3,FALSE)),S1484,VLOOKUP(S1484,'unique org names'!A:C,3,FALSE))
</f>
        <v>WAYNE STATE UNIVERSITY</v>
      </c>
      <c r="U1484" s="1" t="s">
        <v>2975</v>
      </c>
      <c r="V1484" s="1" t="s">
        <v>1885</v>
      </c>
      <c r="W1484" s="1" t="s">
        <v>44</v>
      </c>
      <c r="X1484" s="1" t="s">
        <v>45</v>
      </c>
      <c r="Y1484" s="1">
        <v>4.82021347E8</v>
      </c>
      <c r="AA1484" s="1" t="s">
        <v>46</v>
      </c>
      <c r="AB1484" s="1" t="s">
        <v>45</v>
      </c>
      <c r="AC1484" s="1">
        <v>4.82023692E8</v>
      </c>
      <c r="AD1484" s="1">
        <v>1962224.0</v>
      </c>
      <c r="AE1484" s="1" t="s">
        <v>52</v>
      </c>
      <c r="AF1484" s="1">
        <v>91454.47</v>
      </c>
      <c r="AG1484" s="2">
        <v>41548.0</v>
      </c>
      <c r="AH1484" s="1">
        <v>7500.0</v>
      </c>
      <c r="AI1484" s="1" t="s">
        <v>40</v>
      </c>
      <c r="AJ1484" s="1">
        <v>2.0141515E7</v>
      </c>
      <c r="AK1484" s="1" t="s">
        <v>2950</v>
      </c>
      <c r="AL1484" s="1">
        <v>10.0</v>
      </c>
      <c r="AM1484" s="1">
        <v>2012.0</v>
      </c>
      <c r="AN1484" s="1">
        <v>2014.0</v>
      </c>
      <c r="AO1484" s="1" t="s">
        <v>2951</v>
      </c>
    </row>
    <row r="1485">
      <c r="A1485" s="5">
        <v>1.0</v>
      </c>
      <c r="B1485" s="1">
        <f t="shared" si="1"/>
        <v>1485</v>
      </c>
      <c r="C1485" s="1" t="s">
        <v>2944</v>
      </c>
      <c r="D1485" s="1" t="s">
        <v>2944</v>
      </c>
      <c r="E1485" s="1" t="s">
        <v>159</v>
      </c>
      <c r="G1485" s="1">
        <v>3375416.0</v>
      </c>
      <c r="H1485" s="2">
        <v>41913.0</v>
      </c>
      <c r="I1485" s="1" t="s">
        <v>2945</v>
      </c>
      <c r="K1485" s="1" t="s">
        <v>2945</v>
      </c>
      <c r="N1485" s="1" t="s">
        <v>40</v>
      </c>
      <c r="O1485" s="1">
        <v>7500.0</v>
      </c>
      <c r="P1485" s="1" t="s">
        <v>40</v>
      </c>
      <c r="Q1485" s="1" t="str">
        <f>IF(ISERROR(VLOOKUP(P1485,'unique fed agency names'!A:C,3,FALSE)),P1485,VLOOKUP(P1485,'unique fed agency names'!A:C,3,FALSE))
</f>
        <v>U.S. Department of Health and Human Services (DHHS)</v>
      </c>
      <c r="R1485" s="1">
        <v>8.48764171E8</v>
      </c>
      <c r="S1485" s="1" t="s">
        <v>1050</v>
      </c>
      <c r="T1485" s="1" t="str">
        <f>IF(ISERROR(VLOOKUP(S1485,'unique org names'!A:C,3,FALSE)),S1485,VLOOKUP(S1485,'unique org names'!A:C,3,FALSE))
</f>
        <v>AIDS Partnership Michigan, Inc</v>
      </c>
      <c r="U1485" s="1" t="s">
        <v>1051</v>
      </c>
      <c r="V1485" s="1" t="s">
        <v>1052</v>
      </c>
      <c r="W1485" s="1" t="s">
        <v>44</v>
      </c>
      <c r="X1485" s="1" t="s">
        <v>45</v>
      </c>
      <c r="Y1485" s="1">
        <v>4.820741E8</v>
      </c>
      <c r="AA1485" s="1" t="s">
        <v>46</v>
      </c>
      <c r="AB1485" s="1" t="s">
        <v>45</v>
      </c>
      <c r="AC1485" s="1">
        <v>4.820741E8</v>
      </c>
      <c r="AD1485" s="1">
        <v>1.25919378E8</v>
      </c>
      <c r="AE1485" s="1" t="s">
        <v>2976</v>
      </c>
      <c r="AF1485" s="1">
        <v>57115.65</v>
      </c>
      <c r="AG1485" s="2">
        <v>41913.0</v>
      </c>
      <c r="AH1485" s="1">
        <v>7500.0</v>
      </c>
      <c r="AI1485" s="1" t="s">
        <v>40</v>
      </c>
      <c r="AJ1485" s="1">
        <v>2.0150658E7</v>
      </c>
      <c r="AK1485" s="1" t="s">
        <v>2946</v>
      </c>
      <c r="AL1485" s="1">
        <v>10.0</v>
      </c>
      <c r="AM1485" s="1">
        <v>2011.0</v>
      </c>
      <c r="AN1485" s="1">
        <v>2015.0</v>
      </c>
      <c r="AO1485" s="1" t="s">
        <v>2947</v>
      </c>
    </row>
    <row r="1486">
      <c r="A1486" s="5">
        <v>1.0</v>
      </c>
      <c r="B1486" s="1">
        <f t="shared" si="1"/>
        <v>1486</v>
      </c>
      <c r="C1486" s="1" t="s">
        <v>2944</v>
      </c>
      <c r="D1486" s="1" t="s">
        <v>2944</v>
      </c>
      <c r="E1486" s="1" t="s">
        <v>159</v>
      </c>
      <c r="G1486" s="1">
        <v>3375416.0</v>
      </c>
      <c r="H1486" s="2">
        <v>41913.0</v>
      </c>
      <c r="I1486" s="1" t="s">
        <v>2945</v>
      </c>
      <c r="K1486" s="1" t="s">
        <v>2945</v>
      </c>
      <c r="N1486" s="1" t="s">
        <v>40</v>
      </c>
      <c r="O1486" s="1">
        <v>7500.0</v>
      </c>
      <c r="P1486" s="1" t="s">
        <v>40</v>
      </c>
      <c r="Q1486" s="1" t="str">
        <f>IF(ISERROR(VLOOKUP(P1486,'unique fed agency names'!A:C,3,FALSE)),P1486,VLOOKUP(P1486,'unique fed agency names'!A:C,3,FALSE))
</f>
        <v>U.S. Department of Health and Human Services (DHHS)</v>
      </c>
      <c r="R1486" s="1">
        <v>1962224.0</v>
      </c>
      <c r="S1486" s="1" t="s">
        <v>52</v>
      </c>
      <c r="T1486" s="1" t="str">
        <f>IF(ISERROR(VLOOKUP(S1486,'unique org names'!A:C,3,FALSE)),S1486,VLOOKUP(S1486,'unique org names'!A:C,3,FALSE))
</f>
        <v>WAYNE STATE UNIVERSITY</v>
      </c>
      <c r="U1486" s="1" t="s">
        <v>2077</v>
      </c>
      <c r="V1486" s="1" t="s">
        <v>1885</v>
      </c>
      <c r="W1486" s="1" t="s">
        <v>44</v>
      </c>
      <c r="X1486" s="1" t="s">
        <v>45</v>
      </c>
      <c r="Y1486" s="1">
        <v>4.82021347E8</v>
      </c>
      <c r="AA1486" s="1" t="s">
        <v>46</v>
      </c>
      <c r="AB1486" s="1" t="s">
        <v>45</v>
      </c>
      <c r="AC1486" s="1">
        <v>4.82023692E8</v>
      </c>
      <c r="AD1486" s="1">
        <v>1962224.0</v>
      </c>
      <c r="AE1486" s="1" t="s">
        <v>52</v>
      </c>
      <c r="AF1486" s="1">
        <v>505177.95</v>
      </c>
      <c r="AG1486" s="2">
        <v>41913.0</v>
      </c>
      <c r="AH1486" s="1">
        <v>7500.0</v>
      </c>
      <c r="AI1486" s="1" t="s">
        <v>40</v>
      </c>
      <c r="AJ1486" s="1">
        <v>2.0151664E7</v>
      </c>
      <c r="AK1486" s="1" t="s">
        <v>2946</v>
      </c>
      <c r="AL1486" s="1">
        <v>10.0</v>
      </c>
      <c r="AM1486" s="1">
        <v>2011.0</v>
      </c>
      <c r="AN1486" s="1">
        <v>2015.0</v>
      </c>
      <c r="AO1486" s="1" t="s">
        <v>2947</v>
      </c>
    </row>
    <row r="1487">
      <c r="A1487" s="5">
        <v>1.0</v>
      </c>
      <c r="B1487" s="1">
        <f t="shared" si="1"/>
        <v>1487</v>
      </c>
      <c r="C1487" s="1" t="s">
        <v>2952</v>
      </c>
      <c r="D1487" s="1" t="s">
        <v>2952</v>
      </c>
      <c r="E1487" s="1" t="s">
        <v>159</v>
      </c>
      <c r="G1487" s="1">
        <v>1.05784672E8</v>
      </c>
      <c r="H1487" s="2">
        <v>41548.0</v>
      </c>
      <c r="I1487" s="1" t="s">
        <v>2953</v>
      </c>
      <c r="K1487" s="1" t="s">
        <v>2953</v>
      </c>
      <c r="N1487" s="1" t="s">
        <v>40</v>
      </c>
      <c r="O1487" s="1">
        <v>7500.0</v>
      </c>
      <c r="P1487" s="1" t="s">
        <v>40</v>
      </c>
      <c r="Q1487" s="1" t="str">
        <f>IF(ISERROR(VLOOKUP(P1487,'unique fed agency names'!A:C,3,FALSE)),P1487,VLOOKUP(P1487,'unique fed agency names'!A:C,3,FALSE))
</f>
        <v>U.S. Department of Health and Human Services (DHHS)</v>
      </c>
      <c r="R1487" s="1">
        <v>1962224.0</v>
      </c>
      <c r="S1487" s="1" t="s">
        <v>52</v>
      </c>
      <c r="T1487" s="1" t="str">
        <f>IF(ISERROR(VLOOKUP(S1487,'unique org names'!A:C,3,FALSE)),S1487,VLOOKUP(S1487,'unique org names'!A:C,3,FALSE))
</f>
        <v>WAYNE STATE UNIVERSITY</v>
      </c>
      <c r="U1487" s="1" t="s">
        <v>2958</v>
      </c>
      <c r="V1487" s="1" t="s">
        <v>1885</v>
      </c>
      <c r="W1487" s="1" t="s">
        <v>44</v>
      </c>
      <c r="X1487" s="1" t="s">
        <v>45</v>
      </c>
      <c r="Y1487" s="1">
        <v>4.82021347E8</v>
      </c>
      <c r="AA1487" s="1" t="s">
        <v>46</v>
      </c>
      <c r="AB1487" s="1" t="s">
        <v>45</v>
      </c>
      <c r="AC1487" s="1">
        <v>4.82023692E8</v>
      </c>
      <c r="AD1487" s="1">
        <v>1962224.0</v>
      </c>
      <c r="AE1487" s="1" t="s">
        <v>52</v>
      </c>
      <c r="AF1487" s="1">
        <v>25003.71</v>
      </c>
      <c r="AG1487" s="2">
        <v>41548.0</v>
      </c>
      <c r="AH1487" s="1">
        <v>7500.0</v>
      </c>
      <c r="AI1487" s="1" t="s">
        <v>40</v>
      </c>
      <c r="AJ1487" s="1">
        <v>2.0141501E7</v>
      </c>
      <c r="AK1487" s="1" t="s">
        <v>2954</v>
      </c>
      <c r="AL1487" s="1">
        <v>10.0</v>
      </c>
      <c r="AM1487" s="1">
        <v>2010.0</v>
      </c>
      <c r="AN1487" s="1">
        <v>2014.0</v>
      </c>
      <c r="AO1487" s="1" t="s">
        <v>2955</v>
      </c>
    </row>
    <row r="1488">
      <c r="A1488" s="5">
        <v>1.0</v>
      </c>
      <c r="B1488" s="1">
        <f t="shared" si="1"/>
        <v>1488</v>
      </c>
      <c r="C1488" s="1" t="s">
        <v>2952</v>
      </c>
      <c r="D1488" s="1" t="s">
        <v>2952</v>
      </c>
      <c r="E1488" s="1" t="s">
        <v>159</v>
      </c>
      <c r="G1488" s="1">
        <v>1.05784672E8</v>
      </c>
      <c r="H1488" s="2">
        <v>41183.0</v>
      </c>
      <c r="I1488" s="1" t="s">
        <v>2953</v>
      </c>
      <c r="K1488" s="1" t="s">
        <v>2953</v>
      </c>
      <c r="N1488" s="1" t="s">
        <v>40</v>
      </c>
      <c r="O1488" s="1">
        <v>7500.0</v>
      </c>
      <c r="P1488" s="1" t="s">
        <v>40</v>
      </c>
      <c r="Q1488" s="1" t="str">
        <f>IF(ISERROR(VLOOKUP(P1488,'unique fed agency names'!A:C,3,FALSE)),P1488,VLOOKUP(P1488,'unique fed agency names'!A:C,3,FALSE))
</f>
        <v>U.S. Department of Health and Human Services (DHHS)</v>
      </c>
      <c r="R1488" s="1">
        <v>1.3151134E7</v>
      </c>
      <c r="S1488" s="1" t="s">
        <v>2956</v>
      </c>
      <c r="T1488" s="1" t="str">
        <f>IF(ISERROR(VLOOKUP(S1488,'unique org names'!A:C,3,FALSE)),S1488,VLOOKUP(S1488,'unique org names'!A:C,3,FALSE))
</f>
        <v>Voices of Detroit Initiative</v>
      </c>
      <c r="U1488" s="1" t="s">
        <v>210</v>
      </c>
      <c r="V1488" s="1" t="s">
        <v>2957</v>
      </c>
      <c r="W1488" s="1" t="s">
        <v>44</v>
      </c>
      <c r="X1488" s="1" t="s">
        <v>45</v>
      </c>
      <c r="Y1488" s="1">
        <v>4.82012153E8</v>
      </c>
      <c r="AA1488" s="1" t="s">
        <v>46</v>
      </c>
      <c r="AB1488" s="1" t="s">
        <v>45</v>
      </c>
      <c r="AC1488" s="1">
        <v>4.82012153E8</v>
      </c>
      <c r="AD1488" s="1">
        <v>3.8775243E7</v>
      </c>
      <c r="AE1488" s="1" t="s">
        <v>209</v>
      </c>
      <c r="AF1488" s="1">
        <v>98817.42</v>
      </c>
      <c r="AG1488" s="2">
        <v>41183.0</v>
      </c>
      <c r="AH1488" s="1">
        <v>7500.0</v>
      </c>
      <c r="AI1488" s="1" t="s">
        <v>40</v>
      </c>
      <c r="AJ1488" s="1">
        <v>2.0130211E7</v>
      </c>
      <c r="AK1488" s="1" t="s">
        <v>2954</v>
      </c>
      <c r="AL1488" s="1">
        <v>10.0</v>
      </c>
      <c r="AM1488" s="1">
        <v>2010.0</v>
      </c>
      <c r="AN1488" s="1">
        <v>2013.0</v>
      </c>
      <c r="AO1488" s="1" t="s">
        <v>2955</v>
      </c>
    </row>
    <row r="1489">
      <c r="A1489" s="5">
        <v>1.0</v>
      </c>
      <c r="B1489" s="1">
        <f t="shared" si="1"/>
        <v>1489</v>
      </c>
      <c r="C1489" s="1" t="s">
        <v>2944</v>
      </c>
      <c r="D1489" s="1" t="s">
        <v>2944</v>
      </c>
      <c r="E1489" s="1" t="s">
        <v>159</v>
      </c>
      <c r="G1489" s="1">
        <v>3375416.0</v>
      </c>
      <c r="H1489" s="2">
        <v>41183.0</v>
      </c>
      <c r="I1489" s="1" t="s">
        <v>2945</v>
      </c>
      <c r="K1489" s="1" t="s">
        <v>2945</v>
      </c>
      <c r="N1489" s="1" t="s">
        <v>40</v>
      </c>
      <c r="O1489" s="1">
        <v>7500.0</v>
      </c>
      <c r="P1489" s="1" t="s">
        <v>40</v>
      </c>
      <c r="Q1489" s="1" t="str">
        <f>IF(ISERROR(VLOOKUP(P1489,'unique fed agency names'!A:C,3,FALSE)),P1489,VLOOKUP(P1489,'unique fed agency names'!A:C,3,FALSE))
</f>
        <v>U.S. Department of Health and Human Services (DHHS)</v>
      </c>
      <c r="R1489" s="1">
        <v>8.48764171E8</v>
      </c>
      <c r="S1489" s="1" t="s">
        <v>1050</v>
      </c>
      <c r="T1489" s="1" t="str">
        <f>IF(ISERROR(VLOOKUP(S1489,'unique org names'!A:C,3,FALSE)),S1489,VLOOKUP(S1489,'unique org names'!A:C,3,FALSE))
</f>
        <v>AIDS Partnership Michigan, Inc</v>
      </c>
      <c r="U1489" s="1" t="s">
        <v>1051</v>
      </c>
      <c r="V1489" s="1" t="s">
        <v>1052</v>
      </c>
      <c r="W1489" s="1" t="s">
        <v>44</v>
      </c>
      <c r="X1489" s="1" t="s">
        <v>45</v>
      </c>
      <c r="Y1489" s="1">
        <v>4.820741E8</v>
      </c>
      <c r="AA1489" s="1" t="s">
        <v>46</v>
      </c>
      <c r="AB1489" s="1" t="s">
        <v>45</v>
      </c>
      <c r="AC1489" s="1">
        <v>4.820741E8</v>
      </c>
      <c r="AD1489" s="1">
        <v>1962224.0</v>
      </c>
      <c r="AE1489" s="1" t="s">
        <v>52</v>
      </c>
      <c r="AF1489" s="1">
        <v>69901.0</v>
      </c>
      <c r="AG1489" s="2">
        <v>41183.0</v>
      </c>
      <c r="AH1489" s="1">
        <v>7500.0</v>
      </c>
      <c r="AI1489" s="1" t="s">
        <v>40</v>
      </c>
      <c r="AJ1489" s="1">
        <v>2.0130202E7</v>
      </c>
      <c r="AK1489" s="1" t="s">
        <v>2946</v>
      </c>
      <c r="AL1489" s="1">
        <v>10.0</v>
      </c>
      <c r="AM1489" s="1">
        <v>2011.0</v>
      </c>
      <c r="AN1489" s="1">
        <v>2013.0</v>
      </c>
      <c r="AO1489" s="1" t="s">
        <v>2947</v>
      </c>
    </row>
    <row r="1490">
      <c r="A1490" s="5">
        <v>1.0</v>
      </c>
      <c r="B1490" s="1">
        <f t="shared" si="1"/>
        <v>1490</v>
      </c>
      <c r="C1490" s="1" t="s">
        <v>2959</v>
      </c>
      <c r="D1490" s="1" t="s">
        <v>2959</v>
      </c>
      <c r="E1490" s="1" t="s">
        <v>85</v>
      </c>
      <c r="G1490" s="1">
        <v>1.4638954E7</v>
      </c>
      <c r="H1490" s="2">
        <v>41548.0</v>
      </c>
      <c r="I1490" s="1" t="s">
        <v>2860</v>
      </c>
      <c r="K1490" s="1" t="s">
        <v>2860</v>
      </c>
      <c r="N1490" s="1" t="s">
        <v>40</v>
      </c>
      <c r="O1490" s="1">
        <v>7500.0</v>
      </c>
      <c r="P1490" s="1" t="s">
        <v>40</v>
      </c>
      <c r="Q1490" s="1" t="str">
        <f>IF(ISERROR(VLOOKUP(P1490,'unique fed agency names'!A:C,3,FALSE)),P1490,VLOOKUP(P1490,'unique fed agency names'!A:C,3,FALSE))
</f>
        <v>U.S. Department of Health and Human Services (DHHS)</v>
      </c>
      <c r="R1490" s="1">
        <v>3.8775243E7</v>
      </c>
      <c r="S1490" s="1" t="s">
        <v>209</v>
      </c>
      <c r="T1490" s="1" t="str">
        <f>IF(ISERROR(VLOOKUP(S1490,'unique org names'!A:C,3,FALSE)),S1490,VLOOKUP(S1490,'unique org names'!A:C,3,FALSE))
</f>
        <v>SOUTHEASTERN MICHIGAN HEALTH ASSOCIATION</v>
      </c>
      <c r="U1490" s="1" t="s">
        <v>210</v>
      </c>
      <c r="V1490" s="1" t="s">
        <v>211</v>
      </c>
      <c r="W1490" s="1" t="s">
        <v>44</v>
      </c>
      <c r="X1490" s="1" t="s">
        <v>45</v>
      </c>
      <c r="Y1490" s="1">
        <v>4.82023068E8</v>
      </c>
      <c r="AA1490" s="1" t="s">
        <v>46</v>
      </c>
      <c r="AB1490" s="1" t="s">
        <v>45</v>
      </c>
      <c r="AC1490" s="1">
        <v>4.82023068E8</v>
      </c>
      <c r="AD1490" s="1">
        <v>3.8775243E7</v>
      </c>
      <c r="AE1490" s="1" t="s">
        <v>209</v>
      </c>
      <c r="AF1490" s="1">
        <v>34910.33</v>
      </c>
      <c r="AG1490" s="2">
        <v>41548.0</v>
      </c>
      <c r="AH1490" s="1">
        <v>7500.0</v>
      </c>
      <c r="AI1490" s="1" t="s">
        <v>40</v>
      </c>
      <c r="AJ1490" s="1">
        <v>2.0140692E7</v>
      </c>
      <c r="AK1490" s="1" t="s">
        <v>1098</v>
      </c>
      <c r="AL1490" s="1">
        <v>10.0</v>
      </c>
      <c r="AM1490" s="1">
        <v>2013.0</v>
      </c>
      <c r="AN1490" s="1">
        <v>2014.0</v>
      </c>
      <c r="AO1490" s="1" t="s">
        <v>1099</v>
      </c>
    </row>
    <row r="1491">
      <c r="A1491" s="5">
        <v>1.0</v>
      </c>
      <c r="B1491" s="1">
        <f t="shared" si="1"/>
        <v>1491</v>
      </c>
      <c r="C1491" s="1" t="s">
        <v>2952</v>
      </c>
      <c r="D1491" s="1" t="s">
        <v>2952</v>
      </c>
      <c r="E1491" s="1" t="s">
        <v>159</v>
      </c>
      <c r="G1491" s="1">
        <v>1.05784672E8</v>
      </c>
      <c r="H1491" s="2">
        <v>41913.0</v>
      </c>
      <c r="I1491" s="1" t="s">
        <v>2953</v>
      </c>
      <c r="K1491" s="1" t="s">
        <v>2953</v>
      </c>
      <c r="N1491" s="1" t="s">
        <v>40</v>
      </c>
      <c r="O1491" s="1">
        <v>7500.0</v>
      </c>
      <c r="P1491" s="1" t="s">
        <v>40</v>
      </c>
      <c r="Q1491" s="1" t="str">
        <f>IF(ISERROR(VLOOKUP(P1491,'unique fed agency names'!A:C,3,FALSE)),P1491,VLOOKUP(P1491,'unique fed agency names'!A:C,3,FALSE))
</f>
        <v>U.S. Department of Health and Human Services (DHHS)</v>
      </c>
      <c r="R1491" s="1">
        <v>1.3151134E7</v>
      </c>
      <c r="S1491" s="1" t="s">
        <v>2956</v>
      </c>
      <c r="T1491" s="1" t="str">
        <f>IF(ISERROR(VLOOKUP(S1491,'unique org names'!A:C,3,FALSE)),S1491,VLOOKUP(S1491,'unique org names'!A:C,3,FALSE))
</f>
        <v>Voices of Detroit Initiative</v>
      </c>
      <c r="V1491" s="1" t="s">
        <v>2957</v>
      </c>
      <c r="W1491" s="1" t="s">
        <v>44</v>
      </c>
      <c r="X1491" s="1" t="s">
        <v>45</v>
      </c>
      <c r="Y1491" s="1">
        <v>4.82012153E8</v>
      </c>
      <c r="AA1491" s="1" t="s">
        <v>46</v>
      </c>
      <c r="AB1491" s="1" t="s">
        <v>45</v>
      </c>
      <c r="AC1491" s="1">
        <v>4.82012153E8</v>
      </c>
      <c r="AF1491" s="1">
        <v>87517.0</v>
      </c>
      <c r="AG1491" s="2">
        <v>41913.0</v>
      </c>
      <c r="AH1491" s="1">
        <v>7500.0</v>
      </c>
      <c r="AI1491" s="1" t="s">
        <v>40</v>
      </c>
      <c r="AJ1491" s="1">
        <v>2.0150703E7</v>
      </c>
      <c r="AK1491" s="1" t="s">
        <v>2954</v>
      </c>
      <c r="AL1491" s="1">
        <v>10.0</v>
      </c>
      <c r="AM1491" s="1">
        <v>2010.0</v>
      </c>
      <c r="AN1491" s="1">
        <v>2015.0</v>
      </c>
      <c r="AO1491" s="1" t="s">
        <v>2955</v>
      </c>
    </row>
    <row r="1492">
      <c r="A1492" s="5">
        <v>1.0</v>
      </c>
      <c r="B1492" s="1">
        <f t="shared" si="1"/>
        <v>1492</v>
      </c>
      <c r="C1492" s="1" t="s">
        <v>2952</v>
      </c>
      <c r="D1492" s="1" t="s">
        <v>2952</v>
      </c>
      <c r="E1492" s="1" t="s">
        <v>159</v>
      </c>
      <c r="G1492" s="1">
        <v>1.05784672E8</v>
      </c>
      <c r="H1492" s="2">
        <v>41913.0</v>
      </c>
      <c r="I1492" s="1" t="s">
        <v>2953</v>
      </c>
      <c r="K1492" s="1" t="s">
        <v>2953</v>
      </c>
      <c r="N1492" s="1" t="s">
        <v>40</v>
      </c>
      <c r="O1492" s="1">
        <v>7500.0</v>
      </c>
      <c r="P1492" s="1" t="s">
        <v>40</v>
      </c>
      <c r="Q1492" s="1" t="str">
        <f>IF(ISERROR(VLOOKUP(P1492,'unique fed agency names'!A:C,3,FALSE)),P1492,VLOOKUP(P1492,'unique fed agency names'!A:C,3,FALSE))
</f>
        <v>U.S. Department of Health and Human Services (DHHS)</v>
      </c>
      <c r="R1492" s="1">
        <v>8.48764171E8</v>
      </c>
      <c r="S1492" s="1" t="s">
        <v>1050</v>
      </c>
      <c r="T1492" s="1" t="str">
        <f>IF(ISERROR(VLOOKUP(S1492,'unique org names'!A:C,3,FALSE)),S1492,VLOOKUP(S1492,'unique org names'!A:C,3,FALSE))
</f>
        <v>AIDS Partnership Michigan, Inc</v>
      </c>
      <c r="U1492" s="1" t="s">
        <v>1051</v>
      </c>
      <c r="V1492" s="1" t="s">
        <v>1052</v>
      </c>
      <c r="W1492" s="1" t="s">
        <v>44</v>
      </c>
      <c r="X1492" s="1" t="s">
        <v>45</v>
      </c>
      <c r="Y1492" s="1">
        <v>4.820741E8</v>
      </c>
      <c r="AA1492" s="1" t="s">
        <v>46</v>
      </c>
      <c r="AB1492" s="1" t="s">
        <v>45</v>
      </c>
      <c r="AC1492" s="1">
        <v>4.820741E8</v>
      </c>
      <c r="AD1492" s="1">
        <v>1962224.0</v>
      </c>
      <c r="AE1492" s="1" t="s">
        <v>52</v>
      </c>
      <c r="AF1492" s="1">
        <v>79567.0</v>
      </c>
      <c r="AG1492" s="2">
        <v>41913.0</v>
      </c>
      <c r="AH1492" s="1">
        <v>7500.0</v>
      </c>
      <c r="AI1492" s="1" t="s">
        <v>40</v>
      </c>
      <c r="AJ1492" s="1">
        <v>2.0150654E7</v>
      </c>
      <c r="AK1492" s="1" t="s">
        <v>2954</v>
      </c>
      <c r="AL1492" s="1">
        <v>10.0</v>
      </c>
      <c r="AM1492" s="1">
        <v>2010.0</v>
      </c>
      <c r="AN1492" s="1">
        <v>2015.0</v>
      </c>
      <c r="AO1492" s="1" t="s">
        <v>2955</v>
      </c>
    </row>
    <row r="1493">
      <c r="A1493" s="5">
        <v>1.0</v>
      </c>
      <c r="B1493" s="1">
        <f t="shared" si="1"/>
        <v>1493</v>
      </c>
      <c r="C1493" s="1" t="s">
        <v>2952</v>
      </c>
      <c r="D1493" s="1" t="s">
        <v>2952</v>
      </c>
      <c r="E1493" s="1" t="s">
        <v>159</v>
      </c>
      <c r="G1493" s="1">
        <v>1.05784672E8</v>
      </c>
      <c r="H1493" s="2">
        <v>41548.0</v>
      </c>
      <c r="I1493" s="1" t="s">
        <v>2953</v>
      </c>
      <c r="K1493" s="1" t="s">
        <v>2953</v>
      </c>
      <c r="N1493" s="1" t="s">
        <v>40</v>
      </c>
      <c r="O1493" s="1">
        <v>7500.0</v>
      </c>
      <c r="P1493" s="1" t="s">
        <v>40</v>
      </c>
      <c r="Q1493" s="1" t="str">
        <f>IF(ISERROR(VLOOKUP(P1493,'unique fed agency names'!A:C,3,FALSE)),P1493,VLOOKUP(P1493,'unique fed agency names'!A:C,3,FALSE))
</f>
        <v>U.S. Department of Health and Human Services (DHHS)</v>
      </c>
      <c r="R1493" s="1">
        <v>1.3151134E7</v>
      </c>
      <c r="S1493" s="1" t="s">
        <v>2956</v>
      </c>
      <c r="T1493" s="1" t="str">
        <f>IF(ISERROR(VLOOKUP(S1493,'unique org names'!A:C,3,FALSE)),S1493,VLOOKUP(S1493,'unique org names'!A:C,3,FALSE))
</f>
        <v>Voices of Detroit Initiative</v>
      </c>
      <c r="U1493" s="1" t="s">
        <v>2977</v>
      </c>
      <c r="V1493" s="1" t="s">
        <v>2957</v>
      </c>
      <c r="W1493" s="1" t="s">
        <v>44</v>
      </c>
      <c r="X1493" s="1" t="s">
        <v>45</v>
      </c>
      <c r="Y1493" s="1">
        <v>4.82012153E8</v>
      </c>
      <c r="AA1493" s="1" t="s">
        <v>46</v>
      </c>
      <c r="AB1493" s="1" t="s">
        <v>45</v>
      </c>
      <c r="AC1493" s="1">
        <v>4.82012153E8</v>
      </c>
      <c r="AD1493" s="1">
        <v>1.71384183E8</v>
      </c>
      <c r="AE1493" s="1" t="s">
        <v>2978</v>
      </c>
      <c r="AF1493" s="1">
        <v>87517.0</v>
      </c>
      <c r="AG1493" s="2">
        <v>41548.0</v>
      </c>
      <c r="AH1493" s="1">
        <v>7500.0</v>
      </c>
      <c r="AI1493" s="1" t="s">
        <v>40</v>
      </c>
      <c r="AJ1493" s="1">
        <v>2.0141571E7</v>
      </c>
      <c r="AK1493" s="1" t="s">
        <v>2954</v>
      </c>
      <c r="AL1493" s="1">
        <v>10.0</v>
      </c>
      <c r="AM1493" s="1">
        <v>2010.0</v>
      </c>
      <c r="AN1493" s="1">
        <v>2014.0</v>
      </c>
      <c r="AO1493" s="1" t="s">
        <v>2955</v>
      </c>
    </row>
    <row r="1494">
      <c r="A1494" s="5">
        <v>1.0</v>
      </c>
      <c r="B1494" s="1">
        <f t="shared" si="1"/>
        <v>1494</v>
      </c>
      <c r="C1494" s="1" t="s">
        <v>2952</v>
      </c>
      <c r="D1494" s="1" t="s">
        <v>2952</v>
      </c>
      <c r="E1494" s="1" t="s">
        <v>159</v>
      </c>
      <c r="G1494" s="1">
        <v>1.05784672E8</v>
      </c>
      <c r="H1494" s="2">
        <v>41548.0</v>
      </c>
      <c r="I1494" s="1" t="s">
        <v>2953</v>
      </c>
      <c r="K1494" s="1" t="s">
        <v>2953</v>
      </c>
      <c r="N1494" s="1" t="s">
        <v>40</v>
      </c>
      <c r="O1494" s="1">
        <v>7500.0</v>
      </c>
      <c r="P1494" s="1" t="s">
        <v>40</v>
      </c>
      <c r="Q1494" s="1" t="str">
        <f>IF(ISERROR(VLOOKUP(P1494,'unique fed agency names'!A:C,3,FALSE)),P1494,VLOOKUP(P1494,'unique fed agency names'!A:C,3,FALSE))
</f>
        <v>U.S. Department of Health and Human Services (DHHS)</v>
      </c>
      <c r="R1494" s="1">
        <v>8.48764171E8</v>
      </c>
      <c r="S1494" s="1" t="s">
        <v>1050</v>
      </c>
      <c r="T1494" s="1" t="str">
        <f>IF(ISERROR(VLOOKUP(S1494,'unique org names'!A:C,3,FALSE)),S1494,VLOOKUP(S1494,'unique org names'!A:C,3,FALSE))
</f>
        <v>AIDS Partnership Michigan, Inc</v>
      </c>
      <c r="U1494" s="1" t="s">
        <v>1051</v>
      </c>
      <c r="V1494" s="1" t="s">
        <v>1052</v>
      </c>
      <c r="W1494" s="1" t="s">
        <v>44</v>
      </c>
      <c r="X1494" s="1" t="s">
        <v>45</v>
      </c>
      <c r="Y1494" s="1">
        <v>4.820741E8</v>
      </c>
      <c r="AA1494" s="1" t="s">
        <v>46</v>
      </c>
      <c r="AB1494" s="1" t="s">
        <v>45</v>
      </c>
      <c r="AC1494" s="1">
        <v>4.820741E8</v>
      </c>
      <c r="AD1494" s="1">
        <v>1962224.0</v>
      </c>
      <c r="AE1494" s="1" t="s">
        <v>52</v>
      </c>
      <c r="AF1494" s="1">
        <v>91006.0</v>
      </c>
      <c r="AG1494" s="2">
        <v>41548.0</v>
      </c>
      <c r="AH1494" s="1">
        <v>7500.0</v>
      </c>
      <c r="AI1494" s="1" t="s">
        <v>40</v>
      </c>
      <c r="AJ1494" s="1">
        <v>2.0141543E7</v>
      </c>
      <c r="AK1494" s="1" t="s">
        <v>2954</v>
      </c>
      <c r="AL1494" s="1">
        <v>10.0</v>
      </c>
      <c r="AM1494" s="1">
        <v>2010.0</v>
      </c>
      <c r="AN1494" s="1">
        <v>2014.0</v>
      </c>
      <c r="AO1494" s="1" t="s">
        <v>2955</v>
      </c>
    </row>
    <row r="1495">
      <c r="A1495" s="5">
        <v>1.0</v>
      </c>
      <c r="B1495" s="1">
        <f t="shared" si="1"/>
        <v>1495</v>
      </c>
      <c r="C1495" s="1" t="s">
        <v>2952</v>
      </c>
      <c r="D1495" s="1" t="s">
        <v>2952</v>
      </c>
      <c r="E1495" s="1" t="s">
        <v>159</v>
      </c>
      <c r="G1495" s="1">
        <v>1.05784672E8</v>
      </c>
      <c r="H1495" s="2">
        <v>41548.0</v>
      </c>
      <c r="I1495" s="1" t="s">
        <v>2953</v>
      </c>
      <c r="K1495" s="1" t="s">
        <v>2953</v>
      </c>
      <c r="N1495" s="1" t="s">
        <v>40</v>
      </c>
      <c r="O1495" s="1">
        <v>7500.0</v>
      </c>
      <c r="P1495" s="1" t="s">
        <v>40</v>
      </c>
      <c r="Q1495" s="1" t="str">
        <f>IF(ISERROR(VLOOKUP(P1495,'unique fed agency names'!A:C,3,FALSE)),P1495,VLOOKUP(P1495,'unique fed agency names'!A:C,3,FALSE))
</f>
        <v>U.S. Department of Health and Human Services (DHHS)</v>
      </c>
      <c r="R1495" s="1">
        <v>1962224.0</v>
      </c>
      <c r="S1495" s="1" t="s">
        <v>52</v>
      </c>
      <c r="T1495" s="1" t="str">
        <f>IF(ISERROR(VLOOKUP(S1495,'unique org names'!A:C,3,FALSE)),S1495,VLOOKUP(S1495,'unique org names'!A:C,3,FALSE))
</f>
        <v>WAYNE STATE UNIVERSITY</v>
      </c>
      <c r="U1495" s="1" t="s">
        <v>2979</v>
      </c>
      <c r="V1495" s="1" t="s">
        <v>1885</v>
      </c>
      <c r="W1495" s="1" t="s">
        <v>44</v>
      </c>
      <c r="X1495" s="1" t="s">
        <v>45</v>
      </c>
      <c r="Y1495" s="1">
        <v>4.82021347E8</v>
      </c>
      <c r="AA1495" s="1" t="s">
        <v>46</v>
      </c>
      <c r="AB1495" s="1" t="s">
        <v>45</v>
      </c>
      <c r="AC1495" s="1">
        <v>4.82023692E8</v>
      </c>
      <c r="AD1495" s="1">
        <v>1962224.0</v>
      </c>
      <c r="AE1495" s="1" t="s">
        <v>52</v>
      </c>
      <c r="AF1495" s="1">
        <v>58667.0</v>
      </c>
      <c r="AG1495" s="2">
        <v>41548.0</v>
      </c>
      <c r="AH1495" s="1">
        <v>7500.0</v>
      </c>
      <c r="AI1495" s="1" t="s">
        <v>40</v>
      </c>
      <c r="AJ1495" s="1">
        <v>2.0141516E7</v>
      </c>
      <c r="AK1495" s="1" t="s">
        <v>2954</v>
      </c>
      <c r="AL1495" s="1">
        <v>10.0</v>
      </c>
      <c r="AM1495" s="1">
        <v>2010.0</v>
      </c>
      <c r="AN1495" s="1">
        <v>2014.0</v>
      </c>
      <c r="AO1495" s="1" t="s">
        <v>2955</v>
      </c>
    </row>
    <row r="1496">
      <c r="A1496" s="5">
        <v>1.0</v>
      </c>
      <c r="B1496" s="1">
        <f t="shared" si="1"/>
        <v>1496</v>
      </c>
      <c r="C1496" s="1" t="s">
        <v>2952</v>
      </c>
      <c r="D1496" s="1" t="s">
        <v>2952</v>
      </c>
      <c r="E1496" s="1" t="s">
        <v>159</v>
      </c>
      <c r="G1496" s="1">
        <v>1.05784672E8</v>
      </c>
      <c r="H1496" s="2">
        <v>41183.0</v>
      </c>
      <c r="I1496" s="1" t="s">
        <v>2953</v>
      </c>
      <c r="K1496" s="1" t="s">
        <v>2953</v>
      </c>
      <c r="N1496" s="1" t="s">
        <v>40</v>
      </c>
      <c r="O1496" s="1">
        <v>7500.0</v>
      </c>
      <c r="P1496" s="1" t="s">
        <v>40</v>
      </c>
      <c r="Q1496" s="1" t="str">
        <f>IF(ISERROR(VLOOKUP(P1496,'unique fed agency names'!A:C,3,FALSE)),P1496,VLOOKUP(P1496,'unique fed agency names'!A:C,3,FALSE))
</f>
        <v>U.S. Department of Health and Human Services (DHHS)</v>
      </c>
      <c r="R1496" s="1">
        <v>3.8775243E7</v>
      </c>
      <c r="S1496" s="1" t="s">
        <v>209</v>
      </c>
      <c r="T1496" s="1" t="str">
        <f>IF(ISERROR(VLOOKUP(S1496,'unique org names'!A:C,3,FALSE)),S1496,VLOOKUP(S1496,'unique org names'!A:C,3,FALSE))
</f>
        <v>SOUTHEASTERN MICHIGAN HEALTH ASSOCIATION</v>
      </c>
      <c r="U1496" s="1" t="s">
        <v>210</v>
      </c>
      <c r="V1496" s="1" t="s">
        <v>211</v>
      </c>
      <c r="W1496" s="1" t="s">
        <v>44</v>
      </c>
      <c r="X1496" s="1" t="s">
        <v>45</v>
      </c>
      <c r="Y1496" s="1">
        <v>4.82023068E8</v>
      </c>
      <c r="AA1496" s="1" t="s">
        <v>46</v>
      </c>
      <c r="AB1496" s="1" t="s">
        <v>45</v>
      </c>
      <c r="AC1496" s="1">
        <v>4.82023068E8</v>
      </c>
      <c r="AD1496" s="1">
        <v>3.8775243E7</v>
      </c>
      <c r="AE1496" s="1" t="s">
        <v>209</v>
      </c>
      <c r="AF1496" s="1">
        <v>854359.75</v>
      </c>
      <c r="AG1496" s="2">
        <v>41183.0</v>
      </c>
      <c r="AH1496" s="1">
        <v>7500.0</v>
      </c>
      <c r="AI1496" s="1" t="s">
        <v>40</v>
      </c>
      <c r="AJ1496" s="1">
        <v>2.0131074E7</v>
      </c>
      <c r="AK1496" s="1" t="s">
        <v>2954</v>
      </c>
      <c r="AL1496" s="1">
        <v>10.0</v>
      </c>
      <c r="AM1496" s="1">
        <v>2010.0</v>
      </c>
      <c r="AN1496" s="1">
        <v>2013.0</v>
      </c>
      <c r="AO1496" s="1" t="s">
        <v>2955</v>
      </c>
    </row>
    <row r="1497">
      <c r="A1497" s="5">
        <v>1.0</v>
      </c>
      <c r="B1497" s="1">
        <f t="shared" si="1"/>
        <v>1497</v>
      </c>
      <c r="C1497" s="1" t="s">
        <v>2952</v>
      </c>
      <c r="D1497" s="1" t="s">
        <v>2952</v>
      </c>
      <c r="E1497" s="1" t="s">
        <v>159</v>
      </c>
      <c r="G1497" s="1">
        <v>1.05784672E8</v>
      </c>
      <c r="H1497" s="2">
        <v>41183.0</v>
      </c>
      <c r="I1497" s="1" t="s">
        <v>2953</v>
      </c>
      <c r="K1497" s="1" t="s">
        <v>2953</v>
      </c>
      <c r="N1497" s="1" t="s">
        <v>40</v>
      </c>
      <c r="O1497" s="1">
        <v>7500.0</v>
      </c>
      <c r="P1497" s="1" t="s">
        <v>40</v>
      </c>
      <c r="Q1497" s="1" t="str">
        <f>IF(ISERROR(VLOOKUP(P1497,'unique fed agency names'!A:C,3,FALSE)),P1497,VLOOKUP(P1497,'unique fed agency names'!A:C,3,FALSE))
</f>
        <v>U.S. Department of Health and Human Services (DHHS)</v>
      </c>
      <c r="R1497" s="1">
        <v>1.3151134E7</v>
      </c>
      <c r="S1497" s="1" t="s">
        <v>2956</v>
      </c>
      <c r="T1497" s="1" t="str">
        <f>IF(ISERROR(VLOOKUP(S1497,'unique org names'!A:C,3,FALSE)),S1497,VLOOKUP(S1497,'unique org names'!A:C,3,FALSE))
</f>
        <v>Voices of Detroit Initiative</v>
      </c>
      <c r="U1497" s="1" t="s">
        <v>210</v>
      </c>
      <c r="V1497" s="1" t="s">
        <v>2957</v>
      </c>
      <c r="W1497" s="1" t="s">
        <v>44</v>
      </c>
      <c r="X1497" s="1" t="s">
        <v>45</v>
      </c>
      <c r="Y1497" s="1">
        <v>4.82012153E8</v>
      </c>
      <c r="AA1497" s="1" t="s">
        <v>46</v>
      </c>
      <c r="AB1497" s="1" t="s">
        <v>45</v>
      </c>
      <c r="AC1497" s="1">
        <v>4.82012153E8</v>
      </c>
      <c r="AD1497" s="1">
        <v>3.8775243E7</v>
      </c>
      <c r="AE1497" s="1" t="s">
        <v>209</v>
      </c>
      <c r="AF1497" s="1">
        <v>61585.58</v>
      </c>
      <c r="AG1497" s="2">
        <v>41183.0</v>
      </c>
      <c r="AH1497" s="1">
        <v>7500.0</v>
      </c>
      <c r="AI1497" s="1" t="s">
        <v>40</v>
      </c>
      <c r="AJ1497" s="1">
        <v>2.0130211E7</v>
      </c>
      <c r="AK1497" s="1" t="s">
        <v>2954</v>
      </c>
      <c r="AL1497" s="1">
        <v>10.0</v>
      </c>
      <c r="AM1497" s="1">
        <v>2010.0</v>
      </c>
      <c r="AN1497" s="1">
        <v>2013.0</v>
      </c>
      <c r="AO1497" s="1" t="s">
        <v>2955</v>
      </c>
    </row>
    <row r="1498">
      <c r="A1498" s="5">
        <v>1.0</v>
      </c>
      <c r="B1498" s="1">
        <f t="shared" si="1"/>
        <v>1498</v>
      </c>
      <c r="C1498" s="1" t="s">
        <v>2944</v>
      </c>
      <c r="D1498" s="1" t="s">
        <v>2944</v>
      </c>
      <c r="E1498" s="1" t="s">
        <v>159</v>
      </c>
      <c r="G1498" s="1">
        <v>3375416.0</v>
      </c>
      <c r="H1498" s="2">
        <v>41548.0</v>
      </c>
      <c r="I1498" s="1" t="s">
        <v>2945</v>
      </c>
      <c r="K1498" s="1" t="s">
        <v>2945</v>
      </c>
      <c r="N1498" s="1" t="s">
        <v>40</v>
      </c>
      <c r="O1498" s="1">
        <v>7500.0</v>
      </c>
      <c r="P1498" s="1" t="s">
        <v>40</v>
      </c>
      <c r="Q1498" s="1" t="str">
        <f>IF(ISERROR(VLOOKUP(P1498,'unique fed agency names'!A:C,3,FALSE)),P1498,VLOOKUP(P1498,'unique fed agency names'!A:C,3,FALSE))
</f>
        <v>U.S. Department of Health and Human Services (DHHS)</v>
      </c>
      <c r="R1498" s="1">
        <v>1962224.0</v>
      </c>
      <c r="S1498" s="1" t="s">
        <v>52</v>
      </c>
      <c r="T1498" s="1" t="str">
        <f>IF(ISERROR(VLOOKUP(S1498,'unique org names'!A:C,3,FALSE)),S1498,VLOOKUP(S1498,'unique org names'!A:C,3,FALSE))
</f>
        <v>WAYNE STATE UNIVERSITY</v>
      </c>
      <c r="U1498" s="1" t="s">
        <v>2077</v>
      </c>
      <c r="V1498" s="1" t="s">
        <v>1885</v>
      </c>
      <c r="W1498" s="1" t="s">
        <v>44</v>
      </c>
      <c r="X1498" s="1" t="s">
        <v>45</v>
      </c>
      <c r="Y1498" s="1">
        <v>4.82021347E8</v>
      </c>
      <c r="AA1498" s="1" t="s">
        <v>46</v>
      </c>
      <c r="AB1498" s="1" t="s">
        <v>45</v>
      </c>
      <c r="AC1498" s="1">
        <v>4.82023692E8</v>
      </c>
      <c r="AD1498" s="1">
        <v>1962224.0</v>
      </c>
      <c r="AE1498" s="1" t="s">
        <v>52</v>
      </c>
      <c r="AF1498" s="1">
        <v>148631.72</v>
      </c>
      <c r="AG1498" s="2">
        <v>41548.0</v>
      </c>
      <c r="AH1498" s="1">
        <v>7500.0</v>
      </c>
      <c r="AI1498" s="1" t="s">
        <v>40</v>
      </c>
      <c r="AJ1498" s="1">
        <v>2.0141517E7</v>
      </c>
      <c r="AK1498" s="1" t="s">
        <v>2946</v>
      </c>
      <c r="AL1498" s="1">
        <v>10.0</v>
      </c>
      <c r="AM1498" s="1">
        <v>2011.0</v>
      </c>
      <c r="AN1498" s="1">
        <v>2014.0</v>
      </c>
      <c r="AO1498" s="1" t="s">
        <v>2947</v>
      </c>
    </row>
    <row r="1499">
      <c r="A1499" s="5">
        <v>1.0</v>
      </c>
      <c r="B1499" s="1">
        <f t="shared" si="1"/>
        <v>1499</v>
      </c>
      <c r="C1499" s="1" t="s">
        <v>2944</v>
      </c>
      <c r="D1499" s="1" t="s">
        <v>2944</v>
      </c>
      <c r="E1499" s="1" t="s">
        <v>159</v>
      </c>
      <c r="G1499" s="1">
        <v>3375416.0</v>
      </c>
      <c r="H1499" s="2">
        <v>41548.0</v>
      </c>
      <c r="I1499" s="1" t="s">
        <v>2945</v>
      </c>
      <c r="K1499" s="1" t="s">
        <v>2945</v>
      </c>
      <c r="N1499" s="1" t="s">
        <v>40</v>
      </c>
      <c r="O1499" s="1">
        <v>7500.0</v>
      </c>
      <c r="P1499" s="1" t="s">
        <v>40</v>
      </c>
      <c r="Q1499" s="1" t="str">
        <f>IF(ISERROR(VLOOKUP(P1499,'unique fed agency names'!A:C,3,FALSE)),P1499,VLOOKUP(P1499,'unique fed agency names'!A:C,3,FALSE))
</f>
        <v>U.S. Department of Health and Human Services (DHHS)</v>
      </c>
      <c r="R1499" s="1">
        <v>3.8775243E7</v>
      </c>
      <c r="S1499" s="1" t="s">
        <v>209</v>
      </c>
      <c r="T1499" s="1" t="str">
        <f>IF(ISERROR(VLOOKUP(S1499,'unique org names'!A:C,3,FALSE)),S1499,VLOOKUP(S1499,'unique org names'!A:C,3,FALSE))
</f>
        <v>SOUTHEASTERN MICHIGAN HEALTH ASSOCIATION</v>
      </c>
      <c r="U1499" s="1" t="s">
        <v>210</v>
      </c>
      <c r="V1499" s="1" t="s">
        <v>211</v>
      </c>
      <c r="W1499" s="1" t="s">
        <v>44</v>
      </c>
      <c r="X1499" s="1" t="s">
        <v>45</v>
      </c>
      <c r="Y1499" s="1">
        <v>4.82023068E8</v>
      </c>
      <c r="AA1499" s="1" t="s">
        <v>46</v>
      </c>
      <c r="AB1499" s="1" t="s">
        <v>45</v>
      </c>
      <c r="AC1499" s="1">
        <v>4.82023068E8</v>
      </c>
      <c r="AD1499" s="1">
        <v>3.8775243E7</v>
      </c>
      <c r="AE1499" s="1" t="s">
        <v>209</v>
      </c>
      <c r="AF1499" s="1">
        <v>25348.0</v>
      </c>
      <c r="AG1499" s="2">
        <v>41548.0</v>
      </c>
      <c r="AH1499" s="1">
        <v>7500.0</v>
      </c>
      <c r="AI1499" s="1" t="s">
        <v>40</v>
      </c>
      <c r="AJ1499" s="1">
        <v>2.0140723E7</v>
      </c>
      <c r="AK1499" s="1" t="s">
        <v>2946</v>
      </c>
      <c r="AL1499" s="1">
        <v>10.0</v>
      </c>
      <c r="AM1499" s="1">
        <v>2011.0</v>
      </c>
      <c r="AN1499" s="1">
        <v>2014.0</v>
      </c>
      <c r="AO1499" s="1" t="s">
        <v>2947</v>
      </c>
    </row>
    <row r="1500">
      <c r="A1500" s="5">
        <v>1.0</v>
      </c>
      <c r="B1500" s="1">
        <f t="shared" si="1"/>
        <v>1500</v>
      </c>
      <c r="C1500" s="1" t="s">
        <v>2944</v>
      </c>
      <c r="D1500" s="1" t="s">
        <v>2944</v>
      </c>
      <c r="E1500" s="1" t="s">
        <v>159</v>
      </c>
      <c r="G1500" s="1">
        <v>3375416.0</v>
      </c>
      <c r="H1500" s="2">
        <v>41183.0</v>
      </c>
      <c r="I1500" s="1" t="s">
        <v>2945</v>
      </c>
      <c r="K1500" s="1" t="s">
        <v>2945</v>
      </c>
      <c r="N1500" s="1" t="s">
        <v>40</v>
      </c>
      <c r="O1500" s="1">
        <v>7500.0</v>
      </c>
      <c r="P1500" s="1" t="s">
        <v>40</v>
      </c>
      <c r="Q1500" s="1" t="str">
        <f>IF(ISERROR(VLOOKUP(P1500,'unique fed agency names'!A:C,3,FALSE)),P1500,VLOOKUP(P1500,'unique fed agency names'!A:C,3,FALSE))
</f>
        <v>U.S. Department of Health and Human Services (DHHS)</v>
      </c>
      <c r="R1500" s="1">
        <v>1962224.0</v>
      </c>
      <c r="S1500" s="1" t="s">
        <v>52</v>
      </c>
      <c r="T1500" s="1" t="str">
        <f>IF(ISERROR(VLOOKUP(S1500,'unique org names'!A:C,3,FALSE)),S1500,VLOOKUP(S1500,'unique org names'!A:C,3,FALSE))
</f>
        <v>WAYNE STATE UNIVERSITY</v>
      </c>
      <c r="U1500" s="1" t="s">
        <v>1051</v>
      </c>
      <c r="V1500" s="1" t="s">
        <v>1885</v>
      </c>
      <c r="W1500" s="1" t="s">
        <v>44</v>
      </c>
      <c r="X1500" s="1" t="s">
        <v>45</v>
      </c>
      <c r="Y1500" s="1">
        <v>4.82021347E8</v>
      </c>
      <c r="AA1500" s="1" t="s">
        <v>46</v>
      </c>
      <c r="AB1500" s="1" t="s">
        <v>45</v>
      </c>
      <c r="AC1500" s="1">
        <v>4.82023692E8</v>
      </c>
      <c r="AD1500" s="1">
        <v>1962224.0</v>
      </c>
      <c r="AE1500" s="1" t="s">
        <v>52</v>
      </c>
      <c r="AF1500" s="1">
        <v>125304.0</v>
      </c>
      <c r="AG1500" s="2">
        <v>41183.0</v>
      </c>
      <c r="AH1500" s="1">
        <v>7500.0</v>
      </c>
      <c r="AI1500" s="1" t="s">
        <v>40</v>
      </c>
      <c r="AJ1500" s="1">
        <v>2.0131065E7</v>
      </c>
      <c r="AK1500" s="1" t="s">
        <v>2946</v>
      </c>
      <c r="AL1500" s="1">
        <v>10.0</v>
      </c>
      <c r="AM1500" s="1">
        <v>2011.0</v>
      </c>
      <c r="AN1500" s="1">
        <v>2013.0</v>
      </c>
      <c r="AO1500" s="1" t="s">
        <v>2947</v>
      </c>
    </row>
    <row r="1501">
      <c r="A1501" s="5">
        <v>1.0</v>
      </c>
      <c r="B1501" s="1">
        <f t="shared" si="1"/>
        <v>1501</v>
      </c>
      <c r="C1501" s="1" t="s">
        <v>2959</v>
      </c>
      <c r="D1501" s="1" t="s">
        <v>2959</v>
      </c>
      <c r="E1501" s="1" t="s">
        <v>85</v>
      </c>
      <c r="G1501" s="1">
        <v>1.4638954E7</v>
      </c>
      <c r="H1501" s="2">
        <v>41913.0</v>
      </c>
      <c r="I1501" s="1" t="s">
        <v>2860</v>
      </c>
      <c r="K1501" s="1" t="s">
        <v>2860</v>
      </c>
      <c r="N1501" s="1" t="s">
        <v>40</v>
      </c>
      <c r="O1501" s="1">
        <v>7500.0</v>
      </c>
      <c r="P1501" s="1" t="s">
        <v>40</v>
      </c>
      <c r="Q1501" s="1" t="str">
        <f>IF(ISERROR(VLOOKUP(P1501,'unique fed agency names'!A:C,3,FALSE)),P1501,VLOOKUP(P1501,'unique fed agency names'!A:C,3,FALSE))
</f>
        <v>U.S. Department of Health and Human Services (DHHS)</v>
      </c>
      <c r="R1501" s="1">
        <v>3.8775243E7</v>
      </c>
      <c r="S1501" s="1" t="s">
        <v>209</v>
      </c>
      <c r="T1501" s="1" t="str">
        <f>IF(ISERROR(VLOOKUP(S1501,'unique org names'!A:C,3,FALSE)),S1501,VLOOKUP(S1501,'unique org names'!A:C,3,FALSE))
</f>
        <v>SOUTHEASTERN MICHIGAN HEALTH ASSOCIATION</v>
      </c>
      <c r="U1501" s="1" t="s">
        <v>210</v>
      </c>
      <c r="V1501" s="1" t="s">
        <v>211</v>
      </c>
      <c r="W1501" s="1" t="s">
        <v>44</v>
      </c>
      <c r="X1501" s="1" t="s">
        <v>45</v>
      </c>
      <c r="Y1501" s="1">
        <v>4.82023068E8</v>
      </c>
      <c r="AA1501" s="1" t="s">
        <v>46</v>
      </c>
      <c r="AB1501" s="1" t="s">
        <v>45</v>
      </c>
      <c r="AC1501" s="1">
        <v>4.82023068E8</v>
      </c>
      <c r="AD1501" s="1">
        <v>3.8775243E7</v>
      </c>
      <c r="AE1501" s="1" t="s">
        <v>209</v>
      </c>
      <c r="AF1501" s="1">
        <v>177058.0</v>
      </c>
      <c r="AG1501" s="2">
        <v>41913.0</v>
      </c>
      <c r="AH1501" s="1">
        <v>7500.0</v>
      </c>
      <c r="AI1501" s="1" t="s">
        <v>40</v>
      </c>
      <c r="AJ1501" s="1">
        <v>2.0151611E7</v>
      </c>
      <c r="AK1501" s="1" t="s">
        <v>1098</v>
      </c>
      <c r="AL1501" s="1">
        <v>10.0</v>
      </c>
      <c r="AM1501" s="1">
        <v>2013.0</v>
      </c>
      <c r="AN1501" s="1">
        <v>2015.0</v>
      </c>
      <c r="AO1501" s="1" t="s">
        <v>1099</v>
      </c>
    </row>
    <row r="1502">
      <c r="A1502" s="5">
        <v>1.0</v>
      </c>
      <c r="B1502" s="1">
        <f t="shared" si="1"/>
        <v>1502</v>
      </c>
      <c r="C1502" s="1" t="s">
        <v>2959</v>
      </c>
      <c r="D1502" s="1" t="s">
        <v>2959</v>
      </c>
      <c r="E1502" s="1" t="s">
        <v>85</v>
      </c>
      <c r="G1502" s="1">
        <v>1.4638954E7</v>
      </c>
      <c r="H1502" s="2">
        <v>41913.0</v>
      </c>
      <c r="I1502" s="1" t="s">
        <v>2860</v>
      </c>
      <c r="K1502" s="1" t="s">
        <v>2860</v>
      </c>
      <c r="N1502" s="1" t="s">
        <v>40</v>
      </c>
      <c r="O1502" s="1">
        <v>7500.0</v>
      </c>
      <c r="P1502" s="1" t="s">
        <v>40</v>
      </c>
      <c r="Q1502" s="1" t="str">
        <f>IF(ISERROR(VLOOKUP(P1502,'unique fed agency names'!A:C,3,FALSE)),P1502,VLOOKUP(P1502,'unique fed agency names'!A:C,3,FALSE))
</f>
        <v>U.S. Department of Health and Human Services (DHHS)</v>
      </c>
      <c r="R1502" s="1">
        <v>3.8775243E7</v>
      </c>
      <c r="S1502" s="1" t="s">
        <v>209</v>
      </c>
      <c r="T1502" s="1" t="str">
        <f>IF(ISERROR(VLOOKUP(S1502,'unique org names'!A:C,3,FALSE)),S1502,VLOOKUP(S1502,'unique org names'!A:C,3,FALSE))
</f>
        <v>SOUTHEASTERN MICHIGAN HEALTH ASSOCIATION</v>
      </c>
      <c r="U1502" s="1" t="s">
        <v>210</v>
      </c>
      <c r="V1502" s="1" t="s">
        <v>211</v>
      </c>
      <c r="W1502" s="1" t="s">
        <v>44</v>
      </c>
      <c r="X1502" s="1" t="s">
        <v>45</v>
      </c>
      <c r="Y1502" s="1">
        <v>4.82023068E8</v>
      </c>
      <c r="AA1502" s="1" t="s">
        <v>46</v>
      </c>
      <c r="AB1502" s="1" t="s">
        <v>45</v>
      </c>
      <c r="AC1502" s="1">
        <v>4.82023068E8</v>
      </c>
      <c r="AD1502" s="1">
        <v>3.8775243E7</v>
      </c>
      <c r="AE1502" s="1" t="s">
        <v>209</v>
      </c>
      <c r="AF1502" s="1">
        <v>50295.0</v>
      </c>
      <c r="AG1502" s="2">
        <v>41913.0</v>
      </c>
      <c r="AH1502" s="1">
        <v>7500.0</v>
      </c>
      <c r="AI1502" s="1" t="s">
        <v>40</v>
      </c>
      <c r="AJ1502" s="1">
        <v>2.015161E7</v>
      </c>
      <c r="AK1502" s="1" t="s">
        <v>1098</v>
      </c>
      <c r="AL1502" s="1">
        <v>10.0</v>
      </c>
      <c r="AM1502" s="1">
        <v>2013.0</v>
      </c>
      <c r="AN1502" s="1">
        <v>2015.0</v>
      </c>
      <c r="AO1502" s="1" t="s">
        <v>1099</v>
      </c>
    </row>
    <row r="1503">
      <c r="A1503" s="5">
        <v>1.0</v>
      </c>
      <c r="B1503" s="1">
        <f t="shared" si="1"/>
        <v>1503</v>
      </c>
      <c r="C1503" s="1" t="s">
        <v>2948</v>
      </c>
      <c r="D1503" s="1" t="s">
        <v>2948</v>
      </c>
      <c r="E1503" s="1" t="s">
        <v>159</v>
      </c>
      <c r="G1503" s="1">
        <v>1474347.0</v>
      </c>
      <c r="H1503" s="2">
        <v>41913.0</v>
      </c>
      <c r="I1503" s="1" t="s">
        <v>2949</v>
      </c>
      <c r="K1503" s="1" t="s">
        <v>2949</v>
      </c>
      <c r="N1503" s="1" t="s">
        <v>40</v>
      </c>
      <c r="O1503" s="1">
        <v>7500.0</v>
      </c>
      <c r="P1503" s="1" t="s">
        <v>40</v>
      </c>
      <c r="Q1503" s="1" t="str">
        <f>IF(ISERROR(VLOOKUP(P1503,'unique fed agency names'!A:C,3,FALSE)),P1503,VLOOKUP(P1503,'unique fed agency names'!A:C,3,FALSE))
</f>
        <v>U.S. Department of Health and Human Services (DHHS)</v>
      </c>
      <c r="R1503" s="1">
        <v>1962224.0</v>
      </c>
      <c r="S1503" s="1" t="s">
        <v>52</v>
      </c>
      <c r="T1503" s="1" t="str">
        <f>IF(ISERROR(VLOOKUP(S1503,'unique org names'!A:C,3,FALSE)),S1503,VLOOKUP(S1503,'unique org names'!A:C,3,FALSE))
</f>
        <v>WAYNE STATE UNIVERSITY</v>
      </c>
      <c r="U1503" s="1" t="s">
        <v>2975</v>
      </c>
      <c r="V1503" s="1" t="s">
        <v>1885</v>
      </c>
      <c r="W1503" s="1" t="s">
        <v>44</v>
      </c>
      <c r="X1503" s="1" t="s">
        <v>45</v>
      </c>
      <c r="Y1503" s="1">
        <v>4.82021347E8</v>
      </c>
      <c r="AA1503" s="1" t="s">
        <v>46</v>
      </c>
      <c r="AB1503" s="1" t="s">
        <v>45</v>
      </c>
      <c r="AC1503" s="1">
        <v>4.82023692E8</v>
      </c>
      <c r="AD1503" s="1">
        <v>1962224.0</v>
      </c>
      <c r="AE1503" s="1" t="s">
        <v>52</v>
      </c>
      <c r="AF1503" s="1">
        <v>148153.23</v>
      </c>
      <c r="AG1503" s="2">
        <v>41913.0</v>
      </c>
      <c r="AH1503" s="1">
        <v>7500.0</v>
      </c>
      <c r="AI1503" s="1" t="s">
        <v>40</v>
      </c>
      <c r="AJ1503" s="1">
        <v>2.0151669E7</v>
      </c>
      <c r="AK1503" s="1" t="s">
        <v>2950</v>
      </c>
      <c r="AL1503" s="1">
        <v>10.0</v>
      </c>
      <c r="AM1503" s="1">
        <v>2012.0</v>
      </c>
      <c r="AN1503" s="1">
        <v>2015.0</v>
      </c>
      <c r="AO1503" s="1" t="s">
        <v>2951</v>
      </c>
    </row>
    <row r="1504">
      <c r="A1504" s="5">
        <v>1.0</v>
      </c>
      <c r="B1504" s="1">
        <f t="shared" si="1"/>
        <v>1504</v>
      </c>
      <c r="C1504" s="1" t="s">
        <v>2948</v>
      </c>
      <c r="D1504" s="1" t="s">
        <v>2948</v>
      </c>
      <c r="E1504" s="1" t="s">
        <v>159</v>
      </c>
      <c r="G1504" s="1">
        <v>1474347.0</v>
      </c>
      <c r="H1504" s="2">
        <v>41548.0</v>
      </c>
      <c r="I1504" s="1" t="s">
        <v>2949</v>
      </c>
      <c r="K1504" s="1" t="s">
        <v>2949</v>
      </c>
      <c r="N1504" s="1" t="s">
        <v>40</v>
      </c>
      <c r="O1504" s="1">
        <v>7500.0</v>
      </c>
      <c r="P1504" s="1" t="s">
        <v>40</v>
      </c>
      <c r="Q1504" s="1" t="str">
        <f>IF(ISERROR(VLOOKUP(P1504,'unique fed agency names'!A:C,3,FALSE)),P1504,VLOOKUP(P1504,'unique fed agency names'!A:C,3,FALSE))
</f>
        <v>U.S. Department of Health and Human Services (DHHS)</v>
      </c>
      <c r="R1504" s="1">
        <v>1962224.0</v>
      </c>
      <c r="S1504" s="1" t="s">
        <v>52</v>
      </c>
      <c r="T1504" s="1" t="str">
        <f>IF(ISERROR(VLOOKUP(S1504,'unique org names'!A:C,3,FALSE)),S1504,VLOOKUP(S1504,'unique org names'!A:C,3,FALSE))
</f>
        <v>WAYNE STATE UNIVERSITY</v>
      </c>
      <c r="U1504" s="1" t="s">
        <v>1566</v>
      </c>
      <c r="V1504" s="1" t="s">
        <v>1885</v>
      </c>
      <c r="W1504" s="1" t="s">
        <v>44</v>
      </c>
      <c r="X1504" s="1" t="s">
        <v>45</v>
      </c>
      <c r="Y1504" s="1">
        <v>4.82021347E8</v>
      </c>
      <c r="AA1504" s="1" t="s">
        <v>46</v>
      </c>
      <c r="AB1504" s="1" t="s">
        <v>45</v>
      </c>
      <c r="AC1504" s="1">
        <v>4.82023692E8</v>
      </c>
      <c r="AD1504" s="1">
        <v>1962224.0</v>
      </c>
      <c r="AE1504" s="1" t="s">
        <v>52</v>
      </c>
      <c r="AF1504" s="1">
        <v>185040.53</v>
      </c>
      <c r="AG1504" s="2">
        <v>41548.0</v>
      </c>
      <c r="AH1504" s="1">
        <v>7500.0</v>
      </c>
      <c r="AI1504" s="1" t="s">
        <v>40</v>
      </c>
      <c r="AJ1504" s="1">
        <v>2.0141515E7</v>
      </c>
      <c r="AK1504" s="1" t="s">
        <v>2950</v>
      </c>
      <c r="AL1504" s="1">
        <v>10.0</v>
      </c>
      <c r="AM1504" s="1">
        <v>2012.0</v>
      </c>
      <c r="AN1504" s="1">
        <v>2014.0</v>
      </c>
      <c r="AO1504" s="1" t="s">
        <v>2951</v>
      </c>
    </row>
    <row r="1505">
      <c r="A1505" s="5">
        <v>1.0</v>
      </c>
      <c r="B1505" s="1">
        <f t="shared" si="1"/>
        <v>1505</v>
      </c>
      <c r="C1505" s="1" t="s">
        <v>2948</v>
      </c>
      <c r="D1505" s="1" t="s">
        <v>2948</v>
      </c>
      <c r="E1505" s="1" t="s">
        <v>159</v>
      </c>
      <c r="G1505" s="1">
        <v>1474347.0</v>
      </c>
      <c r="H1505" s="2">
        <v>41183.0</v>
      </c>
      <c r="I1505" s="1" t="s">
        <v>2949</v>
      </c>
      <c r="K1505" s="1" t="s">
        <v>2949</v>
      </c>
      <c r="N1505" s="1" t="s">
        <v>40</v>
      </c>
      <c r="O1505" s="1">
        <v>7500.0</v>
      </c>
      <c r="P1505" s="1" t="s">
        <v>40</v>
      </c>
      <c r="Q1505" s="1" t="str">
        <f>IF(ISERROR(VLOOKUP(P1505,'unique fed agency names'!A:C,3,FALSE)),P1505,VLOOKUP(P1505,'unique fed agency names'!A:C,3,FALSE))
</f>
        <v>U.S. Department of Health and Human Services (DHHS)</v>
      </c>
      <c r="R1505" s="1">
        <v>1962224.0</v>
      </c>
      <c r="S1505" s="1" t="s">
        <v>52</v>
      </c>
      <c r="T1505" s="1" t="str">
        <f>IF(ISERROR(VLOOKUP(S1505,'unique org names'!A:C,3,FALSE)),S1505,VLOOKUP(S1505,'unique org names'!A:C,3,FALSE))
</f>
        <v>WAYNE STATE UNIVERSITY</v>
      </c>
      <c r="U1505" s="1" t="s">
        <v>1566</v>
      </c>
      <c r="V1505" s="1" t="s">
        <v>1885</v>
      </c>
      <c r="W1505" s="1" t="s">
        <v>44</v>
      </c>
      <c r="X1505" s="1" t="s">
        <v>45</v>
      </c>
      <c r="Y1505" s="1">
        <v>4.82021347E8</v>
      </c>
      <c r="AA1505" s="1" t="s">
        <v>46</v>
      </c>
      <c r="AB1505" s="1" t="s">
        <v>45</v>
      </c>
      <c r="AC1505" s="1">
        <v>4.82023692E8</v>
      </c>
      <c r="AD1505" s="1">
        <v>1962224.0</v>
      </c>
      <c r="AE1505" s="1" t="s">
        <v>52</v>
      </c>
      <c r="AF1505" s="1">
        <v>22289.95</v>
      </c>
      <c r="AG1505" s="2">
        <v>41183.0</v>
      </c>
      <c r="AH1505" s="1">
        <v>7500.0</v>
      </c>
      <c r="AI1505" s="1" t="s">
        <v>40</v>
      </c>
      <c r="AJ1505" s="1">
        <v>2.0131727E7</v>
      </c>
      <c r="AK1505" s="1" t="s">
        <v>2950</v>
      </c>
      <c r="AL1505" s="1">
        <v>10.0</v>
      </c>
      <c r="AM1505" s="1">
        <v>2012.0</v>
      </c>
      <c r="AN1505" s="1">
        <v>2013.0</v>
      </c>
      <c r="AO1505" s="1" t="s">
        <v>2951</v>
      </c>
    </row>
    <row r="1506">
      <c r="A1506" s="5">
        <v>1.0</v>
      </c>
      <c r="B1506" s="1">
        <f t="shared" si="1"/>
        <v>1506</v>
      </c>
      <c r="C1506" s="1" t="s">
        <v>2952</v>
      </c>
      <c r="D1506" s="1" t="s">
        <v>2952</v>
      </c>
      <c r="E1506" s="1" t="s">
        <v>159</v>
      </c>
      <c r="G1506" s="1">
        <v>1.05784672E8</v>
      </c>
      <c r="H1506" s="2">
        <v>41913.0</v>
      </c>
      <c r="I1506" s="1" t="s">
        <v>2953</v>
      </c>
      <c r="K1506" s="1" t="s">
        <v>2953</v>
      </c>
      <c r="N1506" s="1" t="s">
        <v>40</v>
      </c>
      <c r="O1506" s="1">
        <v>7500.0</v>
      </c>
      <c r="P1506" s="1" t="s">
        <v>40</v>
      </c>
      <c r="Q1506" s="1" t="str">
        <f>IF(ISERROR(VLOOKUP(P1506,'unique fed agency names'!A:C,3,FALSE)),P1506,VLOOKUP(P1506,'unique fed agency names'!A:C,3,FALSE))
</f>
        <v>U.S. Department of Health and Human Services (DHHS)</v>
      </c>
      <c r="R1506" s="1">
        <v>1962224.0</v>
      </c>
      <c r="S1506" s="1" t="s">
        <v>52</v>
      </c>
      <c r="T1506" s="1" t="str">
        <f>IF(ISERROR(VLOOKUP(S1506,'unique org names'!A:C,3,FALSE)),S1506,VLOOKUP(S1506,'unique org names'!A:C,3,FALSE))
</f>
        <v>WAYNE STATE UNIVERSITY</v>
      </c>
      <c r="V1506" s="1" t="s">
        <v>1885</v>
      </c>
      <c r="W1506" s="1" t="s">
        <v>44</v>
      </c>
      <c r="X1506" s="1" t="s">
        <v>45</v>
      </c>
      <c r="Y1506" s="1">
        <v>4.82021347E8</v>
      </c>
      <c r="AA1506" s="1" t="s">
        <v>46</v>
      </c>
      <c r="AB1506" s="1" t="s">
        <v>45</v>
      </c>
      <c r="AC1506" s="1">
        <v>4.82023692E8</v>
      </c>
      <c r="AD1506" s="1">
        <v>1962224.0</v>
      </c>
      <c r="AE1506" s="1" t="s">
        <v>52</v>
      </c>
      <c r="AF1506" s="1">
        <v>58666.0</v>
      </c>
      <c r="AG1506" s="2">
        <v>41913.0</v>
      </c>
      <c r="AH1506" s="1">
        <v>7500.0</v>
      </c>
      <c r="AI1506" s="1" t="s">
        <v>40</v>
      </c>
      <c r="AJ1506" s="1">
        <v>2.0151654E7</v>
      </c>
      <c r="AK1506" s="1" t="s">
        <v>2954</v>
      </c>
      <c r="AL1506" s="1">
        <v>10.0</v>
      </c>
      <c r="AM1506" s="1">
        <v>2010.0</v>
      </c>
      <c r="AN1506" s="1">
        <v>2015.0</v>
      </c>
      <c r="AO1506" s="1" t="s">
        <v>2955</v>
      </c>
    </row>
    <row r="1507">
      <c r="A1507" s="5">
        <v>1.0</v>
      </c>
      <c r="B1507" s="1">
        <f t="shared" si="1"/>
        <v>1507</v>
      </c>
      <c r="C1507" s="1" t="s">
        <v>2952</v>
      </c>
      <c r="D1507" s="1" t="s">
        <v>2952</v>
      </c>
      <c r="E1507" s="1" t="s">
        <v>159</v>
      </c>
      <c r="G1507" s="1">
        <v>1.05784672E8</v>
      </c>
      <c r="H1507" s="2">
        <v>41548.0</v>
      </c>
      <c r="I1507" s="1" t="s">
        <v>2953</v>
      </c>
      <c r="K1507" s="1" t="s">
        <v>2953</v>
      </c>
      <c r="N1507" s="1" t="s">
        <v>40</v>
      </c>
      <c r="O1507" s="1">
        <v>7500.0</v>
      </c>
      <c r="P1507" s="1" t="s">
        <v>40</v>
      </c>
      <c r="Q1507" s="1" t="str">
        <f>IF(ISERROR(VLOOKUP(P1507,'unique fed agency names'!A:C,3,FALSE)),P1507,VLOOKUP(P1507,'unique fed agency names'!A:C,3,FALSE))
</f>
        <v>U.S. Department of Health and Human Services (DHHS)</v>
      </c>
      <c r="R1507" s="1">
        <v>1962224.0</v>
      </c>
      <c r="S1507" s="1" t="s">
        <v>52</v>
      </c>
      <c r="T1507" s="1" t="str">
        <f>IF(ISERROR(VLOOKUP(S1507,'unique org names'!A:C,3,FALSE)),S1507,VLOOKUP(S1507,'unique org names'!A:C,3,FALSE))
</f>
        <v>WAYNE STATE UNIVERSITY</v>
      </c>
      <c r="U1507" s="1" t="s">
        <v>2958</v>
      </c>
      <c r="V1507" s="1" t="s">
        <v>1885</v>
      </c>
      <c r="W1507" s="1" t="s">
        <v>44</v>
      </c>
      <c r="X1507" s="1" t="s">
        <v>45</v>
      </c>
      <c r="Y1507" s="1">
        <v>4.82021347E8</v>
      </c>
      <c r="AA1507" s="1" t="s">
        <v>46</v>
      </c>
      <c r="AB1507" s="1" t="s">
        <v>45</v>
      </c>
      <c r="AC1507" s="1">
        <v>4.82023692E8</v>
      </c>
      <c r="AD1507" s="1">
        <v>1962224.0</v>
      </c>
      <c r="AE1507" s="1" t="s">
        <v>52</v>
      </c>
      <c r="AF1507" s="1">
        <v>46996.29</v>
      </c>
      <c r="AG1507" s="2">
        <v>41548.0</v>
      </c>
      <c r="AH1507" s="1">
        <v>7500.0</v>
      </c>
      <c r="AI1507" s="1" t="s">
        <v>40</v>
      </c>
      <c r="AJ1507" s="1">
        <v>2.0141501E7</v>
      </c>
      <c r="AK1507" s="1" t="s">
        <v>2954</v>
      </c>
      <c r="AL1507" s="1">
        <v>10.0</v>
      </c>
      <c r="AM1507" s="1">
        <v>2010.0</v>
      </c>
      <c r="AN1507" s="1">
        <v>2014.0</v>
      </c>
      <c r="AO1507" s="1" t="s">
        <v>2955</v>
      </c>
    </row>
    <row r="1508">
      <c r="A1508" s="5">
        <v>1.0</v>
      </c>
      <c r="B1508" s="1">
        <f t="shared" si="1"/>
        <v>1508</v>
      </c>
      <c r="C1508" s="1" t="s">
        <v>2952</v>
      </c>
      <c r="D1508" s="1" t="s">
        <v>2952</v>
      </c>
      <c r="E1508" s="1" t="s">
        <v>159</v>
      </c>
      <c r="G1508" s="1">
        <v>1.05784672E8</v>
      </c>
      <c r="H1508" s="2">
        <v>41548.0</v>
      </c>
      <c r="I1508" s="1" t="s">
        <v>2953</v>
      </c>
      <c r="K1508" s="1" t="s">
        <v>2953</v>
      </c>
      <c r="N1508" s="1" t="s">
        <v>40</v>
      </c>
      <c r="O1508" s="1">
        <v>7500.0</v>
      </c>
      <c r="P1508" s="1" t="s">
        <v>40</v>
      </c>
      <c r="Q1508" s="1" t="str">
        <f>IF(ISERROR(VLOOKUP(P1508,'unique fed agency names'!A:C,3,FALSE)),P1508,VLOOKUP(P1508,'unique fed agency names'!A:C,3,FALSE))
</f>
        <v>U.S. Department of Health and Human Services (DHHS)</v>
      </c>
      <c r="R1508" s="1">
        <v>3.8775243E7</v>
      </c>
      <c r="S1508" s="1" t="s">
        <v>209</v>
      </c>
      <c r="T1508" s="1" t="str">
        <f>IF(ISERROR(VLOOKUP(S1508,'unique org names'!A:C,3,FALSE)),S1508,VLOOKUP(S1508,'unique org names'!A:C,3,FALSE))
</f>
        <v>SOUTHEASTERN MICHIGAN HEALTH ASSOCIATION</v>
      </c>
      <c r="U1508" s="1" t="s">
        <v>210</v>
      </c>
      <c r="V1508" s="1" t="s">
        <v>211</v>
      </c>
      <c r="W1508" s="1" t="s">
        <v>44</v>
      </c>
      <c r="X1508" s="1" t="s">
        <v>45</v>
      </c>
      <c r="Y1508" s="1">
        <v>4.82023068E8</v>
      </c>
      <c r="AA1508" s="1" t="s">
        <v>46</v>
      </c>
      <c r="AB1508" s="1" t="s">
        <v>45</v>
      </c>
      <c r="AC1508" s="1">
        <v>4.82023068E8</v>
      </c>
      <c r="AD1508" s="1">
        <v>3.8775243E7</v>
      </c>
      <c r="AE1508" s="1" t="s">
        <v>209</v>
      </c>
      <c r="AF1508" s="1">
        <v>2982.55</v>
      </c>
      <c r="AG1508" s="2">
        <v>41548.0</v>
      </c>
      <c r="AH1508" s="1">
        <v>7500.0</v>
      </c>
      <c r="AI1508" s="1" t="s">
        <v>40</v>
      </c>
      <c r="AJ1508" s="1">
        <v>2.014068E7</v>
      </c>
      <c r="AK1508" s="1" t="s">
        <v>2954</v>
      </c>
      <c r="AL1508" s="1">
        <v>10.0</v>
      </c>
      <c r="AM1508" s="1">
        <v>2010.0</v>
      </c>
      <c r="AN1508" s="1">
        <v>2014.0</v>
      </c>
      <c r="AO1508" s="1" t="s">
        <v>2955</v>
      </c>
    </row>
    <row r="1509">
      <c r="A1509" s="5">
        <v>1.0</v>
      </c>
      <c r="B1509" s="1">
        <f t="shared" si="1"/>
        <v>1509</v>
      </c>
      <c r="C1509" s="1" t="s">
        <v>2952</v>
      </c>
      <c r="D1509" s="1" t="s">
        <v>2952</v>
      </c>
      <c r="E1509" s="1" t="s">
        <v>159</v>
      </c>
      <c r="G1509" s="1">
        <v>1.05784672E8</v>
      </c>
      <c r="H1509" s="2">
        <v>41183.0</v>
      </c>
      <c r="I1509" s="1" t="s">
        <v>2953</v>
      </c>
      <c r="K1509" s="1" t="s">
        <v>2953</v>
      </c>
      <c r="N1509" s="1" t="s">
        <v>40</v>
      </c>
      <c r="O1509" s="1">
        <v>7500.0</v>
      </c>
      <c r="P1509" s="1" t="s">
        <v>40</v>
      </c>
      <c r="Q1509" s="1" t="str">
        <f>IF(ISERROR(VLOOKUP(P1509,'unique fed agency names'!A:C,3,FALSE)),P1509,VLOOKUP(P1509,'unique fed agency names'!A:C,3,FALSE))
</f>
        <v>U.S. Department of Health and Human Services (DHHS)</v>
      </c>
      <c r="R1509" s="1">
        <v>3.8775243E7</v>
      </c>
      <c r="S1509" s="1" t="s">
        <v>209</v>
      </c>
      <c r="T1509" s="1" t="str">
        <f>IF(ISERROR(VLOOKUP(S1509,'unique org names'!A:C,3,FALSE)),S1509,VLOOKUP(S1509,'unique org names'!A:C,3,FALSE))
</f>
        <v>SOUTHEASTERN MICHIGAN HEALTH ASSOCIATION</v>
      </c>
      <c r="U1509" s="1" t="s">
        <v>210</v>
      </c>
      <c r="V1509" s="1" t="s">
        <v>211</v>
      </c>
      <c r="W1509" s="1" t="s">
        <v>44</v>
      </c>
      <c r="X1509" s="1" t="s">
        <v>45</v>
      </c>
      <c r="Y1509" s="1">
        <v>4.82023068E8</v>
      </c>
      <c r="AA1509" s="1" t="s">
        <v>46</v>
      </c>
      <c r="AB1509" s="1" t="s">
        <v>45</v>
      </c>
      <c r="AC1509" s="1">
        <v>4.82023068E8</v>
      </c>
      <c r="AD1509" s="1">
        <v>3.8775243E7</v>
      </c>
      <c r="AE1509" s="1" t="s">
        <v>209</v>
      </c>
      <c r="AF1509" s="1">
        <v>390223.25</v>
      </c>
      <c r="AG1509" s="2">
        <v>41183.0</v>
      </c>
      <c r="AH1509" s="1">
        <v>7500.0</v>
      </c>
      <c r="AI1509" s="1" t="s">
        <v>40</v>
      </c>
      <c r="AJ1509" s="1">
        <v>2.0131074E7</v>
      </c>
      <c r="AK1509" s="1" t="s">
        <v>2954</v>
      </c>
      <c r="AL1509" s="1">
        <v>10.0</v>
      </c>
      <c r="AM1509" s="1">
        <v>2010.0</v>
      </c>
      <c r="AN1509" s="1">
        <v>2013.0</v>
      </c>
      <c r="AO1509" s="1" t="s">
        <v>2955</v>
      </c>
    </row>
    <row r="1510">
      <c r="A1510" s="5">
        <v>1.0</v>
      </c>
      <c r="B1510" s="1">
        <f t="shared" si="1"/>
        <v>1510</v>
      </c>
      <c r="C1510" s="1" t="s">
        <v>2952</v>
      </c>
      <c r="D1510" s="1" t="s">
        <v>2952</v>
      </c>
      <c r="E1510" s="1" t="s">
        <v>159</v>
      </c>
      <c r="G1510" s="1">
        <v>1.05784672E8</v>
      </c>
      <c r="H1510" s="2">
        <v>41183.0</v>
      </c>
      <c r="I1510" s="1" t="s">
        <v>2953</v>
      </c>
      <c r="K1510" s="1" t="s">
        <v>2953</v>
      </c>
      <c r="N1510" s="1" t="s">
        <v>40</v>
      </c>
      <c r="O1510" s="1">
        <v>7500.0</v>
      </c>
      <c r="P1510" s="1" t="s">
        <v>40</v>
      </c>
      <c r="Q1510" s="1" t="str">
        <f>IF(ISERROR(VLOOKUP(P1510,'unique fed agency names'!A:C,3,FALSE)),P1510,VLOOKUP(P1510,'unique fed agency names'!A:C,3,FALSE))
</f>
        <v>U.S. Department of Health and Human Services (DHHS)</v>
      </c>
      <c r="R1510" s="1">
        <v>8.48764171E8</v>
      </c>
      <c r="S1510" s="1" t="s">
        <v>1050</v>
      </c>
      <c r="T1510" s="1" t="str">
        <f>IF(ISERROR(VLOOKUP(S1510,'unique org names'!A:C,3,FALSE)),S1510,VLOOKUP(S1510,'unique org names'!A:C,3,FALSE))
</f>
        <v>AIDS Partnership Michigan, Inc</v>
      </c>
      <c r="U1510" s="1" t="s">
        <v>1051</v>
      </c>
      <c r="V1510" s="1" t="s">
        <v>1052</v>
      </c>
      <c r="W1510" s="1" t="s">
        <v>44</v>
      </c>
      <c r="X1510" s="1" t="s">
        <v>45</v>
      </c>
      <c r="Y1510" s="1">
        <v>4.820741E8</v>
      </c>
      <c r="AA1510" s="1" t="s">
        <v>46</v>
      </c>
      <c r="AB1510" s="1" t="s">
        <v>45</v>
      </c>
      <c r="AC1510" s="1">
        <v>4.820741E8</v>
      </c>
      <c r="AD1510" s="1">
        <v>1962224.0</v>
      </c>
      <c r="AE1510" s="1" t="s">
        <v>52</v>
      </c>
      <c r="AF1510" s="1">
        <v>91006.0</v>
      </c>
      <c r="AG1510" s="2">
        <v>41183.0</v>
      </c>
      <c r="AH1510" s="1">
        <v>7500.0</v>
      </c>
      <c r="AI1510" s="1" t="s">
        <v>40</v>
      </c>
      <c r="AJ1510" s="1">
        <v>2.0130202E7</v>
      </c>
      <c r="AK1510" s="1" t="s">
        <v>2954</v>
      </c>
      <c r="AL1510" s="1">
        <v>10.0</v>
      </c>
      <c r="AM1510" s="1">
        <v>2010.0</v>
      </c>
      <c r="AN1510" s="1">
        <v>2013.0</v>
      </c>
      <c r="AO1510" s="1" t="s">
        <v>2955</v>
      </c>
    </row>
    <row r="1511">
      <c r="A1511" s="5">
        <v>1.0</v>
      </c>
      <c r="B1511" s="1">
        <f t="shared" si="1"/>
        <v>1511</v>
      </c>
      <c r="C1511" s="1" t="s">
        <v>2952</v>
      </c>
      <c r="D1511" s="1" t="s">
        <v>2952</v>
      </c>
      <c r="E1511" s="1" t="s">
        <v>159</v>
      </c>
      <c r="G1511" s="1">
        <v>1.05784672E8</v>
      </c>
      <c r="H1511" s="2">
        <v>41183.0</v>
      </c>
      <c r="I1511" s="1" t="s">
        <v>2953</v>
      </c>
      <c r="K1511" s="1" t="s">
        <v>2953</v>
      </c>
      <c r="N1511" s="1" t="s">
        <v>40</v>
      </c>
      <c r="O1511" s="1">
        <v>7500.0</v>
      </c>
      <c r="P1511" s="1" t="s">
        <v>40</v>
      </c>
      <c r="Q1511" s="1" t="str">
        <f>IF(ISERROR(VLOOKUP(P1511,'unique fed agency names'!A:C,3,FALSE)),P1511,VLOOKUP(P1511,'unique fed agency names'!A:C,3,FALSE))
</f>
        <v>U.S. Department of Health and Human Services (DHHS)</v>
      </c>
      <c r="R1511" s="1">
        <v>8.48764171E8</v>
      </c>
      <c r="S1511" s="1" t="s">
        <v>1050</v>
      </c>
      <c r="T1511" s="1" t="str">
        <f>IF(ISERROR(VLOOKUP(S1511,'unique org names'!A:C,3,FALSE)),S1511,VLOOKUP(S1511,'unique org names'!A:C,3,FALSE))
</f>
        <v>AIDS Partnership Michigan, Inc</v>
      </c>
      <c r="U1511" s="1" t="s">
        <v>1051</v>
      </c>
      <c r="V1511" s="1" t="s">
        <v>1052</v>
      </c>
      <c r="W1511" s="1" t="s">
        <v>44</v>
      </c>
      <c r="X1511" s="1" t="s">
        <v>45</v>
      </c>
      <c r="Y1511" s="1">
        <v>4.820741E8</v>
      </c>
      <c r="AA1511" s="1" t="s">
        <v>46</v>
      </c>
      <c r="AB1511" s="1" t="s">
        <v>45</v>
      </c>
      <c r="AC1511" s="1">
        <v>4.820741E8</v>
      </c>
      <c r="AF1511" s="1">
        <v>76218.0</v>
      </c>
      <c r="AG1511" s="2">
        <v>41183.0</v>
      </c>
      <c r="AH1511" s="1">
        <v>7500.0</v>
      </c>
      <c r="AI1511" s="1" t="s">
        <v>40</v>
      </c>
      <c r="AJ1511" s="1">
        <v>2.0130202E7</v>
      </c>
      <c r="AK1511" s="1" t="s">
        <v>2954</v>
      </c>
      <c r="AL1511" s="1">
        <v>10.0</v>
      </c>
      <c r="AM1511" s="1">
        <v>2010.0</v>
      </c>
      <c r="AN1511" s="1">
        <v>2013.0</v>
      </c>
      <c r="AO1511" s="1" t="s">
        <v>2955</v>
      </c>
    </row>
    <row r="1512">
      <c r="A1512" s="5">
        <v>1.0</v>
      </c>
      <c r="B1512" s="1">
        <f t="shared" si="1"/>
        <v>1512</v>
      </c>
      <c r="C1512" s="1" t="s">
        <v>2966</v>
      </c>
      <c r="D1512" s="1" t="s">
        <v>2966</v>
      </c>
      <c r="E1512" s="1" t="s">
        <v>85</v>
      </c>
      <c r="G1512" s="1">
        <v>1729000.0</v>
      </c>
      <c r="H1512" s="2">
        <v>41913.0</v>
      </c>
      <c r="I1512" s="1" t="s">
        <v>2605</v>
      </c>
      <c r="K1512" s="1" t="s">
        <v>2605</v>
      </c>
      <c r="N1512" s="1" t="s">
        <v>40</v>
      </c>
      <c r="O1512" s="1">
        <v>7500.0</v>
      </c>
      <c r="P1512" s="1" t="s">
        <v>40</v>
      </c>
      <c r="Q1512" s="1" t="str">
        <f>IF(ISERROR(VLOOKUP(P1512,'unique fed agency names'!A:C,3,FALSE)),P1512,VLOOKUP(P1512,'unique fed agency names'!A:C,3,FALSE))
</f>
        <v>U.S. Department of Health and Human Services (DHHS)</v>
      </c>
      <c r="R1512" s="1">
        <v>7.914812E7</v>
      </c>
      <c r="S1512" s="1" t="s">
        <v>1944</v>
      </c>
      <c r="T1512" s="1" t="str">
        <f>IF(ISERROR(VLOOKUP(S1512,'unique org names'!A:C,3,FALSE)),S1512,VLOOKUP(S1512,'unique org names'!A:C,3,FALSE))
</f>
        <v>DETROIT WAYNE MENTAL HEALTH AUTHORITY</v>
      </c>
      <c r="V1512" s="1" t="s">
        <v>1945</v>
      </c>
      <c r="W1512" s="1" t="s">
        <v>44</v>
      </c>
      <c r="X1512" s="1" t="s">
        <v>45</v>
      </c>
      <c r="Y1512" s="1">
        <v>4.820125E8</v>
      </c>
      <c r="AA1512" s="1" t="s">
        <v>46</v>
      </c>
      <c r="AB1512" s="1" t="s">
        <v>45</v>
      </c>
      <c r="AC1512" s="1">
        <v>4.8226348E8</v>
      </c>
      <c r="AF1512" s="1">
        <v>158935.0</v>
      </c>
      <c r="AG1512" s="2">
        <v>41913.0</v>
      </c>
      <c r="AH1512" s="1">
        <v>7500.0</v>
      </c>
      <c r="AI1512" s="1" t="s">
        <v>40</v>
      </c>
      <c r="AJ1512" s="1">
        <v>2.0151703E7</v>
      </c>
      <c r="AK1512" s="1" t="s">
        <v>2698</v>
      </c>
      <c r="AL1512" s="1">
        <v>10.0</v>
      </c>
      <c r="AM1512" s="1">
        <v>2013.0</v>
      </c>
      <c r="AN1512" s="1">
        <v>2015.0</v>
      </c>
      <c r="AO1512" s="1" t="s">
        <v>2699</v>
      </c>
    </row>
    <row r="1513">
      <c r="A1513" s="5">
        <v>1.0</v>
      </c>
      <c r="B1513" s="1">
        <f t="shared" si="1"/>
        <v>1513</v>
      </c>
      <c r="C1513" s="1" t="s">
        <v>2966</v>
      </c>
      <c r="D1513" s="1" t="s">
        <v>2966</v>
      </c>
      <c r="E1513" s="1" t="s">
        <v>85</v>
      </c>
      <c r="G1513" s="1">
        <v>1729000.0</v>
      </c>
      <c r="H1513" s="2">
        <v>41913.0</v>
      </c>
      <c r="I1513" s="1" t="s">
        <v>2605</v>
      </c>
      <c r="K1513" s="1" t="s">
        <v>2605</v>
      </c>
      <c r="N1513" s="1" t="s">
        <v>40</v>
      </c>
      <c r="O1513" s="1">
        <v>7500.0</v>
      </c>
      <c r="P1513" s="1" t="s">
        <v>40</v>
      </c>
      <c r="Q1513" s="1" t="str">
        <f>IF(ISERROR(VLOOKUP(P1513,'unique fed agency names'!A:C,3,FALSE)),P1513,VLOOKUP(P1513,'unique fed agency names'!A:C,3,FALSE))
</f>
        <v>U.S. Department of Health and Human Services (DHHS)</v>
      </c>
      <c r="R1513" s="1">
        <v>7.6385699E7</v>
      </c>
      <c r="S1513" s="1" t="s">
        <v>106</v>
      </c>
      <c r="T1513" s="1" t="str">
        <f>IF(ISERROR(VLOOKUP(S1513,'unique org names'!A:C,3,FALSE)),S1513,VLOOKUP(S1513,'unique org names'!A:C,3,FALSE))
</f>
        <v>Southwest Counseling Solutions, Inc</v>
      </c>
      <c r="U1513" s="1" t="s">
        <v>1005</v>
      </c>
      <c r="V1513" s="1" t="s">
        <v>1006</v>
      </c>
      <c r="W1513" s="1" t="s">
        <v>44</v>
      </c>
      <c r="X1513" s="1" t="s">
        <v>45</v>
      </c>
      <c r="Y1513" s="1">
        <v>4.82092022E8</v>
      </c>
      <c r="AA1513" s="1" t="s">
        <v>46</v>
      </c>
      <c r="AB1513" s="1" t="s">
        <v>45</v>
      </c>
      <c r="AC1513" s="1">
        <v>4.82092022E8</v>
      </c>
      <c r="AD1513" s="1">
        <v>7.6385699E7</v>
      </c>
      <c r="AE1513" s="1" t="s">
        <v>106</v>
      </c>
      <c r="AF1513" s="1">
        <v>46750.0</v>
      </c>
      <c r="AG1513" s="2">
        <v>41913.0</v>
      </c>
      <c r="AH1513" s="1">
        <v>7500.0</v>
      </c>
      <c r="AI1513" s="1" t="s">
        <v>40</v>
      </c>
      <c r="AJ1513" s="1">
        <v>2.0151713E7</v>
      </c>
      <c r="AK1513" s="1" t="s">
        <v>2698</v>
      </c>
      <c r="AL1513" s="1">
        <v>10.0</v>
      </c>
      <c r="AM1513" s="1">
        <v>2013.0</v>
      </c>
      <c r="AN1513" s="1">
        <v>2015.0</v>
      </c>
      <c r="AO1513" s="1" t="s">
        <v>2699</v>
      </c>
    </row>
    <row r="1514">
      <c r="A1514" s="5">
        <v>1.0</v>
      </c>
      <c r="B1514" s="1">
        <f t="shared" si="1"/>
        <v>1514</v>
      </c>
      <c r="C1514" s="1" t="s">
        <v>2966</v>
      </c>
      <c r="D1514" s="1" t="s">
        <v>2966</v>
      </c>
      <c r="E1514" s="1" t="s">
        <v>85</v>
      </c>
      <c r="G1514" s="1">
        <v>1729000.0</v>
      </c>
      <c r="H1514" s="2">
        <v>41913.0</v>
      </c>
      <c r="I1514" s="1" t="s">
        <v>2605</v>
      </c>
      <c r="K1514" s="1" t="s">
        <v>2605</v>
      </c>
      <c r="N1514" s="1" t="s">
        <v>40</v>
      </c>
      <c r="O1514" s="1">
        <v>7500.0</v>
      </c>
      <c r="P1514" s="1" t="s">
        <v>40</v>
      </c>
      <c r="Q1514" s="1" t="str">
        <f>IF(ISERROR(VLOOKUP(P1514,'unique fed agency names'!A:C,3,FALSE)),P1514,VLOOKUP(P1514,'unique fed agency names'!A:C,3,FALSE))
</f>
        <v>U.S. Department of Health and Human Services (DHHS)</v>
      </c>
      <c r="R1514" s="1">
        <v>7.914812E7</v>
      </c>
      <c r="S1514" s="1" t="s">
        <v>1944</v>
      </c>
      <c r="T1514" s="1" t="str">
        <f>IF(ISERROR(VLOOKUP(S1514,'unique org names'!A:C,3,FALSE)),S1514,VLOOKUP(S1514,'unique org names'!A:C,3,FALSE))
</f>
        <v>DETROIT WAYNE MENTAL HEALTH AUTHORITY</v>
      </c>
      <c r="V1514" s="1" t="s">
        <v>1945</v>
      </c>
      <c r="W1514" s="1" t="s">
        <v>44</v>
      </c>
      <c r="X1514" s="1" t="s">
        <v>45</v>
      </c>
      <c r="Y1514" s="1">
        <v>4.820125E8</v>
      </c>
      <c r="AA1514" s="1" t="s">
        <v>46</v>
      </c>
      <c r="AB1514" s="1" t="s">
        <v>45</v>
      </c>
      <c r="AC1514" s="1">
        <v>4.8226348E8</v>
      </c>
      <c r="AF1514" s="1">
        <v>86487.0</v>
      </c>
      <c r="AG1514" s="2">
        <v>41913.0</v>
      </c>
      <c r="AH1514" s="1">
        <v>7500.0</v>
      </c>
      <c r="AI1514" s="1" t="s">
        <v>40</v>
      </c>
      <c r="AJ1514" s="1">
        <v>2.0151704E7</v>
      </c>
      <c r="AK1514" s="1" t="s">
        <v>2698</v>
      </c>
      <c r="AL1514" s="1">
        <v>10.0</v>
      </c>
      <c r="AM1514" s="1">
        <v>2013.0</v>
      </c>
      <c r="AN1514" s="1">
        <v>2015.0</v>
      </c>
      <c r="AO1514" s="1" t="s">
        <v>2699</v>
      </c>
    </row>
    <row r="1515">
      <c r="A1515" s="5">
        <v>1.0</v>
      </c>
      <c r="B1515" s="1">
        <f t="shared" si="1"/>
        <v>1515</v>
      </c>
      <c r="C1515" s="1" t="s">
        <v>2966</v>
      </c>
      <c r="D1515" s="1" t="s">
        <v>2966</v>
      </c>
      <c r="E1515" s="1" t="s">
        <v>85</v>
      </c>
      <c r="G1515" s="1">
        <v>1729000.0</v>
      </c>
      <c r="H1515" s="2">
        <v>41913.0</v>
      </c>
      <c r="I1515" s="1" t="s">
        <v>2605</v>
      </c>
      <c r="K1515" s="1" t="s">
        <v>2605</v>
      </c>
      <c r="N1515" s="1" t="s">
        <v>40</v>
      </c>
      <c r="O1515" s="1">
        <v>7500.0</v>
      </c>
      <c r="P1515" s="1" t="s">
        <v>40</v>
      </c>
      <c r="Q1515" s="1" t="str">
        <f>IF(ISERROR(VLOOKUP(P1515,'unique fed agency names'!A:C,3,FALSE)),P1515,VLOOKUP(P1515,'unique fed agency names'!A:C,3,FALSE))
</f>
        <v>U.S. Department of Health and Human Services (DHHS)</v>
      </c>
      <c r="R1515" s="1">
        <v>7.914812E7</v>
      </c>
      <c r="S1515" s="1" t="s">
        <v>1944</v>
      </c>
      <c r="T1515" s="1" t="str">
        <f>IF(ISERROR(VLOOKUP(S1515,'unique org names'!A:C,3,FALSE)),S1515,VLOOKUP(S1515,'unique org names'!A:C,3,FALSE))
</f>
        <v>DETROIT WAYNE MENTAL HEALTH AUTHORITY</v>
      </c>
      <c r="V1515" s="1" t="s">
        <v>1945</v>
      </c>
      <c r="W1515" s="1" t="s">
        <v>44</v>
      </c>
      <c r="X1515" s="1" t="s">
        <v>45</v>
      </c>
      <c r="Y1515" s="1">
        <v>4.820125E8</v>
      </c>
      <c r="AA1515" s="1" t="s">
        <v>46</v>
      </c>
      <c r="AB1515" s="1" t="s">
        <v>45</v>
      </c>
      <c r="AC1515" s="1">
        <v>4.8226348E8</v>
      </c>
      <c r="AF1515" s="1">
        <v>43477.0</v>
      </c>
      <c r="AG1515" s="2">
        <v>41913.0</v>
      </c>
      <c r="AH1515" s="1">
        <v>7500.0</v>
      </c>
      <c r="AI1515" s="1" t="s">
        <v>40</v>
      </c>
      <c r="AJ1515" s="1">
        <v>2.01517E7</v>
      </c>
      <c r="AK1515" s="1" t="s">
        <v>2698</v>
      </c>
      <c r="AL1515" s="1">
        <v>10.0</v>
      </c>
      <c r="AM1515" s="1">
        <v>2013.0</v>
      </c>
      <c r="AN1515" s="1">
        <v>2015.0</v>
      </c>
      <c r="AO1515" s="1" t="s">
        <v>2699</v>
      </c>
    </row>
    <row r="1516">
      <c r="A1516" s="5">
        <v>1.0</v>
      </c>
      <c r="B1516" s="1">
        <f t="shared" si="1"/>
        <v>1516</v>
      </c>
      <c r="C1516" s="1" t="s">
        <v>2980</v>
      </c>
      <c r="D1516" s="1" t="s">
        <v>2980</v>
      </c>
      <c r="E1516" s="1" t="s">
        <v>129</v>
      </c>
      <c r="G1516" s="1">
        <v>3414638.0</v>
      </c>
      <c r="H1516" s="2">
        <v>41548.0</v>
      </c>
      <c r="I1516" s="1" t="s">
        <v>2981</v>
      </c>
      <c r="K1516" s="1" t="s">
        <v>2981</v>
      </c>
      <c r="N1516" s="1" t="s">
        <v>40</v>
      </c>
      <c r="O1516" s="1">
        <v>7500.0</v>
      </c>
      <c r="P1516" s="1" t="s">
        <v>40</v>
      </c>
      <c r="Q1516" s="1" t="str">
        <f>IF(ISERROR(VLOOKUP(P1516,'unique fed agency names'!A:C,3,FALSE)),P1516,VLOOKUP(P1516,'unique fed agency names'!A:C,3,FALSE))
</f>
        <v>U.S. Department of Health and Human Services (DHHS)</v>
      </c>
      <c r="R1516" s="1">
        <v>2.2026893E7</v>
      </c>
      <c r="S1516" s="1" t="s">
        <v>1428</v>
      </c>
      <c r="T1516" s="1" t="str">
        <f>IF(ISERROR(VLOOKUP(S1516,'unique org names'!A:C,3,FALSE)),S1516,VLOOKUP(S1516,'unique org names'!A:C,3,FALSE))
</f>
        <v>TEEN HYPE YOUTH DEVELOPMENT PROGRAM</v>
      </c>
      <c r="V1516" s="1" t="s">
        <v>1429</v>
      </c>
      <c r="W1516" s="1" t="s">
        <v>44</v>
      </c>
      <c r="X1516" s="1" t="s">
        <v>45</v>
      </c>
      <c r="Y1516" s="1">
        <v>4.82193941E8</v>
      </c>
      <c r="AA1516" s="1" t="s">
        <v>46</v>
      </c>
      <c r="AB1516" s="1" t="s">
        <v>45</v>
      </c>
      <c r="AC1516" s="1">
        <v>4.82193941E8</v>
      </c>
      <c r="AF1516" s="1">
        <v>100000.0</v>
      </c>
      <c r="AG1516" s="2">
        <v>41548.0</v>
      </c>
      <c r="AH1516" s="1">
        <v>7500.0</v>
      </c>
      <c r="AI1516" s="1" t="s">
        <v>40</v>
      </c>
      <c r="AJ1516" s="1">
        <v>2.014034E7</v>
      </c>
      <c r="AK1516" s="1" t="s">
        <v>1430</v>
      </c>
      <c r="AL1516" s="1">
        <v>10.0</v>
      </c>
      <c r="AM1516" s="1">
        <v>2010.0</v>
      </c>
      <c r="AN1516" s="1">
        <v>2014.0</v>
      </c>
      <c r="AO1516" s="1" t="s">
        <v>1431</v>
      </c>
    </row>
    <row r="1517">
      <c r="A1517" s="5">
        <v>1.0</v>
      </c>
      <c r="B1517" s="1">
        <f t="shared" si="1"/>
        <v>1517</v>
      </c>
      <c r="C1517" s="1" t="s">
        <v>2980</v>
      </c>
      <c r="D1517" s="1" t="s">
        <v>2980</v>
      </c>
      <c r="E1517" s="1" t="s">
        <v>129</v>
      </c>
      <c r="G1517" s="1">
        <v>3414638.0</v>
      </c>
      <c r="H1517" s="2">
        <v>41548.0</v>
      </c>
      <c r="I1517" s="1" t="s">
        <v>2981</v>
      </c>
      <c r="K1517" s="1" t="s">
        <v>2981</v>
      </c>
      <c r="N1517" s="1" t="s">
        <v>40</v>
      </c>
      <c r="O1517" s="1">
        <v>7500.0</v>
      </c>
      <c r="P1517" s="1" t="s">
        <v>40</v>
      </c>
      <c r="Q1517" s="1" t="str">
        <f>IF(ISERROR(VLOOKUP(P1517,'unique fed agency names'!A:C,3,FALSE)),P1517,VLOOKUP(P1517,'unique fed agency names'!A:C,3,FALSE))
</f>
        <v>U.S. Department of Health and Human Services (DHHS)</v>
      </c>
      <c r="R1517" s="1">
        <v>7.3134603E7</v>
      </c>
      <c r="S1517" s="1" t="s">
        <v>41</v>
      </c>
      <c r="T1517" s="1" t="str">
        <f>IF(ISERROR(VLOOKUP(S1517,'unique org names'!A:C,3,FALSE)),S1517,VLOOKUP(S1517,'unique org names'!A:C,3,FALSE))
</f>
        <v>Henry Ford Health System</v>
      </c>
      <c r="U1517" s="1" t="s">
        <v>252</v>
      </c>
      <c r="V1517" s="1" t="s">
        <v>253</v>
      </c>
      <c r="W1517" s="1" t="s">
        <v>44</v>
      </c>
      <c r="X1517" s="1" t="s">
        <v>45</v>
      </c>
      <c r="Y1517" s="1">
        <v>4.8202345E8</v>
      </c>
      <c r="AA1517" s="1" t="s">
        <v>46</v>
      </c>
      <c r="AB1517" s="1" t="s">
        <v>45</v>
      </c>
      <c r="AC1517" s="1">
        <v>4.8202345E8</v>
      </c>
      <c r="AD1517" s="1">
        <v>7.3134603E7</v>
      </c>
      <c r="AE1517" s="1" t="s">
        <v>41</v>
      </c>
      <c r="AF1517" s="1">
        <v>100000.0</v>
      </c>
      <c r="AG1517" s="2">
        <v>41548.0</v>
      </c>
      <c r="AH1517" s="1">
        <v>7500.0</v>
      </c>
      <c r="AI1517" s="1" t="s">
        <v>40</v>
      </c>
      <c r="AJ1517" s="1">
        <v>2.0140044E7</v>
      </c>
      <c r="AK1517" s="1" t="s">
        <v>1430</v>
      </c>
      <c r="AL1517" s="1">
        <v>10.0</v>
      </c>
      <c r="AM1517" s="1">
        <v>2010.0</v>
      </c>
      <c r="AN1517" s="1">
        <v>2014.0</v>
      </c>
      <c r="AO1517" s="1" t="s">
        <v>1431</v>
      </c>
    </row>
    <row r="1518">
      <c r="A1518" s="5">
        <v>1.0</v>
      </c>
      <c r="B1518" s="1">
        <f t="shared" si="1"/>
        <v>1518</v>
      </c>
      <c r="C1518" s="1" t="s">
        <v>2980</v>
      </c>
      <c r="D1518" s="1" t="s">
        <v>2980</v>
      </c>
      <c r="E1518" s="1" t="s">
        <v>129</v>
      </c>
      <c r="G1518" s="1">
        <v>3414638.0</v>
      </c>
      <c r="H1518" s="2">
        <v>41183.0</v>
      </c>
      <c r="I1518" s="1" t="s">
        <v>2981</v>
      </c>
      <c r="K1518" s="1" t="s">
        <v>2981</v>
      </c>
      <c r="N1518" s="1" t="s">
        <v>40</v>
      </c>
      <c r="O1518" s="1">
        <v>7500.0</v>
      </c>
      <c r="P1518" s="1" t="s">
        <v>40</v>
      </c>
      <c r="Q1518" s="1" t="str">
        <f>IF(ISERROR(VLOOKUP(P1518,'unique fed agency names'!A:C,3,FALSE)),P1518,VLOOKUP(P1518,'unique fed agency names'!A:C,3,FALSE))
</f>
        <v>U.S. Department of Health and Human Services (DHHS)</v>
      </c>
      <c r="R1518" s="1">
        <v>2.2026893E7</v>
      </c>
      <c r="S1518" s="1" t="s">
        <v>1428</v>
      </c>
      <c r="T1518" s="1" t="str">
        <f>IF(ISERROR(VLOOKUP(S1518,'unique org names'!A:C,3,FALSE)),S1518,VLOOKUP(S1518,'unique org names'!A:C,3,FALSE))
</f>
        <v>TEEN HYPE YOUTH DEVELOPMENT PROGRAM</v>
      </c>
      <c r="V1518" s="1" t="s">
        <v>1429</v>
      </c>
      <c r="W1518" s="1" t="s">
        <v>44</v>
      </c>
      <c r="X1518" s="1" t="s">
        <v>45</v>
      </c>
      <c r="Y1518" s="1">
        <v>4.82193941E8</v>
      </c>
      <c r="AA1518" s="1" t="s">
        <v>46</v>
      </c>
      <c r="AB1518" s="1" t="s">
        <v>45</v>
      </c>
      <c r="AC1518" s="1">
        <v>4.82193941E8</v>
      </c>
      <c r="AF1518" s="1">
        <v>21242.96</v>
      </c>
      <c r="AG1518" s="2">
        <v>41183.0</v>
      </c>
      <c r="AH1518" s="1">
        <v>7500.0</v>
      </c>
      <c r="AI1518" s="1" t="s">
        <v>40</v>
      </c>
      <c r="AJ1518" s="1">
        <v>2.0130248E7</v>
      </c>
      <c r="AK1518" s="1" t="s">
        <v>1430</v>
      </c>
      <c r="AL1518" s="1">
        <v>10.0</v>
      </c>
      <c r="AM1518" s="1">
        <v>2010.0</v>
      </c>
      <c r="AN1518" s="1">
        <v>2013.0</v>
      </c>
      <c r="AO1518" s="1" t="s">
        <v>1431</v>
      </c>
    </row>
    <row r="1519">
      <c r="A1519" s="5">
        <v>1.0</v>
      </c>
      <c r="B1519" s="1">
        <f t="shared" si="1"/>
        <v>1519</v>
      </c>
      <c r="C1519" s="1" t="s">
        <v>2982</v>
      </c>
      <c r="D1519" s="1" t="s">
        <v>2982</v>
      </c>
      <c r="E1519" s="1" t="s">
        <v>70</v>
      </c>
      <c r="G1519" s="1">
        <v>1.3750704E7</v>
      </c>
      <c r="H1519" s="2">
        <v>41913.0</v>
      </c>
      <c r="I1519" s="1" t="s">
        <v>2983</v>
      </c>
      <c r="K1519" s="1" t="s">
        <v>2983</v>
      </c>
      <c r="N1519" s="1" t="s">
        <v>72</v>
      </c>
      <c r="O1519" s="1">
        <v>1500.0</v>
      </c>
      <c r="P1519" s="1" t="s">
        <v>72</v>
      </c>
      <c r="Q1519" s="1" t="str">
        <f>IF(ISERROR(VLOOKUP(P1519,'unique fed agency names'!A:C,3,FALSE)),P1519,VLOOKUP(P1519,'unique fed agency names'!A:C,3,FALSE))
</f>
        <v>U.S. Department of Justice (DOJ)</v>
      </c>
      <c r="R1519" s="1">
        <v>7.85448994E8</v>
      </c>
      <c r="S1519" s="1" t="s">
        <v>259</v>
      </c>
      <c r="T1519" s="1" t="str">
        <f>IF(ISERROR(VLOOKUP(S1519,'unique org names'!A:C,3,FALSE)),S1519,VLOOKUP(S1519,'unique org names'!A:C,3,FALSE))
</f>
        <v>Wayne County</v>
      </c>
      <c r="U1519" s="1" t="s">
        <v>2984</v>
      </c>
      <c r="V1519" s="1" t="s">
        <v>2985</v>
      </c>
      <c r="W1519" s="1" t="s">
        <v>44</v>
      </c>
      <c r="X1519" s="1" t="s">
        <v>45</v>
      </c>
      <c r="Y1519" s="1">
        <v>4.82262311E8</v>
      </c>
      <c r="AA1519" s="1" t="s">
        <v>46</v>
      </c>
      <c r="AB1519" s="1" t="s">
        <v>45</v>
      </c>
      <c r="AC1519" s="1">
        <v>4.82262387E8</v>
      </c>
      <c r="AD1519" s="1">
        <v>7.3134884E7</v>
      </c>
      <c r="AE1519" s="1" t="s">
        <v>1796</v>
      </c>
      <c r="AF1519" s="1">
        <v>727623.0</v>
      </c>
      <c r="AG1519" s="2">
        <v>41913.0</v>
      </c>
      <c r="AH1519" s="1">
        <v>1500.0</v>
      </c>
      <c r="AI1519" s="1" t="s">
        <v>72</v>
      </c>
      <c r="AJ1519" s="1">
        <v>2.015013E7</v>
      </c>
      <c r="AK1519" s="1" t="s">
        <v>1422</v>
      </c>
      <c r="AL1519" s="1">
        <v>10.0</v>
      </c>
      <c r="AM1519" s="1">
        <v>2013.0</v>
      </c>
      <c r="AN1519" s="1">
        <v>2015.0</v>
      </c>
      <c r="AO1519" s="1" t="s">
        <v>1130</v>
      </c>
    </row>
    <row r="1520">
      <c r="A1520" s="5">
        <v>1.0</v>
      </c>
      <c r="B1520" s="1">
        <f t="shared" si="1"/>
        <v>1520</v>
      </c>
      <c r="C1520" s="1" t="s">
        <v>2986</v>
      </c>
      <c r="D1520" s="1" t="s">
        <v>2986</v>
      </c>
      <c r="E1520" s="1" t="s">
        <v>70</v>
      </c>
      <c r="G1520" s="1">
        <v>1.2873784E7</v>
      </c>
      <c r="H1520" s="2">
        <v>41548.0</v>
      </c>
      <c r="I1520" s="1" t="s">
        <v>2987</v>
      </c>
      <c r="K1520" s="1" t="s">
        <v>2987</v>
      </c>
      <c r="N1520" s="1" t="s">
        <v>72</v>
      </c>
      <c r="O1520" s="1">
        <v>1500.0</v>
      </c>
      <c r="P1520" s="1" t="s">
        <v>72</v>
      </c>
      <c r="Q1520" s="1" t="str">
        <f>IF(ISERROR(VLOOKUP(P1520,'unique fed agency names'!A:C,3,FALSE)),P1520,VLOOKUP(P1520,'unique fed agency names'!A:C,3,FALSE))
</f>
        <v>U.S. Department of Justice (DOJ)</v>
      </c>
      <c r="R1520" s="1">
        <v>1962224.0</v>
      </c>
      <c r="S1520" s="1" t="s">
        <v>52</v>
      </c>
      <c r="T1520" s="1" t="str">
        <f>IF(ISERROR(VLOOKUP(S1520,'unique org names'!A:C,3,FALSE)),S1520,VLOOKUP(S1520,'unique org names'!A:C,3,FALSE))
</f>
        <v>WAYNE STATE UNIVERSITY</v>
      </c>
      <c r="V1520" s="1" t="s">
        <v>1885</v>
      </c>
      <c r="W1520" s="1" t="s">
        <v>44</v>
      </c>
      <c r="X1520" s="1" t="s">
        <v>45</v>
      </c>
      <c r="Y1520" s="1">
        <v>4.82021347E8</v>
      </c>
      <c r="AA1520" s="1" t="s">
        <v>46</v>
      </c>
      <c r="AB1520" s="1" t="s">
        <v>45</v>
      </c>
      <c r="AC1520" s="1">
        <v>4.82024123E8</v>
      </c>
      <c r="AD1520" s="1">
        <v>1962224.0</v>
      </c>
      <c r="AE1520" s="1" t="s">
        <v>52</v>
      </c>
      <c r="AF1520" s="1">
        <v>189051.0</v>
      </c>
      <c r="AG1520" s="2">
        <v>41548.0</v>
      </c>
      <c r="AH1520" s="1">
        <v>1500.0</v>
      </c>
      <c r="AI1520" s="1" t="s">
        <v>72</v>
      </c>
      <c r="AJ1520" s="1">
        <v>2.0141519E7</v>
      </c>
      <c r="AK1520" s="1" t="s">
        <v>1422</v>
      </c>
      <c r="AL1520" s="1">
        <v>10.0</v>
      </c>
      <c r="AM1520" s="1">
        <v>2012.0</v>
      </c>
      <c r="AN1520" s="1">
        <v>2014.0</v>
      </c>
      <c r="AO1520" s="1" t="s">
        <v>1130</v>
      </c>
    </row>
    <row r="1521">
      <c r="A1521" s="5">
        <v>1.0</v>
      </c>
      <c r="B1521" s="1">
        <f t="shared" si="1"/>
        <v>1521</v>
      </c>
      <c r="C1521" s="1" t="s">
        <v>2988</v>
      </c>
      <c r="D1521" s="1" t="s">
        <v>2988</v>
      </c>
      <c r="E1521" s="1" t="s">
        <v>194</v>
      </c>
      <c r="G1521" s="1">
        <v>3.9382336E8</v>
      </c>
      <c r="H1521" s="2">
        <v>41892.0</v>
      </c>
      <c r="I1521" s="1" t="s">
        <v>1950</v>
      </c>
      <c r="K1521" s="1" t="s">
        <v>1950</v>
      </c>
      <c r="N1521" s="1" t="s">
        <v>194</v>
      </c>
      <c r="O1521" s="1">
        <v>9100.0</v>
      </c>
      <c r="P1521" s="1" t="s">
        <v>194</v>
      </c>
      <c r="Q1521" s="1" t="str">
        <f>IF(ISERROR(VLOOKUP(P1521,'unique fed agency names'!A:C,3,FALSE)),P1521,VLOOKUP(P1521,'unique fed agency names'!A:C,3,FALSE))
</f>
        <v>U.S. Department of Education (ED)</v>
      </c>
      <c r="R1521" s="1">
        <v>7.8346351E7</v>
      </c>
      <c r="S1521" s="1" t="s">
        <v>615</v>
      </c>
      <c r="T1521" s="1" t="str">
        <f>IF(ISERROR(VLOOKUP(S1521,'unique org names'!A:C,3,FALSE)),S1521,VLOOKUP(S1521,'unique org names'!A:C,3,FALSE))
</f>
        <v>Education Achievement Authority</v>
      </c>
      <c r="U1521" s="1" t="s">
        <v>2989</v>
      </c>
      <c r="V1521" s="1" t="s">
        <v>1708</v>
      </c>
      <c r="W1521" s="1" t="s">
        <v>44</v>
      </c>
      <c r="X1521" s="1" t="s">
        <v>45</v>
      </c>
      <c r="Y1521" s="1">
        <v>4.82074457E8</v>
      </c>
      <c r="AA1521" s="1" t="s">
        <v>44</v>
      </c>
      <c r="AB1521" s="1" t="s">
        <v>45</v>
      </c>
      <c r="AC1521" s="1">
        <v>4.82074298E8</v>
      </c>
      <c r="AD1521" s="1">
        <v>7.8903218E7</v>
      </c>
      <c r="AE1521" s="1" t="s">
        <v>2990</v>
      </c>
      <c r="AF1521" s="1">
        <v>1857734.0</v>
      </c>
      <c r="AG1521" s="2">
        <v>41892.0</v>
      </c>
      <c r="AH1521" s="1">
        <v>9100.0</v>
      </c>
      <c r="AI1521" s="1" t="s">
        <v>194</v>
      </c>
      <c r="AJ1521" s="1" t="s">
        <v>2991</v>
      </c>
      <c r="AK1521" s="1" t="s">
        <v>1952</v>
      </c>
      <c r="AL1521" s="1">
        <v>1.0</v>
      </c>
      <c r="AM1521" s="1">
        <v>2015.0</v>
      </c>
      <c r="AN1521" s="1">
        <v>2014.0</v>
      </c>
      <c r="AO1521" s="1" t="s">
        <v>1953</v>
      </c>
    </row>
    <row r="1522">
      <c r="A1522" s="5">
        <v>1.0</v>
      </c>
      <c r="B1522" s="1">
        <f t="shared" si="1"/>
        <v>1522</v>
      </c>
      <c r="C1522" s="1" t="s">
        <v>2992</v>
      </c>
      <c r="D1522" s="1" t="s">
        <v>2992</v>
      </c>
      <c r="E1522" s="1" t="s">
        <v>129</v>
      </c>
      <c r="G1522" s="1">
        <v>1582653.0</v>
      </c>
      <c r="H1522" s="2">
        <v>41913.0</v>
      </c>
      <c r="I1522" s="1" t="s">
        <v>2993</v>
      </c>
      <c r="K1522" s="1" t="s">
        <v>2993</v>
      </c>
      <c r="N1522" s="1" t="s">
        <v>40</v>
      </c>
      <c r="O1522" s="1">
        <v>7500.0</v>
      </c>
      <c r="P1522" s="1" t="s">
        <v>40</v>
      </c>
      <c r="Q1522" s="1" t="str">
        <f>IF(ISERROR(VLOOKUP(P1522,'unique fed agency names'!A:C,3,FALSE)),P1522,VLOOKUP(P1522,'unique fed agency names'!A:C,3,FALSE))
</f>
        <v>U.S. Department of Health and Human Services (DHHS)</v>
      </c>
      <c r="R1522" s="1">
        <v>7.3134603E7</v>
      </c>
      <c r="S1522" s="1" t="s">
        <v>41</v>
      </c>
      <c r="T1522" s="1" t="str">
        <f>IF(ISERROR(VLOOKUP(S1522,'unique org names'!A:C,3,FALSE)),S1522,VLOOKUP(S1522,'unique org names'!A:C,3,FALSE))
</f>
        <v>Henry Ford Health System</v>
      </c>
      <c r="U1522" s="1" t="s">
        <v>252</v>
      </c>
      <c r="V1522" s="1" t="s">
        <v>253</v>
      </c>
      <c r="W1522" s="1" t="s">
        <v>44</v>
      </c>
      <c r="X1522" s="1" t="s">
        <v>45</v>
      </c>
      <c r="Y1522" s="1">
        <v>4.8202345E8</v>
      </c>
      <c r="AA1522" s="1" t="s">
        <v>46</v>
      </c>
      <c r="AB1522" s="1" t="s">
        <v>45</v>
      </c>
      <c r="AC1522" s="1">
        <v>4.8202345E8</v>
      </c>
      <c r="AD1522" s="1">
        <v>7.3134603E7</v>
      </c>
      <c r="AE1522" s="1" t="s">
        <v>41</v>
      </c>
      <c r="AF1522" s="1">
        <v>100000.0</v>
      </c>
      <c r="AG1522" s="2">
        <v>41913.0</v>
      </c>
      <c r="AH1522" s="1">
        <v>7500.0</v>
      </c>
      <c r="AI1522" s="1" t="s">
        <v>40</v>
      </c>
      <c r="AJ1522" s="1">
        <v>2.0151239E7</v>
      </c>
      <c r="AK1522" s="1" t="s">
        <v>1430</v>
      </c>
      <c r="AL1522" s="1">
        <v>10.0</v>
      </c>
      <c r="AM1522" s="1">
        <v>2012.0</v>
      </c>
      <c r="AN1522" s="1">
        <v>2015.0</v>
      </c>
      <c r="AO1522" s="1" t="s">
        <v>1431</v>
      </c>
    </row>
    <row r="1523">
      <c r="A1523" s="5">
        <v>1.0</v>
      </c>
      <c r="B1523" s="1">
        <f t="shared" si="1"/>
        <v>1523</v>
      </c>
      <c r="C1523" s="1" t="s">
        <v>2986</v>
      </c>
      <c r="D1523" s="1" t="s">
        <v>2986</v>
      </c>
      <c r="E1523" s="1" t="s">
        <v>70</v>
      </c>
      <c r="G1523" s="1">
        <v>1.2873784E7</v>
      </c>
      <c r="H1523" s="2">
        <v>41913.0</v>
      </c>
      <c r="I1523" s="1" t="s">
        <v>2987</v>
      </c>
      <c r="K1523" s="1" t="s">
        <v>2987</v>
      </c>
      <c r="N1523" s="1" t="s">
        <v>72</v>
      </c>
      <c r="O1523" s="1">
        <v>1500.0</v>
      </c>
      <c r="P1523" s="1" t="s">
        <v>72</v>
      </c>
      <c r="Q1523" s="1" t="str">
        <f>IF(ISERROR(VLOOKUP(P1523,'unique fed agency names'!A:C,3,FALSE)),P1523,VLOOKUP(P1523,'unique fed agency names'!A:C,3,FALSE))
</f>
        <v>U.S. Department of Justice (DOJ)</v>
      </c>
      <c r="R1523" s="1">
        <v>1.97862014E8</v>
      </c>
      <c r="S1523" s="1" t="s">
        <v>1056</v>
      </c>
      <c r="T1523" s="1" t="str">
        <f>IF(ISERROR(VLOOKUP(S1523,'unique org names'!A:C,3,FALSE)),S1523,VLOOKUP(S1523,'unique org names'!A:C,3,FALSE))
</f>
        <v>WAYNE COUNTY NEIGHBORHOOD LEGAL SERVICES</v>
      </c>
      <c r="U1523" s="1" t="s">
        <v>1057</v>
      </c>
      <c r="V1523" s="1" t="s">
        <v>1058</v>
      </c>
      <c r="W1523" s="1" t="s">
        <v>44</v>
      </c>
      <c r="X1523" s="1" t="s">
        <v>45</v>
      </c>
      <c r="Y1523" s="1">
        <v>4.82023165E8</v>
      </c>
      <c r="AA1523" s="1" t="s">
        <v>46</v>
      </c>
      <c r="AB1523" s="1" t="s">
        <v>45</v>
      </c>
      <c r="AC1523" s="1">
        <v>4.82262982E8</v>
      </c>
      <c r="AD1523" s="1">
        <v>1.97862014E8</v>
      </c>
      <c r="AE1523" s="1" t="s">
        <v>1056</v>
      </c>
      <c r="AF1523" s="1">
        <v>158574.0</v>
      </c>
      <c r="AG1523" s="2">
        <v>41913.0</v>
      </c>
      <c r="AH1523" s="1">
        <v>1500.0</v>
      </c>
      <c r="AI1523" s="1" t="s">
        <v>72</v>
      </c>
      <c r="AJ1523" s="1">
        <v>2.0150131E7</v>
      </c>
      <c r="AK1523" s="1" t="s">
        <v>1422</v>
      </c>
      <c r="AL1523" s="1">
        <v>10.0</v>
      </c>
      <c r="AM1523" s="1">
        <v>2012.0</v>
      </c>
      <c r="AN1523" s="1">
        <v>2015.0</v>
      </c>
      <c r="AO1523" s="1" t="s">
        <v>1130</v>
      </c>
    </row>
    <row r="1524">
      <c r="A1524" s="5">
        <v>1.0</v>
      </c>
      <c r="B1524" s="1">
        <f t="shared" si="1"/>
        <v>1524</v>
      </c>
      <c r="C1524" s="1" t="s">
        <v>2986</v>
      </c>
      <c r="D1524" s="1" t="s">
        <v>2986</v>
      </c>
      <c r="E1524" s="1" t="s">
        <v>70</v>
      </c>
      <c r="G1524" s="1">
        <v>1.2873784E7</v>
      </c>
      <c r="H1524" s="2">
        <v>41913.0</v>
      </c>
      <c r="I1524" s="1" t="s">
        <v>2987</v>
      </c>
      <c r="K1524" s="1" t="s">
        <v>2987</v>
      </c>
      <c r="N1524" s="1" t="s">
        <v>72</v>
      </c>
      <c r="O1524" s="1">
        <v>1500.0</v>
      </c>
      <c r="P1524" s="1" t="s">
        <v>72</v>
      </c>
      <c r="Q1524" s="1" t="str">
        <f>IF(ISERROR(VLOOKUP(P1524,'unique fed agency names'!A:C,3,FALSE)),P1524,VLOOKUP(P1524,'unique fed agency names'!A:C,3,FALSE))
</f>
        <v>U.S. Department of Justice (DOJ)</v>
      </c>
      <c r="R1524" s="1">
        <v>1.41947783E8</v>
      </c>
      <c r="S1524" s="1" t="s">
        <v>144</v>
      </c>
      <c r="T1524" s="1" t="str">
        <f>IF(ISERROR(VLOOKUP(S1524,'unique org names'!A:C,3,FALSE)),S1524,VLOOKUP(S1524,'unique org names'!A:C,3,FALSE))
</f>
        <v>St John Community Health Investment Corporation</v>
      </c>
      <c r="U1524" s="1" t="s">
        <v>2994</v>
      </c>
      <c r="V1524" s="1" t="s">
        <v>145</v>
      </c>
      <c r="W1524" s="1" t="s">
        <v>44</v>
      </c>
      <c r="X1524" s="1" t="s">
        <v>45</v>
      </c>
      <c r="Y1524" s="1">
        <v>4.82362148E8</v>
      </c>
      <c r="AA1524" s="1" t="s">
        <v>1454</v>
      </c>
      <c r="AB1524" s="1" t="s">
        <v>45</v>
      </c>
      <c r="AC1524" s="1">
        <v>4.80922468E8</v>
      </c>
      <c r="AF1524" s="1">
        <v>174105.0</v>
      </c>
      <c r="AG1524" s="2">
        <v>41913.0</v>
      </c>
      <c r="AH1524" s="1">
        <v>1500.0</v>
      </c>
      <c r="AI1524" s="1" t="s">
        <v>72</v>
      </c>
      <c r="AJ1524" s="1">
        <v>2.015012E7</v>
      </c>
      <c r="AK1524" s="1" t="s">
        <v>1422</v>
      </c>
      <c r="AL1524" s="1">
        <v>10.0</v>
      </c>
      <c r="AM1524" s="1">
        <v>2012.0</v>
      </c>
      <c r="AN1524" s="1">
        <v>2015.0</v>
      </c>
      <c r="AO1524" s="1" t="s">
        <v>1130</v>
      </c>
    </row>
    <row r="1525">
      <c r="A1525" s="5">
        <v>1.0</v>
      </c>
      <c r="B1525" s="1">
        <f t="shared" si="1"/>
        <v>1525</v>
      </c>
      <c r="C1525" s="1" t="s">
        <v>2982</v>
      </c>
      <c r="D1525" s="1" t="s">
        <v>2982</v>
      </c>
      <c r="E1525" s="1" t="s">
        <v>70</v>
      </c>
      <c r="G1525" s="1">
        <v>1.3750704E7</v>
      </c>
      <c r="H1525" s="2">
        <v>41913.0</v>
      </c>
      <c r="I1525" s="1" t="s">
        <v>2983</v>
      </c>
      <c r="K1525" s="1" t="s">
        <v>2983</v>
      </c>
      <c r="N1525" s="1" t="s">
        <v>72</v>
      </c>
      <c r="O1525" s="1">
        <v>1500.0</v>
      </c>
      <c r="P1525" s="1" t="s">
        <v>72</v>
      </c>
      <c r="Q1525" s="1" t="str">
        <f>IF(ISERROR(VLOOKUP(P1525,'unique fed agency names'!A:C,3,FALSE)),P1525,VLOOKUP(P1525,'unique fed agency names'!A:C,3,FALSE))
</f>
        <v>U.S. Department of Justice (DOJ)</v>
      </c>
      <c r="R1525" s="1">
        <v>1962224.0</v>
      </c>
      <c r="S1525" s="1" t="s">
        <v>52</v>
      </c>
      <c r="T1525" s="1" t="str">
        <f>IF(ISERROR(VLOOKUP(S1525,'unique org names'!A:C,3,FALSE)),S1525,VLOOKUP(S1525,'unique org names'!A:C,3,FALSE))
</f>
        <v>WAYNE STATE UNIVERSITY</v>
      </c>
      <c r="V1525" s="1" t="s">
        <v>1885</v>
      </c>
      <c r="W1525" s="1" t="s">
        <v>44</v>
      </c>
      <c r="X1525" s="1" t="s">
        <v>45</v>
      </c>
      <c r="Y1525" s="1">
        <v>4.82021347E8</v>
      </c>
      <c r="AA1525" s="1" t="s">
        <v>46</v>
      </c>
      <c r="AB1525" s="1" t="s">
        <v>45</v>
      </c>
      <c r="AC1525" s="1">
        <v>4.82011347E8</v>
      </c>
      <c r="AD1525" s="1">
        <v>1962224.0</v>
      </c>
      <c r="AE1525" s="1" t="s">
        <v>52</v>
      </c>
      <c r="AF1525" s="1">
        <v>194835.0</v>
      </c>
      <c r="AG1525" s="2">
        <v>41913.0</v>
      </c>
      <c r="AH1525" s="1">
        <v>1500.0</v>
      </c>
      <c r="AI1525" s="1" t="s">
        <v>72</v>
      </c>
      <c r="AJ1525" s="1">
        <v>2.0151659E7</v>
      </c>
      <c r="AK1525" s="1" t="s">
        <v>1422</v>
      </c>
      <c r="AL1525" s="1">
        <v>10.0</v>
      </c>
      <c r="AM1525" s="1">
        <v>2013.0</v>
      </c>
      <c r="AN1525" s="1">
        <v>2015.0</v>
      </c>
      <c r="AO1525" s="1" t="s">
        <v>1130</v>
      </c>
    </row>
    <row r="1526">
      <c r="A1526" s="5">
        <v>1.0</v>
      </c>
      <c r="B1526" s="1">
        <f t="shared" si="1"/>
        <v>1526</v>
      </c>
      <c r="C1526" s="1" t="s">
        <v>2982</v>
      </c>
      <c r="D1526" s="1" t="s">
        <v>2982</v>
      </c>
      <c r="E1526" s="1" t="s">
        <v>70</v>
      </c>
      <c r="G1526" s="1">
        <v>1.3750704E7</v>
      </c>
      <c r="H1526" s="2">
        <v>41913.0</v>
      </c>
      <c r="I1526" s="1" t="s">
        <v>2983</v>
      </c>
      <c r="K1526" s="1" t="s">
        <v>2983</v>
      </c>
      <c r="N1526" s="1" t="s">
        <v>72</v>
      </c>
      <c r="O1526" s="1">
        <v>1500.0</v>
      </c>
      <c r="P1526" s="1" t="s">
        <v>72</v>
      </c>
      <c r="Q1526" s="1" t="str">
        <f>IF(ISERROR(VLOOKUP(P1526,'unique fed agency names'!A:C,3,FALSE)),P1526,VLOOKUP(P1526,'unique fed agency names'!A:C,3,FALSE))
</f>
        <v>U.S. Department of Justice (DOJ)</v>
      </c>
      <c r="R1526" s="1">
        <v>6.03005542E8</v>
      </c>
      <c r="S1526" s="1" t="s">
        <v>73</v>
      </c>
      <c r="T1526" s="1" t="str">
        <f>IF(ISERROR(VLOOKUP(S1526,'unique org names'!A:C,3,FALSE)),S1526,VLOOKUP(S1526,'unique org names'!A:C,3,FALSE))
</f>
        <v>City Of Detroit</v>
      </c>
      <c r="U1526" s="1" t="s">
        <v>2764</v>
      </c>
      <c r="V1526" s="1" t="s">
        <v>2765</v>
      </c>
      <c r="W1526" s="1" t="s">
        <v>44</v>
      </c>
      <c r="X1526" s="1" t="s">
        <v>45</v>
      </c>
      <c r="Y1526" s="1">
        <v>4.82161928E8</v>
      </c>
      <c r="AA1526" s="1" t="s">
        <v>46</v>
      </c>
      <c r="AB1526" s="1" t="s">
        <v>45</v>
      </c>
      <c r="AC1526" s="1">
        <v>4.82021732E8</v>
      </c>
      <c r="AD1526" s="1">
        <v>6530661.0</v>
      </c>
      <c r="AE1526" s="1" t="s">
        <v>76</v>
      </c>
      <c r="AF1526" s="1">
        <v>589258.0</v>
      </c>
      <c r="AG1526" s="2">
        <v>41913.0</v>
      </c>
      <c r="AH1526" s="1">
        <v>1500.0</v>
      </c>
      <c r="AI1526" s="1" t="s">
        <v>72</v>
      </c>
      <c r="AJ1526" s="1">
        <v>2.0150074E7</v>
      </c>
      <c r="AK1526" s="1" t="s">
        <v>1422</v>
      </c>
      <c r="AL1526" s="1">
        <v>10.0</v>
      </c>
      <c r="AM1526" s="1">
        <v>2013.0</v>
      </c>
      <c r="AN1526" s="1">
        <v>2015.0</v>
      </c>
      <c r="AO1526" s="1" t="s">
        <v>1130</v>
      </c>
    </row>
    <row r="1527">
      <c r="A1527" s="5">
        <v>1.0</v>
      </c>
      <c r="B1527" s="1">
        <f t="shared" si="1"/>
        <v>1527</v>
      </c>
      <c r="C1527" s="1" t="s">
        <v>2995</v>
      </c>
      <c r="D1527" s="1" t="s">
        <v>2995</v>
      </c>
      <c r="E1527" s="1" t="s">
        <v>194</v>
      </c>
      <c r="G1527" s="1">
        <v>5.11731456E8</v>
      </c>
      <c r="H1527" s="2">
        <v>41682.0</v>
      </c>
      <c r="I1527" s="1" t="s">
        <v>1168</v>
      </c>
      <c r="K1527" s="1" t="s">
        <v>1168</v>
      </c>
      <c r="N1527" s="1" t="s">
        <v>194</v>
      </c>
      <c r="O1527" s="1">
        <v>9100.0</v>
      </c>
      <c r="P1527" s="1" t="s">
        <v>194</v>
      </c>
      <c r="Q1527" s="1" t="str">
        <f>IF(ISERROR(VLOOKUP(P1527,'unique fed agency names'!A:C,3,FALSE)),P1527,VLOOKUP(P1527,'unique fed agency names'!A:C,3,FALSE))
</f>
        <v>U.S. Department of Education (ED)</v>
      </c>
      <c r="R1527" s="1">
        <v>1.23577707E8</v>
      </c>
      <c r="S1527" s="1" t="s">
        <v>563</v>
      </c>
      <c r="T1527" s="1" t="str">
        <f>IF(ISERROR(VLOOKUP(S1527,'unique org names'!A:C,3,FALSE)),S1527,VLOOKUP(S1527,'unique org names'!A:C,3,FALSE))
</f>
        <v>WARRENDALE CHARTER ACADEMY</v>
      </c>
      <c r="V1527" s="1" t="s">
        <v>565</v>
      </c>
      <c r="W1527" s="1" t="s">
        <v>44</v>
      </c>
      <c r="X1527" s="1" t="s">
        <v>45</v>
      </c>
      <c r="Y1527" s="1">
        <v>4.8228333E8</v>
      </c>
      <c r="AA1527" s="1" t="s">
        <v>44</v>
      </c>
      <c r="AB1527" s="1" t="s">
        <v>45</v>
      </c>
      <c r="AC1527" s="1">
        <v>4.82283396E8</v>
      </c>
      <c r="AD1527" s="1">
        <v>9.60742484E8</v>
      </c>
      <c r="AF1527" s="1">
        <v>523502.0</v>
      </c>
      <c r="AG1527" s="2">
        <v>41682.0</v>
      </c>
      <c r="AH1527" s="1">
        <v>9100.0</v>
      </c>
      <c r="AI1527" s="1" t="s">
        <v>194</v>
      </c>
      <c r="AJ1527" s="1" t="s">
        <v>2996</v>
      </c>
      <c r="AK1527" s="1" t="s">
        <v>1170</v>
      </c>
      <c r="AL1527" s="1">
        <v>1.0</v>
      </c>
      <c r="AM1527" s="1">
        <v>2015.0</v>
      </c>
      <c r="AN1527" s="1">
        <v>2014.0</v>
      </c>
      <c r="AO1527" s="1" t="s">
        <v>1171</v>
      </c>
    </row>
    <row r="1528">
      <c r="A1528" s="5">
        <v>1.0</v>
      </c>
      <c r="B1528" s="1">
        <f t="shared" si="1"/>
        <v>1528</v>
      </c>
      <c r="C1528" s="1" t="s">
        <v>2995</v>
      </c>
      <c r="D1528" s="1" t="s">
        <v>2995</v>
      </c>
      <c r="E1528" s="1" t="s">
        <v>194</v>
      </c>
      <c r="G1528" s="1">
        <v>5.11731456E8</v>
      </c>
      <c r="H1528" s="2">
        <v>41669.0</v>
      </c>
      <c r="I1528" s="1" t="s">
        <v>1168</v>
      </c>
      <c r="K1528" s="1" t="s">
        <v>1168</v>
      </c>
      <c r="N1528" s="1" t="s">
        <v>194</v>
      </c>
      <c r="O1528" s="1">
        <v>9100.0</v>
      </c>
      <c r="P1528" s="1" t="s">
        <v>194</v>
      </c>
      <c r="Q1528" s="1" t="str">
        <f>IF(ISERROR(VLOOKUP(P1528,'unique fed agency names'!A:C,3,FALSE)),P1528,VLOOKUP(P1528,'unique fed agency names'!A:C,3,FALSE))
</f>
        <v>U.S. Department of Education (ED)</v>
      </c>
      <c r="R1528" s="1">
        <v>2.5773859E7</v>
      </c>
      <c r="S1528" s="1" t="s">
        <v>872</v>
      </c>
      <c r="T1528" s="1" t="str">
        <f>IF(ISERROR(VLOOKUP(S1528,'unique org names'!A:C,3,FALSE)),S1528,VLOOKUP(S1528,'unique org names'!A:C,3,FALSE))
</f>
        <v>HOPE ACADEMY</v>
      </c>
      <c r="V1528" s="1" t="s">
        <v>873</v>
      </c>
      <c r="W1528" s="1" t="s">
        <v>44</v>
      </c>
      <c r="X1528" s="1" t="s">
        <v>45</v>
      </c>
      <c r="Y1528" s="1">
        <v>4.82042042E8</v>
      </c>
      <c r="AA1528" s="1" t="s">
        <v>44</v>
      </c>
      <c r="AB1528" s="1" t="s">
        <v>45</v>
      </c>
      <c r="AC1528" s="1">
        <v>4.82042042E8</v>
      </c>
      <c r="AF1528" s="1">
        <v>428222.0</v>
      </c>
      <c r="AG1528" s="2">
        <v>41669.0</v>
      </c>
      <c r="AH1528" s="1">
        <v>9100.0</v>
      </c>
      <c r="AI1528" s="1" t="s">
        <v>194</v>
      </c>
      <c r="AJ1528" s="1" t="s">
        <v>2997</v>
      </c>
      <c r="AK1528" s="1" t="s">
        <v>1170</v>
      </c>
      <c r="AL1528" s="1">
        <v>1.0</v>
      </c>
      <c r="AM1528" s="1">
        <v>2015.0</v>
      </c>
      <c r="AN1528" s="1">
        <v>2014.0</v>
      </c>
      <c r="AO1528" s="1" t="s">
        <v>1171</v>
      </c>
    </row>
    <row r="1529">
      <c r="A1529" s="5">
        <v>1.0</v>
      </c>
      <c r="B1529" s="1">
        <f t="shared" si="1"/>
        <v>1529</v>
      </c>
      <c r="C1529" s="1" t="s">
        <v>2995</v>
      </c>
      <c r="D1529" s="1" t="s">
        <v>2995</v>
      </c>
      <c r="E1529" s="1" t="s">
        <v>194</v>
      </c>
      <c r="G1529" s="1">
        <v>5.11731456E8</v>
      </c>
      <c r="H1529" s="2">
        <v>41710.0</v>
      </c>
      <c r="I1529" s="1" t="s">
        <v>1168</v>
      </c>
      <c r="K1529" s="1" t="s">
        <v>1168</v>
      </c>
      <c r="N1529" s="1" t="s">
        <v>194</v>
      </c>
      <c r="O1529" s="1">
        <v>9100.0</v>
      </c>
      <c r="P1529" s="1" t="s">
        <v>194</v>
      </c>
      <c r="Q1529" s="1" t="str">
        <f>IF(ISERROR(VLOOKUP(P1529,'unique fed agency names'!A:C,3,FALSE)),P1529,VLOOKUP(P1529,'unique fed agency names'!A:C,3,FALSE))
</f>
        <v>U.S. Department of Education (ED)</v>
      </c>
      <c r="R1529" s="1">
        <v>7.8634042E7</v>
      </c>
      <c r="S1529" s="1" t="s">
        <v>2998</v>
      </c>
      <c r="T1529" s="1" t="str">
        <f>IF(ISERROR(VLOOKUP(S1529,'unique org names'!A:C,3,FALSE)),S1529,VLOOKUP(S1529,'unique org names'!A:C,3,FALSE))
</f>
        <v>Hamilton Academy</v>
      </c>
      <c r="V1529" s="1" t="s">
        <v>475</v>
      </c>
      <c r="W1529" s="1" t="s">
        <v>44</v>
      </c>
      <c r="X1529" s="1" t="s">
        <v>45</v>
      </c>
      <c r="Y1529" s="1">
        <v>4.82133744E8</v>
      </c>
      <c r="AA1529" s="1" t="s">
        <v>46</v>
      </c>
      <c r="AB1529" s="1" t="s">
        <v>45</v>
      </c>
      <c r="AC1529" s="1">
        <v>4.82133744E8</v>
      </c>
      <c r="AF1529" s="1">
        <v>598583.0</v>
      </c>
      <c r="AG1529" s="2">
        <v>41710.0</v>
      </c>
      <c r="AH1529" s="1">
        <v>9100.0</v>
      </c>
      <c r="AI1529" s="1" t="s">
        <v>194</v>
      </c>
      <c r="AJ1529" s="1" t="s">
        <v>2999</v>
      </c>
      <c r="AK1529" s="1" t="s">
        <v>3000</v>
      </c>
      <c r="AL1529" s="1">
        <v>1.0</v>
      </c>
      <c r="AM1529" s="1">
        <v>2015.0</v>
      </c>
      <c r="AN1529" s="1">
        <v>2014.0</v>
      </c>
      <c r="AO1529" s="1" t="s">
        <v>1171</v>
      </c>
    </row>
    <row r="1530">
      <c r="A1530" s="5">
        <v>1.0</v>
      </c>
      <c r="B1530" s="1">
        <f t="shared" si="1"/>
        <v>1530</v>
      </c>
      <c r="C1530" s="1" t="s">
        <v>2995</v>
      </c>
      <c r="D1530" s="1" t="s">
        <v>2995</v>
      </c>
      <c r="E1530" s="1" t="s">
        <v>194</v>
      </c>
      <c r="G1530" s="1">
        <v>5.11731456E8</v>
      </c>
      <c r="H1530" s="2">
        <v>41740.0</v>
      </c>
      <c r="I1530" s="1" t="s">
        <v>1168</v>
      </c>
      <c r="K1530" s="1" t="s">
        <v>1168</v>
      </c>
      <c r="N1530" s="1" t="s">
        <v>194</v>
      </c>
      <c r="O1530" s="1">
        <v>9100.0</v>
      </c>
      <c r="P1530" s="1" t="s">
        <v>194</v>
      </c>
      <c r="Q1530" s="1" t="str">
        <f>IF(ISERROR(VLOOKUP(P1530,'unique fed agency names'!A:C,3,FALSE)),P1530,VLOOKUP(P1530,'unique fed agency names'!A:C,3,FALSE))
</f>
        <v>U.S. Department of Education (ED)</v>
      </c>
      <c r="R1530" s="1">
        <v>8.0463354E7</v>
      </c>
      <c r="S1530" s="1" t="s">
        <v>518</v>
      </c>
      <c r="T1530" s="1" t="str">
        <f>IF(ISERROR(VLOOKUP(S1530,'unique org names'!A:C,3,FALSE)),S1530,VLOOKUP(S1530,'unique org names'!A:C,3,FALSE))
</f>
        <v>UNIVERSAL ACADEMY</v>
      </c>
      <c r="V1530" s="1" t="s">
        <v>519</v>
      </c>
      <c r="W1530" s="1" t="s">
        <v>44</v>
      </c>
      <c r="X1530" s="1" t="s">
        <v>45</v>
      </c>
      <c r="Y1530" s="1">
        <v>4.82102105E8</v>
      </c>
      <c r="AA1530" s="1" t="s">
        <v>44</v>
      </c>
      <c r="AB1530" s="1" t="s">
        <v>45</v>
      </c>
      <c r="AC1530" s="1">
        <v>4.82102105E8</v>
      </c>
      <c r="AD1530" s="1">
        <v>8.0463354E7</v>
      </c>
      <c r="AE1530" s="1" t="s">
        <v>518</v>
      </c>
      <c r="AF1530" s="1">
        <v>564591.0</v>
      </c>
      <c r="AG1530" s="2">
        <v>41740.0</v>
      </c>
      <c r="AH1530" s="1">
        <v>9100.0</v>
      </c>
      <c r="AI1530" s="1" t="s">
        <v>194</v>
      </c>
      <c r="AJ1530" s="1" t="s">
        <v>3001</v>
      </c>
      <c r="AK1530" s="1" t="s">
        <v>1170</v>
      </c>
      <c r="AL1530" s="1">
        <v>1.0</v>
      </c>
      <c r="AM1530" s="1">
        <v>2015.0</v>
      </c>
      <c r="AN1530" s="1">
        <v>2014.0</v>
      </c>
      <c r="AO1530" s="1" t="s">
        <v>1171</v>
      </c>
    </row>
    <row r="1531">
      <c r="A1531" s="5">
        <v>1.0</v>
      </c>
      <c r="B1531" s="1">
        <f t="shared" si="1"/>
        <v>1531</v>
      </c>
      <c r="C1531" s="1" t="s">
        <v>2995</v>
      </c>
      <c r="D1531" s="1" t="s">
        <v>2995</v>
      </c>
      <c r="E1531" s="1" t="s">
        <v>194</v>
      </c>
      <c r="G1531" s="1">
        <v>5.11731456E8</v>
      </c>
      <c r="H1531" s="2">
        <v>41793.0</v>
      </c>
      <c r="I1531" s="1" t="s">
        <v>1168</v>
      </c>
      <c r="K1531" s="1" t="s">
        <v>1168</v>
      </c>
      <c r="N1531" s="1" t="s">
        <v>194</v>
      </c>
      <c r="O1531" s="1">
        <v>9100.0</v>
      </c>
      <c r="P1531" s="1" t="s">
        <v>194</v>
      </c>
      <c r="Q1531" s="1" t="str">
        <f>IF(ISERROR(VLOOKUP(P1531,'unique fed agency names'!A:C,3,FALSE)),P1531,VLOOKUP(P1531,'unique fed agency names'!A:C,3,FALSE))
</f>
        <v>U.S. Department of Education (ED)</v>
      </c>
      <c r="R1531" s="1">
        <v>7.97531295E8</v>
      </c>
      <c r="S1531" s="1" t="s">
        <v>582</v>
      </c>
      <c r="T1531" s="1" t="str">
        <f>IF(ISERROR(VLOOKUP(S1531,'unique org names'!A:C,3,FALSE)),S1531,VLOOKUP(S1531,'unique org names'!A:C,3,FALSE))
</f>
        <v>FRONTIER INTERNATIONAL ACADEMY, THE</v>
      </c>
      <c r="V1531" s="1" t="s">
        <v>583</v>
      </c>
      <c r="W1531" s="1" t="s">
        <v>44</v>
      </c>
      <c r="X1531" s="1" t="s">
        <v>45</v>
      </c>
      <c r="Y1531" s="1">
        <v>4.82123452E8</v>
      </c>
      <c r="AA1531" s="1" t="s">
        <v>44</v>
      </c>
      <c r="AB1531" s="1" t="s">
        <v>45</v>
      </c>
      <c r="AC1531" s="1">
        <v>4.82123452E8</v>
      </c>
      <c r="AF1531" s="1">
        <v>303881.0</v>
      </c>
      <c r="AG1531" s="2">
        <v>41793.0</v>
      </c>
      <c r="AH1531" s="1">
        <v>9100.0</v>
      </c>
      <c r="AI1531" s="1" t="s">
        <v>194</v>
      </c>
      <c r="AJ1531" s="1" t="s">
        <v>3002</v>
      </c>
      <c r="AK1531" s="1" t="s">
        <v>1170</v>
      </c>
      <c r="AL1531" s="1">
        <v>1.0</v>
      </c>
      <c r="AM1531" s="1">
        <v>2015.0</v>
      </c>
      <c r="AN1531" s="1">
        <v>2014.0</v>
      </c>
      <c r="AO1531" s="1" t="s">
        <v>1171</v>
      </c>
    </row>
    <row r="1532">
      <c r="A1532" s="5">
        <v>1.0</v>
      </c>
      <c r="B1532" s="1">
        <f t="shared" si="1"/>
        <v>1532</v>
      </c>
      <c r="C1532" s="1" t="s">
        <v>2995</v>
      </c>
      <c r="D1532" s="1" t="s">
        <v>2995</v>
      </c>
      <c r="E1532" s="1" t="s">
        <v>194</v>
      </c>
      <c r="G1532" s="1">
        <v>5.11731456E8</v>
      </c>
      <c r="H1532" s="2">
        <v>41613.0</v>
      </c>
      <c r="I1532" s="1" t="s">
        <v>1168</v>
      </c>
      <c r="K1532" s="1" t="s">
        <v>1168</v>
      </c>
      <c r="N1532" s="1" t="s">
        <v>194</v>
      </c>
      <c r="O1532" s="1">
        <v>9100.0</v>
      </c>
      <c r="P1532" s="1" t="s">
        <v>194</v>
      </c>
      <c r="Q1532" s="1" t="str">
        <f>IF(ISERROR(VLOOKUP(P1532,'unique fed agency names'!A:C,3,FALSE)),P1532,VLOOKUP(P1532,'unique fed agency names'!A:C,3,FALSE))
</f>
        <v>U.S. Department of Education (ED)</v>
      </c>
      <c r="R1532" s="1">
        <v>3537326.0</v>
      </c>
      <c r="S1532" s="1" t="s">
        <v>560</v>
      </c>
      <c r="T1532" s="1" t="str">
        <f>IF(ISERROR(VLOOKUP(S1532,'unique org names'!A:C,3,FALSE)),S1532,VLOOKUP(S1532,'unique org names'!A:C,3,FALSE))
</f>
        <v>COMMONWEALTH COMMUNITY DEVELOPMENT ACADEMY</v>
      </c>
      <c r="V1532" s="1" t="s">
        <v>561</v>
      </c>
      <c r="W1532" s="1" t="s">
        <v>44</v>
      </c>
      <c r="X1532" s="1" t="s">
        <v>45</v>
      </c>
      <c r="Y1532" s="1">
        <v>4.8212177E8</v>
      </c>
      <c r="AA1532" s="1" t="s">
        <v>498</v>
      </c>
      <c r="AB1532" s="1" t="s">
        <v>45</v>
      </c>
      <c r="AC1532" s="1">
        <v>4.82121754E8</v>
      </c>
      <c r="AD1532" s="1">
        <v>3537326.0</v>
      </c>
      <c r="AE1532" s="1" t="s">
        <v>560</v>
      </c>
      <c r="AF1532" s="1">
        <v>283813.0</v>
      </c>
      <c r="AG1532" s="2">
        <v>41613.0</v>
      </c>
      <c r="AH1532" s="1">
        <v>9100.0</v>
      </c>
      <c r="AI1532" s="1" t="s">
        <v>194</v>
      </c>
      <c r="AJ1532" s="1" t="s">
        <v>3003</v>
      </c>
      <c r="AK1532" s="1" t="s">
        <v>1170</v>
      </c>
      <c r="AL1532" s="1">
        <v>1.0</v>
      </c>
      <c r="AM1532" s="1">
        <v>2015.0</v>
      </c>
      <c r="AN1532" s="1">
        <v>2014.0</v>
      </c>
      <c r="AO1532" s="1" t="s">
        <v>1171</v>
      </c>
    </row>
    <row r="1533">
      <c r="A1533" s="5">
        <v>1.0</v>
      </c>
      <c r="B1533" s="1">
        <f t="shared" si="1"/>
        <v>1533</v>
      </c>
      <c r="C1533" s="1" t="s">
        <v>2995</v>
      </c>
      <c r="D1533" s="1" t="s">
        <v>2995</v>
      </c>
      <c r="E1533" s="1" t="s">
        <v>194</v>
      </c>
      <c r="G1533" s="1">
        <v>5.11731456E8</v>
      </c>
      <c r="H1533" s="2">
        <v>41809.0</v>
      </c>
      <c r="I1533" s="1" t="s">
        <v>1168</v>
      </c>
      <c r="K1533" s="1" t="s">
        <v>1168</v>
      </c>
      <c r="N1533" s="1" t="s">
        <v>194</v>
      </c>
      <c r="O1533" s="1">
        <v>9100.0</v>
      </c>
      <c r="P1533" s="1" t="s">
        <v>194</v>
      </c>
      <c r="Q1533" s="1" t="str">
        <f>IF(ISERROR(VLOOKUP(P1533,'unique fed agency names'!A:C,3,FALSE)),P1533,VLOOKUP(P1533,'unique fed agency names'!A:C,3,FALSE))
</f>
        <v>U.S. Department of Education (ED)</v>
      </c>
      <c r="R1533" s="1">
        <v>2.2561935E7</v>
      </c>
      <c r="S1533" s="1" t="s">
        <v>2631</v>
      </c>
      <c r="T1533" s="1" t="str">
        <f>IF(ISERROR(VLOOKUP(S1533,'unique org names'!A:C,3,FALSE)),S1533,VLOOKUP(S1533,'unique org names'!A:C,3,FALSE))
</f>
        <v>JOY PREPARATORY ACADEMY</v>
      </c>
      <c r="V1533" s="1" t="s">
        <v>2632</v>
      </c>
      <c r="W1533" s="1" t="s">
        <v>44</v>
      </c>
      <c r="X1533" s="1" t="s">
        <v>45</v>
      </c>
      <c r="Y1533" s="1">
        <v>4.8238E8</v>
      </c>
      <c r="AA1533" s="1" t="s">
        <v>44</v>
      </c>
      <c r="AB1533" s="1" t="s">
        <v>45</v>
      </c>
      <c r="AC1533" s="1">
        <v>4.82382124E8</v>
      </c>
      <c r="AF1533" s="1">
        <v>308909.0</v>
      </c>
      <c r="AG1533" s="2">
        <v>41809.0</v>
      </c>
      <c r="AH1533" s="1">
        <v>9100.0</v>
      </c>
      <c r="AI1533" s="1" t="s">
        <v>194</v>
      </c>
      <c r="AJ1533" s="1" t="s">
        <v>3004</v>
      </c>
      <c r="AK1533" s="1" t="s">
        <v>3000</v>
      </c>
      <c r="AL1533" s="1">
        <v>1.0</v>
      </c>
      <c r="AM1533" s="1">
        <v>2015.0</v>
      </c>
      <c r="AN1533" s="1">
        <v>2014.0</v>
      </c>
      <c r="AO1533" s="1" t="s">
        <v>1171</v>
      </c>
    </row>
    <row r="1534">
      <c r="A1534" s="5">
        <v>1.0</v>
      </c>
      <c r="B1534" s="1">
        <f t="shared" si="1"/>
        <v>1534</v>
      </c>
      <c r="C1534" s="1" t="s">
        <v>2995</v>
      </c>
      <c r="D1534" s="1" t="s">
        <v>2995</v>
      </c>
      <c r="E1534" s="1" t="s">
        <v>194</v>
      </c>
      <c r="G1534" s="1">
        <v>5.11731456E8</v>
      </c>
      <c r="H1534" s="2">
        <v>41752.0</v>
      </c>
      <c r="I1534" s="1" t="s">
        <v>1168</v>
      </c>
      <c r="K1534" s="1" t="s">
        <v>1168</v>
      </c>
      <c r="N1534" s="1" t="s">
        <v>194</v>
      </c>
      <c r="O1534" s="1">
        <v>9100.0</v>
      </c>
      <c r="P1534" s="1" t="s">
        <v>194</v>
      </c>
      <c r="Q1534" s="1" t="str">
        <f>IF(ISERROR(VLOOKUP(P1534,'unique fed agency names'!A:C,3,FALSE)),P1534,VLOOKUP(P1534,'unique fed agency names'!A:C,3,FALSE))
</f>
        <v>U.S. Department of Education (ED)</v>
      </c>
      <c r="R1534" s="1">
        <v>8.3082572E8</v>
      </c>
      <c r="S1534" s="1" t="s">
        <v>465</v>
      </c>
      <c r="T1534" s="1" t="str">
        <f>IF(ISERROR(VLOOKUP(S1534,'unique org names'!A:C,3,FALSE)),S1534,VLOOKUP(S1534,'unique org names'!A:C,3,FALSE))
</f>
        <v>Public School Academies of Detroit</v>
      </c>
      <c r="U1534" s="1" t="s">
        <v>554</v>
      </c>
      <c r="V1534" s="1" t="s">
        <v>555</v>
      </c>
      <c r="W1534" s="1" t="s">
        <v>44</v>
      </c>
      <c r="X1534" s="1" t="s">
        <v>45</v>
      </c>
      <c r="Y1534" s="1">
        <v>4.82024061E8</v>
      </c>
      <c r="AA1534" s="1" t="s">
        <v>44</v>
      </c>
      <c r="AB1534" s="1" t="s">
        <v>45</v>
      </c>
      <c r="AC1534" s="1">
        <v>4.82023457E8</v>
      </c>
      <c r="AD1534" s="1">
        <v>1.6338926E8</v>
      </c>
      <c r="AE1534" s="1" t="s">
        <v>465</v>
      </c>
      <c r="AF1534" s="1">
        <v>741997.0</v>
      </c>
      <c r="AG1534" s="2">
        <v>41752.0</v>
      </c>
      <c r="AH1534" s="1">
        <v>9100.0</v>
      </c>
      <c r="AI1534" s="1" t="s">
        <v>194</v>
      </c>
      <c r="AJ1534" s="1" t="s">
        <v>3005</v>
      </c>
      <c r="AK1534" s="1" t="s">
        <v>1170</v>
      </c>
      <c r="AL1534" s="1">
        <v>1.0</v>
      </c>
      <c r="AM1534" s="1">
        <v>2015.0</v>
      </c>
      <c r="AN1534" s="1">
        <v>2014.0</v>
      </c>
      <c r="AO1534" s="1" t="s">
        <v>1171</v>
      </c>
    </row>
    <row r="1535">
      <c r="A1535" s="5">
        <v>1.0</v>
      </c>
      <c r="B1535" s="1">
        <f t="shared" si="1"/>
        <v>1535</v>
      </c>
      <c r="C1535" s="1" t="s">
        <v>2995</v>
      </c>
      <c r="D1535" s="1" t="s">
        <v>2995</v>
      </c>
      <c r="E1535" s="1" t="s">
        <v>194</v>
      </c>
      <c r="G1535" s="1">
        <v>5.11731456E8</v>
      </c>
      <c r="H1535" s="2">
        <v>41683.0</v>
      </c>
      <c r="I1535" s="1" t="s">
        <v>1168</v>
      </c>
      <c r="K1535" s="1" t="s">
        <v>1168</v>
      </c>
      <c r="N1535" s="1" t="s">
        <v>194</v>
      </c>
      <c r="O1535" s="1">
        <v>9100.0</v>
      </c>
      <c r="P1535" s="1" t="s">
        <v>194</v>
      </c>
      <c r="Q1535" s="1" t="str">
        <f>IF(ISERROR(VLOOKUP(P1535,'unique fed agency names'!A:C,3,FALSE)),P1535,VLOOKUP(P1535,'unique fed agency names'!A:C,3,FALSE))
</f>
        <v>U.S. Department of Education (ED)</v>
      </c>
      <c r="R1535" s="1">
        <v>7.97527715E8</v>
      </c>
      <c r="S1535" s="1" t="s">
        <v>567</v>
      </c>
      <c r="T1535" s="1" t="str">
        <f>IF(ISERROR(VLOOKUP(S1535,'unique org names'!A:C,3,FALSE)),S1535,VLOOKUP(S1535,'unique org names'!A:C,3,FALSE))
</f>
        <v>HAMTRAMCK ACADEMY</v>
      </c>
      <c r="V1535" s="1" t="s">
        <v>568</v>
      </c>
      <c r="W1535" s="1" t="s">
        <v>44</v>
      </c>
      <c r="X1535" s="1" t="s">
        <v>45</v>
      </c>
      <c r="Y1535" s="1">
        <v>4.82123134E8</v>
      </c>
      <c r="AA1535" s="1" t="s">
        <v>498</v>
      </c>
      <c r="AB1535" s="1" t="s">
        <v>45</v>
      </c>
      <c r="AC1535" s="1">
        <v>4.82123134E8</v>
      </c>
      <c r="AD1535" s="1">
        <v>9.60742484E8</v>
      </c>
      <c r="AF1535" s="1">
        <v>439633.0</v>
      </c>
      <c r="AG1535" s="2">
        <v>41683.0</v>
      </c>
      <c r="AH1535" s="1">
        <v>9100.0</v>
      </c>
      <c r="AI1535" s="1" t="s">
        <v>194</v>
      </c>
      <c r="AJ1535" s="1" t="s">
        <v>3006</v>
      </c>
      <c r="AK1535" s="1" t="s">
        <v>1170</v>
      </c>
      <c r="AL1535" s="1">
        <v>1.0</v>
      </c>
      <c r="AM1535" s="1">
        <v>2015.0</v>
      </c>
      <c r="AN1535" s="1">
        <v>2014.0</v>
      </c>
      <c r="AO1535" s="1" t="s">
        <v>1171</v>
      </c>
    </row>
    <row r="1536">
      <c r="A1536" s="5">
        <v>1.0</v>
      </c>
      <c r="B1536" s="1">
        <f t="shared" si="1"/>
        <v>1536</v>
      </c>
      <c r="C1536" s="1" t="s">
        <v>2995</v>
      </c>
      <c r="D1536" s="1" t="s">
        <v>2995</v>
      </c>
      <c r="E1536" s="1" t="s">
        <v>194</v>
      </c>
      <c r="G1536" s="1">
        <v>5.11731456E8</v>
      </c>
      <c r="H1536" s="2">
        <v>41667.0</v>
      </c>
      <c r="I1536" s="1" t="s">
        <v>1168</v>
      </c>
      <c r="K1536" s="1" t="s">
        <v>1168</v>
      </c>
      <c r="N1536" s="1" t="s">
        <v>194</v>
      </c>
      <c r="O1536" s="1">
        <v>9100.0</v>
      </c>
      <c r="P1536" s="1" t="s">
        <v>194</v>
      </c>
      <c r="Q1536" s="1" t="str">
        <f>IF(ISERROR(VLOOKUP(P1536,'unique fed agency names'!A:C,3,FALSE)),P1536,VLOOKUP(P1536,'unique fed agency names'!A:C,3,FALSE))
</f>
        <v>U.S. Department of Education (ED)</v>
      </c>
      <c r="R1536" s="1">
        <v>1.52892667E8</v>
      </c>
      <c r="S1536" s="1" t="s">
        <v>638</v>
      </c>
      <c r="T1536" s="1" t="str">
        <f>IF(ISERROR(VLOOKUP(S1536,'unique org names'!A:C,3,FALSE)),S1536,VLOOKUP(S1536,'unique org names'!A:C,3,FALSE))
</f>
        <v>DOVE ACADEMY OF DETROIT</v>
      </c>
      <c r="V1536" s="1" t="s">
        <v>639</v>
      </c>
      <c r="W1536" s="1" t="s">
        <v>44</v>
      </c>
      <c r="X1536" s="1" t="s">
        <v>45</v>
      </c>
      <c r="Y1536" s="1">
        <v>4.82343358E8</v>
      </c>
      <c r="AA1536" s="1" t="s">
        <v>44</v>
      </c>
      <c r="AB1536" s="1" t="s">
        <v>45</v>
      </c>
      <c r="AC1536" s="1">
        <v>4.82343358E8</v>
      </c>
      <c r="AF1536" s="1">
        <v>336945.0</v>
      </c>
      <c r="AG1536" s="2">
        <v>41667.0</v>
      </c>
      <c r="AH1536" s="1">
        <v>9100.0</v>
      </c>
      <c r="AI1536" s="1" t="s">
        <v>194</v>
      </c>
      <c r="AJ1536" s="1" t="s">
        <v>3007</v>
      </c>
      <c r="AK1536" s="1" t="s">
        <v>1170</v>
      </c>
      <c r="AL1536" s="1">
        <v>1.0</v>
      </c>
      <c r="AM1536" s="1">
        <v>2015.0</v>
      </c>
      <c r="AN1536" s="1">
        <v>2014.0</v>
      </c>
      <c r="AO1536" s="1" t="s">
        <v>1171</v>
      </c>
    </row>
    <row r="1537">
      <c r="A1537" s="5">
        <v>1.0</v>
      </c>
      <c r="B1537" s="1">
        <f t="shared" si="1"/>
        <v>1537</v>
      </c>
      <c r="C1537" s="1" t="s">
        <v>2995</v>
      </c>
      <c r="D1537" s="1" t="s">
        <v>2995</v>
      </c>
      <c r="E1537" s="1" t="s">
        <v>194</v>
      </c>
      <c r="G1537" s="1">
        <v>5.11731456E8</v>
      </c>
      <c r="H1537" s="2">
        <v>41717.0</v>
      </c>
      <c r="I1537" s="1" t="s">
        <v>1168</v>
      </c>
      <c r="K1537" s="1" t="s">
        <v>1168</v>
      </c>
      <c r="N1537" s="1" t="s">
        <v>194</v>
      </c>
      <c r="O1537" s="1">
        <v>9100.0</v>
      </c>
      <c r="P1537" s="1" t="s">
        <v>194</v>
      </c>
      <c r="Q1537" s="1" t="str">
        <f>IF(ISERROR(VLOOKUP(P1537,'unique fed agency names'!A:C,3,FALSE)),P1537,VLOOKUP(P1537,'unique fed agency names'!A:C,3,FALSE))
</f>
        <v>U.S. Department of Education (ED)</v>
      </c>
      <c r="R1537" s="1">
        <v>3.9866801E7</v>
      </c>
      <c r="S1537" s="1" t="s">
        <v>612</v>
      </c>
      <c r="T1537" s="1" t="str">
        <f>IF(ISERROR(VLOOKUP(S1537,'unique org names'!A:C,3,FALSE)),S1537,VLOOKUP(S1537,'unique org names'!A:C,3,FALSE))
</f>
        <v>HAMTRAMCK PUBLIC SCHOOLS</v>
      </c>
      <c r="V1537" s="1" t="s">
        <v>613</v>
      </c>
      <c r="W1537" s="1" t="s">
        <v>44</v>
      </c>
      <c r="X1537" s="1" t="s">
        <v>45</v>
      </c>
      <c r="Y1537" s="1">
        <v>4.8212E8</v>
      </c>
      <c r="AA1537" s="1" t="s">
        <v>607</v>
      </c>
      <c r="AB1537" s="1" t="s">
        <v>45</v>
      </c>
      <c r="AC1537" s="1">
        <v>4.82120012E8</v>
      </c>
      <c r="AD1537" s="1">
        <v>3.9866801E7</v>
      </c>
      <c r="AE1537" s="1" t="s">
        <v>612</v>
      </c>
      <c r="AF1537" s="1">
        <v>4891662.0</v>
      </c>
      <c r="AG1537" s="2">
        <v>41717.0</v>
      </c>
      <c r="AH1537" s="1">
        <v>9100.0</v>
      </c>
      <c r="AI1537" s="1" t="s">
        <v>194</v>
      </c>
      <c r="AJ1537" s="1" t="s">
        <v>3008</v>
      </c>
      <c r="AK1537" s="1" t="s">
        <v>3000</v>
      </c>
      <c r="AL1537" s="1">
        <v>1.0</v>
      </c>
      <c r="AM1537" s="1">
        <v>2015.0</v>
      </c>
      <c r="AN1537" s="1">
        <v>2014.0</v>
      </c>
      <c r="AO1537" s="1" t="s">
        <v>1171</v>
      </c>
    </row>
    <row r="1538">
      <c r="A1538" s="5">
        <v>1.0</v>
      </c>
      <c r="B1538" s="1">
        <f t="shared" si="1"/>
        <v>1538</v>
      </c>
      <c r="C1538" s="1" t="s">
        <v>2995</v>
      </c>
      <c r="D1538" s="1" t="s">
        <v>2995</v>
      </c>
      <c r="E1538" s="1" t="s">
        <v>194</v>
      </c>
      <c r="G1538" s="1">
        <v>5.11731456E8</v>
      </c>
      <c r="H1538" s="2">
        <v>41708.0</v>
      </c>
      <c r="I1538" s="1" t="s">
        <v>1168</v>
      </c>
      <c r="K1538" s="1" t="s">
        <v>1168</v>
      </c>
      <c r="N1538" s="1" t="s">
        <v>194</v>
      </c>
      <c r="O1538" s="1">
        <v>9100.0</v>
      </c>
      <c r="P1538" s="1" t="s">
        <v>194</v>
      </c>
      <c r="Q1538" s="1" t="str">
        <f>IF(ISERROR(VLOOKUP(P1538,'unique fed agency names'!A:C,3,FALSE)),P1538,VLOOKUP(P1538,'unique fed agency names'!A:C,3,FALSE))
</f>
        <v>U.S. Department of Education (ED)</v>
      </c>
      <c r="R1538" s="1">
        <v>1.38064923E8</v>
      </c>
      <c r="S1538" s="1" t="s">
        <v>585</v>
      </c>
      <c r="T1538" s="1" t="str">
        <f>IF(ISERROR(VLOOKUP(S1538,'unique org names'!A:C,3,FALSE)),S1538,VLOOKUP(S1538,'unique org names'!A:C,3,FALSE))
</f>
        <v>DETROIT MERIT CHARTER ACADEMY</v>
      </c>
      <c r="V1538" s="1" t="s">
        <v>586</v>
      </c>
      <c r="W1538" s="1" t="s">
        <v>44</v>
      </c>
      <c r="X1538" s="1" t="s">
        <v>45</v>
      </c>
      <c r="Y1538" s="1">
        <v>4.82152861E8</v>
      </c>
      <c r="AA1538" s="1" t="s">
        <v>44</v>
      </c>
      <c r="AB1538" s="1" t="s">
        <v>45</v>
      </c>
      <c r="AC1538" s="1">
        <v>4.82152861E8</v>
      </c>
      <c r="AD1538" s="1">
        <v>9.60742484E8</v>
      </c>
      <c r="AF1538" s="1">
        <v>440033.0</v>
      </c>
      <c r="AG1538" s="2">
        <v>41708.0</v>
      </c>
      <c r="AH1538" s="1">
        <v>9100.0</v>
      </c>
      <c r="AI1538" s="1" t="s">
        <v>194</v>
      </c>
      <c r="AJ1538" s="1" t="s">
        <v>3009</v>
      </c>
      <c r="AK1538" s="1" t="s">
        <v>1170</v>
      </c>
      <c r="AL1538" s="1">
        <v>1.0</v>
      </c>
      <c r="AM1538" s="1">
        <v>2015.0</v>
      </c>
      <c r="AN1538" s="1">
        <v>2014.0</v>
      </c>
      <c r="AO1538" s="1" t="s">
        <v>1171</v>
      </c>
    </row>
    <row r="1539">
      <c r="A1539" s="5">
        <v>1.0</v>
      </c>
      <c r="B1539" s="1">
        <f t="shared" si="1"/>
        <v>1539</v>
      </c>
      <c r="C1539" s="1" t="s">
        <v>2995</v>
      </c>
      <c r="D1539" s="1" t="s">
        <v>2995</v>
      </c>
      <c r="E1539" s="1" t="s">
        <v>194</v>
      </c>
      <c r="G1539" s="1">
        <v>5.11731456E8</v>
      </c>
      <c r="H1539" s="2">
        <v>41670.0</v>
      </c>
      <c r="I1539" s="1" t="s">
        <v>1168</v>
      </c>
      <c r="K1539" s="1" t="s">
        <v>1168</v>
      </c>
      <c r="N1539" s="1" t="s">
        <v>194</v>
      </c>
      <c r="O1539" s="1">
        <v>9100.0</v>
      </c>
      <c r="P1539" s="1" t="s">
        <v>194</v>
      </c>
      <c r="Q1539" s="1" t="str">
        <f>IF(ISERROR(VLOOKUP(P1539,'unique fed agency names'!A:C,3,FALSE)),P1539,VLOOKUP(P1539,'unique fed agency names'!A:C,3,FALSE))
</f>
        <v>U.S. Department of Education (ED)</v>
      </c>
      <c r="R1539" s="1">
        <v>8.01081899E8</v>
      </c>
      <c r="S1539" s="1" t="s">
        <v>280</v>
      </c>
      <c r="T1539" s="1" t="str">
        <f>IF(ISERROR(VLOOKUP(S1539,'unique org names'!A:C,3,FALSE)),S1539,VLOOKUP(S1539,'unique org names'!A:C,3,FALSE))
</f>
        <v>ACE ACADEMY</v>
      </c>
      <c r="V1539" s="1" t="s">
        <v>281</v>
      </c>
      <c r="W1539" s="1" t="s">
        <v>44</v>
      </c>
      <c r="X1539" s="1" t="s">
        <v>45</v>
      </c>
      <c r="Y1539" s="1">
        <v>4.82033277E8</v>
      </c>
      <c r="AA1539" s="1" t="s">
        <v>282</v>
      </c>
      <c r="AB1539" s="1" t="s">
        <v>45</v>
      </c>
      <c r="AC1539" s="1">
        <v>4.82202899E8</v>
      </c>
      <c r="AF1539" s="1">
        <v>239752.0</v>
      </c>
      <c r="AG1539" s="2">
        <v>41670.0</v>
      </c>
      <c r="AH1539" s="1">
        <v>9100.0</v>
      </c>
      <c r="AI1539" s="1" t="s">
        <v>194</v>
      </c>
      <c r="AJ1539" s="1" t="s">
        <v>3010</v>
      </c>
      <c r="AK1539" s="1" t="s">
        <v>1170</v>
      </c>
      <c r="AL1539" s="1">
        <v>1.0</v>
      </c>
      <c r="AM1539" s="1">
        <v>2015.0</v>
      </c>
      <c r="AN1539" s="1">
        <v>2014.0</v>
      </c>
      <c r="AO1539" s="1" t="s">
        <v>1171</v>
      </c>
    </row>
    <row r="1540">
      <c r="A1540" s="5">
        <v>1.0</v>
      </c>
      <c r="B1540" s="1">
        <f t="shared" si="1"/>
        <v>1540</v>
      </c>
      <c r="C1540" s="1" t="s">
        <v>2995</v>
      </c>
      <c r="D1540" s="1" t="s">
        <v>2995</v>
      </c>
      <c r="E1540" s="1" t="s">
        <v>194</v>
      </c>
      <c r="G1540" s="1">
        <v>5.11731456E8</v>
      </c>
      <c r="H1540" s="2">
        <v>41761.0</v>
      </c>
      <c r="I1540" s="1" t="s">
        <v>1168</v>
      </c>
      <c r="K1540" s="1" t="s">
        <v>1168</v>
      </c>
      <c r="N1540" s="1" t="s">
        <v>194</v>
      </c>
      <c r="O1540" s="1">
        <v>9100.0</v>
      </c>
      <c r="P1540" s="1" t="s">
        <v>194</v>
      </c>
      <c r="Q1540" s="1" t="str">
        <f>IF(ISERROR(VLOOKUP(P1540,'unique fed agency names'!A:C,3,FALSE)),P1540,VLOOKUP(P1540,'unique fed agency names'!A:C,3,FALSE))
</f>
        <v>U.S. Department of Education (ED)</v>
      </c>
      <c r="R1540" s="1">
        <v>2.496865E7</v>
      </c>
      <c r="S1540" s="1" t="s">
        <v>609</v>
      </c>
      <c r="T1540" s="1" t="str">
        <f>IF(ISERROR(VLOOKUP(S1540,'unique org names'!A:C,3,FALSE)),S1540,VLOOKUP(S1540,'unique org names'!A:C,3,FALSE))
</f>
        <v>Jalen Rose Leadership Academy</v>
      </c>
      <c r="V1540" s="1" t="s">
        <v>610</v>
      </c>
      <c r="W1540" s="1" t="s">
        <v>44</v>
      </c>
      <c r="X1540" s="1" t="s">
        <v>45</v>
      </c>
      <c r="Y1540" s="1">
        <v>4.8235168E8</v>
      </c>
      <c r="AA1540" s="1" t="s">
        <v>46</v>
      </c>
      <c r="AB1540" s="1" t="s">
        <v>45</v>
      </c>
      <c r="AC1540" s="1">
        <v>4.8235168E8</v>
      </c>
      <c r="AF1540" s="1">
        <v>164101.0</v>
      </c>
      <c r="AG1540" s="2">
        <v>41761.0</v>
      </c>
      <c r="AH1540" s="1">
        <v>9100.0</v>
      </c>
      <c r="AI1540" s="1" t="s">
        <v>194</v>
      </c>
      <c r="AJ1540" s="1" t="s">
        <v>3011</v>
      </c>
      <c r="AK1540" s="1" t="s">
        <v>3000</v>
      </c>
      <c r="AL1540" s="1">
        <v>1.0</v>
      </c>
      <c r="AM1540" s="1">
        <v>2015.0</v>
      </c>
      <c r="AN1540" s="1">
        <v>2014.0</v>
      </c>
      <c r="AO1540" s="1" t="s">
        <v>1171</v>
      </c>
    </row>
    <row r="1541">
      <c r="A1541" s="5">
        <v>1.0</v>
      </c>
      <c r="B1541" s="1">
        <f t="shared" si="1"/>
        <v>1541</v>
      </c>
      <c r="C1541" s="1" t="s">
        <v>2995</v>
      </c>
      <c r="D1541" s="1" t="s">
        <v>2995</v>
      </c>
      <c r="E1541" s="1" t="s">
        <v>194</v>
      </c>
      <c r="G1541" s="1">
        <v>5.11731456E8</v>
      </c>
      <c r="H1541" s="2">
        <v>41733.0</v>
      </c>
      <c r="I1541" s="1" t="s">
        <v>1168</v>
      </c>
      <c r="K1541" s="1" t="s">
        <v>1168</v>
      </c>
      <c r="N1541" s="1" t="s">
        <v>194</v>
      </c>
      <c r="O1541" s="1">
        <v>9100.0</v>
      </c>
      <c r="P1541" s="1" t="s">
        <v>194</v>
      </c>
      <c r="Q1541" s="1" t="str">
        <f>IF(ISERROR(VLOOKUP(P1541,'unique fed agency names'!A:C,3,FALSE)),P1541,VLOOKUP(P1541,'unique fed agency names'!A:C,3,FALSE))
</f>
        <v>U.S. Department of Education (ED)</v>
      </c>
      <c r="R1541" s="1">
        <v>7.6340843E7</v>
      </c>
      <c r="S1541" s="1" t="s">
        <v>461</v>
      </c>
      <c r="T1541" s="1" t="str">
        <f>IF(ISERROR(VLOOKUP(S1541,'unique org names'!A:C,3,FALSE)),S1541,VLOOKUP(S1541,'unique org names'!A:C,3,FALSE))
</f>
        <v>BOARD OF EDUCATION OF THE CITY OF DETROIT</v>
      </c>
      <c r="V1541" s="1" t="s">
        <v>1599</v>
      </c>
      <c r="W1541" s="1" t="s">
        <v>44</v>
      </c>
      <c r="X1541" s="1" t="s">
        <v>45</v>
      </c>
      <c r="Y1541" s="1">
        <v>4.8202301E8</v>
      </c>
      <c r="AA1541" s="1" t="s">
        <v>44</v>
      </c>
      <c r="AB1541" s="1" t="s">
        <v>45</v>
      </c>
      <c r="AC1541" s="1">
        <v>4.82023096E8</v>
      </c>
      <c r="AD1541" s="1">
        <v>7.6340843E7</v>
      </c>
      <c r="AE1541" s="1" t="s">
        <v>461</v>
      </c>
      <c r="AF1541" s="1">
        <v>1.45378333E8</v>
      </c>
      <c r="AG1541" s="2">
        <v>41733.0</v>
      </c>
      <c r="AH1541" s="1">
        <v>9100.0</v>
      </c>
      <c r="AI1541" s="1" t="s">
        <v>194</v>
      </c>
      <c r="AJ1541" s="1" t="s">
        <v>3012</v>
      </c>
      <c r="AK1541" s="1" t="s">
        <v>1170</v>
      </c>
      <c r="AL1541" s="1">
        <v>1.0</v>
      </c>
      <c r="AM1541" s="1">
        <v>2015.0</v>
      </c>
      <c r="AN1541" s="1">
        <v>2014.0</v>
      </c>
      <c r="AO1541" s="1" t="s">
        <v>1171</v>
      </c>
    </row>
    <row r="1542">
      <c r="A1542" s="5">
        <v>1.0</v>
      </c>
      <c r="B1542" s="1">
        <f t="shared" si="1"/>
        <v>1542</v>
      </c>
      <c r="C1542" s="1" t="s">
        <v>2995</v>
      </c>
      <c r="D1542" s="1" t="s">
        <v>2995</v>
      </c>
      <c r="E1542" s="1" t="s">
        <v>194</v>
      </c>
      <c r="G1542" s="1">
        <v>5.11731456E8</v>
      </c>
      <c r="H1542" s="2">
        <v>41716.0</v>
      </c>
      <c r="I1542" s="1" t="s">
        <v>1168</v>
      </c>
      <c r="K1542" s="1" t="s">
        <v>1168</v>
      </c>
      <c r="N1542" s="1" t="s">
        <v>194</v>
      </c>
      <c r="O1542" s="1">
        <v>9100.0</v>
      </c>
      <c r="P1542" s="1" t="s">
        <v>194</v>
      </c>
      <c r="Q1542" s="1" t="str">
        <f>IF(ISERROR(VLOOKUP(P1542,'unique fed agency names'!A:C,3,FALSE)),P1542,VLOOKUP(P1542,'unique fed agency names'!A:C,3,FALSE))
</f>
        <v>U.S. Department of Education (ED)</v>
      </c>
      <c r="R1542" s="1">
        <v>7.8346351E7</v>
      </c>
      <c r="S1542" s="1" t="s">
        <v>615</v>
      </c>
      <c r="T1542" s="1" t="str">
        <f>IF(ISERROR(VLOOKUP(S1542,'unique org names'!A:C,3,FALSE)),S1542,VLOOKUP(S1542,'unique org names'!A:C,3,FALSE))
</f>
        <v>Education Achievement Authority</v>
      </c>
      <c r="V1542" s="1" t="s">
        <v>1708</v>
      </c>
      <c r="W1542" s="1" t="s">
        <v>44</v>
      </c>
      <c r="X1542" s="1" t="s">
        <v>45</v>
      </c>
      <c r="Y1542" s="1">
        <v>4.82074457E8</v>
      </c>
      <c r="AA1542" s="1" t="s">
        <v>44</v>
      </c>
      <c r="AB1542" s="1" t="s">
        <v>45</v>
      </c>
      <c r="AC1542" s="1">
        <v>4.82074298E8</v>
      </c>
      <c r="AF1542" s="1">
        <v>1.9948046E7</v>
      </c>
      <c r="AG1542" s="2">
        <v>41716.0</v>
      </c>
      <c r="AH1542" s="1">
        <v>9100.0</v>
      </c>
      <c r="AI1542" s="1" t="s">
        <v>194</v>
      </c>
      <c r="AJ1542" s="1" t="s">
        <v>3013</v>
      </c>
      <c r="AK1542" s="1" t="s">
        <v>1170</v>
      </c>
      <c r="AL1542" s="1">
        <v>1.0</v>
      </c>
      <c r="AM1542" s="1">
        <v>2015.0</v>
      </c>
      <c r="AN1542" s="1">
        <v>2014.0</v>
      </c>
      <c r="AO1542" s="1" t="s">
        <v>1171</v>
      </c>
    </row>
    <row r="1543">
      <c r="A1543" s="5">
        <v>1.0</v>
      </c>
      <c r="B1543" s="1">
        <f t="shared" si="1"/>
        <v>1543</v>
      </c>
      <c r="C1543" s="1" t="s">
        <v>2995</v>
      </c>
      <c r="D1543" s="1" t="s">
        <v>2995</v>
      </c>
      <c r="E1543" s="1" t="s">
        <v>194</v>
      </c>
      <c r="G1543" s="1">
        <v>5.11731456E8</v>
      </c>
      <c r="H1543" s="2">
        <v>41740.0</v>
      </c>
      <c r="I1543" s="1" t="s">
        <v>1168</v>
      </c>
      <c r="K1543" s="1" t="s">
        <v>1168</v>
      </c>
      <c r="N1543" s="1" t="s">
        <v>194</v>
      </c>
      <c r="O1543" s="1">
        <v>9100.0</v>
      </c>
      <c r="P1543" s="1" t="s">
        <v>194</v>
      </c>
      <c r="Q1543" s="1" t="str">
        <f>IF(ISERROR(VLOOKUP(P1543,'unique fed agency names'!A:C,3,FALSE)),P1543,VLOOKUP(P1543,'unique fed agency names'!A:C,3,FALSE))
</f>
        <v>U.S. Department of Education (ED)</v>
      </c>
      <c r="R1543" s="1">
        <v>1.17726252E8</v>
      </c>
      <c r="S1543" s="1" t="s">
        <v>512</v>
      </c>
      <c r="T1543" s="1" t="str">
        <f>IF(ISERROR(VLOOKUP(S1543,'unique org names'!A:C,3,FALSE)),S1543,VLOOKUP(S1543,'unique org names'!A:C,3,FALSE))
</f>
        <v>OLD REDFORD ACADEMY</v>
      </c>
      <c r="V1543" s="1" t="s">
        <v>513</v>
      </c>
      <c r="W1543" s="1" t="s">
        <v>44</v>
      </c>
      <c r="X1543" s="1" t="s">
        <v>45</v>
      </c>
      <c r="Y1543" s="1">
        <v>4.82193259E8</v>
      </c>
      <c r="AA1543" s="1" t="s">
        <v>44</v>
      </c>
      <c r="AB1543" s="1" t="s">
        <v>45</v>
      </c>
      <c r="AC1543" s="1">
        <v>4.82193259E8</v>
      </c>
      <c r="AF1543" s="1">
        <v>1117465.0</v>
      </c>
      <c r="AG1543" s="2">
        <v>41740.0</v>
      </c>
      <c r="AH1543" s="1">
        <v>9100.0</v>
      </c>
      <c r="AI1543" s="1" t="s">
        <v>194</v>
      </c>
      <c r="AJ1543" s="1" t="s">
        <v>3014</v>
      </c>
      <c r="AK1543" s="1" t="s">
        <v>1170</v>
      </c>
      <c r="AL1543" s="1">
        <v>1.0</v>
      </c>
      <c r="AM1543" s="1">
        <v>2015.0</v>
      </c>
      <c r="AN1543" s="1">
        <v>2014.0</v>
      </c>
      <c r="AO1543" s="1" t="s">
        <v>1171</v>
      </c>
    </row>
    <row r="1544">
      <c r="A1544" s="5">
        <v>1.0</v>
      </c>
      <c r="B1544" s="1">
        <f t="shared" si="1"/>
        <v>1544</v>
      </c>
      <c r="C1544" s="1" t="s">
        <v>2995</v>
      </c>
      <c r="D1544" s="1" t="s">
        <v>2995</v>
      </c>
      <c r="E1544" s="1" t="s">
        <v>194</v>
      </c>
      <c r="G1544" s="1">
        <v>5.11731456E8</v>
      </c>
      <c r="H1544" s="2">
        <v>41739.0</v>
      </c>
      <c r="I1544" s="1" t="s">
        <v>1168</v>
      </c>
      <c r="K1544" s="1" t="s">
        <v>1168</v>
      </c>
      <c r="N1544" s="1" t="s">
        <v>194</v>
      </c>
      <c r="O1544" s="1">
        <v>9100.0</v>
      </c>
      <c r="P1544" s="1" t="s">
        <v>194</v>
      </c>
      <c r="Q1544" s="1" t="str">
        <f>IF(ISERROR(VLOOKUP(P1544,'unique fed agency names'!A:C,3,FALSE)),P1544,VLOOKUP(P1544,'unique fed agency names'!A:C,3,FALSE))
</f>
        <v>U.S. Department of Education (ED)</v>
      </c>
      <c r="R1544" s="1">
        <v>8.30649195E8</v>
      </c>
      <c r="S1544" s="1" t="s">
        <v>545</v>
      </c>
      <c r="T1544" s="1" t="str">
        <f>IF(ISERROR(VLOOKUP(S1544,'unique org names'!A:C,3,FALSE)),S1544,VLOOKUP(S1544,'unique org names'!A:C,3,FALSE))
</f>
        <v>PLYMOUTH EDUCATIONAL CENTER CHARTER SCHOOL</v>
      </c>
      <c r="V1544" s="1" t="s">
        <v>547</v>
      </c>
      <c r="W1544" s="1" t="s">
        <v>44</v>
      </c>
      <c r="X1544" s="1" t="s">
        <v>45</v>
      </c>
      <c r="Y1544" s="1">
        <v>4.82071E8</v>
      </c>
      <c r="AA1544" s="1" t="s">
        <v>44</v>
      </c>
      <c r="AB1544" s="1" t="s">
        <v>45</v>
      </c>
      <c r="AC1544" s="1">
        <v>4.82071E8</v>
      </c>
      <c r="AF1544" s="1">
        <v>618693.0</v>
      </c>
      <c r="AG1544" s="2">
        <v>41739.0</v>
      </c>
      <c r="AH1544" s="1">
        <v>9100.0</v>
      </c>
      <c r="AI1544" s="1" t="s">
        <v>194</v>
      </c>
      <c r="AJ1544" s="1" t="s">
        <v>3015</v>
      </c>
      <c r="AK1544" s="1" t="s">
        <v>1170</v>
      </c>
      <c r="AL1544" s="1">
        <v>1.0</v>
      </c>
      <c r="AM1544" s="1">
        <v>2015.0</v>
      </c>
      <c r="AN1544" s="1">
        <v>2014.0</v>
      </c>
      <c r="AO1544" s="1" t="s">
        <v>1171</v>
      </c>
    </row>
    <row r="1545">
      <c r="A1545" s="5">
        <v>1.0</v>
      </c>
      <c r="B1545" s="1">
        <f t="shared" si="1"/>
        <v>1545</v>
      </c>
      <c r="C1545" s="1" t="s">
        <v>2988</v>
      </c>
      <c r="D1545" s="1" t="s">
        <v>2988</v>
      </c>
      <c r="E1545" s="1" t="s">
        <v>194</v>
      </c>
      <c r="G1545" s="1">
        <v>3.9382336E8</v>
      </c>
      <c r="H1545" s="2">
        <v>41899.0</v>
      </c>
      <c r="I1545" s="1" t="s">
        <v>1950</v>
      </c>
      <c r="K1545" s="1" t="s">
        <v>1950</v>
      </c>
      <c r="N1545" s="1" t="s">
        <v>194</v>
      </c>
      <c r="O1545" s="1">
        <v>9100.0</v>
      </c>
      <c r="P1545" s="1" t="s">
        <v>194</v>
      </c>
      <c r="Q1545" s="1" t="str">
        <f>IF(ISERROR(VLOOKUP(P1545,'unique fed agency names'!A:C,3,FALSE)),P1545,VLOOKUP(P1545,'unique fed agency names'!A:C,3,FALSE))
</f>
        <v>U.S. Department of Education (ED)</v>
      </c>
      <c r="R1545" s="1">
        <v>7.8346351E7</v>
      </c>
      <c r="S1545" s="1" t="s">
        <v>615</v>
      </c>
      <c r="T1545" s="1" t="str">
        <f>IF(ISERROR(VLOOKUP(S1545,'unique org names'!A:C,3,FALSE)),S1545,VLOOKUP(S1545,'unique org names'!A:C,3,FALSE))
</f>
        <v>Education Achievement Authority</v>
      </c>
      <c r="U1545" s="1" t="s">
        <v>2989</v>
      </c>
      <c r="V1545" s="1" t="s">
        <v>1708</v>
      </c>
      <c r="W1545" s="1" t="s">
        <v>44</v>
      </c>
      <c r="X1545" s="1" t="s">
        <v>45</v>
      </c>
      <c r="Y1545" s="1">
        <v>4.82074457E8</v>
      </c>
      <c r="AA1545" s="1" t="s">
        <v>44</v>
      </c>
      <c r="AB1545" s="1" t="s">
        <v>45</v>
      </c>
      <c r="AC1545" s="1">
        <v>4.82074298E8</v>
      </c>
      <c r="AD1545" s="1">
        <v>7.8903218E7</v>
      </c>
      <c r="AE1545" s="1" t="s">
        <v>2990</v>
      </c>
      <c r="AF1545" s="1">
        <v>50000.0</v>
      </c>
      <c r="AG1545" s="2">
        <v>41899.0</v>
      </c>
      <c r="AH1545" s="1">
        <v>9100.0</v>
      </c>
      <c r="AI1545" s="1" t="s">
        <v>194</v>
      </c>
      <c r="AJ1545" s="1" t="s">
        <v>3016</v>
      </c>
      <c r="AK1545" s="1" t="s">
        <v>1952</v>
      </c>
      <c r="AL1545" s="1">
        <v>1.0</v>
      </c>
      <c r="AM1545" s="1">
        <v>2015.0</v>
      </c>
      <c r="AN1545" s="1">
        <v>2014.0</v>
      </c>
      <c r="AO1545" s="1" t="s">
        <v>1953</v>
      </c>
    </row>
    <row r="1546">
      <c r="A1546" s="5">
        <v>1.0</v>
      </c>
      <c r="B1546" s="1">
        <f t="shared" si="1"/>
        <v>1546</v>
      </c>
      <c r="C1546" s="1" t="s">
        <v>2995</v>
      </c>
      <c r="D1546" s="1" t="s">
        <v>2995</v>
      </c>
      <c r="E1546" s="1" t="s">
        <v>194</v>
      </c>
      <c r="G1546" s="1">
        <v>5.11731456E8</v>
      </c>
      <c r="H1546" s="2">
        <v>41688.0</v>
      </c>
      <c r="I1546" s="1" t="s">
        <v>1168</v>
      </c>
      <c r="K1546" s="1" t="s">
        <v>1168</v>
      </c>
      <c r="N1546" s="1" t="s">
        <v>194</v>
      </c>
      <c r="O1546" s="1">
        <v>9100.0</v>
      </c>
      <c r="P1546" s="1" t="s">
        <v>194</v>
      </c>
      <c r="Q1546" s="1" t="str">
        <f>IF(ISERROR(VLOOKUP(P1546,'unique fed agency names'!A:C,3,FALSE)),P1546,VLOOKUP(P1546,'unique fed agency names'!A:C,3,FALSE))
</f>
        <v>U.S. Department of Education (ED)</v>
      </c>
      <c r="R1546" s="1">
        <v>3.7602699E7</v>
      </c>
      <c r="S1546" s="1" t="s">
        <v>535</v>
      </c>
      <c r="T1546" s="1" t="str">
        <f>IF(ISERROR(VLOOKUP(S1546,'unique org names'!A:C,3,FALSE)),S1546,VLOOKUP(S1546,'unique org names'!A:C,3,FALSE))
</f>
        <v>REGENT PARK SCHOLARS CHARTER ACADEMY</v>
      </c>
      <c r="V1546" s="1" t="s">
        <v>536</v>
      </c>
      <c r="W1546" s="1" t="s">
        <v>44</v>
      </c>
      <c r="X1546" s="1" t="s">
        <v>45</v>
      </c>
      <c r="Y1546" s="1">
        <v>4.82052545E8</v>
      </c>
      <c r="AA1546" s="1" t="s">
        <v>46</v>
      </c>
      <c r="AB1546" s="1" t="s">
        <v>45</v>
      </c>
      <c r="AC1546" s="1">
        <v>4.82052545E8</v>
      </c>
      <c r="AF1546" s="1">
        <v>473207.0</v>
      </c>
      <c r="AG1546" s="2">
        <v>41688.0</v>
      </c>
      <c r="AH1546" s="1">
        <v>9100.0</v>
      </c>
      <c r="AI1546" s="1" t="s">
        <v>194</v>
      </c>
      <c r="AJ1546" s="1" t="s">
        <v>3017</v>
      </c>
      <c r="AK1546" s="1" t="s">
        <v>1170</v>
      </c>
      <c r="AL1546" s="1">
        <v>1.0</v>
      </c>
      <c r="AM1546" s="1">
        <v>2015.0</v>
      </c>
      <c r="AN1546" s="1">
        <v>2014.0</v>
      </c>
      <c r="AO1546" s="1" t="s">
        <v>1171</v>
      </c>
    </row>
    <row r="1547">
      <c r="A1547" s="5">
        <v>1.0</v>
      </c>
      <c r="B1547" s="1">
        <f t="shared" si="1"/>
        <v>1547</v>
      </c>
      <c r="C1547" s="1" t="s">
        <v>2995</v>
      </c>
      <c r="D1547" s="1" t="s">
        <v>2995</v>
      </c>
      <c r="E1547" s="1" t="s">
        <v>194</v>
      </c>
      <c r="G1547" s="1">
        <v>5.11731456E8</v>
      </c>
      <c r="H1547" s="2">
        <v>41752.0</v>
      </c>
      <c r="I1547" s="1" t="s">
        <v>1168</v>
      </c>
      <c r="K1547" s="1" t="s">
        <v>1168</v>
      </c>
      <c r="N1547" s="1" t="s">
        <v>194</v>
      </c>
      <c r="O1547" s="1">
        <v>9100.0</v>
      </c>
      <c r="P1547" s="1" t="s">
        <v>194</v>
      </c>
      <c r="Q1547" s="1" t="str">
        <f>IF(ISERROR(VLOOKUP(P1547,'unique fed agency names'!A:C,3,FALSE)),P1547,VLOOKUP(P1547,'unique fed agency names'!A:C,3,FALSE))
</f>
        <v>U.S. Department of Education (ED)</v>
      </c>
      <c r="R1547" s="1">
        <v>7.8359005E7</v>
      </c>
      <c r="S1547" s="1" t="s">
        <v>486</v>
      </c>
      <c r="T1547" s="1" t="str">
        <f>IF(ISERROR(VLOOKUP(S1547,'unique org names'!A:C,3,FALSE)),S1547,VLOOKUP(S1547,'unique org names'!A:C,3,FALSE))
</f>
        <v>GEE EDMONSON ACADEMY</v>
      </c>
      <c r="V1547" s="1" t="s">
        <v>487</v>
      </c>
      <c r="W1547" s="1" t="s">
        <v>44</v>
      </c>
      <c r="X1547" s="1" t="s">
        <v>45</v>
      </c>
      <c r="Y1547" s="1">
        <v>4.82011006E8</v>
      </c>
      <c r="AA1547" s="1" t="s">
        <v>46</v>
      </c>
      <c r="AB1547" s="1" t="s">
        <v>45</v>
      </c>
      <c r="AC1547" s="1">
        <v>4.82011006E8</v>
      </c>
      <c r="AF1547" s="1">
        <v>346672.0</v>
      </c>
      <c r="AG1547" s="2">
        <v>41752.0</v>
      </c>
      <c r="AH1547" s="1">
        <v>9100.0</v>
      </c>
      <c r="AI1547" s="1" t="s">
        <v>194</v>
      </c>
      <c r="AJ1547" s="1" t="s">
        <v>3018</v>
      </c>
      <c r="AK1547" s="1" t="s">
        <v>3000</v>
      </c>
      <c r="AL1547" s="1">
        <v>1.0</v>
      </c>
      <c r="AM1547" s="1">
        <v>2015.0</v>
      </c>
      <c r="AN1547" s="1">
        <v>2014.0</v>
      </c>
      <c r="AO1547" s="1" t="s">
        <v>1171</v>
      </c>
    </row>
    <row r="1548">
      <c r="A1548" s="5">
        <v>1.0</v>
      </c>
      <c r="B1548" s="1">
        <f t="shared" si="1"/>
        <v>1548</v>
      </c>
      <c r="C1548" s="1" t="s">
        <v>2995</v>
      </c>
      <c r="D1548" s="1" t="s">
        <v>2995</v>
      </c>
      <c r="E1548" s="1" t="s">
        <v>194</v>
      </c>
      <c r="G1548" s="1">
        <v>5.11731456E8</v>
      </c>
      <c r="H1548" s="2">
        <v>41733.0</v>
      </c>
      <c r="I1548" s="1" t="s">
        <v>1168</v>
      </c>
      <c r="K1548" s="1" t="s">
        <v>1168</v>
      </c>
      <c r="N1548" s="1" t="s">
        <v>194</v>
      </c>
      <c r="O1548" s="1">
        <v>9100.0</v>
      </c>
      <c r="P1548" s="1" t="s">
        <v>194</v>
      </c>
      <c r="Q1548" s="1" t="str">
        <f>IF(ISERROR(VLOOKUP(P1548,'unique fed agency names'!A:C,3,FALSE)),P1548,VLOOKUP(P1548,'unique fed agency names'!A:C,3,FALSE))
</f>
        <v>U.S. Department of Education (ED)</v>
      </c>
      <c r="R1548" s="1">
        <v>3.1613877E7</v>
      </c>
      <c r="S1548" s="1" t="s">
        <v>2626</v>
      </c>
      <c r="T1548" s="1" t="str">
        <f>IF(ISERROR(VLOOKUP(S1548,'unique org names'!A:C,3,FALSE)),S1548,VLOOKUP(S1548,'unique org names'!A:C,3,FALSE))
</f>
        <v>New Paradigm for Education</v>
      </c>
      <c r="V1548" s="1" t="s">
        <v>2627</v>
      </c>
      <c r="W1548" s="1" t="s">
        <v>44</v>
      </c>
      <c r="X1548" s="1" t="s">
        <v>45</v>
      </c>
      <c r="Y1548" s="1">
        <v>4.82111081E8</v>
      </c>
      <c r="AA1548" s="1" t="s">
        <v>44</v>
      </c>
      <c r="AB1548" s="1" t="s">
        <v>45</v>
      </c>
      <c r="AC1548" s="1">
        <v>4.82111081E8</v>
      </c>
      <c r="AF1548" s="1">
        <v>173489.0</v>
      </c>
      <c r="AG1548" s="2">
        <v>41733.0</v>
      </c>
      <c r="AH1548" s="1">
        <v>9100.0</v>
      </c>
      <c r="AI1548" s="1" t="s">
        <v>194</v>
      </c>
      <c r="AJ1548" s="1" t="s">
        <v>3019</v>
      </c>
      <c r="AK1548" s="1" t="s">
        <v>1170</v>
      </c>
      <c r="AL1548" s="1">
        <v>1.0</v>
      </c>
      <c r="AM1548" s="1">
        <v>2015.0</v>
      </c>
      <c r="AN1548" s="1">
        <v>2014.0</v>
      </c>
      <c r="AO1548" s="1" t="s">
        <v>1171</v>
      </c>
    </row>
    <row r="1549">
      <c r="A1549" s="5">
        <v>1.0</v>
      </c>
      <c r="B1549" s="1">
        <f t="shared" si="1"/>
        <v>1549</v>
      </c>
      <c r="C1549" s="1" t="s">
        <v>2995</v>
      </c>
      <c r="D1549" s="1" t="s">
        <v>2995</v>
      </c>
      <c r="E1549" s="1" t="s">
        <v>194</v>
      </c>
      <c r="G1549" s="1">
        <v>5.11731456E8</v>
      </c>
      <c r="H1549" s="2">
        <v>41809.0</v>
      </c>
      <c r="I1549" s="1" t="s">
        <v>1168</v>
      </c>
      <c r="K1549" s="1" t="s">
        <v>1168</v>
      </c>
      <c r="N1549" s="1" t="s">
        <v>194</v>
      </c>
      <c r="O1549" s="1">
        <v>9100.0</v>
      </c>
      <c r="P1549" s="1" t="s">
        <v>194</v>
      </c>
      <c r="Q1549" s="1" t="str">
        <f>IF(ISERROR(VLOOKUP(P1549,'unique fed agency names'!A:C,3,FALSE)),P1549,VLOOKUP(P1549,'unique fed agency names'!A:C,3,FALSE))
</f>
        <v>U.S. Department of Education (ED)</v>
      </c>
      <c r="R1549" s="1">
        <v>7.8583963E7</v>
      </c>
      <c r="S1549" s="1" t="s">
        <v>526</v>
      </c>
      <c r="T1549" s="1" t="str">
        <f>IF(ISERROR(VLOOKUP(S1549,'unique org names'!A:C,3,FALSE)),S1549,VLOOKUP(S1549,'unique org names'!A:C,3,FALSE))
</f>
        <v>WAY ACADEMY</v>
      </c>
      <c r="U1549" s="1" t="s">
        <v>527</v>
      </c>
      <c r="V1549" s="1" t="s">
        <v>3020</v>
      </c>
      <c r="W1549" s="1" t="s">
        <v>44</v>
      </c>
      <c r="X1549" s="1" t="s">
        <v>45</v>
      </c>
      <c r="Y1549" s="1">
        <v>4.82091434E8</v>
      </c>
      <c r="AA1549" s="1" t="s">
        <v>46</v>
      </c>
      <c r="AB1549" s="1" t="s">
        <v>45</v>
      </c>
      <c r="AC1549" s="1">
        <v>4.82091434E8</v>
      </c>
      <c r="AF1549" s="1">
        <v>465553.0</v>
      </c>
      <c r="AG1549" s="2">
        <v>41809.0</v>
      </c>
      <c r="AH1549" s="1">
        <v>9100.0</v>
      </c>
      <c r="AI1549" s="1" t="s">
        <v>194</v>
      </c>
      <c r="AJ1549" s="1" t="s">
        <v>3021</v>
      </c>
      <c r="AK1549" s="1" t="s">
        <v>3000</v>
      </c>
      <c r="AL1549" s="1">
        <v>1.0</v>
      </c>
      <c r="AM1549" s="1">
        <v>2015.0</v>
      </c>
      <c r="AN1549" s="1">
        <v>2014.0</v>
      </c>
      <c r="AO1549" s="1" t="s">
        <v>1171</v>
      </c>
    </row>
    <row r="1550">
      <c r="A1550" s="5">
        <v>1.0</v>
      </c>
      <c r="B1550" s="1">
        <f t="shared" si="1"/>
        <v>1550</v>
      </c>
      <c r="C1550" s="1" t="s">
        <v>2995</v>
      </c>
      <c r="D1550" s="1" t="s">
        <v>2995</v>
      </c>
      <c r="E1550" s="1" t="s">
        <v>194</v>
      </c>
      <c r="G1550" s="1">
        <v>5.11731456E8</v>
      </c>
      <c r="H1550" s="2">
        <v>41705.0</v>
      </c>
      <c r="I1550" s="1" t="s">
        <v>1168</v>
      </c>
      <c r="K1550" s="1" t="s">
        <v>1168</v>
      </c>
      <c r="N1550" s="1" t="s">
        <v>194</v>
      </c>
      <c r="O1550" s="1">
        <v>9100.0</v>
      </c>
      <c r="P1550" s="1" t="s">
        <v>194</v>
      </c>
      <c r="Q1550" s="1" t="str">
        <f>IF(ISERROR(VLOOKUP(P1550,'unique fed agency names'!A:C,3,FALSE)),P1550,VLOOKUP(P1550,'unique fed agency names'!A:C,3,FALSE))
</f>
        <v>U.S. Department of Education (ED)</v>
      </c>
      <c r="R1550" s="1">
        <v>1.6338926E8</v>
      </c>
      <c r="S1550" s="1" t="s">
        <v>465</v>
      </c>
      <c r="T1550" s="1" t="str">
        <f>IF(ISERROR(VLOOKUP(S1550,'unique org names'!A:C,3,FALSE)),S1550,VLOOKUP(S1550,'unique org names'!A:C,3,FALSE))
</f>
        <v>Public School Academies of Detroit</v>
      </c>
      <c r="U1550" s="1" t="s">
        <v>598</v>
      </c>
      <c r="V1550" s="1" t="s">
        <v>599</v>
      </c>
      <c r="W1550" s="1" t="s">
        <v>44</v>
      </c>
      <c r="X1550" s="1" t="s">
        <v>45</v>
      </c>
      <c r="Y1550" s="1">
        <v>4.82023457E8</v>
      </c>
      <c r="AA1550" s="1" t="s">
        <v>44</v>
      </c>
      <c r="AB1550" s="1" t="s">
        <v>45</v>
      </c>
      <c r="AC1550" s="1">
        <v>4.82023457E8</v>
      </c>
      <c r="AD1550" s="1">
        <v>1.6338926E8</v>
      </c>
      <c r="AE1550" s="1" t="s">
        <v>465</v>
      </c>
      <c r="AF1550" s="1">
        <v>1328227.0</v>
      </c>
      <c r="AG1550" s="2">
        <v>41705.0</v>
      </c>
      <c r="AH1550" s="1">
        <v>9100.0</v>
      </c>
      <c r="AI1550" s="1" t="s">
        <v>194</v>
      </c>
      <c r="AJ1550" s="1" t="s">
        <v>3022</v>
      </c>
      <c r="AK1550" s="1" t="s">
        <v>1170</v>
      </c>
      <c r="AL1550" s="1">
        <v>1.0</v>
      </c>
      <c r="AM1550" s="1">
        <v>2015.0</v>
      </c>
      <c r="AN1550" s="1">
        <v>2014.0</v>
      </c>
      <c r="AO1550" s="1" t="s">
        <v>1171</v>
      </c>
    </row>
    <row r="1551">
      <c r="A1551" s="5">
        <v>1.0</v>
      </c>
      <c r="B1551" s="1">
        <f t="shared" si="1"/>
        <v>1551</v>
      </c>
      <c r="C1551" s="1" t="s">
        <v>2995</v>
      </c>
      <c r="D1551" s="1" t="s">
        <v>2995</v>
      </c>
      <c r="E1551" s="1" t="s">
        <v>194</v>
      </c>
      <c r="G1551" s="1">
        <v>5.11731456E8</v>
      </c>
      <c r="H1551" s="2">
        <v>41703.0</v>
      </c>
      <c r="I1551" s="1" t="s">
        <v>1168</v>
      </c>
      <c r="K1551" s="1" t="s">
        <v>1168</v>
      </c>
      <c r="N1551" s="1" t="s">
        <v>194</v>
      </c>
      <c r="O1551" s="1">
        <v>9100.0</v>
      </c>
      <c r="P1551" s="1" t="s">
        <v>194</v>
      </c>
      <c r="Q1551" s="1" t="str">
        <f>IF(ISERROR(VLOOKUP(P1551,'unique fed agency names'!A:C,3,FALSE)),P1551,VLOOKUP(P1551,'unique fed agency names'!A:C,3,FALSE))
</f>
        <v>U.S. Department of Education (ED)</v>
      </c>
      <c r="R1551" s="1">
        <v>1.9859919E7</v>
      </c>
      <c r="S1551" s="1" t="s">
        <v>1657</v>
      </c>
      <c r="T1551" s="1" t="str">
        <f>IF(ISERROR(VLOOKUP(S1551,'unique org names'!A:C,3,FALSE)),S1551,VLOOKUP(S1551,'unique org names'!A:C,3,FALSE))
</f>
        <v>Cornerstone Health High School</v>
      </c>
      <c r="V1551" s="1" t="s">
        <v>1173</v>
      </c>
      <c r="W1551" s="1" t="s">
        <v>44</v>
      </c>
      <c r="X1551" s="1" t="s">
        <v>45</v>
      </c>
      <c r="Y1551" s="1">
        <v>4.82191263E8</v>
      </c>
      <c r="AA1551" s="1" t="s">
        <v>44</v>
      </c>
      <c r="AB1551" s="1" t="s">
        <v>45</v>
      </c>
      <c r="AC1551" s="1">
        <v>4.82191263E8</v>
      </c>
      <c r="AF1551" s="1">
        <v>67900.0</v>
      </c>
      <c r="AG1551" s="2">
        <v>41703.0</v>
      </c>
      <c r="AH1551" s="1">
        <v>9100.0</v>
      </c>
      <c r="AI1551" s="1" t="s">
        <v>194</v>
      </c>
      <c r="AJ1551" s="1" t="s">
        <v>3023</v>
      </c>
      <c r="AK1551" s="1" t="s">
        <v>1170</v>
      </c>
      <c r="AL1551" s="1">
        <v>1.0</v>
      </c>
      <c r="AM1551" s="1">
        <v>2015.0</v>
      </c>
      <c r="AN1551" s="1">
        <v>2014.0</v>
      </c>
      <c r="AO1551" s="1" t="s">
        <v>1171</v>
      </c>
    </row>
    <row r="1552">
      <c r="A1552" s="5">
        <v>1.0</v>
      </c>
      <c r="B1552" s="1">
        <f t="shared" si="1"/>
        <v>1552</v>
      </c>
      <c r="C1552" s="1" t="s">
        <v>2995</v>
      </c>
      <c r="D1552" s="1" t="s">
        <v>2995</v>
      </c>
      <c r="E1552" s="1" t="s">
        <v>194</v>
      </c>
      <c r="G1552" s="1">
        <v>5.11731456E8</v>
      </c>
      <c r="H1552" s="2">
        <v>41682.0</v>
      </c>
      <c r="I1552" s="1" t="s">
        <v>1168</v>
      </c>
      <c r="K1552" s="1" t="s">
        <v>1168</v>
      </c>
      <c r="N1552" s="1" t="s">
        <v>194</v>
      </c>
      <c r="O1552" s="1">
        <v>9100.0</v>
      </c>
      <c r="P1552" s="1" t="s">
        <v>194</v>
      </c>
      <c r="Q1552" s="1" t="str">
        <f>IF(ISERROR(VLOOKUP(P1552,'unique fed agency names'!A:C,3,FALSE)),P1552,VLOOKUP(P1552,'unique fed agency names'!A:C,3,FALSE))
</f>
        <v>U.S. Department of Education (ED)</v>
      </c>
      <c r="R1552" s="1">
        <v>9.62104118E8</v>
      </c>
      <c r="S1552" s="1" t="s">
        <v>634</v>
      </c>
      <c r="T1552" s="1" t="str">
        <f>IF(ISERROR(VLOOKUP(S1552,'unique org names'!A:C,3,FALSE)),S1552,VLOOKUP(S1552,'unique org names'!A:C,3,FALSE))
</f>
        <v>UNIVERSITY YES ACADEMY</v>
      </c>
      <c r="V1552" s="1" t="s">
        <v>635</v>
      </c>
      <c r="W1552" s="1" t="s">
        <v>44</v>
      </c>
      <c r="X1552" s="1" t="s">
        <v>45</v>
      </c>
      <c r="Y1552" s="1">
        <v>4.82351111E8</v>
      </c>
      <c r="AA1552" s="1" t="s">
        <v>46</v>
      </c>
      <c r="AB1552" s="1" t="s">
        <v>45</v>
      </c>
      <c r="AC1552" s="1">
        <v>4.82351111E8</v>
      </c>
      <c r="AF1552" s="1">
        <v>262429.0</v>
      </c>
      <c r="AG1552" s="2">
        <v>41682.0</v>
      </c>
      <c r="AH1552" s="1">
        <v>9100.0</v>
      </c>
      <c r="AI1552" s="1" t="s">
        <v>194</v>
      </c>
      <c r="AJ1552" s="1" t="s">
        <v>3024</v>
      </c>
      <c r="AK1552" s="1" t="s">
        <v>1170</v>
      </c>
      <c r="AL1552" s="1">
        <v>1.0</v>
      </c>
      <c r="AM1552" s="1">
        <v>2015.0</v>
      </c>
      <c r="AN1552" s="1">
        <v>2014.0</v>
      </c>
      <c r="AO1552" s="1" t="s">
        <v>1171</v>
      </c>
    </row>
    <row r="1553">
      <c r="A1553" s="5">
        <v>1.0</v>
      </c>
      <c r="B1553" s="1">
        <f t="shared" si="1"/>
        <v>1553</v>
      </c>
      <c r="C1553" s="1" t="s">
        <v>2980</v>
      </c>
      <c r="D1553" s="1" t="s">
        <v>2980</v>
      </c>
      <c r="E1553" s="1" t="s">
        <v>129</v>
      </c>
      <c r="G1553" s="1">
        <v>3414638.0</v>
      </c>
      <c r="H1553" s="2">
        <v>41548.0</v>
      </c>
      <c r="I1553" s="1" t="s">
        <v>2981</v>
      </c>
      <c r="K1553" s="1" t="s">
        <v>2981</v>
      </c>
      <c r="N1553" s="1" t="s">
        <v>40</v>
      </c>
      <c r="O1553" s="1">
        <v>7500.0</v>
      </c>
      <c r="P1553" s="1" t="s">
        <v>40</v>
      </c>
      <c r="Q1553" s="1" t="str">
        <f>IF(ISERROR(VLOOKUP(P1553,'unique fed agency names'!A:C,3,FALSE)),P1553,VLOOKUP(P1553,'unique fed agency names'!A:C,3,FALSE))
</f>
        <v>U.S. Department of Health and Human Services (DHHS)</v>
      </c>
      <c r="R1553" s="1">
        <v>7.8074923E8</v>
      </c>
      <c r="S1553" s="1" t="s">
        <v>419</v>
      </c>
      <c r="T1553" s="1" t="str">
        <f>IF(ISERROR(VLOOKUP(S1553,'unique org names'!A:C,3,FALSE)),S1553,VLOOKUP(S1553,'unique org names'!A:C,3,FALSE))
</f>
        <v>ALTERNATIVES FOR GIRLS</v>
      </c>
      <c r="V1553" s="1" t="s">
        <v>420</v>
      </c>
      <c r="W1553" s="1" t="s">
        <v>44</v>
      </c>
      <c r="X1553" s="1" t="s">
        <v>45</v>
      </c>
      <c r="Y1553" s="1">
        <v>4.82082365E8</v>
      </c>
      <c r="AA1553" s="1" t="s">
        <v>46</v>
      </c>
      <c r="AB1553" s="1" t="s">
        <v>45</v>
      </c>
      <c r="AC1553" s="1">
        <v>4.82082365E8</v>
      </c>
      <c r="AF1553" s="1">
        <v>100000.0</v>
      </c>
      <c r="AG1553" s="2">
        <v>41548.0</v>
      </c>
      <c r="AH1553" s="1">
        <v>7500.0</v>
      </c>
      <c r="AI1553" s="1" t="s">
        <v>40</v>
      </c>
      <c r="AJ1553" s="1">
        <v>2.0140331E7</v>
      </c>
      <c r="AK1553" s="1" t="s">
        <v>1430</v>
      </c>
      <c r="AL1553" s="1">
        <v>10.0</v>
      </c>
      <c r="AM1553" s="1">
        <v>2010.0</v>
      </c>
      <c r="AN1553" s="1">
        <v>2014.0</v>
      </c>
      <c r="AO1553" s="1" t="s">
        <v>1431</v>
      </c>
    </row>
    <row r="1554">
      <c r="A1554" s="5">
        <v>1.0</v>
      </c>
      <c r="B1554" s="1">
        <f t="shared" si="1"/>
        <v>1554</v>
      </c>
      <c r="C1554" s="1" t="s">
        <v>2995</v>
      </c>
      <c r="D1554" s="1" t="s">
        <v>2995</v>
      </c>
      <c r="E1554" s="1" t="s">
        <v>194</v>
      </c>
      <c r="G1554" s="1">
        <v>5.11731456E8</v>
      </c>
      <c r="H1554" s="2">
        <v>41799.0</v>
      </c>
      <c r="I1554" s="1" t="s">
        <v>1168</v>
      </c>
      <c r="K1554" s="1" t="s">
        <v>1168</v>
      </c>
      <c r="N1554" s="1" t="s">
        <v>194</v>
      </c>
      <c r="O1554" s="1">
        <v>9100.0</v>
      </c>
      <c r="P1554" s="1" t="s">
        <v>194</v>
      </c>
      <c r="Q1554" s="1" t="str">
        <f>IF(ISERROR(VLOOKUP(P1554,'unique fed agency names'!A:C,3,FALSE)),P1554,VLOOKUP(P1554,'unique fed agency names'!A:C,3,FALSE))
</f>
        <v>U.S. Department of Education (ED)</v>
      </c>
      <c r="R1554" s="1">
        <v>9.6910162E8</v>
      </c>
      <c r="S1554" s="1" t="s">
        <v>579</v>
      </c>
      <c r="T1554" s="1" t="str">
        <f>IF(ISERROR(VLOOKUP(S1554,'unique org names'!A:C,3,FALSE)),S1554,VLOOKUP(S1554,'unique org names'!A:C,3,FALSE))
</f>
        <v>AMERICAN INTERNATIONAL ACADEMY, INC.</v>
      </c>
      <c r="V1554" s="1" t="s">
        <v>580</v>
      </c>
      <c r="W1554" s="1" t="s">
        <v>44</v>
      </c>
      <c r="X1554" s="1" t="s">
        <v>45</v>
      </c>
      <c r="Y1554" s="1">
        <v>4.82283905E8</v>
      </c>
      <c r="AA1554" s="1" t="s">
        <v>287</v>
      </c>
      <c r="AB1554" s="1" t="s">
        <v>45</v>
      </c>
      <c r="AC1554" s="1">
        <v>4.82283905E8</v>
      </c>
      <c r="AF1554" s="1">
        <v>190784.0</v>
      </c>
      <c r="AG1554" s="2">
        <v>41799.0</v>
      </c>
      <c r="AH1554" s="1">
        <v>9100.0</v>
      </c>
      <c r="AI1554" s="1" t="s">
        <v>194</v>
      </c>
      <c r="AJ1554" s="1" t="s">
        <v>3025</v>
      </c>
      <c r="AK1554" s="1" t="s">
        <v>1170</v>
      </c>
      <c r="AL1554" s="1">
        <v>1.0</v>
      </c>
      <c r="AM1554" s="1">
        <v>2015.0</v>
      </c>
      <c r="AN1554" s="1">
        <v>2014.0</v>
      </c>
      <c r="AO1554" s="1" t="s">
        <v>1171</v>
      </c>
    </row>
    <row r="1555">
      <c r="A1555" s="5">
        <v>1.0</v>
      </c>
      <c r="B1555" s="1">
        <f t="shared" si="1"/>
        <v>1555</v>
      </c>
      <c r="C1555" s="1" t="s">
        <v>2992</v>
      </c>
      <c r="D1555" s="1" t="s">
        <v>2992</v>
      </c>
      <c r="E1555" s="1" t="s">
        <v>129</v>
      </c>
      <c r="G1555" s="1">
        <v>1582653.0</v>
      </c>
      <c r="H1555" s="2">
        <v>41913.0</v>
      </c>
      <c r="I1555" s="1" t="s">
        <v>2993</v>
      </c>
      <c r="K1555" s="1" t="s">
        <v>2993</v>
      </c>
      <c r="N1555" s="1" t="s">
        <v>40</v>
      </c>
      <c r="O1555" s="1">
        <v>7500.0</v>
      </c>
      <c r="P1555" s="1" t="s">
        <v>40</v>
      </c>
      <c r="Q1555" s="1" t="str">
        <f>IF(ISERROR(VLOOKUP(P1555,'unique fed agency names'!A:C,3,FALSE)),P1555,VLOOKUP(P1555,'unique fed agency names'!A:C,3,FALSE))
</f>
        <v>U.S. Department of Health and Human Services (DHHS)</v>
      </c>
      <c r="R1555" s="1">
        <v>7.8074923E8</v>
      </c>
      <c r="S1555" s="1" t="s">
        <v>419</v>
      </c>
      <c r="T1555" s="1" t="str">
        <f>IF(ISERROR(VLOOKUP(S1555,'unique org names'!A:C,3,FALSE)),S1555,VLOOKUP(S1555,'unique org names'!A:C,3,FALSE))
</f>
        <v>ALTERNATIVES FOR GIRLS</v>
      </c>
      <c r="V1555" s="1" t="s">
        <v>420</v>
      </c>
      <c r="W1555" s="1" t="s">
        <v>44</v>
      </c>
      <c r="X1555" s="1" t="s">
        <v>45</v>
      </c>
      <c r="Y1555" s="1">
        <v>4.82082365E8</v>
      </c>
      <c r="AA1555" s="1" t="s">
        <v>46</v>
      </c>
      <c r="AB1555" s="1" t="s">
        <v>45</v>
      </c>
      <c r="AC1555" s="1">
        <v>4.82082365E8</v>
      </c>
      <c r="AF1555" s="1">
        <v>100000.0</v>
      </c>
      <c r="AG1555" s="2">
        <v>41913.0</v>
      </c>
      <c r="AH1555" s="1">
        <v>7500.0</v>
      </c>
      <c r="AI1555" s="1" t="s">
        <v>40</v>
      </c>
      <c r="AJ1555" s="1">
        <v>2.0150209E7</v>
      </c>
      <c r="AK1555" s="1" t="s">
        <v>1430</v>
      </c>
      <c r="AL1555" s="1">
        <v>10.0</v>
      </c>
      <c r="AM1555" s="1">
        <v>2012.0</v>
      </c>
      <c r="AN1555" s="1">
        <v>2015.0</v>
      </c>
      <c r="AO1555" s="1" t="s">
        <v>1431</v>
      </c>
    </row>
    <row r="1556">
      <c r="A1556" s="5">
        <v>1.0</v>
      </c>
      <c r="B1556" s="1">
        <f t="shared" si="1"/>
        <v>1556</v>
      </c>
      <c r="C1556" s="1" t="s">
        <v>2995</v>
      </c>
      <c r="D1556" s="1" t="s">
        <v>2995</v>
      </c>
      <c r="E1556" s="1" t="s">
        <v>194</v>
      </c>
      <c r="G1556" s="1">
        <v>5.11731456E8</v>
      </c>
      <c r="H1556" s="2">
        <v>41681.0</v>
      </c>
      <c r="I1556" s="1" t="s">
        <v>1168</v>
      </c>
      <c r="K1556" s="1" t="s">
        <v>1168</v>
      </c>
      <c r="N1556" s="1" t="s">
        <v>194</v>
      </c>
      <c r="O1556" s="1">
        <v>9100.0</v>
      </c>
      <c r="P1556" s="1" t="s">
        <v>194</v>
      </c>
      <c r="Q1556" s="1" t="str">
        <f>IF(ISERROR(VLOOKUP(P1556,'unique fed agency names'!A:C,3,FALSE)),P1556,VLOOKUP(P1556,'unique fed agency names'!A:C,3,FALSE))
</f>
        <v>U.S. Department of Education (ED)</v>
      </c>
      <c r="R1556" s="1">
        <v>1.80070547E8</v>
      </c>
      <c r="S1556" s="1" t="s">
        <v>508</v>
      </c>
      <c r="T1556" s="1" t="str">
        <f>IF(ISERROR(VLOOKUP(S1556,'unique org names'!A:C,3,FALSE)),S1556,VLOOKUP(S1556,'unique org names'!A:C,3,FALSE))
</f>
        <v>BLANCHE KELSO BRUCE ACADEMY</v>
      </c>
      <c r="V1556" s="1" t="s">
        <v>509</v>
      </c>
      <c r="W1556" s="1" t="s">
        <v>44</v>
      </c>
      <c r="X1556" s="1" t="s">
        <v>45</v>
      </c>
      <c r="Y1556" s="1">
        <v>4.82133487E8</v>
      </c>
      <c r="AA1556" s="1" t="s">
        <v>44</v>
      </c>
      <c r="AB1556" s="1" t="s">
        <v>45</v>
      </c>
      <c r="AC1556" s="1">
        <v>4.82133487E8</v>
      </c>
      <c r="AF1556" s="1">
        <v>1216611.0</v>
      </c>
      <c r="AG1556" s="2">
        <v>41681.0</v>
      </c>
      <c r="AH1556" s="1">
        <v>9100.0</v>
      </c>
      <c r="AI1556" s="1" t="s">
        <v>194</v>
      </c>
      <c r="AJ1556" s="1" t="s">
        <v>3026</v>
      </c>
      <c r="AK1556" s="1" t="s">
        <v>3000</v>
      </c>
      <c r="AL1556" s="1">
        <v>1.0</v>
      </c>
      <c r="AM1556" s="1">
        <v>2015.0</v>
      </c>
      <c r="AN1556" s="1">
        <v>2014.0</v>
      </c>
      <c r="AO1556" s="1" t="s">
        <v>1171</v>
      </c>
    </row>
    <row r="1557">
      <c r="A1557" s="5">
        <v>1.0</v>
      </c>
      <c r="B1557" s="1">
        <f t="shared" si="1"/>
        <v>1557</v>
      </c>
      <c r="C1557" s="1" t="s">
        <v>2995</v>
      </c>
      <c r="D1557" s="1" t="s">
        <v>2995</v>
      </c>
      <c r="E1557" s="1" t="s">
        <v>194</v>
      </c>
      <c r="G1557" s="1">
        <v>5.11731456E8</v>
      </c>
      <c r="H1557" s="2">
        <v>41683.0</v>
      </c>
      <c r="I1557" s="1" t="s">
        <v>1168</v>
      </c>
      <c r="K1557" s="1" t="s">
        <v>1168</v>
      </c>
      <c r="N1557" s="1" t="s">
        <v>194</v>
      </c>
      <c r="O1557" s="1">
        <v>9100.0</v>
      </c>
      <c r="P1557" s="1" t="s">
        <v>194</v>
      </c>
      <c r="Q1557" s="1" t="str">
        <f>IF(ISERROR(VLOOKUP(P1557,'unique fed agency names'!A:C,3,FALSE)),P1557,VLOOKUP(P1557,'unique fed agency names'!A:C,3,FALSE))
</f>
        <v>U.S. Department of Education (ED)</v>
      </c>
      <c r="R1557" s="1">
        <v>1.68568132E8</v>
      </c>
      <c r="S1557" s="1" t="s">
        <v>588</v>
      </c>
      <c r="T1557" s="1" t="str">
        <f>IF(ISERROR(VLOOKUP(S1557,'unique org names'!A:C,3,FALSE)),S1557,VLOOKUP(S1557,'unique org names'!A:C,3,FALSE))
</f>
        <v>DETROIT ENTERPRISE ACADEMY</v>
      </c>
      <c r="V1557" s="1" t="s">
        <v>589</v>
      </c>
      <c r="W1557" s="1" t="s">
        <v>44</v>
      </c>
      <c r="X1557" s="1" t="s">
        <v>45</v>
      </c>
      <c r="Y1557" s="1">
        <v>4.82143323E8</v>
      </c>
      <c r="AA1557" s="1" t="s">
        <v>44</v>
      </c>
      <c r="AB1557" s="1" t="s">
        <v>45</v>
      </c>
      <c r="AC1557" s="1">
        <v>4.82143323E8</v>
      </c>
      <c r="AD1557" s="1">
        <v>9.60742484E8</v>
      </c>
      <c r="AF1557" s="1">
        <v>501741.0</v>
      </c>
      <c r="AG1557" s="2">
        <v>41683.0</v>
      </c>
      <c r="AH1557" s="1">
        <v>9100.0</v>
      </c>
      <c r="AI1557" s="1" t="s">
        <v>194</v>
      </c>
      <c r="AJ1557" s="1" t="s">
        <v>3027</v>
      </c>
      <c r="AK1557" s="1" t="s">
        <v>1170</v>
      </c>
      <c r="AL1557" s="1">
        <v>1.0</v>
      </c>
      <c r="AM1557" s="1">
        <v>2015.0</v>
      </c>
      <c r="AN1557" s="1">
        <v>2014.0</v>
      </c>
      <c r="AO1557" s="1" t="s">
        <v>1171</v>
      </c>
    </row>
    <row r="1558">
      <c r="A1558" s="5">
        <v>1.0</v>
      </c>
      <c r="B1558" s="1">
        <f t="shared" si="1"/>
        <v>1558</v>
      </c>
      <c r="C1558" s="1" t="s">
        <v>2995</v>
      </c>
      <c r="D1558" s="1" t="s">
        <v>2995</v>
      </c>
      <c r="E1558" s="1" t="s">
        <v>194</v>
      </c>
      <c r="G1558" s="1">
        <v>5.11731456E8</v>
      </c>
      <c r="H1558" s="2">
        <v>41666.0</v>
      </c>
      <c r="I1558" s="1" t="s">
        <v>1168</v>
      </c>
      <c r="K1558" s="1" t="s">
        <v>1168</v>
      </c>
      <c r="N1558" s="1" t="s">
        <v>194</v>
      </c>
      <c r="O1558" s="1">
        <v>9100.0</v>
      </c>
      <c r="P1558" s="1" t="s">
        <v>194</v>
      </c>
      <c r="Q1558" s="1" t="str">
        <f>IF(ISERROR(VLOOKUP(P1558,'unique fed agency names'!A:C,3,FALSE)),P1558,VLOOKUP(P1558,'unique fed agency names'!A:C,3,FALSE))
</f>
        <v>U.S. Department of Education (ED)</v>
      </c>
      <c r="R1558" s="1">
        <v>7.93697942E8</v>
      </c>
      <c r="S1558" s="1" t="s">
        <v>459</v>
      </c>
      <c r="T1558" s="1" t="str">
        <f>IF(ISERROR(VLOOKUP(S1558,'unique org names'!A:C,3,FALSE)),S1558,VLOOKUP(S1558,'unique org names'!A:C,3,FALSE))
</f>
        <v>DETROIT PUBLIC SCHOOLS</v>
      </c>
      <c r="V1558" s="1" t="s">
        <v>460</v>
      </c>
      <c r="W1558" s="1" t="s">
        <v>44</v>
      </c>
      <c r="X1558" s="1" t="s">
        <v>45</v>
      </c>
      <c r="Y1558" s="1">
        <v>4.82141601E8</v>
      </c>
      <c r="AA1558" s="1" t="s">
        <v>44</v>
      </c>
      <c r="AB1558" s="1" t="s">
        <v>45</v>
      </c>
      <c r="AC1558" s="1">
        <v>4.82141601E8</v>
      </c>
      <c r="AD1558" s="1">
        <v>7.6340843E7</v>
      </c>
      <c r="AE1558" s="1" t="s">
        <v>461</v>
      </c>
      <c r="AF1558" s="1">
        <v>355302.0</v>
      </c>
      <c r="AG1558" s="2">
        <v>41666.0</v>
      </c>
      <c r="AH1558" s="1">
        <v>9100.0</v>
      </c>
      <c r="AI1558" s="1" t="s">
        <v>194</v>
      </c>
      <c r="AJ1558" s="1" t="s">
        <v>3028</v>
      </c>
      <c r="AK1558" s="1" t="s">
        <v>1170</v>
      </c>
      <c r="AL1558" s="1">
        <v>1.0</v>
      </c>
      <c r="AM1558" s="1">
        <v>2015.0</v>
      </c>
      <c r="AN1558" s="1">
        <v>2014.0</v>
      </c>
      <c r="AO1558" s="1" t="s">
        <v>1171</v>
      </c>
    </row>
    <row r="1559">
      <c r="A1559" s="5">
        <v>1.0</v>
      </c>
      <c r="B1559" s="1">
        <f t="shared" si="1"/>
        <v>1559</v>
      </c>
      <c r="C1559" s="1" t="s">
        <v>2995</v>
      </c>
      <c r="D1559" s="1" t="s">
        <v>2995</v>
      </c>
      <c r="E1559" s="1" t="s">
        <v>194</v>
      </c>
      <c r="G1559" s="1">
        <v>5.11731456E8</v>
      </c>
      <c r="H1559" s="2">
        <v>41682.0</v>
      </c>
      <c r="I1559" s="1" t="s">
        <v>1168</v>
      </c>
      <c r="K1559" s="1" t="s">
        <v>1168</v>
      </c>
      <c r="N1559" s="1" t="s">
        <v>194</v>
      </c>
      <c r="O1559" s="1">
        <v>9100.0</v>
      </c>
      <c r="P1559" s="1" t="s">
        <v>194</v>
      </c>
      <c r="Q1559" s="1" t="str">
        <f>IF(ISERROR(VLOOKUP(P1559,'unique fed agency names'!A:C,3,FALSE)),P1559,VLOOKUP(P1559,'unique fed agency names'!A:C,3,FALSE))
</f>
        <v>U.S. Department of Education (ED)</v>
      </c>
      <c r="R1559" s="1">
        <v>7.8811813E7</v>
      </c>
      <c r="S1559" s="1" t="s">
        <v>2629</v>
      </c>
      <c r="T1559" s="1" t="str">
        <f>IF(ISERROR(VLOOKUP(S1559,'unique org names'!A:C,3,FALSE)),S1559,VLOOKUP(S1559,'unique org names'!A:C,3,FALSE))
</f>
        <v>Rutherford Winans Academy</v>
      </c>
      <c r="V1559" s="1">
        <v>16411.0</v>
      </c>
      <c r="W1559" s="1" t="s">
        <v>44</v>
      </c>
      <c r="X1559" s="1" t="s">
        <v>45</v>
      </c>
      <c r="Y1559" s="1">
        <v>48225.0</v>
      </c>
      <c r="AA1559" s="1" t="s">
        <v>46</v>
      </c>
      <c r="AB1559" s="1" t="s">
        <v>45</v>
      </c>
      <c r="AC1559" s="1">
        <v>4.8238E8</v>
      </c>
      <c r="AF1559" s="1">
        <v>348713.0</v>
      </c>
      <c r="AG1559" s="2">
        <v>41682.0</v>
      </c>
      <c r="AH1559" s="1">
        <v>9100.0</v>
      </c>
      <c r="AI1559" s="1" t="s">
        <v>194</v>
      </c>
      <c r="AJ1559" s="1" t="s">
        <v>3029</v>
      </c>
      <c r="AK1559" s="1" t="s">
        <v>3000</v>
      </c>
      <c r="AL1559" s="1">
        <v>1.0</v>
      </c>
      <c r="AM1559" s="1">
        <v>2015.0</v>
      </c>
      <c r="AN1559" s="1">
        <v>2014.0</v>
      </c>
      <c r="AO1559" s="1" t="s">
        <v>1171</v>
      </c>
    </row>
    <row r="1560">
      <c r="A1560" s="5">
        <v>1.0</v>
      </c>
      <c r="B1560" s="1">
        <f t="shared" si="1"/>
        <v>1560</v>
      </c>
      <c r="C1560" s="1" t="s">
        <v>2995</v>
      </c>
      <c r="D1560" s="1" t="s">
        <v>2995</v>
      </c>
      <c r="E1560" s="1" t="s">
        <v>194</v>
      </c>
      <c r="G1560" s="1">
        <v>5.11731456E8</v>
      </c>
      <c r="H1560" s="2">
        <v>41725.0</v>
      </c>
      <c r="I1560" s="1" t="s">
        <v>1168</v>
      </c>
      <c r="K1560" s="1" t="s">
        <v>1168</v>
      </c>
      <c r="N1560" s="1" t="s">
        <v>194</v>
      </c>
      <c r="O1560" s="1">
        <v>9100.0</v>
      </c>
      <c r="P1560" s="1" t="s">
        <v>194</v>
      </c>
      <c r="Q1560" s="1" t="str">
        <f>IF(ISERROR(VLOOKUP(P1560,'unique fed agency names'!A:C,3,FALSE)),P1560,VLOOKUP(P1560,'unique fed agency names'!A:C,3,FALSE))
</f>
        <v>U.S. Department of Education (ED)</v>
      </c>
      <c r="R1560" s="1">
        <v>1.9859285E7</v>
      </c>
      <c r="S1560" s="1" t="s">
        <v>1172</v>
      </c>
      <c r="T1560" s="1" t="str">
        <f>IF(ISERROR(VLOOKUP(S1560,'unique org names'!A:C,3,FALSE)),S1560,VLOOKUP(S1560,'unique org names'!A:C,3,FALSE))
</f>
        <v>Madison Carver Academy</v>
      </c>
      <c r="V1560" s="1" t="s">
        <v>1173</v>
      </c>
      <c r="W1560" s="1" t="s">
        <v>44</v>
      </c>
      <c r="X1560" s="1" t="s">
        <v>45</v>
      </c>
      <c r="Y1560" s="1">
        <v>4.82191263E8</v>
      </c>
      <c r="AA1560" s="1" t="s">
        <v>44</v>
      </c>
      <c r="AB1560" s="1" t="s">
        <v>45</v>
      </c>
      <c r="AC1560" s="1">
        <v>4.82191263E8</v>
      </c>
      <c r="AF1560" s="1">
        <v>230777.0</v>
      </c>
      <c r="AG1560" s="2">
        <v>41725.0</v>
      </c>
      <c r="AH1560" s="1">
        <v>9100.0</v>
      </c>
      <c r="AI1560" s="1" t="s">
        <v>194</v>
      </c>
      <c r="AJ1560" s="1" t="s">
        <v>3030</v>
      </c>
      <c r="AK1560" s="1" t="s">
        <v>1170</v>
      </c>
      <c r="AL1560" s="1">
        <v>1.0</v>
      </c>
      <c r="AM1560" s="1">
        <v>2015.0</v>
      </c>
      <c r="AN1560" s="1">
        <v>2014.0</v>
      </c>
      <c r="AO1560" s="1" t="s">
        <v>1171</v>
      </c>
    </row>
    <row r="1561">
      <c r="A1561" s="5">
        <v>1.0</v>
      </c>
      <c r="B1561" s="1">
        <f t="shared" si="1"/>
        <v>1561</v>
      </c>
      <c r="C1561" s="1" t="s">
        <v>2995</v>
      </c>
      <c r="D1561" s="1" t="s">
        <v>2995</v>
      </c>
      <c r="E1561" s="1" t="s">
        <v>194</v>
      </c>
      <c r="G1561" s="1">
        <v>5.11731456E8</v>
      </c>
      <c r="H1561" s="2">
        <v>41746.0</v>
      </c>
      <c r="I1561" s="1" t="s">
        <v>1168</v>
      </c>
      <c r="K1561" s="1" t="s">
        <v>1168</v>
      </c>
      <c r="N1561" s="1" t="s">
        <v>194</v>
      </c>
      <c r="O1561" s="1">
        <v>9100.0</v>
      </c>
      <c r="P1561" s="1" t="s">
        <v>194</v>
      </c>
      <c r="Q1561" s="1" t="str">
        <f>IF(ISERROR(VLOOKUP(P1561,'unique fed agency names'!A:C,3,FALSE)),P1561,VLOOKUP(P1561,'unique fed agency names'!A:C,3,FALSE))
</f>
        <v>U.S. Department of Education (ED)</v>
      </c>
      <c r="R1561" s="1">
        <v>7.8638919E7</v>
      </c>
      <c r="S1561" s="1" t="s">
        <v>3031</v>
      </c>
      <c r="T1561" s="1" t="str">
        <f>IF(ISERROR(VLOOKUP(S1561,'unique org names'!A:C,3,FALSE)),S1561,VLOOKUP(S1561,'unique org names'!A:C,3,FALSE))
</f>
        <v>DETROIT PUBLIC SAFETY ACADEMY</v>
      </c>
      <c r="V1561" s="1" t="s">
        <v>3032</v>
      </c>
      <c r="W1561" s="1" t="s">
        <v>44</v>
      </c>
      <c r="X1561" s="1" t="s">
        <v>45</v>
      </c>
      <c r="Y1561" s="1">
        <v>4.8216195E8</v>
      </c>
      <c r="AA1561" s="1" t="s">
        <v>44</v>
      </c>
      <c r="AB1561" s="1" t="s">
        <v>45</v>
      </c>
      <c r="AC1561" s="1">
        <v>4.8216195E8</v>
      </c>
      <c r="AF1561" s="1">
        <v>34753.0</v>
      </c>
      <c r="AG1561" s="2">
        <v>41746.0</v>
      </c>
      <c r="AH1561" s="1">
        <v>9100.0</v>
      </c>
      <c r="AI1561" s="1" t="s">
        <v>194</v>
      </c>
      <c r="AJ1561" s="1" t="s">
        <v>3033</v>
      </c>
      <c r="AK1561" s="1" t="s">
        <v>1170</v>
      </c>
      <c r="AL1561" s="1">
        <v>1.0</v>
      </c>
      <c r="AM1561" s="1">
        <v>2015.0</v>
      </c>
      <c r="AN1561" s="1">
        <v>2014.0</v>
      </c>
      <c r="AO1561" s="1" t="s">
        <v>1171</v>
      </c>
    </row>
    <row r="1562">
      <c r="A1562" s="5">
        <v>1.0</v>
      </c>
      <c r="B1562" s="1">
        <f t="shared" si="1"/>
        <v>1562</v>
      </c>
      <c r="C1562" s="1" t="s">
        <v>2995</v>
      </c>
      <c r="D1562" s="1" t="s">
        <v>2995</v>
      </c>
      <c r="E1562" s="1" t="s">
        <v>194</v>
      </c>
      <c r="G1562" s="1">
        <v>5.11731456E8</v>
      </c>
      <c r="H1562" s="2">
        <v>41809.0</v>
      </c>
      <c r="I1562" s="1" t="s">
        <v>1168</v>
      </c>
      <c r="K1562" s="1" t="s">
        <v>1168</v>
      </c>
      <c r="N1562" s="1" t="s">
        <v>194</v>
      </c>
      <c r="O1562" s="1">
        <v>9100.0</v>
      </c>
      <c r="P1562" s="1" t="s">
        <v>194</v>
      </c>
      <c r="Q1562" s="1" t="str">
        <f>IF(ISERROR(VLOOKUP(P1562,'unique fed agency names'!A:C,3,FALSE)),P1562,VLOOKUP(P1562,'unique fed agency names'!A:C,3,FALSE))
</f>
        <v>U.S. Department of Education (ED)</v>
      </c>
      <c r="R1562" s="1">
        <v>8.76992343E8</v>
      </c>
      <c r="S1562" s="1" t="s">
        <v>550</v>
      </c>
      <c r="T1562" s="1" t="str">
        <f>IF(ISERROR(VLOOKUP(S1562,'unique org names'!A:C,3,FALSE)),S1562,VLOOKUP(S1562,'unique org names'!A:C,3,FALSE))
</f>
        <v>VOYAGEUR ACADEMY</v>
      </c>
      <c r="V1562" s="1" t="s">
        <v>551</v>
      </c>
      <c r="W1562" s="1" t="s">
        <v>44</v>
      </c>
      <c r="X1562" s="1" t="s">
        <v>45</v>
      </c>
      <c r="Y1562" s="1">
        <v>4.82102451E8</v>
      </c>
      <c r="AA1562" s="1" t="s">
        <v>44</v>
      </c>
      <c r="AB1562" s="1" t="s">
        <v>45</v>
      </c>
      <c r="AC1562" s="1">
        <v>4.82102451E8</v>
      </c>
      <c r="AF1562" s="1">
        <v>735871.0</v>
      </c>
      <c r="AG1562" s="2">
        <v>41809.0</v>
      </c>
      <c r="AH1562" s="1">
        <v>9100.0</v>
      </c>
      <c r="AI1562" s="1" t="s">
        <v>194</v>
      </c>
      <c r="AJ1562" s="1" t="s">
        <v>3034</v>
      </c>
      <c r="AK1562" s="1" t="s">
        <v>1170</v>
      </c>
      <c r="AL1562" s="1">
        <v>1.0</v>
      </c>
      <c r="AM1562" s="1">
        <v>2015.0</v>
      </c>
      <c r="AN1562" s="1">
        <v>2014.0</v>
      </c>
      <c r="AO1562" s="1" t="s">
        <v>1171</v>
      </c>
    </row>
    <row r="1563">
      <c r="A1563" s="5">
        <v>1.0</v>
      </c>
      <c r="B1563" s="1">
        <f t="shared" si="1"/>
        <v>1563</v>
      </c>
      <c r="C1563" s="1" t="s">
        <v>2995</v>
      </c>
      <c r="D1563" s="1" t="s">
        <v>2995</v>
      </c>
      <c r="E1563" s="1" t="s">
        <v>194</v>
      </c>
      <c r="G1563" s="1">
        <v>5.11731456E8</v>
      </c>
      <c r="H1563" s="2">
        <v>41729.0</v>
      </c>
      <c r="I1563" s="1" t="s">
        <v>1168</v>
      </c>
      <c r="K1563" s="1" t="s">
        <v>1168</v>
      </c>
      <c r="N1563" s="1" t="s">
        <v>194</v>
      </c>
      <c r="O1563" s="1">
        <v>9100.0</v>
      </c>
      <c r="P1563" s="1" t="s">
        <v>194</v>
      </c>
      <c r="Q1563" s="1" t="str">
        <f>IF(ISERROR(VLOOKUP(P1563,'unique fed agency names'!A:C,3,FALSE)),P1563,VLOOKUP(P1563,'unique fed agency names'!A:C,3,FALSE))
</f>
        <v>U.S. Department of Education (ED)</v>
      </c>
      <c r="R1563" s="1">
        <v>9.65778702E8</v>
      </c>
      <c r="S1563" s="1" t="s">
        <v>493</v>
      </c>
      <c r="T1563" s="1" t="str">
        <f>IF(ISERROR(VLOOKUP(S1563,'unique org names'!A:C,3,FALSE)),S1563,VLOOKUP(S1563,'unique org names'!A:C,3,FALSE))
</f>
        <v>COVENANT HOUSE ACADEMY CENTRAL</v>
      </c>
      <c r="V1563" s="1" t="s">
        <v>494</v>
      </c>
      <c r="W1563" s="1" t="s">
        <v>44</v>
      </c>
      <c r="X1563" s="1" t="s">
        <v>45</v>
      </c>
      <c r="Y1563" s="1">
        <v>4.82082475E8</v>
      </c>
      <c r="AA1563" s="1" t="s">
        <v>44</v>
      </c>
      <c r="AB1563" s="1" t="s">
        <v>45</v>
      </c>
      <c r="AC1563" s="1">
        <v>4.82082475E8</v>
      </c>
      <c r="AF1563" s="1">
        <v>1036018.0</v>
      </c>
      <c r="AG1563" s="2">
        <v>41729.0</v>
      </c>
      <c r="AH1563" s="1">
        <v>9100.0</v>
      </c>
      <c r="AI1563" s="1" t="s">
        <v>194</v>
      </c>
      <c r="AJ1563" s="1" t="s">
        <v>3035</v>
      </c>
      <c r="AK1563" s="1" t="s">
        <v>1170</v>
      </c>
      <c r="AL1563" s="1">
        <v>1.0</v>
      </c>
      <c r="AM1563" s="1">
        <v>2015.0</v>
      </c>
      <c r="AN1563" s="1">
        <v>2014.0</v>
      </c>
      <c r="AO1563" s="1" t="s">
        <v>1171</v>
      </c>
    </row>
    <row r="1564">
      <c r="A1564" s="5">
        <v>1.0</v>
      </c>
      <c r="B1564" s="1">
        <f t="shared" si="1"/>
        <v>1564</v>
      </c>
      <c r="C1564" s="1" t="s">
        <v>2995</v>
      </c>
      <c r="D1564" s="1" t="s">
        <v>2995</v>
      </c>
      <c r="E1564" s="1" t="s">
        <v>194</v>
      </c>
      <c r="G1564" s="1">
        <v>5.11731456E8</v>
      </c>
      <c r="H1564" s="2">
        <v>41703.0</v>
      </c>
      <c r="I1564" s="1" t="s">
        <v>1168</v>
      </c>
      <c r="K1564" s="1" t="s">
        <v>1168</v>
      </c>
      <c r="N1564" s="1" t="s">
        <v>194</v>
      </c>
      <c r="O1564" s="1">
        <v>9100.0</v>
      </c>
      <c r="P1564" s="1" t="s">
        <v>194</v>
      </c>
      <c r="Q1564" s="1" t="str">
        <f>IF(ISERROR(VLOOKUP(P1564,'unique fed agency names'!A:C,3,FALSE)),P1564,VLOOKUP(P1564,'unique fed agency names'!A:C,3,FALSE))
</f>
        <v>U.S. Department of Education (ED)</v>
      </c>
      <c r="R1564" s="1">
        <v>3790107.0</v>
      </c>
      <c r="S1564" s="1" t="s">
        <v>576</v>
      </c>
      <c r="T1564" s="1" t="str">
        <f>IF(ISERROR(VLOOKUP(S1564,'unique org names'!A:C,3,FALSE)),S1564,VLOOKUP(S1564,'unique org names'!A:C,3,FALSE))
</f>
        <v>MARVIN L. WINANS ACADEMY OF PERFORMING ARTS</v>
      </c>
      <c r="V1564" s="1" t="s">
        <v>577</v>
      </c>
      <c r="W1564" s="1" t="s">
        <v>44</v>
      </c>
      <c r="X1564" s="1" t="s">
        <v>45</v>
      </c>
      <c r="Y1564" s="1">
        <v>4.82343284E8</v>
      </c>
      <c r="AA1564" s="1" t="s">
        <v>44</v>
      </c>
      <c r="AB1564" s="1" t="s">
        <v>45</v>
      </c>
      <c r="AC1564" s="1">
        <v>4.82343284E8</v>
      </c>
      <c r="AF1564" s="1">
        <v>959577.0</v>
      </c>
      <c r="AG1564" s="2">
        <v>41703.0</v>
      </c>
      <c r="AH1564" s="1">
        <v>9100.0</v>
      </c>
      <c r="AI1564" s="1" t="s">
        <v>194</v>
      </c>
      <c r="AJ1564" s="1" t="s">
        <v>3036</v>
      </c>
      <c r="AK1564" s="1" t="s">
        <v>1170</v>
      </c>
      <c r="AL1564" s="1">
        <v>1.0</v>
      </c>
      <c r="AM1564" s="1">
        <v>2015.0</v>
      </c>
      <c r="AN1564" s="1">
        <v>2014.0</v>
      </c>
      <c r="AO1564" s="1" t="s">
        <v>1171</v>
      </c>
    </row>
    <row r="1565">
      <c r="A1565" s="5">
        <v>1.0</v>
      </c>
      <c r="B1565" s="1">
        <f t="shared" si="1"/>
        <v>1565</v>
      </c>
      <c r="C1565" s="1" t="s">
        <v>2995</v>
      </c>
      <c r="D1565" s="1" t="s">
        <v>2995</v>
      </c>
      <c r="E1565" s="1" t="s">
        <v>194</v>
      </c>
      <c r="G1565" s="1">
        <v>5.11731456E8</v>
      </c>
      <c r="H1565" s="2">
        <v>41780.0</v>
      </c>
      <c r="I1565" s="1" t="s">
        <v>1168</v>
      </c>
      <c r="K1565" s="1" t="s">
        <v>1168</v>
      </c>
      <c r="N1565" s="1" t="s">
        <v>194</v>
      </c>
      <c r="O1565" s="1">
        <v>9100.0</v>
      </c>
      <c r="P1565" s="1" t="s">
        <v>194</v>
      </c>
      <c r="Q1565" s="1" t="str">
        <f>IF(ISERROR(VLOOKUP(P1565,'unique fed agency names'!A:C,3,FALSE)),P1565,VLOOKUP(P1565,'unique fed agency names'!A:C,3,FALSE))
</f>
        <v>U.S. Department of Education (ED)</v>
      </c>
      <c r="R1565" s="1">
        <v>1.3032514E8</v>
      </c>
      <c r="S1565" s="1" t="s">
        <v>819</v>
      </c>
      <c r="T1565" s="1" t="str">
        <f>IF(ISERROR(VLOOKUP(S1565,'unique org names'!A:C,3,FALSE)),S1565,VLOOKUP(S1565,'unique org names'!A:C,3,FALSE))
</f>
        <v>ROSS HILL ACADEMY SCHOOL DISTRICT</v>
      </c>
      <c r="V1565" s="1" t="s">
        <v>820</v>
      </c>
      <c r="W1565" s="1" t="s">
        <v>44</v>
      </c>
      <c r="X1565" s="1" t="s">
        <v>45</v>
      </c>
      <c r="Y1565" s="1">
        <v>4.82072418E8</v>
      </c>
      <c r="AA1565" s="1" t="s">
        <v>44</v>
      </c>
      <c r="AB1565" s="1" t="s">
        <v>45</v>
      </c>
      <c r="AC1565" s="1">
        <v>4.82072418E8</v>
      </c>
      <c r="AD1565" s="1">
        <v>1.3032514E8</v>
      </c>
      <c r="AE1565" s="1" t="s">
        <v>819</v>
      </c>
      <c r="AF1565" s="1">
        <v>140014.0</v>
      </c>
      <c r="AG1565" s="2">
        <v>41780.0</v>
      </c>
      <c r="AH1565" s="1">
        <v>9100.0</v>
      </c>
      <c r="AI1565" s="1" t="s">
        <v>194</v>
      </c>
      <c r="AJ1565" s="1" t="s">
        <v>3037</v>
      </c>
      <c r="AK1565" s="1" t="s">
        <v>1170</v>
      </c>
      <c r="AL1565" s="1">
        <v>1.0</v>
      </c>
      <c r="AM1565" s="1">
        <v>2015.0</v>
      </c>
      <c r="AN1565" s="1">
        <v>2014.0</v>
      </c>
      <c r="AO1565" s="1" t="s">
        <v>1171</v>
      </c>
    </row>
    <row r="1566">
      <c r="A1566" s="5">
        <v>1.0</v>
      </c>
      <c r="B1566" s="1">
        <f t="shared" si="1"/>
        <v>1566</v>
      </c>
      <c r="C1566" s="1" t="s">
        <v>2995</v>
      </c>
      <c r="D1566" s="1" t="s">
        <v>2995</v>
      </c>
      <c r="E1566" s="1" t="s">
        <v>194</v>
      </c>
      <c r="G1566" s="1">
        <v>5.11731456E8</v>
      </c>
      <c r="H1566" s="2">
        <v>41733.0</v>
      </c>
      <c r="I1566" s="1" t="s">
        <v>1168</v>
      </c>
      <c r="K1566" s="1" t="s">
        <v>1168</v>
      </c>
      <c r="N1566" s="1" t="s">
        <v>194</v>
      </c>
      <c r="O1566" s="1">
        <v>9100.0</v>
      </c>
      <c r="P1566" s="1" t="s">
        <v>194</v>
      </c>
      <c r="Q1566" s="1" t="str">
        <f>IF(ISERROR(VLOOKUP(P1566,'unique fed agency names'!A:C,3,FALSE)),P1566,VLOOKUP(P1566,'unique fed agency names'!A:C,3,FALSE))
</f>
        <v>U.S. Department of Education (ED)</v>
      </c>
      <c r="R1566" s="1">
        <v>1.52807538E8</v>
      </c>
      <c r="S1566" s="1" t="s">
        <v>591</v>
      </c>
      <c r="T1566" s="1" t="str">
        <f>IF(ISERROR(VLOOKUP(S1566,'unique org names'!A:C,3,FALSE)),S1566,VLOOKUP(S1566,'unique org names'!A:C,3,FALSE))
</f>
        <v>WESTON TECHNICAL ACADEMY</v>
      </c>
      <c r="V1566" s="1" t="s">
        <v>592</v>
      </c>
      <c r="W1566" s="1" t="s">
        <v>44</v>
      </c>
      <c r="X1566" s="1" t="s">
        <v>45</v>
      </c>
      <c r="Y1566" s="1">
        <v>4.82191161E8</v>
      </c>
      <c r="AA1566" s="1" t="s">
        <v>44</v>
      </c>
      <c r="AB1566" s="1" t="s">
        <v>45</v>
      </c>
      <c r="AC1566" s="1">
        <v>4.82191161E8</v>
      </c>
      <c r="AF1566" s="1">
        <v>196502.0</v>
      </c>
      <c r="AG1566" s="2">
        <v>41733.0</v>
      </c>
      <c r="AH1566" s="1">
        <v>9100.0</v>
      </c>
      <c r="AI1566" s="1" t="s">
        <v>194</v>
      </c>
      <c r="AJ1566" s="1" t="s">
        <v>3038</v>
      </c>
      <c r="AK1566" s="1" t="s">
        <v>1170</v>
      </c>
      <c r="AL1566" s="1">
        <v>1.0</v>
      </c>
      <c r="AM1566" s="1">
        <v>2015.0</v>
      </c>
      <c r="AN1566" s="1">
        <v>2014.0</v>
      </c>
      <c r="AO1566" s="1" t="s">
        <v>1171</v>
      </c>
    </row>
    <row r="1567">
      <c r="A1567" s="5">
        <v>1.0</v>
      </c>
      <c r="B1567" s="1">
        <f t="shared" si="1"/>
        <v>1567</v>
      </c>
      <c r="C1567" s="1" t="s">
        <v>2995</v>
      </c>
      <c r="D1567" s="1" t="s">
        <v>2995</v>
      </c>
      <c r="E1567" s="1" t="s">
        <v>194</v>
      </c>
      <c r="G1567" s="1">
        <v>5.11731456E8</v>
      </c>
      <c r="H1567" s="2">
        <v>41752.0</v>
      </c>
      <c r="I1567" s="1" t="s">
        <v>1168</v>
      </c>
      <c r="K1567" s="1" t="s">
        <v>1168</v>
      </c>
      <c r="N1567" s="1" t="s">
        <v>194</v>
      </c>
      <c r="O1567" s="1">
        <v>9100.0</v>
      </c>
      <c r="P1567" s="1" t="s">
        <v>194</v>
      </c>
      <c r="Q1567" s="1" t="str">
        <f>IF(ISERROR(VLOOKUP(P1567,'unique fed agency names'!A:C,3,FALSE)),P1567,VLOOKUP(P1567,'unique fed agency names'!A:C,3,FALSE))
</f>
        <v>U.S. Department of Education (ED)</v>
      </c>
      <c r="R1567" s="1">
        <v>7.8359653E7</v>
      </c>
      <c r="S1567" s="1" t="s">
        <v>469</v>
      </c>
      <c r="T1567" s="1" t="str">
        <f>IF(ISERROR(VLOOKUP(S1567,'unique org names'!A:C,3,FALSE)),S1567,VLOOKUP(S1567,'unique org names'!A:C,3,FALSE))
</f>
        <v>GEE WHITE ACADEMY</v>
      </c>
      <c r="V1567" s="1" t="s">
        <v>470</v>
      </c>
      <c r="W1567" s="1" t="s">
        <v>44</v>
      </c>
      <c r="X1567" s="1" t="s">
        <v>45</v>
      </c>
      <c r="Y1567" s="1">
        <v>4.82122462E8</v>
      </c>
      <c r="AA1567" s="1" t="s">
        <v>46</v>
      </c>
      <c r="AB1567" s="1" t="s">
        <v>45</v>
      </c>
      <c r="AC1567" s="1">
        <v>4.82122462E8</v>
      </c>
      <c r="AF1567" s="1">
        <v>835489.0</v>
      </c>
      <c r="AG1567" s="2">
        <v>41752.0</v>
      </c>
      <c r="AH1567" s="1">
        <v>9100.0</v>
      </c>
      <c r="AI1567" s="1" t="s">
        <v>194</v>
      </c>
      <c r="AJ1567" s="1" t="s">
        <v>3039</v>
      </c>
      <c r="AK1567" s="1" t="s">
        <v>3000</v>
      </c>
      <c r="AL1567" s="1">
        <v>1.0</v>
      </c>
      <c r="AM1567" s="1">
        <v>2015.0</v>
      </c>
      <c r="AN1567" s="1">
        <v>2014.0</v>
      </c>
      <c r="AO1567" s="1" t="s">
        <v>1171</v>
      </c>
    </row>
    <row r="1568">
      <c r="A1568" s="5">
        <v>1.0</v>
      </c>
      <c r="B1568" s="1">
        <f t="shared" si="1"/>
        <v>1568</v>
      </c>
      <c r="C1568" s="1" t="s">
        <v>2995</v>
      </c>
      <c r="D1568" s="1" t="s">
        <v>2995</v>
      </c>
      <c r="E1568" s="1" t="s">
        <v>194</v>
      </c>
      <c r="G1568" s="1">
        <v>5.11731456E8</v>
      </c>
      <c r="H1568" s="2">
        <v>41703.0</v>
      </c>
      <c r="I1568" s="1" t="s">
        <v>1168</v>
      </c>
      <c r="K1568" s="1" t="s">
        <v>1168</v>
      </c>
      <c r="N1568" s="1" t="s">
        <v>194</v>
      </c>
      <c r="O1568" s="1">
        <v>9100.0</v>
      </c>
      <c r="P1568" s="1" t="s">
        <v>194</v>
      </c>
      <c r="Q1568" s="1" t="str">
        <f>IF(ISERROR(VLOOKUP(P1568,'unique fed agency names'!A:C,3,FALSE)),P1568,VLOOKUP(P1568,'unique fed agency names'!A:C,3,FALSE))
</f>
        <v>U.S. Department of Education (ED)</v>
      </c>
      <c r="R1568" s="1">
        <v>1.96632496E8</v>
      </c>
      <c r="S1568" s="1" t="s">
        <v>715</v>
      </c>
      <c r="T1568" s="1" t="str">
        <f>IF(ISERROR(VLOOKUP(S1568,'unique org names'!A:C,3,FALSE)),S1568,VLOOKUP(S1568,'unique org names'!A:C,3,FALSE))
</f>
        <v>CASA RICHARD ACADEMY</v>
      </c>
      <c r="V1568" s="1" t="s">
        <v>716</v>
      </c>
      <c r="W1568" s="1" t="s">
        <v>44</v>
      </c>
      <c r="X1568" s="1" t="s">
        <v>45</v>
      </c>
      <c r="Y1568" s="1">
        <v>4.82162058E8</v>
      </c>
      <c r="AA1568" s="1" t="s">
        <v>44</v>
      </c>
      <c r="AB1568" s="1" t="s">
        <v>45</v>
      </c>
      <c r="AC1568" s="1">
        <v>4.82162058E8</v>
      </c>
      <c r="AF1568" s="1">
        <v>75933.0</v>
      </c>
      <c r="AG1568" s="2">
        <v>41703.0</v>
      </c>
      <c r="AH1568" s="1">
        <v>9100.0</v>
      </c>
      <c r="AI1568" s="1" t="s">
        <v>194</v>
      </c>
      <c r="AJ1568" s="1" t="s">
        <v>3040</v>
      </c>
      <c r="AK1568" s="1" t="s">
        <v>1170</v>
      </c>
      <c r="AL1568" s="1">
        <v>1.0</v>
      </c>
      <c r="AM1568" s="1">
        <v>2015.0</v>
      </c>
      <c r="AN1568" s="1">
        <v>2014.0</v>
      </c>
      <c r="AO1568" s="1" t="s">
        <v>1171</v>
      </c>
    </row>
    <row r="1569">
      <c r="A1569" s="5">
        <v>1.0</v>
      </c>
      <c r="B1569" s="1">
        <f t="shared" si="1"/>
        <v>1569</v>
      </c>
      <c r="C1569" s="1" t="s">
        <v>2995</v>
      </c>
      <c r="D1569" s="1" t="s">
        <v>2995</v>
      </c>
      <c r="E1569" s="1" t="s">
        <v>194</v>
      </c>
      <c r="G1569" s="1">
        <v>5.11731456E8</v>
      </c>
      <c r="H1569" s="2">
        <v>41540.0</v>
      </c>
      <c r="I1569" s="1" t="s">
        <v>1168</v>
      </c>
      <c r="K1569" s="1" t="s">
        <v>1168</v>
      </c>
      <c r="N1569" s="1" t="s">
        <v>194</v>
      </c>
      <c r="O1569" s="1">
        <v>9100.0</v>
      </c>
      <c r="P1569" s="1" t="s">
        <v>194</v>
      </c>
      <c r="Q1569" s="1" t="str">
        <f>IF(ISERROR(VLOOKUP(P1569,'unique fed agency names'!A:C,3,FALSE)),P1569,VLOOKUP(P1569,'unique fed agency names'!A:C,3,FALSE))
</f>
        <v>U.S. Department of Education (ED)</v>
      </c>
      <c r="R1569" s="1">
        <v>1.0030049E8</v>
      </c>
      <c r="S1569" s="1" t="s">
        <v>461</v>
      </c>
      <c r="T1569" s="1" t="str">
        <f>IF(ISERROR(VLOOKUP(S1569,'unique org names'!A:C,3,FALSE)),S1569,VLOOKUP(S1569,'unique org names'!A:C,3,FALSE))
</f>
        <v>BOARD OF EDUCATION OF THE CITY OF DETROIT</v>
      </c>
      <c r="U1569" s="1" t="s">
        <v>570</v>
      </c>
      <c r="V1569" s="1" t="s">
        <v>571</v>
      </c>
      <c r="W1569" s="1" t="s">
        <v>44</v>
      </c>
      <c r="X1569" s="1" t="s">
        <v>45</v>
      </c>
      <c r="Y1569" s="1">
        <v>4.82382941E8</v>
      </c>
      <c r="AA1569" s="1" t="s">
        <v>44</v>
      </c>
      <c r="AB1569" s="1" t="s">
        <v>45</v>
      </c>
      <c r="AC1569" s="1">
        <v>4.82382941E8</v>
      </c>
      <c r="AF1569" s="1">
        <v>124349.0</v>
      </c>
      <c r="AG1569" s="2">
        <v>41540.0</v>
      </c>
      <c r="AH1569" s="1">
        <v>9100.0</v>
      </c>
      <c r="AI1569" s="1" t="s">
        <v>194</v>
      </c>
      <c r="AJ1569" s="1" t="s">
        <v>3041</v>
      </c>
      <c r="AK1569" s="1" t="s">
        <v>3000</v>
      </c>
      <c r="AL1569" s="1">
        <v>1.0</v>
      </c>
      <c r="AM1569" s="1">
        <v>2015.0</v>
      </c>
      <c r="AN1569" s="1">
        <v>2013.0</v>
      </c>
      <c r="AO1569" s="1" t="s">
        <v>1171</v>
      </c>
    </row>
    <row r="1570">
      <c r="A1570" s="5">
        <v>1.0</v>
      </c>
      <c r="B1570" s="1">
        <f t="shared" si="1"/>
        <v>1570</v>
      </c>
      <c r="C1570" s="1" t="s">
        <v>2995</v>
      </c>
      <c r="D1570" s="1" t="s">
        <v>2995</v>
      </c>
      <c r="E1570" s="1" t="s">
        <v>194</v>
      </c>
      <c r="G1570" s="1">
        <v>5.11731456E8</v>
      </c>
      <c r="H1570" s="2">
        <v>41806.0</v>
      </c>
      <c r="I1570" s="1" t="s">
        <v>1168</v>
      </c>
      <c r="K1570" s="1" t="s">
        <v>1168</v>
      </c>
      <c r="N1570" s="1" t="s">
        <v>194</v>
      </c>
      <c r="O1570" s="1">
        <v>9100.0</v>
      </c>
      <c r="P1570" s="1" t="s">
        <v>194</v>
      </c>
      <c r="Q1570" s="1" t="str">
        <f>IF(ISERROR(VLOOKUP(P1570,'unique fed agency names'!A:C,3,FALSE)),P1570,VLOOKUP(P1570,'unique fed agency names'!A:C,3,FALSE))
</f>
        <v>U.S. Department of Education (ED)</v>
      </c>
      <c r="R1570" s="1">
        <v>5.2874042E7</v>
      </c>
      <c r="S1570" s="1" t="s">
        <v>538</v>
      </c>
      <c r="T1570" s="1" t="str">
        <f>IF(ISERROR(VLOOKUP(S1570,'unique org names'!A:C,3,FALSE)),S1570,VLOOKUP(S1570,'unique org names'!A:C,3,FALSE))
</f>
        <v>CESAR CHAVEZ ACADEMY</v>
      </c>
      <c r="V1570" s="1" t="s">
        <v>539</v>
      </c>
      <c r="W1570" s="1" t="s">
        <v>44</v>
      </c>
      <c r="X1570" s="1" t="s">
        <v>45</v>
      </c>
      <c r="Y1570" s="1">
        <v>4.82091524E8</v>
      </c>
      <c r="AA1570" s="1" t="s">
        <v>44</v>
      </c>
      <c r="AB1570" s="1" t="s">
        <v>45</v>
      </c>
      <c r="AC1570" s="1">
        <v>4.82091524E8</v>
      </c>
      <c r="AF1570" s="1">
        <v>1688503.0</v>
      </c>
      <c r="AG1570" s="2">
        <v>41806.0</v>
      </c>
      <c r="AH1570" s="1">
        <v>9100.0</v>
      </c>
      <c r="AI1570" s="1" t="s">
        <v>194</v>
      </c>
      <c r="AJ1570" s="1" t="s">
        <v>3042</v>
      </c>
      <c r="AK1570" s="1" t="s">
        <v>1170</v>
      </c>
      <c r="AL1570" s="1">
        <v>1.0</v>
      </c>
      <c r="AM1570" s="1">
        <v>2015.0</v>
      </c>
      <c r="AN1570" s="1">
        <v>2014.0</v>
      </c>
      <c r="AO1570" s="1" t="s">
        <v>1171</v>
      </c>
    </row>
    <row r="1571">
      <c r="A1571" s="5">
        <v>1.0</v>
      </c>
      <c r="B1571" s="1">
        <f t="shared" si="1"/>
        <v>1571</v>
      </c>
      <c r="C1571" s="1" t="s">
        <v>2995</v>
      </c>
      <c r="D1571" s="1" t="s">
        <v>2995</v>
      </c>
      <c r="E1571" s="1" t="s">
        <v>194</v>
      </c>
      <c r="G1571" s="1">
        <v>5.11731456E8</v>
      </c>
      <c r="H1571" s="2">
        <v>41668.0</v>
      </c>
      <c r="I1571" s="1" t="s">
        <v>1168</v>
      </c>
      <c r="K1571" s="1" t="s">
        <v>1168</v>
      </c>
      <c r="N1571" s="1" t="s">
        <v>194</v>
      </c>
      <c r="O1571" s="1">
        <v>9100.0</v>
      </c>
      <c r="P1571" s="1" t="s">
        <v>194</v>
      </c>
      <c r="Q1571" s="1" t="str">
        <f>IF(ISERROR(VLOOKUP(P1571,'unique fed agency names'!A:C,3,FALSE)),P1571,VLOOKUP(P1571,'unique fed agency names'!A:C,3,FALSE))
</f>
        <v>U.S. Department of Education (ED)</v>
      </c>
      <c r="R1571" s="1">
        <v>7894403.0</v>
      </c>
      <c r="S1571" s="1" t="s">
        <v>1676</v>
      </c>
      <c r="T1571" s="1" t="str">
        <f>IF(ISERROR(VLOOKUP(S1571,'unique org names'!A:C,3,FALSE)),S1571,VLOOKUP(S1571,'unique org names'!A:C,3,FALSE))
</f>
        <v>Detroit Capstone Academy</v>
      </c>
      <c r="V1571" s="1" t="s">
        <v>1677</v>
      </c>
      <c r="W1571" s="1" t="s">
        <v>44</v>
      </c>
      <c r="X1571" s="1" t="s">
        <v>45</v>
      </c>
      <c r="Y1571" s="1">
        <v>4.82012402E8</v>
      </c>
      <c r="AA1571" s="1" t="s">
        <v>46</v>
      </c>
      <c r="AB1571" s="1" t="s">
        <v>45</v>
      </c>
      <c r="AC1571" s="1">
        <v>4.82012402E8</v>
      </c>
      <c r="AF1571" s="1">
        <v>195029.0</v>
      </c>
      <c r="AG1571" s="2">
        <v>41668.0</v>
      </c>
      <c r="AH1571" s="1">
        <v>9100.0</v>
      </c>
      <c r="AI1571" s="1" t="s">
        <v>194</v>
      </c>
      <c r="AJ1571" s="1" t="s">
        <v>3043</v>
      </c>
      <c r="AK1571" s="1" t="s">
        <v>3000</v>
      </c>
      <c r="AL1571" s="1">
        <v>1.0</v>
      </c>
      <c r="AM1571" s="1">
        <v>2015.0</v>
      </c>
      <c r="AN1571" s="1">
        <v>2014.0</v>
      </c>
      <c r="AO1571" s="1" t="s">
        <v>1171</v>
      </c>
    </row>
    <row r="1572">
      <c r="A1572" s="5">
        <v>1.0</v>
      </c>
      <c r="B1572" s="1">
        <f t="shared" si="1"/>
        <v>1572</v>
      </c>
      <c r="C1572" s="1" t="s">
        <v>2995</v>
      </c>
      <c r="D1572" s="1" t="s">
        <v>2995</v>
      </c>
      <c r="E1572" s="1" t="s">
        <v>194</v>
      </c>
      <c r="G1572" s="1">
        <v>5.11731456E8</v>
      </c>
      <c r="H1572" s="2">
        <v>41703.0</v>
      </c>
      <c r="I1572" s="1" t="s">
        <v>1168</v>
      </c>
      <c r="K1572" s="1" t="s">
        <v>1168</v>
      </c>
      <c r="N1572" s="1" t="s">
        <v>194</v>
      </c>
      <c r="O1572" s="1">
        <v>9100.0</v>
      </c>
      <c r="P1572" s="1" t="s">
        <v>194</v>
      </c>
      <c r="Q1572" s="1" t="str">
        <f>IF(ISERROR(VLOOKUP(P1572,'unique fed agency names'!A:C,3,FALSE)),P1572,VLOOKUP(P1572,'unique fed agency names'!A:C,3,FALSE))
</f>
        <v>U.S. Department of Education (ED)</v>
      </c>
      <c r="R1572" s="1">
        <v>9.65349769E8</v>
      </c>
      <c r="S1572" s="1" t="s">
        <v>465</v>
      </c>
      <c r="T1572" s="1" t="str">
        <f>IF(ISERROR(VLOOKUP(S1572,'unique org names'!A:C,3,FALSE)),S1572,VLOOKUP(S1572,'unique org names'!A:C,3,FALSE))
</f>
        <v>Public School Academies of Detroit</v>
      </c>
      <c r="U1572" s="1" t="s">
        <v>466</v>
      </c>
      <c r="V1572" s="1" t="s">
        <v>467</v>
      </c>
      <c r="W1572" s="1" t="s">
        <v>44</v>
      </c>
      <c r="X1572" s="1" t="s">
        <v>45</v>
      </c>
      <c r="Y1572" s="1">
        <v>4.8202322E8</v>
      </c>
      <c r="AA1572" s="1" t="s">
        <v>44</v>
      </c>
      <c r="AB1572" s="1" t="s">
        <v>45</v>
      </c>
      <c r="AC1572" s="1">
        <v>4.8202322E8</v>
      </c>
      <c r="AD1572" s="1">
        <v>1.6338926E8</v>
      </c>
      <c r="AE1572" s="1" t="s">
        <v>465</v>
      </c>
      <c r="AF1572" s="1">
        <v>801114.0</v>
      </c>
      <c r="AG1572" s="2">
        <v>41703.0</v>
      </c>
      <c r="AH1572" s="1">
        <v>9100.0</v>
      </c>
      <c r="AI1572" s="1" t="s">
        <v>194</v>
      </c>
      <c r="AJ1572" s="1" t="s">
        <v>3044</v>
      </c>
      <c r="AK1572" s="1" t="s">
        <v>1170</v>
      </c>
      <c r="AL1572" s="1">
        <v>1.0</v>
      </c>
      <c r="AM1572" s="1">
        <v>2015.0</v>
      </c>
      <c r="AN1572" s="1">
        <v>2014.0</v>
      </c>
      <c r="AO1572" s="1" t="s">
        <v>1171</v>
      </c>
    </row>
    <row r="1573">
      <c r="A1573" s="5">
        <v>1.0</v>
      </c>
      <c r="B1573" s="1">
        <f t="shared" si="1"/>
        <v>1573</v>
      </c>
      <c r="C1573" s="1" t="s">
        <v>2995</v>
      </c>
      <c r="D1573" s="1" t="s">
        <v>2995</v>
      </c>
      <c r="E1573" s="1" t="s">
        <v>194</v>
      </c>
      <c r="G1573" s="1">
        <v>5.11731456E8</v>
      </c>
      <c r="H1573" s="2">
        <v>41806.0</v>
      </c>
      <c r="I1573" s="1" t="s">
        <v>1168</v>
      </c>
      <c r="K1573" s="1" t="s">
        <v>1168</v>
      </c>
      <c r="N1573" s="1" t="s">
        <v>194</v>
      </c>
      <c r="O1573" s="1">
        <v>9100.0</v>
      </c>
      <c r="P1573" s="1" t="s">
        <v>194</v>
      </c>
      <c r="Q1573" s="1" t="str">
        <f>IF(ISERROR(VLOOKUP(P1573,'unique fed agency names'!A:C,3,FALSE)),P1573,VLOOKUP(P1573,'unique fed agency names'!A:C,3,FALSE))
</f>
        <v>U.S. Department of Education (ED)</v>
      </c>
      <c r="R1573" s="1">
        <v>9.62949843E8</v>
      </c>
      <c r="S1573" s="1" t="s">
        <v>619</v>
      </c>
      <c r="T1573" s="1" t="str">
        <f>IF(ISERROR(VLOOKUP(S1573,'unique org names'!A:C,3,FALSE)),S1573,VLOOKUP(S1573,'unique org names'!A:C,3,FALSE))
</f>
        <v>ALLEN ACADEMY</v>
      </c>
      <c r="V1573" s="1" t="s">
        <v>620</v>
      </c>
      <c r="W1573" s="1" t="s">
        <v>44</v>
      </c>
      <c r="X1573" s="1" t="s">
        <v>45</v>
      </c>
      <c r="Y1573" s="1">
        <v>4.82042306E8</v>
      </c>
      <c r="AA1573" s="1" t="s">
        <v>44</v>
      </c>
      <c r="AB1573" s="1" t="s">
        <v>45</v>
      </c>
      <c r="AC1573" s="1">
        <v>4.82042306E8</v>
      </c>
      <c r="AF1573" s="1">
        <v>982269.0</v>
      </c>
      <c r="AG1573" s="2">
        <v>41806.0</v>
      </c>
      <c r="AH1573" s="1">
        <v>9100.0</v>
      </c>
      <c r="AI1573" s="1" t="s">
        <v>194</v>
      </c>
      <c r="AJ1573" s="1" t="s">
        <v>3045</v>
      </c>
      <c r="AK1573" s="1" t="s">
        <v>1170</v>
      </c>
      <c r="AL1573" s="1">
        <v>1.0</v>
      </c>
      <c r="AM1573" s="1">
        <v>2015.0</v>
      </c>
      <c r="AN1573" s="1">
        <v>2014.0</v>
      </c>
      <c r="AO1573" s="1" t="s">
        <v>1171</v>
      </c>
    </row>
    <row r="1574">
      <c r="A1574" s="5">
        <v>1.0</v>
      </c>
      <c r="B1574" s="1">
        <f t="shared" si="1"/>
        <v>1574</v>
      </c>
      <c r="C1574" s="1" t="s">
        <v>2995</v>
      </c>
      <c r="D1574" s="1" t="s">
        <v>2995</v>
      </c>
      <c r="E1574" s="1" t="s">
        <v>194</v>
      </c>
      <c r="G1574" s="1">
        <v>5.11731456E8</v>
      </c>
      <c r="H1574" s="2">
        <v>41669.0</v>
      </c>
      <c r="I1574" s="1" t="s">
        <v>1168</v>
      </c>
      <c r="K1574" s="1" t="s">
        <v>1168</v>
      </c>
      <c r="N1574" s="1" t="s">
        <v>194</v>
      </c>
      <c r="O1574" s="1">
        <v>9100.0</v>
      </c>
      <c r="P1574" s="1" t="s">
        <v>194</v>
      </c>
      <c r="Q1574" s="1" t="str">
        <f>IF(ISERROR(VLOOKUP(P1574,'unique fed agency names'!A:C,3,FALSE)),P1574,VLOOKUP(P1574,'unique fed agency names'!A:C,3,FALSE))
</f>
        <v>U.S. Department of Education (ED)</v>
      </c>
      <c r="R1574" s="1">
        <v>9.48021373E8</v>
      </c>
      <c r="S1574" s="1" t="s">
        <v>501</v>
      </c>
      <c r="T1574" s="1" t="str">
        <f>IF(ISERROR(VLOOKUP(S1574,'unique org names'!A:C,3,FALSE)),S1574,VLOOKUP(S1574,'unique org names'!A:C,3,FALSE))
</f>
        <v>WOODWARD ACADEMY</v>
      </c>
      <c r="V1574" s="1" t="s">
        <v>502</v>
      </c>
      <c r="W1574" s="1" t="s">
        <v>44</v>
      </c>
      <c r="X1574" s="1" t="s">
        <v>45</v>
      </c>
      <c r="Y1574" s="1">
        <v>4.82072901E8</v>
      </c>
      <c r="AA1574" s="1" t="s">
        <v>44</v>
      </c>
      <c r="AB1574" s="1" t="s">
        <v>45</v>
      </c>
      <c r="AC1574" s="1">
        <v>4.82072901E8</v>
      </c>
      <c r="AF1574" s="1">
        <v>389506.0</v>
      </c>
      <c r="AG1574" s="2">
        <v>41669.0</v>
      </c>
      <c r="AH1574" s="1">
        <v>9100.0</v>
      </c>
      <c r="AI1574" s="1" t="s">
        <v>194</v>
      </c>
      <c r="AJ1574" s="1" t="s">
        <v>3046</v>
      </c>
      <c r="AK1574" s="1" t="s">
        <v>1170</v>
      </c>
      <c r="AL1574" s="1">
        <v>1.0</v>
      </c>
      <c r="AM1574" s="1">
        <v>2015.0</v>
      </c>
      <c r="AN1574" s="1">
        <v>2014.0</v>
      </c>
      <c r="AO1574" s="1" t="s">
        <v>1171</v>
      </c>
    </row>
    <row r="1575">
      <c r="A1575" s="5">
        <v>1.0</v>
      </c>
      <c r="B1575" s="1">
        <f t="shared" si="1"/>
        <v>1575</v>
      </c>
      <c r="C1575" s="1" t="s">
        <v>2995</v>
      </c>
      <c r="D1575" s="1" t="s">
        <v>2995</v>
      </c>
      <c r="E1575" s="1" t="s">
        <v>194</v>
      </c>
      <c r="G1575" s="1">
        <v>5.11731456E8</v>
      </c>
      <c r="H1575" s="2">
        <v>41809.0</v>
      </c>
      <c r="I1575" s="1" t="s">
        <v>1168</v>
      </c>
      <c r="K1575" s="1" t="s">
        <v>1168</v>
      </c>
      <c r="N1575" s="1" t="s">
        <v>194</v>
      </c>
      <c r="O1575" s="1">
        <v>9100.0</v>
      </c>
      <c r="P1575" s="1" t="s">
        <v>194</v>
      </c>
      <c r="Q1575" s="1" t="str">
        <f>IF(ISERROR(VLOOKUP(P1575,'unique fed agency names'!A:C,3,FALSE)),P1575,VLOOKUP(P1575,'unique fed agency names'!A:C,3,FALSE))
</f>
        <v>U.S. Department of Education (ED)</v>
      </c>
      <c r="R1575" s="1">
        <v>6.6707493E7</v>
      </c>
      <c r="S1575" s="1" t="s">
        <v>541</v>
      </c>
      <c r="T1575" s="1" t="str">
        <f>IF(ISERROR(VLOOKUP(S1575,'unique org names'!A:C,3,FALSE)),S1575,VLOOKUP(S1575,'unique org names'!A:C,3,FALSE))
</f>
        <v>HOPE OF DETROIT ACADEMY</v>
      </c>
      <c r="V1575" s="1" t="s">
        <v>542</v>
      </c>
      <c r="W1575" s="1" t="s">
        <v>44</v>
      </c>
      <c r="X1575" s="1" t="s">
        <v>45</v>
      </c>
      <c r="Y1575" s="1">
        <v>4.8210252E8</v>
      </c>
      <c r="AA1575" s="1" t="s">
        <v>44</v>
      </c>
      <c r="AB1575" s="1" t="s">
        <v>45</v>
      </c>
      <c r="AC1575" s="1">
        <v>4.8210252E8</v>
      </c>
      <c r="AF1575" s="1">
        <v>352378.0</v>
      </c>
      <c r="AG1575" s="2">
        <v>41809.0</v>
      </c>
      <c r="AH1575" s="1">
        <v>9100.0</v>
      </c>
      <c r="AI1575" s="1" t="s">
        <v>194</v>
      </c>
      <c r="AJ1575" s="1" t="s">
        <v>3047</v>
      </c>
      <c r="AK1575" s="1" t="s">
        <v>1170</v>
      </c>
      <c r="AL1575" s="1">
        <v>1.0</v>
      </c>
      <c r="AM1575" s="1">
        <v>2015.0</v>
      </c>
      <c r="AN1575" s="1">
        <v>2014.0</v>
      </c>
      <c r="AO1575" s="1" t="s">
        <v>1171</v>
      </c>
    </row>
    <row r="1576">
      <c r="A1576" s="5">
        <v>1.0</v>
      </c>
      <c r="B1576" s="1">
        <f t="shared" si="1"/>
        <v>1576</v>
      </c>
      <c r="C1576" s="1" t="s">
        <v>2982</v>
      </c>
      <c r="D1576" s="1" t="s">
        <v>2982</v>
      </c>
      <c r="E1576" s="1" t="s">
        <v>70</v>
      </c>
      <c r="G1576" s="1">
        <v>1.3750704E7</v>
      </c>
      <c r="H1576" s="2">
        <v>41913.0</v>
      </c>
      <c r="I1576" s="1" t="s">
        <v>2983</v>
      </c>
      <c r="K1576" s="1" t="s">
        <v>2983</v>
      </c>
      <c r="N1576" s="1" t="s">
        <v>72</v>
      </c>
      <c r="O1576" s="1">
        <v>1500.0</v>
      </c>
      <c r="P1576" s="1" t="s">
        <v>72</v>
      </c>
      <c r="Q1576" s="1" t="str">
        <f>IF(ISERROR(VLOOKUP(P1576,'unique fed agency names'!A:C,3,FALSE)),P1576,VLOOKUP(P1576,'unique fed agency names'!A:C,3,FALSE))
</f>
        <v>U.S. Department of Justice (DOJ)</v>
      </c>
      <c r="R1576" s="1">
        <v>8.29087865E8</v>
      </c>
      <c r="S1576" s="1" t="s">
        <v>1423</v>
      </c>
      <c r="T1576" s="1" t="str">
        <f>IF(ISERROR(VLOOKUP(S1576,'unique org names'!A:C,3,FALSE)),S1576,VLOOKUP(S1576,'unique org names'!A:C,3,FALSE))
</f>
        <v>Triangle Foundation, Inc</v>
      </c>
      <c r="V1576" s="1" t="s">
        <v>1425</v>
      </c>
      <c r="W1576" s="1" t="s">
        <v>44</v>
      </c>
      <c r="X1576" s="1" t="s">
        <v>45</v>
      </c>
      <c r="Y1576" s="1">
        <v>4.82192721E8</v>
      </c>
      <c r="AA1576" s="1" t="s">
        <v>44</v>
      </c>
      <c r="AB1576" s="1" t="s">
        <v>45</v>
      </c>
      <c r="AC1576" s="1">
        <v>4.82192721E8</v>
      </c>
      <c r="AF1576" s="1">
        <v>109200.0</v>
      </c>
      <c r="AG1576" s="2">
        <v>41913.0</v>
      </c>
      <c r="AH1576" s="1">
        <v>1500.0</v>
      </c>
      <c r="AI1576" s="1" t="s">
        <v>72</v>
      </c>
      <c r="AJ1576" s="1">
        <v>2.0150125E7</v>
      </c>
      <c r="AK1576" s="1" t="s">
        <v>1422</v>
      </c>
      <c r="AL1576" s="1">
        <v>10.0</v>
      </c>
      <c r="AM1576" s="1">
        <v>2013.0</v>
      </c>
      <c r="AN1576" s="1">
        <v>2015.0</v>
      </c>
      <c r="AO1576" s="1" t="s">
        <v>1130</v>
      </c>
    </row>
    <row r="1577">
      <c r="A1577" s="5">
        <v>1.0</v>
      </c>
      <c r="B1577" s="1">
        <f t="shared" si="1"/>
        <v>1577</v>
      </c>
      <c r="C1577" s="1" t="s">
        <v>2982</v>
      </c>
      <c r="D1577" s="1" t="s">
        <v>2982</v>
      </c>
      <c r="E1577" s="1" t="s">
        <v>70</v>
      </c>
      <c r="G1577" s="1">
        <v>1.3750704E7</v>
      </c>
      <c r="H1577" s="2">
        <v>41913.0</v>
      </c>
      <c r="I1577" s="1" t="s">
        <v>2983</v>
      </c>
      <c r="K1577" s="1" t="s">
        <v>2983</v>
      </c>
      <c r="N1577" s="1" t="s">
        <v>72</v>
      </c>
      <c r="O1577" s="1">
        <v>1500.0</v>
      </c>
      <c r="P1577" s="1" t="s">
        <v>72</v>
      </c>
      <c r="Q1577" s="1" t="str">
        <f>IF(ISERROR(VLOOKUP(P1577,'unique fed agency names'!A:C,3,FALSE)),P1577,VLOOKUP(P1577,'unique fed agency names'!A:C,3,FALSE))
</f>
        <v>U.S. Department of Justice (DOJ)</v>
      </c>
      <c r="R1577" s="1">
        <v>7.89629859E8</v>
      </c>
      <c r="S1577" s="1" t="s">
        <v>416</v>
      </c>
      <c r="T1577" s="1" t="str">
        <f>IF(ISERROR(VLOOKUP(S1577,'unique org names'!A:C,3,FALSE)),S1577,VLOOKUP(S1577,'unique org names'!A:C,3,FALSE))
</f>
        <v>Wayne County SAFE Program</v>
      </c>
      <c r="V1577" s="1" t="s">
        <v>417</v>
      </c>
      <c r="W1577" s="1" t="s">
        <v>44</v>
      </c>
      <c r="X1577" s="1" t="s">
        <v>45</v>
      </c>
      <c r="Y1577" s="1">
        <v>4.82343241E8</v>
      </c>
      <c r="AA1577" s="1" t="s">
        <v>46</v>
      </c>
      <c r="AB1577" s="1" t="s">
        <v>45</v>
      </c>
      <c r="AC1577" s="1">
        <v>4.82342621E8</v>
      </c>
      <c r="AF1577" s="1">
        <v>100729.0</v>
      </c>
      <c r="AG1577" s="2">
        <v>41913.0</v>
      </c>
      <c r="AH1577" s="1">
        <v>1500.0</v>
      </c>
      <c r="AI1577" s="1" t="s">
        <v>72</v>
      </c>
      <c r="AJ1577" s="1">
        <v>2.0150133E7</v>
      </c>
      <c r="AK1577" s="1" t="s">
        <v>1422</v>
      </c>
      <c r="AL1577" s="1">
        <v>10.0</v>
      </c>
      <c r="AM1577" s="1">
        <v>2013.0</v>
      </c>
      <c r="AN1577" s="1">
        <v>2015.0</v>
      </c>
      <c r="AO1577" s="1" t="s">
        <v>1130</v>
      </c>
    </row>
    <row r="1578">
      <c r="A1578" s="5">
        <v>1.0</v>
      </c>
      <c r="B1578" s="1">
        <f t="shared" si="1"/>
        <v>1578</v>
      </c>
      <c r="C1578" s="1" t="s">
        <v>3048</v>
      </c>
      <c r="D1578" s="1" t="s">
        <v>3048</v>
      </c>
      <c r="E1578" s="1" t="s">
        <v>645</v>
      </c>
      <c r="G1578" s="1">
        <v>4.58254144E8</v>
      </c>
      <c r="H1578" s="2">
        <v>41578.0</v>
      </c>
      <c r="I1578" s="1" t="s">
        <v>710</v>
      </c>
      <c r="K1578" s="1" t="s">
        <v>710</v>
      </c>
      <c r="N1578" s="1" t="s">
        <v>647</v>
      </c>
      <c r="O1578" s="1">
        <v>1200.0</v>
      </c>
      <c r="P1578" s="1" t="s">
        <v>647</v>
      </c>
      <c r="Q1578" s="1" t="str">
        <f>IF(ISERROR(VLOOKUP(P1578,'unique fed agency names'!A:C,3,FALSE)),P1578,VLOOKUP(P1578,'unique fed agency names'!A:C,3,FALSE))
</f>
        <v>U.S. Department of Agriculture (USDA)</v>
      </c>
      <c r="R1578" s="1">
        <v>7.8583404E7</v>
      </c>
      <c r="S1578" s="1" t="s">
        <v>65</v>
      </c>
      <c r="T1578" s="1" t="str">
        <f>IF(ISERROR(VLOOKUP(S1578,'unique org names'!A:C,3,FALSE)),S1578,VLOOKUP(S1578,'unique org names'!A:C,3,FALSE))
</f>
        <v>Institute for Population Health Inc.</v>
      </c>
      <c r="V1578" s="1" t="s">
        <v>1573</v>
      </c>
      <c r="W1578" s="1" t="s">
        <v>44</v>
      </c>
      <c r="X1578" s="1" t="s">
        <v>45</v>
      </c>
      <c r="Y1578" s="1">
        <v>4.8207311E8</v>
      </c>
      <c r="AA1578" s="1" t="s">
        <v>46</v>
      </c>
      <c r="AB1578" s="1" t="s">
        <v>45</v>
      </c>
      <c r="AC1578" s="1">
        <v>4.8207311E8</v>
      </c>
      <c r="AF1578" s="1">
        <v>130049.38</v>
      </c>
      <c r="AG1578" s="2">
        <v>41578.0</v>
      </c>
      <c r="AH1578" s="1">
        <v>1200.0</v>
      </c>
      <c r="AI1578" s="1" t="s">
        <v>647</v>
      </c>
      <c r="AJ1578" s="1" t="s">
        <v>3049</v>
      </c>
      <c r="AK1578" s="1" t="s">
        <v>712</v>
      </c>
      <c r="AL1578" s="1">
        <v>1.0</v>
      </c>
      <c r="AM1578" s="1">
        <v>2015.0</v>
      </c>
      <c r="AN1578" s="1">
        <v>2014.0</v>
      </c>
      <c r="AO1578" s="1" t="s">
        <v>713</v>
      </c>
    </row>
    <row r="1579">
      <c r="A1579" s="5">
        <v>1.0</v>
      </c>
      <c r="B1579" s="1">
        <f t="shared" si="1"/>
        <v>1579</v>
      </c>
      <c r="C1579" s="1" t="s">
        <v>3048</v>
      </c>
      <c r="D1579" s="1" t="s">
        <v>3048</v>
      </c>
      <c r="E1579" s="1" t="s">
        <v>645</v>
      </c>
      <c r="G1579" s="1">
        <v>4.58254144E8</v>
      </c>
      <c r="H1579" s="2">
        <v>41557.0</v>
      </c>
      <c r="I1579" s="1" t="s">
        <v>710</v>
      </c>
      <c r="K1579" s="1" t="s">
        <v>710</v>
      </c>
      <c r="N1579" s="1" t="s">
        <v>647</v>
      </c>
      <c r="O1579" s="1">
        <v>1200.0</v>
      </c>
      <c r="P1579" s="1" t="s">
        <v>647</v>
      </c>
      <c r="Q1579" s="1" t="str">
        <f>IF(ISERROR(VLOOKUP(P1579,'unique fed agency names'!A:C,3,FALSE)),P1579,VLOOKUP(P1579,'unique fed agency names'!A:C,3,FALSE))
</f>
        <v>U.S. Department of Agriculture (USDA)</v>
      </c>
      <c r="R1579" s="1">
        <v>7.93697355E8</v>
      </c>
      <c r="S1579" s="1" t="s">
        <v>691</v>
      </c>
      <c r="T1579" s="1" t="str">
        <f>IF(ISERROR(VLOOKUP(S1579,'unique org names'!A:C,3,FALSE)),S1579,VLOOKUP(S1579,'unique org names'!A:C,3,FALSE))
</f>
        <v>OAKLAND INTERNATIONAL ACADEMY</v>
      </c>
      <c r="U1579" s="1" t="s">
        <v>1194</v>
      </c>
      <c r="V1579" s="1" t="s">
        <v>692</v>
      </c>
      <c r="W1579" s="1" t="s">
        <v>44</v>
      </c>
      <c r="X1579" s="1" t="s">
        <v>45</v>
      </c>
      <c r="Y1579" s="1">
        <v>4.82111554E8</v>
      </c>
      <c r="AA1579" s="1" t="s">
        <v>44</v>
      </c>
      <c r="AB1579" s="1" t="s">
        <v>45</v>
      </c>
      <c r="AC1579" s="1">
        <v>4.82111552E8</v>
      </c>
      <c r="AF1579" s="1">
        <v>131156.92</v>
      </c>
      <c r="AG1579" s="2">
        <v>41557.0</v>
      </c>
      <c r="AH1579" s="1">
        <v>1200.0</v>
      </c>
      <c r="AI1579" s="1" t="s">
        <v>647</v>
      </c>
      <c r="AJ1579" s="1" t="s">
        <v>3050</v>
      </c>
      <c r="AK1579" s="1" t="s">
        <v>712</v>
      </c>
      <c r="AL1579" s="1">
        <v>1.0</v>
      </c>
      <c r="AM1579" s="1">
        <v>2015.0</v>
      </c>
      <c r="AN1579" s="1">
        <v>2014.0</v>
      </c>
      <c r="AO1579" s="1" t="s">
        <v>713</v>
      </c>
    </row>
    <row r="1580">
      <c r="A1580" s="5">
        <v>1.0</v>
      </c>
      <c r="B1580" s="1">
        <f t="shared" si="1"/>
        <v>1580</v>
      </c>
      <c r="C1580" s="1" t="s">
        <v>3048</v>
      </c>
      <c r="D1580" s="1" t="s">
        <v>3048</v>
      </c>
      <c r="E1580" s="1" t="s">
        <v>645</v>
      </c>
      <c r="G1580" s="1">
        <v>4.58254144E8</v>
      </c>
      <c r="H1580" s="2">
        <v>41550.0</v>
      </c>
      <c r="I1580" s="1" t="s">
        <v>710</v>
      </c>
      <c r="K1580" s="1" t="s">
        <v>710</v>
      </c>
      <c r="N1580" s="1" t="s">
        <v>647</v>
      </c>
      <c r="O1580" s="1">
        <v>1200.0</v>
      </c>
      <c r="P1580" s="1" t="s">
        <v>647</v>
      </c>
      <c r="Q1580" s="1" t="str">
        <f>IF(ISERROR(VLOOKUP(P1580,'unique fed agency names'!A:C,3,FALSE)),P1580,VLOOKUP(P1580,'unique fed agency names'!A:C,3,FALSE))
</f>
        <v>U.S. Department of Agriculture (USDA)</v>
      </c>
      <c r="R1580" s="1">
        <v>9.48021373E8</v>
      </c>
      <c r="S1580" s="1" t="s">
        <v>501</v>
      </c>
      <c r="T1580" s="1" t="str">
        <f>IF(ISERROR(VLOOKUP(S1580,'unique org names'!A:C,3,FALSE)),S1580,VLOOKUP(S1580,'unique org names'!A:C,3,FALSE))
</f>
        <v>WOODWARD ACADEMY</v>
      </c>
      <c r="V1580" s="1" t="s">
        <v>502</v>
      </c>
      <c r="W1580" s="1" t="s">
        <v>44</v>
      </c>
      <c r="X1580" s="1" t="s">
        <v>45</v>
      </c>
      <c r="Y1580" s="1">
        <v>4.82072901E8</v>
      </c>
      <c r="AA1580" s="1" t="s">
        <v>44</v>
      </c>
      <c r="AB1580" s="1" t="s">
        <v>45</v>
      </c>
      <c r="AC1580" s="1">
        <v>4.82072901E8</v>
      </c>
      <c r="AF1580" s="1">
        <v>279938.14</v>
      </c>
      <c r="AG1580" s="2">
        <v>41550.0</v>
      </c>
      <c r="AH1580" s="1">
        <v>1200.0</v>
      </c>
      <c r="AI1580" s="1" t="s">
        <v>647</v>
      </c>
      <c r="AJ1580" s="1" t="s">
        <v>3051</v>
      </c>
      <c r="AK1580" s="1" t="s">
        <v>712</v>
      </c>
      <c r="AL1580" s="1">
        <v>1.0</v>
      </c>
      <c r="AM1580" s="1">
        <v>2015.0</v>
      </c>
      <c r="AN1580" s="1">
        <v>2014.0</v>
      </c>
      <c r="AO1580" s="1" t="s">
        <v>713</v>
      </c>
    </row>
    <row r="1581">
      <c r="A1581" s="5">
        <v>1.0</v>
      </c>
      <c r="B1581" s="1">
        <f t="shared" si="1"/>
        <v>1581</v>
      </c>
      <c r="C1581" s="1" t="s">
        <v>3048</v>
      </c>
      <c r="D1581" s="1" t="s">
        <v>3048</v>
      </c>
      <c r="E1581" s="1" t="s">
        <v>645</v>
      </c>
      <c r="G1581" s="1">
        <v>4.58254144E8</v>
      </c>
      <c r="H1581" s="2">
        <v>41571.0</v>
      </c>
      <c r="I1581" s="1" t="s">
        <v>710</v>
      </c>
      <c r="K1581" s="1" t="s">
        <v>710</v>
      </c>
      <c r="N1581" s="1" t="s">
        <v>647</v>
      </c>
      <c r="O1581" s="1">
        <v>1200.0</v>
      </c>
      <c r="P1581" s="1" t="s">
        <v>647</v>
      </c>
      <c r="Q1581" s="1" t="str">
        <f>IF(ISERROR(VLOOKUP(P1581,'unique fed agency names'!A:C,3,FALSE)),P1581,VLOOKUP(P1581,'unique fed agency names'!A:C,3,FALSE))
</f>
        <v>U.S. Department of Agriculture (USDA)</v>
      </c>
      <c r="R1581" s="1">
        <v>9.62104118E8</v>
      </c>
      <c r="S1581" s="1" t="s">
        <v>634</v>
      </c>
      <c r="T1581" s="1" t="str">
        <f>IF(ISERROR(VLOOKUP(S1581,'unique org names'!A:C,3,FALSE)),S1581,VLOOKUP(S1581,'unique org names'!A:C,3,FALSE))
</f>
        <v>UNIVERSITY YES ACADEMY</v>
      </c>
      <c r="V1581" s="1" t="s">
        <v>635</v>
      </c>
      <c r="W1581" s="1" t="s">
        <v>44</v>
      </c>
      <c r="X1581" s="1" t="s">
        <v>45</v>
      </c>
      <c r="Y1581" s="1">
        <v>4.82351111E8</v>
      </c>
      <c r="AA1581" s="1" t="s">
        <v>46</v>
      </c>
      <c r="AB1581" s="1" t="s">
        <v>45</v>
      </c>
      <c r="AC1581" s="1">
        <v>4.82351111E8</v>
      </c>
      <c r="AF1581" s="1">
        <v>58286.05</v>
      </c>
      <c r="AG1581" s="2">
        <v>41571.0</v>
      </c>
      <c r="AH1581" s="1">
        <v>1200.0</v>
      </c>
      <c r="AI1581" s="1" t="s">
        <v>647</v>
      </c>
      <c r="AJ1581" s="1" t="s">
        <v>3052</v>
      </c>
      <c r="AK1581" s="1" t="s">
        <v>712</v>
      </c>
      <c r="AL1581" s="1">
        <v>1.0</v>
      </c>
      <c r="AM1581" s="1">
        <v>2015.0</v>
      </c>
      <c r="AN1581" s="1">
        <v>2014.0</v>
      </c>
      <c r="AO1581" s="1" t="s">
        <v>713</v>
      </c>
    </row>
    <row r="1582">
      <c r="A1582" s="5">
        <v>1.0</v>
      </c>
      <c r="B1582" s="1">
        <f t="shared" si="1"/>
        <v>1582</v>
      </c>
      <c r="C1582" s="1" t="s">
        <v>3048</v>
      </c>
      <c r="D1582" s="1" t="s">
        <v>3048</v>
      </c>
      <c r="E1582" s="1" t="s">
        <v>645</v>
      </c>
      <c r="G1582" s="1">
        <v>4.58254144E8</v>
      </c>
      <c r="H1582" s="2">
        <v>41550.0</v>
      </c>
      <c r="I1582" s="1" t="s">
        <v>710</v>
      </c>
      <c r="K1582" s="1" t="s">
        <v>710</v>
      </c>
      <c r="N1582" s="1" t="s">
        <v>647</v>
      </c>
      <c r="O1582" s="1">
        <v>1200.0</v>
      </c>
      <c r="P1582" s="1" t="s">
        <v>647</v>
      </c>
      <c r="Q1582" s="1" t="str">
        <f>IF(ISERROR(VLOOKUP(P1582,'unique fed agency names'!A:C,3,FALSE)),P1582,VLOOKUP(P1582,'unique fed agency names'!A:C,3,FALSE))
</f>
        <v>U.S. Department of Agriculture (USDA)</v>
      </c>
      <c r="R1582" s="1">
        <v>8.08238237E8</v>
      </c>
      <c r="S1582" s="1" t="s">
        <v>807</v>
      </c>
      <c r="T1582" s="1" t="str">
        <f>IF(ISERROR(VLOOKUP(S1582,'unique org names'!A:C,3,FALSE)),S1582,VLOOKUP(S1582,'unique org names'!A:C,3,FALSE))
</f>
        <v>Greystone Enterprises</v>
      </c>
      <c r="V1582" s="1" t="s">
        <v>808</v>
      </c>
      <c r="W1582" s="1" t="s">
        <v>44</v>
      </c>
      <c r="X1582" s="1" t="s">
        <v>45</v>
      </c>
      <c r="Y1582" s="1">
        <v>4.82242744E8</v>
      </c>
      <c r="AA1582" s="1" t="s">
        <v>44</v>
      </c>
      <c r="AB1582" s="1" t="s">
        <v>45</v>
      </c>
      <c r="AC1582" s="1">
        <v>4.82242744E8</v>
      </c>
      <c r="AF1582" s="1">
        <v>72855.63</v>
      </c>
      <c r="AG1582" s="2">
        <v>41550.0</v>
      </c>
      <c r="AH1582" s="1">
        <v>1200.0</v>
      </c>
      <c r="AI1582" s="1" t="s">
        <v>647</v>
      </c>
      <c r="AJ1582" s="1" t="s">
        <v>3053</v>
      </c>
      <c r="AK1582" s="1" t="s">
        <v>712</v>
      </c>
      <c r="AL1582" s="1">
        <v>1.0</v>
      </c>
      <c r="AM1582" s="1">
        <v>2015.0</v>
      </c>
      <c r="AN1582" s="1">
        <v>2014.0</v>
      </c>
      <c r="AO1582" s="1" t="s">
        <v>713</v>
      </c>
    </row>
    <row r="1583">
      <c r="A1583" s="5">
        <v>1.0</v>
      </c>
      <c r="B1583" s="1">
        <f t="shared" si="1"/>
        <v>1583</v>
      </c>
      <c r="C1583" s="1" t="s">
        <v>3048</v>
      </c>
      <c r="D1583" s="1" t="s">
        <v>3048</v>
      </c>
      <c r="E1583" s="1" t="s">
        <v>645</v>
      </c>
      <c r="G1583" s="1">
        <v>4.58254144E8</v>
      </c>
      <c r="H1583" s="2">
        <v>41557.0</v>
      </c>
      <c r="I1583" s="1" t="s">
        <v>710</v>
      </c>
      <c r="K1583" s="1" t="s">
        <v>710</v>
      </c>
      <c r="N1583" s="1" t="s">
        <v>647</v>
      </c>
      <c r="O1583" s="1">
        <v>1200.0</v>
      </c>
      <c r="P1583" s="1" t="s">
        <v>647</v>
      </c>
      <c r="Q1583" s="1" t="str">
        <f>IF(ISERROR(VLOOKUP(P1583,'unique fed agency names'!A:C,3,FALSE)),P1583,VLOOKUP(P1583,'unique fed agency names'!A:C,3,FALSE))
</f>
        <v>U.S. Department of Agriculture (USDA)</v>
      </c>
      <c r="R1583" s="1">
        <v>1.43249386E8</v>
      </c>
      <c r="S1583" s="1" t="s">
        <v>3054</v>
      </c>
      <c r="T1583" s="1" t="str">
        <f>IF(ISERROR(VLOOKUP(S1583,'unique org names'!A:C,3,FALSE)),S1583,VLOOKUP(S1583,'unique org names'!A:C,3,FALSE))
</f>
        <v>CHILDREN'S OUTREACH, INC.</v>
      </c>
      <c r="V1583" s="1" t="s">
        <v>3055</v>
      </c>
      <c r="W1583" s="1" t="s">
        <v>44</v>
      </c>
      <c r="X1583" s="1" t="s">
        <v>45</v>
      </c>
      <c r="Y1583" s="1">
        <v>4.82102806E8</v>
      </c>
      <c r="AA1583" s="1" t="s">
        <v>46</v>
      </c>
      <c r="AB1583" s="1" t="s">
        <v>45</v>
      </c>
      <c r="AC1583" s="1">
        <v>4.82100509E8</v>
      </c>
      <c r="AF1583" s="1">
        <v>29313.79</v>
      </c>
      <c r="AG1583" s="2">
        <v>41557.0</v>
      </c>
      <c r="AH1583" s="1">
        <v>1200.0</v>
      </c>
      <c r="AI1583" s="1" t="s">
        <v>647</v>
      </c>
      <c r="AJ1583" s="1" t="s">
        <v>3056</v>
      </c>
      <c r="AK1583" s="1" t="s">
        <v>712</v>
      </c>
      <c r="AL1583" s="1">
        <v>1.0</v>
      </c>
      <c r="AM1583" s="1">
        <v>2015.0</v>
      </c>
      <c r="AN1583" s="1">
        <v>2014.0</v>
      </c>
      <c r="AO1583" s="1" t="s">
        <v>713</v>
      </c>
    </row>
    <row r="1584">
      <c r="A1584" s="5">
        <v>1.0</v>
      </c>
      <c r="B1584" s="1">
        <f t="shared" si="1"/>
        <v>1584</v>
      </c>
      <c r="C1584" s="1" t="s">
        <v>3048</v>
      </c>
      <c r="D1584" s="1" t="s">
        <v>3048</v>
      </c>
      <c r="E1584" s="1" t="s">
        <v>645</v>
      </c>
      <c r="G1584" s="1">
        <v>4.58254144E8</v>
      </c>
      <c r="H1584" s="2">
        <v>41599.0</v>
      </c>
      <c r="I1584" s="1" t="s">
        <v>710</v>
      </c>
      <c r="K1584" s="1" t="s">
        <v>710</v>
      </c>
      <c r="N1584" s="1" t="s">
        <v>647</v>
      </c>
      <c r="O1584" s="1">
        <v>1200.0</v>
      </c>
      <c r="P1584" s="1" t="s">
        <v>647</v>
      </c>
      <c r="Q1584" s="1" t="str">
        <f>IF(ISERROR(VLOOKUP(P1584,'unique fed agency names'!A:C,3,FALSE)),P1584,VLOOKUP(P1584,'unique fed agency names'!A:C,3,FALSE))
</f>
        <v>U.S. Department of Agriculture (USDA)</v>
      </c>
      <c r="R1584" s="1">
        <v>7.93697942E8</v>
      </c>
      <c r="S1584" s="1" t="s">
        <v>459</v>
      </c>
      <c r="T1584" s="1" t="str">
        <f>IF(ISERROR(VLOOKUP(S1584,'unique org names'!A:C,3,FALSE)),S1584,VLOOKUP(S1584,'unique org names'!A:C,3,FALSE))
</f>
        <v>DETROIT PUBLIC SCHOOLS</v>
      </c>
      <c r="V1584" s="1" t="s">
        <v>460</v>
      </c>
      <c r="W1584" s="1" t="s">
        <v>44</v>
      </c>
      <c r="X1584" s="1" t="s">
        <v>45</v>
      </c>
      <c r="Y1584" s="1">
        <v>4.82141601E8</v>
      </c>
      <c r="AA1584" s="1" t="s">
        <v>44</v>
      </c>
      <c r="AB1584" s="1" t="s">
        <v>45</v>
      </c>
      <c r="AC1584" s="1">
        <v>4.82141601E8</v>
      </c>
      <c r="AD1584" s="1">
        <v>7.6340843E7</v>
      </c>
      <c r="AE1584" s="1" t="s">
        <v>461</v>
      </c>
      <c r="AF1584" s="1">
        <v>120860.73</v>
      </c>
      <c r="AG1584" s="2">
        <v>41599.0</v>
      </c>
      <c r="AH1584" s="1">
        <v>1200.0</v>
      </c>
      <c r="AI1584" s="1" t="s">
        <v>647</v>
      </c>
      <c r="AJ1584" s="1" t="s">
        <v>3057</v>
      </c>
      <c r="AK1584" s="1" t="s">
        <v>712</v>
      </c>
      <c r="AL1584" s="1">
        <v>1.0</v>
      </c>
      <c r="AM1584" s="1">
        <v>2015.0</v>
      </c>
      <c r="AN1584" s="1">
        <v>2014.0</v>
      </c>
      <c r="AO1584" s="1" t="s">
        <v>713</v>
      </c>
    </row>
    <row r="1585">
      <c r="A1585" s="5">
        <v>1.0</v>
      </c>
      <c r="B1585" s="1">
        <f t="shared" si="1"/>
        <v>1585</v>
      </c>
      <c r="C1585" s="1" t="s">
        <v>3048</v>
      </c>
      <c r="D1585" s="1" t="s">
        <v>3048</v>
      </c>
      <c r="E1585" s="1" t="s">
        <v>645</v>
      </c>
      <c r="G1585" s="1">
        <v>4.58254144E8</v>
      </c>
      <c r="H1585" s="2">
        <v>41487.0</v>
      </c>
      <c r="I1585" s="1" t="s">
        <v>710</v>
      </c>
      <c r="K1585" s="1" t="s">
        <v>710</v>
      </c>
      <c r="N1585" s="1" t="s">
        <v>647</v>
      </c>
      <c r="O1585" s="1">
        <v>1200.0</v>
      </c>
      <c r="P1585" s="1" t="s">
        <v>647</v>
      </c>
      <c r="Q1585" s="1" t="str">
        <f>IF(ISERROR(VLOOKUP(P1585,'unique fed agency names'!A:C,3,FALSE)),P1585,VLOOKUP(P1585,'unique fed agency names'!A:C,3,FALSE))
</f>
        <v>U.S. Department of Agriculture (USDA)</v>
      </c>
      <c r="R1585" s="1">
        <v>3790107.0</v>
      </c>
      <c r="S1585" s="1" t="s">
        <v>576</v>
      </c>
      <c r="T1585" s="1" t="str">
        <f>IF(ISERROR(VLOOKUP(S1585,'unique org names'!A:C,3,FALSE)),S1585,VLOOKUP(S1585,'unique org names'!A:C,3,FALSE))
</f>
        <v>MARVIN L. WINANS ACADEMY OF PERFORMING ARTS</v>
      </c>
      <c r="V1585" s="1" t="s">
        <v>577</v>
      </c>
      <c r="W1585" s="1" t="s">
        <v>44</v>
      </c>
      <c r="X1585" s="1" t="s">
        <v>45</v>
      </c>
      <c r="Y1585" s="1">
        <v>4.82343284E8</v>
      </c>
      <c r="AA1585" s="1" t="s">
        <v>44</v>
      </c>
      <c r="AB1585" s="1" t="s">
        <v>45</v>
      </c>
      <c r="AC1585" s="1">
        <v>4.82343284E8</v>
      </c>
      <c r="AF1585" s="1">
        <v>54855.3</v>
      </c>
      <c r="AG1585" s="2">
        <v>41487.0</v>
      </c>
      <c r="AH1585" s="1">
        <v>1200.0</v>
      </c>
      <c r="AI1585" s="1" t="s">
        <v>647</v>
      </c>
      <c r="AJ1585" s="1" t="s">
        <v>3058</v>
      </c>
      <c r="AK1585" s="1" t="s">
        <v>712</v>
      </c>
      <c r="AL1585" s="1">
        <v>1.0</v>
      </c>
      <c r="AM1585" s="1">
        <v>2015.0</v>
      </c>
      <c r="AN1585" s="1">
        <v>2013.0</v>
      </c>
      <c r="AO1585" s="1" t="s">
        <v>713</v>
      </c>
    </row>
    <row r="1586">
      <c r="A1586" s="5">
        <v>1.0</v>
      </c>
      <c r="B1586" s="1">
        <f t="shared" si="1"/>
        <v>1586</v>
      </c>
      <c r="C1586" s="1" t="s">
        <v>3048</v>
      </c>
      <c r="D1586" s="1" t="s">
        <v>3048</v>
      </c>
      <c r="E1586" s="1" t="s">
        <v>645</v>
      </c>
      <c r="G1586" s="1">
        <v>4.58254144E8</v>
      </c>
      <c r="H1586" s="2">
        <v>41550.0</v>
      </c>
      <c r="I1586" s="1" t="s">
        <v>710</v>
      </c>
      <c r="K1586" s="1" t="s">
        <v>710</v>
      </c>
      <c r="N1586" s="1" t="s">
        <v>647</v>
      </c>
      <c r="O1586" s="1">
        <v>1200.0</v>
      </c>
      <c r="P1586" s="1" t="s">
        <v>647</v>
      </c>
      <c r="Q1586" s="1" t="str">
        <f>IF(ISERROR(VLOOKUP(P1586,'unique fed agency names'!A:C,3,FALSE)),P1586,VLOOKUP(P1586,'unique fed agency names'!A:C,3,FALSE))
</f>
        <v>U.S. Department of Agriculture (USDA)</v>
      </c>
      <c r="R1586" s="1">
        <v>9.48021373E8</v>
      </c>
      <c r="S1586" s="1" t="s">
        <v>501</v>
      </c>
      <c r="T1586" s="1" t="str">
        <f>IF(ISERROR(VLOOKUP(S1586,'unique org names'!A:C,3,FALSE)),S1586,VLOOKUP(S1586,'unique org names'!A:C,3,FALSE))
</f>
        <v>WOODWARD ACADEMY</v>
      </c>
      <c r="V1586" s="1" t="s">
        <v>502</v>
      </c>
      <c r="W1586" s="1" t="s">
        <v>44</v>
      </c>
      <c r="X1586" s="1" t="s">
        <v>45</v>
      </c>
      <c r="Y1586" s="1">
        <v>4.82072901E8</v>
      </c>
      <c r="AA1586" s="1" t="s">
        <v>44</v>
      </c>
      <c r="AB1586" s="1" t="s">
        <v>45</v>
      </c>
      <c r="AC1586" s="1">
        <v>4.82072901E8</v>
      </c>
      <c r="AF1586" s="1">
        <v>34368.83</v>
      </c>
      <c r="AG1586" s="2">
        <v>41550.0</v>
      </c>
      <c r="AH1586" s="1">
        <v>1200.0</v>
      </c>
      <c r="AI1586" s="1" t="s">
        <v>647</v>
      </c>
      <c r="AJ1586" s="1" t="s">
        <v>3059</v>
      </c>
      <c r="AK1586" s="1" t="s">
        <v>712</v>
      </c>
      <c r="AL1586" s="1">
        <v>1.0</v>
      </c>
      <c r="AM1586" s="1">
        <v>2015.0</v>
      </c>
      <c r="AN1586" s="1">
        <v>2014.0</v>
      </c>
      <c r="AO1586" s="1" t="s">
        <v>713</v>
      </c>
    </row>
    <row r="1587">
      <c r="A1587" s="5">
        <v>1.0</v>
      </c>
      <c r="B1587" s="1">
        <f t="shared" si="1"/>
        <v>1587</v>
      </c>
      <c r="C1587" s="1" t="s">
        <v>3048</v>
      </c>
      <c r="D1587" s="1" t="s">
        <v>3048</v>
      </c>
      <c r="E1587" s="1" t="s">
        <v>645</v>
      </c>
      <c r="G1587" s="1">
        <v>4.58254144E8</v>
      </c>
      <c r="H1587" s="2">
        <v>41564.0</v>
      </c>
      <c r="I1587" s="1" t="s">
        <v>710</v>
      </c>
      <c r="K1587" s="1" t="s">
        <v>710</v>
      </c>
      <c r="N1587" s="1" t="s">
        <v>647</v>
      </c>
      <c r="O1587" s="1">
        <v>1200.0</v>
      </c>
      <c r="P1587" s="1" t="s">
        <v>647</v>
      </c>
      <c r="Q1587" s="1" t="str">
        <f>IF(ISERROR(VLOOKUP(P1587,'unique fed agency names'!A:C,3,FALSE)),P1587,VLOOKUP(P1587,'unique fed agency names'!A:C,3,FALSE))
</f>
        <v>U.S. Department of Agriculture (USDA)</v>
      </c>
      <c r="R1587" s="1">
        <v>1.47777952E8</v>
      </c>
      <c r="S1587" s="1" t="s">
        <v>459</v>
      </c>
      <c r="T1587" s="1" t="str">
        <f>IF(ISERROR(VLOOKUP(S1587,'unique org names'!A:C,3,FALSE)),S1587,VLOOKUP(S1587,'unique org names'!A:C,3,FALSE))
</f>
        <v>DETROIT PUBLIC SCHOOLS</v>
      </c>
      <c r="U1587" s="1" t="s">
        <v>626</v>
      </c>
      <c r="V1587" s="1" t="s">
        <v>627</v>
      </c>
      <c r="W1587" s="1" t="s">
        <v>44</v>
      </c>
      <c r="X1587" s="1" t="s">
        <v>45</v>
      </c>
      <c r="Y1587" s="1">
        <v>4.82072112E8</v>
      </c>
      <c r="AA1587" s="1" t="s">
        <v>44</v>
      </c>
      <c r="AB1587" s="1" t="s">
        <v>45</v>
      </c>
      <c r="AC1587" s="1">
        <v>4.82072112E8</v>
      </c>
      <c r="AD1587" s="1">
        <v>7.6340843E7</v>
      </c>
      <c r="AE1587" s="1" t="s">
        <v>461</v>
      </c>
      <c r="AF1587" s="1">
        <v>208841.87</v>
      </c>
      <c r="AG1587" s="2">
        <v>41564.0</v>
      </c>
      <c r="AH1587" s="1">
        <v>1200.0</v>
      </c>
      <c r="AI1587" s="1" t="s">
        <v>647</v>
      </c>
      <c r="AJ1587" s="1" t="s">
        <v>3060</v>
      </c>
      <c r="AK1587" s="1" t="s">
        <v>712</v>
      </c>
      <c r="AL1587" s="1">
        <v>1.0</v>
      </c>
      <c r="AM1587" s="1">
        <v>2015.0</v>
      </c>
      <c r="AN1587" s="1">
        <v>2014.0</v>
      </c>
      <c r="AO1587" s="1" t="s">
        <v>713</v>
      </c>
    </row>
    <row r="1588">
      <c r="A1588" s="5">
        <v>1.0</v>
      </c>
      <c r="B1588" s="1">
        <f t="shared" si="1"/>
        <v>1588</v>
      </c>
      <c r="C1588" s="1" t="s">
        <v>3048</v>
      </c>
      <c r="D1588" s="1" t="s">
        <v>3048</v>
      </c>
      <c r="E1588" s="1" t="s">
        <v>645</v>
      </c>
      <c r="G1588" s="1">
        <v>4.58254144E8</v>
      </c>
      <c r="H1588" s="2">
        <v>41585.0</v>
      </c>
      <c r="I1588" s="1" t="s">
        <v>710</v>
      </c>
      <c r="K1588" s="1" t="s">
        <v>710</v>
      </c>
      <c r="N1588" s="1" t="s">
        <v>647</v>
      </c>
      <c r="O1588" s="1">
        <v>1200.0</v>
      </c>
      <c r="P1588" s="1" t="s">
        <v>647</v>
      </c>
      <c r="Q1588" s="1" t="str">
        <f>IF(ISERROR(VLOOKUP(P1588,'unique fed agency names'!A:C,3,FALSE)),P1588,VLOOKUP(P1588,'unique fed agency names'!A:C,3,FALSE))
</f>
        <v>U.S. Department of Agriculture (USDA)</v>
      </c>
      <c r="R1588" s="1">
        <v>7.2761299E7</v>
      </c>
      <c r="S1588" s="1" t="s">
        <v>667</v>
      </c>
      <c r="T1588" s="1" t="str">
        <f>IF(ISERROR(VLOOKUP(S1588,'unique org names'!A:C,3,FALSE)),S1588,VLOOKUP(S1588,'unique org names'!A:C,3,FALSE))
</f>
        <v>Focus: HOPE</v>
      </c>
      <c r="V1588" s="1" t="s">
        <v>668</v>
      </c>
      <c r="W1588" s="1" t="s">
        <v>44</v>
      </c>
      <c r="X1588" s="1" t="s">
        <v>45</v>
      </c>
      <c r="Y1588" s="1">
        <v>4.82382849E8</v>
      </c>
      <c r="AA1588" s="1" t="s">
        <v>44</v>
      </c>
      <c r="AB1588" s="1" t="s">
        <v>45</v>
      </c>
      <c r="AC1588" s="1">
        <v>4.82382849E8</v>
      </c>
      <c r="AD1588" s="1">
        <v>7.2761299E7</v>
      </c>
      <c r="AE1588" s="1" t="s">
        <v>667</v>
      </c>
      <c r="AF1588" s="1">
        <v>56368.07</v>
      </c>
      <c r="AG1588" s="2">
        <v>41585.0</v>
      </c>
      <c r="AH1588" s="1">
        <v>1200.0</v>
      </c>
      <c r="AI1588" s="1" t="s">
        <v>647</v>
      </c>
      <c r="AJ1588" s="1" t="s">
        <v>3061</v>
      </c>
      <c r="AK1588" s="1" t="s">
        <v>712</v>
      </c>
      <c r="AL1588" s="1">
        <v>1.0</v>
      </c>
      <c r="AM1588" s="1">
        <v>2015.0</v>
      </c>
      <c r="AN1588" s="1">
        <v>2014.0</v>
      </c>
      <c r="AO1588" s="1" t="s">
        <v>713</v>
      </c>
    </row>
    <row r="1589">
      <c r="A1589" s="5">
        <v>1.0</v>
      </c>
      <c r="B1589" s="1">
        <f t="shared" si="1"/>
        <v>1589</v>
      </c>
      <c r="C1589" s="1" t="s">
        <v>3048</v>
      </c>
      <c r="D1589" s="1" t="s">
        <v>3048</v>
      </c>
      <c r="E1589" s="1" t="s">
        <v>645</v>
      </c>
      <c r="G1589" s="1">
        <v>4.58254144E8</v>
      </c>
      <c r="H1589" s="2">
        <v>41564.0</v>
      </c>
      <c r="I1589" s="1" t="s">
        <v>710</v>
      </c>
      <c r="K1589" s="1" t="s">
        <v>710</v>
      </c>
      <c r="N1589" s="1" t="s">
        <v>647</v>
      </c>
      <c r="O1589" s="1">
        <v>1200.0</v>
      </c>
      <c r="P1589" s="1" t="s">
        <v>647</v>
      </c>
      <c r="Q1589" s="1" t="str">
        <f>IF(ISERROR(VLOOKUP(P1589,'unique fed agency names'!A:C,3,FALSE)),P1589,VLOOKUP(P1589,'unique fed agency names'!A:C,3,FALSE))
</f>
        <v>U.S. Department of Agriculture (USDA)</v>
      </c>
      <c r="R1589" s="1">
        <v>5.5374645E7</v>
      </c>
      <c r="S1589" s="1" t="s">
        <v>3062</v>
      </c>
      <c r="T1589" s="1" t="str">
        <f>IF(ISERROR(VLOOKUP(S1589,'unique org names'!A:C,3,FALSE)),S1589,VLOOKUP(S1589,'unique org names'!A:C,3,FALSE))
</f>
        <v>Mind N Motion</v>
      </c>
      <c r="V1589" s="1" t="s">
        <v>3063</v>
      </c>
      <c r="W1589" s="1" t="s">
        <v>44</v>
      </c>
      <c r="X1589" s="1" t="s">
        <v>45</v>
      </c>
      <c r="Y1589" s="1">
        <v>4.8234393E8</v>
      </c>
      <c r="AA1589" s="1" t="s">
        <v>44</v>
      </c>
      <c r="AB1589" s="1" t="s">
        <v>45</v>
      </c>
      <c r="AC1589" s="1">
        <v>4.8234393E8</v>
      </c>
      <c r="AF1589" s="1">
        <v>25652.37</v>
      </c>
      <c r="AG1589" s="2">
        <v>41564.0</v>
      </c>
      <c r="AH1589" s="1">
        <v>1200.0</v>
      </c>
      <c r="AI1589" s="1" t="s">
        <v>647</v>
      </c>
      <c r="AJ1589" s="1" t="s">
        <v>3064</v>
      </c>
      <c r="AK1589" s="1" t="s">
        <v>712</v>
      </c>
      <c r="AL1589" s="1">
        <v>1.0</v>
      </c>
      <c r="AM1589" s="1">
        <v>2015.0</v>
      </c>
      <c r="AN1589" s="1">
        <v>2014.0</v>
      </c>
      <c r="AO1589" s="1" t="s">
        <v>713</v>
      </c>
    </row>
    <row r="1590">
      <c r="A1590" s="5">
        <v>1.0</v>
      </c>
      <c r="B1590" s="1">
        <f t="shared" si="1"/>
        <v>1590</v>
      </c>
      <c r="C1590" s="1" t="s">
        <v>3048</v>
      </c>
      <c r="D1590" s="1" t="s">
        <v>3048</v>
      </c>
      <c r="E1590" s="1" t="s">
        <v>645</v>
      </c>
      <c r="G1590" s="1">
        <v>4.58254144E8</v>
      </c>
      <c r="H1590" s="2">
        <v>41564.0</v>
      </c>
      <c r="I1590" s="1" t="s">
        <v>710</v>
      </c>
      <c r="K1590" s="1" t="s">
        <v>710</v>
      </c>
      <c r="N1590" s="1" t="s">
        <v>647</v>
      </c>
      <c r="O1590" s="1">
        <v>1200.0</v>
      </c>
      <c r="P1590" s="1" t="s">
        <v>647</v>
      </c>
      <c r="Q1590" s="1" t="str">
        <f>IF(ISERROR(VLOOKUP(P1590,'unique fed agency names'!A:C,3,FALSE)),P1590,VLOOKUP(P1590,'unique fed agency names'!A:C,3,FALSE))
</f>
        <v>U.S. Department of Agriculture (USDA)</v>
      </c>
      <c r="R1590" s="1">
        <v>7.3832607E7</v>
      </c>
      <c r="S1590" s="1" t="s">
        <v>482</v>
      </c>
      <c r="T1590" s="1" t="str">
        <f>IF(ISERROR(VLOOKUP(S1590,'unique org names'!A:C,3,FALSE)),S1590,VLOOKUP(S1590,'unique org names'!A:C,3,FALSE))
</f>
        <v>DETROIT ACADEMY OF ARTS AND SCIENCES</v>
      </c>
      <c r="V1590" s="1" t="s">
        <v>483</v>
      </c>
      <c r="W1590" s="1" t="s">
        <v>44</v>
      </c>
      <c r="X1590" s="1" t="s">
        <v>45</v>
      </c>
      <c r="Y1590" s="1">
        <v>4.82074288E8</v>
      </c>
      <c r="AA1590" s="1" t="s">
        <v>44</v>
      </c>
      <c r="AB1590" s="1" t="s">
        <v>45</v>
      </c>
      <c r="AC1590" s="1">
        <v>4.82074288E8</v>
      </c>
      <c r="AF1590" s="1">
        <v>408418.08</v>
      </c>
      <c r="AG1590" s="2">
        <v>41564.0</v>
      </c>
      <c r="AH1590" s="1">
        <v>1200.0</v>
      </c>
      <c r="AI1590" s="1" t="s">
        <v>647</v>
      </c>
      <c r="AJ1590" s="1" t="s">
        <v>3065</v>
      </c>
      <c r="AK1590" s="1" t="s">
        <v>712</v>
      </c>
      <c r="AL1590" s="1">
        <v>1.0</v>
      </c>
      <c r="AM1590" s="1">
        <v>2015.0</v>
      </c>
      <c r="AN1590" s="1">
        <v>2014.0</v>
      </c>
      <c r="AO1590" s="1" t="s">
        <v>713</v>
      </c>
    </row>
    <row r="1591">
      <c r="A1591" s="5">
        <v>1.0</v>
      </c>
      <c r="B1591" s="1">
        <f t="shared" si="1"/>
        <v>1591</v>
      </c>
      <c r="C1591" s="1" t="s">
        <v>2995</v>
      </c>
      <c r="D1591" s="1" t="s">
        <v>2995</v>
      </c>
      <c r="E1591" s="1" t="s">
        <v>194</v>
      </c>
      <c r="G1591" s="1">
        <v>5.11731456E8</v>
      </c>
      <c r="H1591" s="2">
        <v>41758.0</v>
      </c>
      <c r="I1591" s="1" t="s">
        <v>1168</v>
      </c>
      <c r="K1591" s="1" t="s">
        <v>1168</v>
      </c>
      <c r="N1591" s="1" t="s">
        <v>194</v>
      </c>
      <c r="O1591" s="1">
        <v>9100.0</v>
      </c>
      <c r="P1591" s="1" t="s">
        <v>194</v>
      </c>
      <c r="Q1591" s="1" t="str">
        <f>IF(ISERROR(VLOOKUP(P1591,'unique fed agency names'!A:C,3,FALSE)),P1591,VLOOKUP(P1591,'unique fed agency names'!A:C,3,FALSE))
</f>
        <v>U.S. Department of Education (ED)</v>
      </c>
      <c r="R1591" s="1">
        <v>8.32093392E8</v>
      </c>
      <c r="S1591" s="1" t="s">
        <v>769</v>
      </c>
      <c r="T1591" s="1" t="str">
        <f>IF(ISERROR(VLOOKUP(S1591,'unique org names'!A:C,3,FALSE)),S1591,VLOOKUP(S1591,'unique org names'!A:C,3,FALSE))
</f>
        <v>MARTIN LUTHER KING, JR EDUCATION CENTER ACADEMY</v>
      </c>
      <c r="V1591" s="1" t="s">
        <v>770</v>
      </c>
      <c r="W1591" s="1" t="s">
        <v>44</v>
      </c>
      <c r="X1591" s="1" t="s">
        <v>45</v>
      </c>
      <c r="Y1591" s="1">
        <v>4.82354205E8</v>
      </c>
      <c r="AA1591" s="1" t="s">
        <v>44</v>
      </c>
      <c r="AB1591" s="1" t="s">
        <v>45</v>
      </c>
      <c r="AC1591" s="1">
        <v>4.82354205E8</v>
      </c>
      <c r="AF1591" s="1">
        <v>152127.0</v>
      </c>
      <c r="AG1591" s="2">
        <v>41758.0</v>
      </c>
      <c r="AH1591" s="1">
        <v>9100.0</v>
      </c>
      <c r="AI1591" s="1" t="s">
        <v>194</v>
      </c>
      <c r="AJ1591" s="1" t="s">
        <v>3066</v>
      </c>
      <c r="AK1591" s="1" t="s">
        <v>1170</v>
      </c>
      <c r="AL1591" s="1">
        <v>1.0</v>
      </c>
      <c r="AM1591" s="1">
        <v>2015.0</v>
      </c>
      <c r="AN1591" s="1">
        <v>2014.0</v>
      </c>
      <c r="AO1591" s="1" t="s">
        <v>1171</v>
      </c>
    </row>
    <row r="1592">
      <c r="A1592" s="5">
        <v>1.0</v>
      </c>
      <c r="B1592" s="1">
        <f t="shared" si="1"/>
        <v>1592</v>
      </c>
      <c r="C1592" s="1" t="s">
        <v>3048</v>
      </c>
      <c r="D1592" s="1" t="s">
        <v>3048</v>
      </c>
      <c r="E1592" s="1" t="s">
        <v>645</v>
      </c>
      <c r="G1592" s="1">
        <v>4.58254144E8</v>
      </c>
      <c r="H1592" s="2">
        <v>41585.0</v>
      </c>
      <c r="I1592" s="1" t="s">
        <v>710</v>
      </c>
      <c r="K1592" s="1" t="s">
        <v>710</v>
      </c>
      <c r="N1592" s="1" t="s">
        <v>647</v>
      </c>
      <c r="O1592" s="1">
        <v>1200.0</v>
      </c>
      <c r="P1592" s="1" t="s">
        <v>647</v>
      </c>
      <c r="Q1592" s="1" t="str">
        <f>IF(ISERROR(VLOOKUP(P1592,'unique fed agency names'!A:C,3,FALSE)),P1592,VLOOKUP(P1592,'unique fed agency names'!A:C,3,FALSE))
</f>
        <v>U.S. Department of Agriculture (USDA)</v>
      </c>
      <c r="R1592" s="1">
        <v>7.94990296E8</v>
      </c>
      <c r="S1592" s="1" t="s">
        <v>601</v>
      </c>
      <c r="T1592" s="1" t="str">
        <f>IF(ISERROR(VLOOKUP(S1592,'unique org names'!A:C,3,FALSE)),S1592,VLOOKUP(S1592,'unique org names'!A:C,3,FALSE))
</f>
        <v>NORTHPOINTE ACADEMY</v>
      </c>
      <c r="V1592" s="1" t="s">
        <v>602</v>
      </c>
      <c r="W1592" s="1" t="s">
        <v>44</v>
      </c>
      <c r="X1592" s="1" t="s">
        <v>45</v>
      </c>
      <c r="Y1592" s="1">
        <v>4.82032827E8</v>
      </c>
      <c r="AA1592" s="1" t="s">
        <v>603</v>
      </c>
      <c r="AB1592" s="1" t="s">
        <v>45</v>
      </c>
      <c r="AC1592" s="1">
        <v>4.82032827E8</v>
      </c>
      <c r="AF1592" s="1">
        <v>126447.45</v>
      </c>
      <c r="AG1592" s="2">
        <v>41585.0</v>
      </c>
      <c r="AH1592" s="1">
        <v>1200.0</v>
      </c>
      <c r="AI1592" s="1" t="s">
        <v>647</v>
      </c>
      <c r="AJ1592" s="1" t="s">
        <v>3067</v>
      </c>
      <c r="AK1592" s="1" t="s">
        <v>712</v>
      </c>
      <c r="AL1592" s="1">
        <v>1.0</v>
      </c>
      <c r="AM1592" s="1">
        <v>2015.0</v>
      </c>
      <c r="AN1592" s="1">
        <v>2014.0</v>
      </c>
      <c r="AO1592" s="1" t="s">
        <v>713</v>
      </c>
    </row>
    <row r="1593">
      <c r="A1593" s="5">
        <v>1.0</v>
      </c>
      <c r="B1593" s="1">
        <f t="shared" si="1"/>
        <v>1593</v>
      </c>
      <c r="C1593" s="1" t="s">
        <v>3048</v>
      </c>
      <c r="D1593" s="1" t="s">
        <v>3048</v>
      </c>
      <c r="E1593" s="1" t="s">
        <v>645</v>
      </c>
      <c r="G1593" s="1">
        <v>4.58254144E8</v>
      </c>
      <c r="H1593" s="2">
        <v>41585.0</v>
      </c>
      <c r="I1593" s="1" t="s">
        <v>710</v>
      </c>
      <c r="K1593" s="1" t="s">
        <v>710</v>
      </c>
      <c r="N1593" s="1" t="s">
        <v>647</v>
      </c>
      <c r="O1593" s="1">
        <v>1200.0</v>
      </c>
      <c r="P1593" s="1" t="s">
        <v>647</v>
      </c>
      <c r="Q1593" s="1" t="str">
        <f>IF(ISERROR(VLOOKUP(P1593,'unique fed agency names'!A:C,3,FALSE)),P1593,VLOOKUP(P1593,'unique fed agency names'!A:C,3,FALSE))
</f>
        <v>U.S. Department of Agriculture (USDA)</v>
      </c>
      <c r="R1593" s="1">
        <v>3.9866801E7</v>
      </c>
      <c r="S1593" s="1" t="s">
        <v>612</v>
      </c>
      <c r="T1593" s="1" t="str">
        <f>IF(ISERROR(VLOOKUP(S1593,'unique org names'!A:C,3,FALSE)),S1593,VLOOKUP(S1593,'unique org names'!A:C,3,FALSE))
</f>
        <v>HAMTRAMCK PUBLIC SCHOOLS</v>
      </c>
      <c r="V1593" s="1" t="s">
        <v>613</v>
      </c>
      <c r="W1593" s="1" t="s">
        <v>44</v>
      </c>
      <c r="X1593" s="1" t="s">
        <v>45</v>
      </c>
      <c r="Y1593" s="1">
        <v>4.8212E8</v>
      </c>
      <c r="AA1593" s="1" t="s">
        <v>607</v>
      </c>
      <c r="AB1593" s="1" t="s">
        <v>45</v>
      </c>
      <c r="AC1593" s="1">
        <v>4.82120012E8</v>
      </c>
      <c r="AD1593" s="1">
        <v>3.9866801E7</v>
      </c>
      <c r="AE1593" s="1" t="s">
        <v>612</v>
      </c>
      <c r="AF1593" s="1">
        <v>1158504.08</v>
      </c>
      <c r="AG1593" s="2">
        <v>41585.0</v>
      </c>
      <c r="AH1593" s="1">
        <v>1200.0</v>
      </c>
      <c r="AI1593" s="1" t="s">
        <v>647</v>
      </c>
      <c r="AJ1593" s="1" t="s">
        <v>3068</v>
      </c>
      <c r="AK1593" s="1" t="s">
        <v>712</v>
      </c>
      <c r="AL1593" s="1">
        <v>1.0</v>
      </c>
      <c r="AM1593" s="1">
        <v>2015.0</v>
      </c>
      <c r="AN1593" s="1">
        <v>2014.0</v>
      </c>
      <c r="AO1593" s="1" t="s">
        <v>713</v>
      </c>
    </row>
    <row r="1594">
      <c r="A1594" s="5">
        <v>1.0</v>
      </c>
      <c r="B1594" s="1">
        <f t="shared" si="1"/>
        <v>1594</v>
      </c>
      <c r="C1594" s="1" t="s">
        <v>3048</v>
      </c>
      <c r="D1594" s="1" t="s">
        <v>3048</v>
      </c>
      <c r="E1594" s="1" t="s">
        <v>645</v>
      </c>
      <c r="G1594" s="1">
        <v>4.58254144E8</v>
      </c>
      <c r="H1594" s="2">
        <v>41613.0</v>
      </c>
      <c r="I1594" s="1" t="s">
        <v>710</v>
      </c>
      <c r="K1594" s="1" t="s">
        <v>710</v>
      </c>
      <c r="N1594" s="1" t="s">
        <v>647</v>
      </c>
      <c r="O1594" s="1">
        <v>1200.0</v>
      </c>
      <c r="P1594" s="1" t="s">
        <v>647</v>
      </c>
      <c r="Q1594" s="1" t="str">
        <f>IF(ISERROR(VLOOKUP(P1594,'unique fed agency names'!A:C,3,FALSE)),P1594,VLOOKUP(P1594,'unique fed agency names'!A:C,3,FALSE))
</f>
        <v>U.S. Department of Agriculture (USDA)</v>
      </c>
      <c r="R1594" s="1">
        <v>7.6340843E7</v>
      </c>
      <c r="S1594" s="1" t="s">
        <v>461</v>
      </c>
      <c r="T1594" s="1" t="str">
        <f>IF(ISERROR(VLOOKUP(S1594,'unique org names'!A:C,3,FALSE)),S1594,VLOOKUP(S1594,'unique org names'!A:C,3,FALSE))
</f>
        <v>BOARD OF EDUCATION OF THE CITY OF DETROIT</v>
      </c>
      <c r="V1594" s="1" t="s">
        <v>1599</v>
      </c>
      <c r="W1594" s="1" t="s">
        <v>44</v>
      </c>
      <c r="X1594" s="1" t="s">
        <v>45</v>
      </c>
      <c r="Y1594" s="1">
        <v>4.8202301E8</v>
      </c>
      <c r="AA1594" s="1" t="s">
        <v>44</v>
      </c>
      <c r="AB1594" s="1" t="s">
        <v>45</v>
      </c>
      <c r="AC1594" s="1">
        <v>4.82023096E8</v>
      </c>
      <c r="AD1594" s="1">
        <v>7.6340843E7</v>
      </c>
      <c r="AE1594" s="1" t="s">
        <v>461</v>
      </c>
      <c r="AF1594" s="1">
        <v>1638650.15</v>
      </c>
      <c r="AG1594" s="2">
        <v>41613.0</v>
      </c>
      <c r="AH1594" s="1">
        <v>1200.0</v>
      </c>
      <c r="AI1594" s="1" t="s">
        <v>647</v>
      </c>
      <c r="AJ1594" s="1" t="s">
        <v>3069</v>
      </c>
      <c r="AK1594" s="1" t="s">
        <v>712</v>
      </c>
      <c r="AL1594" s="1">
        <v>1.0</v>
      </c>
      <c r="AM1594" s="1">
        <v>2015.0</v>
      </c>
      <c r="AN1594" s="1">
        <v>2014.0</v>
      </c>
      <c r="AO1594" s="1" t="s">
        <v>713</v>
      </c>
    </row>
    <row r="1595">
      <c r="A1595" s="5">
        <v>1.0</v>
      </c>
      <c r="B1595" s="1">
        <f t="shared" si="1"/>
        <v>1595</v>
      </c>
      <c r="C1595" s="1" t="s">
        <v>3048</v>
      </c>
      <c r="D1595" s="1" t="s">
        <v>3048</v>
      </c>
      <c r="E1595" s="1" t="s">
        <v>645</v>
      </c>
      <c r="G1595" s="1">
        <v>4.58254144E8</v>
      </c>
      <c r="H1595" s="2">
        <v>41592.0</v>
      </c>
      <c r="I1595" s="1" t="s">
        <v>710</v>
      </c>
      <c r="K1595" s="1" t="s">
        <v>710</v>
      </c>
      <c r="N1595" s="1" t="s">
        <v>647</v>
      </c>
      <c r="O1595" s="1">
        <v>1200.0</v>
      </c>
      <c r="P1595" s="1" t="s">
        <v>647</v>
      </c>
      <c r="Q1595" s="1" t="str">
        <f>IF(ISERROR(VLOOKUP(P1595,'unique fed agency names'!A:C,3,FALSE)),P1595,VLOOKUP(P1595,'unique fed agency names'!A:C,3,FALSE))
</f>
        <v>U.S. Department of Agriculture (USDA)</v>
      </c>
      <c r="R1595" s="1">
        <v>8.5464519E7</v>
      </c>
      <c r="S1595" s="1" t="s">
        <v>704</v>
      </c>
      <c r="T1595" s="1" t="str">
        <f>IF(ISERROR(VLOOKUP(S1595,'unique org names'!A:C,3,FALSE)),S1595,VLOOKUP(S1595,'unique org names'!A:C,3,FALSE))
</f>
        <v>Children's Center of Wayne County Inc.</v>
      </c>
      <c r="U1595" s="1" t="s">
        <v>705</v>
      </c>
      <c r="V1595" s="1" t="s">
        <v>706</v>
      </c>
      <c r="W1595" s="1" t="s">
        <v>44</v>
      </c>
      <c r="X1595" s="1" t="s">
        <v>45</v>
      </c>
      <c r="Y1595" s="1">
        <v>4.82012015E8</v>
      </c>
      <c r="AA1595" s="1" t="s">
        <v>44</v>
      </c>
      <c r="AB1595" s="1" t="s">
        <v>45</v>
      </c>
      <c r="AC1595" s="1">
        <v>4.82192044E8</v>
      </c>
      <c r="AF1595" s="1">
        <v>113431.59</v>
      </c>
      <c r="AG1595" s="2">
        <v>41592.0</v>
      </c>
      <c r="AH1595" s="1">
        <v>1200.0</v>
      </c>
      <c r="AI1595" s="1" t="s">
        <v>647</v>
      </c>
      <c r="AJ1595" s="1" t="s">
        <v>3070</v>
      </c>
      <c r="AK1595" s="1" t="s">
        <v>712</v>
      </c>
      <c r="AL1595" s="1">
        <v>1.0</v>
      </c>
      <c r="AM1595" s="1">
        <v>2015.0</v>
      </c>
      <c r="AN1595" s="1">
        <v>2014.0</v>
      </c>
      <c r="AO1595" s="1" t="s">
        <v>713</v>
      </c>
    </row>
    <row r="1596">
      <c r="A1596" s="5">
        <v>1.0</v>
      </c>
      <c r="B1596" s="1">
        <f t="shared" si="1"/>
        <v>1596</v>
      </c>
      <c r="C1596" s="1" t="s">
        <v>3048</v>
      </c>
      <c r="D1596" s="1" t="s">
        <v>3048</v>
      </c>
      <c r="E1596" s="1" t="s">
        <v>645</v>
      </c>
      <c r="G1596" s="1">
        <v>4.58254144E8</v>
      </c>
      <c r="H1596" s="2">
        <v>41564.0</v>
      </c>
      <c r="I1596" s="1" t="s">
        <v>710</v>
      </c>
      <c r="K1596" s="1" t="s">
        <v>710</v>
      </c>
      <c r="N1596" s="1" t="s">
        <v>647</v>
      </c>
      <c r="O1596" s="1">
        <v>1200.0</v>
      </c>
      <c r="P1596" s="1" t="s">
        <v>647</v>
      </c>
      <c r="Q1596" s="1" t="str">
        <f>IF(ISERROR(VLOOKUP(P1596,'unique fed agency names'!A:C,3,FALSE)),P1596,VLOOKUP(P1596,'unique fed agency names'!A:C,3,FALSE))
</f>
        <v>U.S. Department of Agriculture (USDA)</v>
      </c>
      <c r="R1596" s="1">
        <v>2115245.0</v>
      </c>
      <c r="S1596" s="1" t="s">
        <v>3071</v>
      </c>
      <c r="T1596" s="1" t="str">
        <f>IF(ISERROR(VLOOKUP(S1596,'unique org names'!A:C,3,FALSE)),S1596,VLOOKUP(S1596,'unique org names'!A:C,3,FALSE))
</f>
        <v>Toddlertime Child Care Center 2</v>
      </c>
      <c r="V1596" s="1" t="s">
        <v>3072</v>
      </c>
      <c r="W1596" s="1" t="s">
        <v>44</v>
      </c>
      <c r="X1596" s="1" t="s">
        <v>45</v>
      </c>
      <c r="Y1596" s="1">
        <v>4.82353545E8</v>
      </c>
      <c r="AA1596" s="1" t="s">
        <v>133</v>
      </c>
      <c r="AB1596" s="1" t="s">
        <v>45</v>
      </c>
      <c r="AC1596" s="1">
        <v>4.8075E8</v>
      </c>
      <c r="AF1596" s="1">
        <v>28664.81</v>
      </c>
      <c r="AG1596" s="2">
        <v>41564.0</v>
      </c>
      <c r="AH1596" s="1">
        <v>1200.0</v>
      </c>
      <c r="AI1596" s="1" t="s">
        <v>647</v>
      </c>
      <c r="AJ1596" s="1" t="s">
        <v>3073</v>
      </c>
      <c r="AK1596" s="1" t="s">
        <v>712</v>
      </c>
      <c r="AL1596" s="1">
        <v>1.0</v>
      </c>
      <c r="AM1596" s="1">
        <v>2015.0</v>
      </c>
      <c r="AN1596" s="1">
        <v>2014.0</v>
      </c>
      <c r="AO1596" s="1" t="s">
        <v>713</v>
      </c>
    </row>
    <row r="1597">
      <c r="A1597" s="5">
        <v>1.0</v>
      </c>
      <c r="B1597" s="1">
        <f t="shared" si="1"/>
        <v>1597</v>
      </c>
      <c r="C1597" s="1" t="s">
        <v>3048</v>
      </c>
      <c r="D1597" s="1" t="s">
        <v>3048</v>
      </c>
      <c r="E1597" s="1" t="s">
        <v>645</v>
      </c>
      <c r="G1597" s="1">
        <v>4.58254144E8</v>
      </c>
      <c r="H1597" s="2">
        <v>41550.0</v>
      </c>
      <c r="I1597" s="1" t="s">
        <v>710</v>
      </c>
      <c r="K1597" s="1" t="s">
        <v>710</v>
      </c>
      <c r="N1597" s="1" t="s">
        <v>647</v>
      </c>
      <c r="O1597" s="1">
        <v>1200.0</v>
      </c>
      <c r="P1597" s="1" t="s">
        <v>647</v>
      </c>
      <c r="Q1597" s="1" t="str">
        <f>IF(ISERROR(VLOOKUP(P1597,'unique fed agency names'!A:C,3,FALSE)),P1597,VLOOKUP(P1597,'unique fed agency names'!A:C,3,FALSE))
</f>
        <v>U.S. Department of Agriculture (USDA)</v>
      </c>
      <c r="R1597" s="1">
        <v>8.59589231E8</v>
      </c>
      <c r="S1597" s="1" t="s">
        <v>901</v>
      </c>
      <c r="T1597" s="1" t="str">
        <f>IF(ISERROR(VLOOKUP(S1597,'unique org names'!A:C,3,FALSE)),S1597,VLOOKUP(S1597,'unique org names'!A:C,3,FALSE))
</f>
        <v>Pebbles Development Center LLC</v>
      </c>
      <c r="V1597" s="1" t="s">
        <v>902</v>
      </c>
      <c r="W1597" s="1" t="s">
        <v>44</v>
      </c>
      <c r="X1597" s="1" t="s">
        <v>45</v>
      </c>
      <c r="Y1597" s="1">
        <v>4.82391326E8</v>
      </c>
      <c r="AA1597" s="1" t="s">
        <v>903</v>
      </c>
      <c r="AB1597" s="1" t="s">
        <v>45</v>
      </c>
      <c r="AC1597" s="1">
        <v>4.82391326E8</v>
      </c>
      <c r="AF1597" s="1">
        <v>78141.94</v>
      </c>
      <c r="AG1597" s="2">
        <v>41550.0</v>
      </c>
      <c r="AH1597" s="1">
        <v>1200.0</v>
      </c>
      <c r="AI1597" s="1" t="s">
        <v>647</v>
      </c>
      <c r="AJ1597" s="1" t="s">
        <v>3074</v>
      </c>
      <c r="AK1597" s="1" t="s">
        <v>712</v>
      </c>
      <c r="AL1597" s="1">
        <v>1.0</v>
      </c>
      <c r="AM1597" s="1">
        <v>2015.0</v>
      </c>
      <c r="AN1597" s="1">
        <v>2014.0</v>
      </c>
      <c r="AO1597" s="1" t="s">
        <v>713</v>
      </c>
    </row>
    <row r="1598">
      <c r="A1598" s="5">
        <v>1.0</v>
      </c>
      <c r="B1598" s="1">
        <f t="shared" si="1"/>
        <v>1598</v>
      </c>
      <c r="C1598" s="1" t="s">
        <v>3048</v>
      </c>
      <c r="D1598" s="1" t="s">
        <v>3048</v>
      </c>
      <c r="E1598" s="1" t="s">
        <v>645</v>
      </c>
      <c r="G1598" s="1">
        <v>4.58254144E8</v>
      </c>
      <c r="H1598" s="2">
        <v>41585.0</v>
      </c>
      <c r="I1598" s="1" t="s">
        <v>710</v>
      </c>
      <c r="K1598" s="1" t="s">
        <v>710</v>
      </c>
      <c r="N1598" s="1" t="s">
        <v>647</v>
      </c>
      <c r="O1598" s="1">
        <v>1200.0</v>
      </c>
      <c r="P1598" s="1" t="s">
        <v>647</v>
      </c>
      <c r="Q1598" s="1" t="str">
        <f>IF(ISERROR(VLOOKUP(P1598,'unique fed agency names'!A:C,3,FALSE)),P1598,VLOOKUP(P1598,'unique fed agency names'!A:C,3,FALSE))
</f>
        <v>U.S. Department of Agriculture (USDA)</v>
      </c>
      <c r="R1598" s="1">
        <v>7.8465647E7</v>
      </c>
      <c r="S1598" s="1" t="s">
        <v>1176</v>
      </c>
      <c r="T1598" s="1" t="str">
        <f>IF(ISERROR(VLOOKUP(S1598,'unique org names'!A:C,3,FALSE)),S1598,VLOOKUP(S1598,'unique org names'!A:C,3,FALSE))
</f>
        <v>DETROIT INNOVATION ACADEMY</v>
      </c>
      <c r="V1598" s="1" t="s">
        <v>1178</v>
      </c>
      <c r="W1598" s="1" t="s">
        <v>44</v>
      </c>
      <c r="X1598" s="1" t="s">
        <v>45</v>
      </c>
      <c r="Y1598" s="1">
        <v>4.82281142E8</v>
      </c>
      <c r="AA1598" s="1" t="s">
        <v>44</v>
      </c>
      <c r="AB1598" s="1" t="s">
        <v>45</v>
      </c>
      <c r="AC1598" s="1">
        <v>4.82281142E8</v>
      </c>
      <c r="AF1598" s="1">
        <v>53903.58</v>
      </c>
      <c r="AG1598" s="2">
        <v>41585.0</v>
      </c>
      <c r="AH1598" s="1">
        <v>1200.0</v>
      </c>
      <c r="AI1598" s="1" t="s">
        <v>647</v>
      </c>
      <c r="AJ1598" s="1" t="s">
        <v>3075</v>
      </c>
      <c r="AK1598" s="1" t="s">
        <v>712</v>
      </c>
      <c r="AL1598" s="1">
        <v>1.0</v>
      </c>
      <c r="AM1598" s="1">
        <v>2015.0</v>
      </c>
      <c r="AN1598" s="1">
        <v>2014.0</v>
      </c>
      <c r="AO1598" s="1" t="s">
        <v>713</v>
      </c>
    </row>
    <row r="1599">
      <c r="A1599" s="5">
        <v>1.0</v>
      </c>
      <c r="B1599" s="1">
        <f t="shared" si="1"/>
        <v>1599</v>
      </c>
      <c r="C1599" s="1" t="s">
        <v>2995</v>
      </c>
      <c r="D1599" s="1" t="s">
        <v>2995</v>
      </c>
      <c r="E1599" s="1" t="s">
        <v>194</v>
      </c>
      <c r="G1599" s="1">
        <v>5.11731456E8</v>
      </c>
      <c r="H1599" s="2">
        <v>41793.0</v>
      </c>
      <c r="I1599" s="1" t="s">
        <v>1168</v>
      </c>
      <c r="K1599" s="1" t="s">
        <v>1168</v>
      </c>
      <c r="N1599" s="1" t="s">
        <v>194</v>
      </c>
      <c r="O1599" s="1">
        <v>9100.0</v>
      </c>
      <c r="P1599" s="1" t="s">
        <v>194</v>
      </c>
      <c r="Q1599" s="1" t="str">
        <f>IF(ISERROR(VLOOKUP(P1599,'unique fed agency names'!A:C,3,FALSE)),P1599,VLOOKUP(P1599,'unique fed agency names'!A:C,3,FALSE))
</f>
        <v>U.S. Department of Education (ED)</v>
      </c>
      <c r="R1599" s="1">
        <v>8.00475803E8</v>
      </c>
      <c r="S1599" s="1" t="s">
        <v>1670</v>
      </c>
      <c r="T1599" s="1" t="str">
        <f>IF(ISERROR(VLOOKUP(S1599,'unique org names'!A:C,3,FALSE)),S1599,VLOOKUP(S1599,'unique org names'!A:C,3,FALSE))
</f>
        <v>Wolverine Academy</v>
      </c>
      <c r="V1599" s="1" t="s">
        <v>1671</v>
      </c>
      <c r="W1599" s="1" t="s">
        <v>44</v>
      </c>
      <c r="X1599" s="1" t="s">
        <v>45</v>
      </c>
      <c r="Y1599" s="1">
        <v>4.82152667E8</v>
      </c>
      <c r="AA1599" s="1" t="s">
        <v>46</v>
      </c>
      <c r="AB1599" s="1" t="s">
        <v>45</v>
      </c>
      <c r="AC1599" s="1">
        <v>4.82152667E8</v>
      </c>
      <c r="AF1599" s="1">
        <v>319006.0</v>
      </c>
      <c r="AG1599" s="2">
        <v>41793.0</v>
      </c>
      <c r="AH1599" s="1">
        <v>9100.0</v>
      </c>
      <c r="AI1599" s="1" t="s">
        <v>194</v>
      </c>
      <c r="AJ1599" s="1" t="s">
        <v>3076</v>
      </c>
      <c r="AK1599" s="1" t="s">
        <v>3000</v>
      </c>
      <c r="AL1599" s="1">
        <v>1.0</v>
      </c>
      <c r="AM1599" s="1">
        <v>2015.0</v>
      </c>
      <c r="AN1599" s="1">
        <v>2014.0</v>
      </c>
      <c r="AO1599" s="1" t="s">
        <v>1171</v>
      </c>
    </row>
    <row r="1600">
      <c r="A1600" s="5">
        <v>1.0</v>
      </c>
      <c r="B1600" s="1">
        <f t="shared" si="1"/>
        <v>1600</v>
      </c>
      <c r="C1600" s="1" t="s">
        <v>3048</v>
      </c>
      <c r="D1600" s="1" t="s">
        <v>3048</v>
      </c>
      <c r="E1600" s="1" t="s">
        <v>645</v>
      </c>
      <c r="G1600" s="1">
        <v>4.58254144E8</v>
      </c>
      <c r="H1600" s="2">
        <v>41578.0</v>
      </c>
      <c r="I1600" s="1" t="s">
        <v>710</v>
      </c>
      <c r="K1600" s="1" t="s">
        <v>710</v>
      </c>
      <c r="N1600" s="1" t="s">
        <v>647</v>
      </c>
      <c r="O1600" s="1">
        <v>1200.0</v>
      </c>
      <c r="P1600" s="1" t="s">
        <v>647</v>
      </c>
      <c r="Q1600" s="1" t="str">
        <f>IF(ISERROR(VLOOKUP(P1600,'unique fed agency names'!A:C,3,FALSE)),P1600,VLOOKUP(P1600,'unique fed agency names'!A:C,3,FALSE))
</f>
        <v>U.S. Department of Agriculture (USDA)</v>
      </c>
      <c r="R1600" s="1">
        <v>9.65349769E8</v>
      </c>
      <c r="S1600" s="1" t="s">
        <v>465</v>
      </c>
      <c r="T1600" s="1" t="str">
        <f>IF(ISERROR(VLOOKUP(S1600,'unique org names'!A:C,3,FALSE)),S1600,VLOOKUP(S1600,'unique org names'!A:C,3,FALSE))
</f>
        <v>Public School Academies of Detroit</v>
      </c>
      <c r="U1600" s="1" t="s">
        <v>466</v>
      </c>
      <c r="V1600" s="1" t="s">
        <v>467</v>
      </c>
      <c r="W1600" s="1" t="s">
        <v>44</v>
      </c>
      <c r="X1600" s="1" t="s">
        <v>45</v>
      </c>
      <c r="Y1600" s="1">
        <v>4.8202322E8</v>
      </c>
      <c r="AA1600" s="1" t="s">
        <v>44</v>
      </c>
      <c r="AB1600" s="1" t="s">
        <v>45</v>
      </c>
      <c r="AC1600" s="1">
        <v>4.8202322E8</v>
      </c>
      <c r="AD1600" s="1">
        <v>1.6338926E8</v>
      </c>
      <c r="AE1600" s="1" t="s">
        <v>465</v>
      </c>
      <c r="AF1600" s="1">
        <v>241258.37</v>
      </c>
      <c r="AG1600" s="2">
        <v>41578.0</v>
      </c>
      <c r="AH1600" s="1">
        <v>1200.0</v>
      </c>
      <c r="AI1600" s="1" t="s">
        <v>647</v>
      </c>
      <c r="AJ1600" s="1" t="s">
        <v>3077</v>
      </c>
      <c r="AK1600" s="1" t="s">
        <v>712</v>
      </c>
      <c r="AL1600" s="1">
        <v>1.0</v>
      </c>
      <c r="AM1600" s="1">
        <v>2015.0</v>
      </c>
      <c r="AN1600" s="1">
        <v>2014.0</v>
      </c>
      <c r="AO1600" s="1" t="s">
        <v>713</v>
      </c>
    </row>
    <row r="1601">
      <c r="A1601" s="5">
        <v>1.0</v>
      </c>
      <c r="B1601" s="1">
        <f t="shared" si="1"/>
        <v>1601</v>
      </c>
      <c r="C1601" s="1" t="s">
        <v>3048</v>
      </c>
      <c r="D1601" s="1" t="s">
        <v>3048</v>
      </c>
      <c r="E1601" s="1" t="s">
        <v>645</v>
      </c>
      <c r="G1601" s="1">
        <v>4.58254144E8</v>
      </c>
      <c r="H1601" s="2">
        <v>41557.0</v>
      </c>
      <c r="I1601" s="1" t="s">
        <v>710</v>
      </c>
      <c r="K1601" s="1" t="s">
        <v>710</v>
      </c>
      <c r="N1601" s="1" t="s">
        <v>647</v>
      </c>
      <c r="O1601" s="1">
        <v>1200.0</v>
      </c>
      <c r="P1601" s="1" t="s">
        <v>647</v>
      </c>
      <c r="Q1601" s="1" t="str">
        <f>IF(ISERROR(VLOOKUP(P1601,'unique fed agency names'!A:C,3,FALSE)),P1601,VLOOKUP(P1601,'unique fed agency names'!A:C,3,FALSE))
</f>
        <v>U.S. Department of Agriculture (USDA)</v>
      </c>
      <c r="R1601" s="1">
        <v>7.97527715E8</v>
      </c>
      <c r="S1601" s="1" t="s">
        <v>567</v>
      </c>
      <c r="T1601" s="1" t="str">
        <f>IF(ISERROR(VLOOKUP(S1601,'unique org names'!A:C,3,FALSE)),S1601,VLOOKUP(S1601,'unique org names'!A:C,3,FALSE))
</f>
        <v>HAMTRAMCK ACADEMY</v>
      </c>
      <c r="V1601" s="1" t="s">
        <v>568</v>
      </c>
      <c r="W1601" s="1" t="s">
        <v>44</v>
      </c>
      <c r="X1601" s="1" t="s">
        <v>45</v>
      </c>
      <c r="Y1601" s="1">
        <v>4.82123134E8</v>
      </c>
      <c r="AA1601" s="1" t="s">
        <v>498</v>
      </c>
      <c r="AB1601" s="1" t="s">
        <v>45</v>
      </c>
      <c r="AC1601" s="1">
        <v>4.82123134E8</v>
      </c>
      <c r="AD1601" s="1">
        <v>9.60742484E8</v>
      </c>
      <c r="AF1601" s="1">
        <v>189526.97</v>
      </c>
      <c r="AG1601" s="2">
        <v>41557.0</v>
      </c>
      <c r="AH1601" s="1">
        <v>1200.0</v>
      </c>
      <c r="AI1601" s="1" t="s">
        <v>647</v>
      </c>
      <c r="AJ1601" s="1" t="s">
        <v>3078</v>
      </c>
      <c r="AK1601" s="1" t="s">
        <v>712</v>
      </c>
      <c r="AL1601" s="1">
        <v>1.0</v>
      </c>
      <c r="AM1601" s="1">
        <v>2015.0</v>
      </c>
      <c r="AN1601" s="1">
        <v>2014.0</v>
      </c>
      <c r="AO1601" s="1" t="s">
        <v>713</v>
      </c>
    </row>
    <row r="1602">
      <c r="A1602" s="5">
        <v>1.0</v>
      </c>
      <c r="B1602" s="1">
        <f t="shared" si="1"/>
        <v>1602</v>
      </c>
      <c r="C1602" s="1" t="s">
        <v>2995</v>
      </c>
      <c r="D1602" s="1" t="s">
        <v>2995</v>
      </c>
      <c r="E1602" s="1" t="s">
        <v>194</v>
      </c>
      <c r="G1602" s="1">
        <v>5.11731456E8</v>
      </c>
      <c r="H1602" s="2">
        <v>41806.0</v>
      </c>
      <c r="I1602" s="1" t="s">
        <v>1168</v>
      </c>
      <c r="K1602" s="1" t="s">
        <v>1168</v>
      </c>
      <c r="N1602" s="1" t="s">
        <v>194</v>
      </c>
      <c r="O1602" s="1">
        <v>9100.0</v>
      </c>
      <c r="P1602" s="1" t="s">
        <v>194</v>
      </c>
      <c r="Q1602" s="1" t="str">
        <f>IF(ISERROR(VLOOKUP(P1602,'unique fed agency names'!A:C,3,FALSE)),P1602,VLOOKUP(P1602,'unique fed agency names'!A:C,3,FALSE))
</f>
        <v>U.S. Department of Education (ED)</v>
      </c>
      <c r="R1602" s="1">
        <v>4.2136734E7</v>
      </c>
      <c r="S1602" s="1" t="s">
        <v>557</v>
      </c>
      <c r="T1602" s="1" t="str">
        <f>IF(ISERROR(VLOOKUP(S1602,'unique org names'!A:C,3,FALSE)),S1602,VLOOKUP(S1602,'unique org names'!A:C,3,FALSE))
</f>
        <v>GEORGE CROCKETT ACADEMY</v>
      </c>
      <c r="V1602" s="1" t="s">
        <v>558</v>
      </c>
      <c r="W1602" s="1" t="s">
        <v>44</v>
      </c>
      <c r="X1602" s="1" t="s">
        <v>45</v>
      </c>
      <c r="Y1602" s="1">
        <v>4.82082204E8</v>
      </c>
      <c r="AA1602" s="1" t="s">
        <v>44</v>
      </c>
      <c r="AB1602" s="1" t="s">
        <v>45</v>
      </c>
      <c r="AC1602" s="1">
        <v>4.82082204E8</v>
      </c>
      <c r="AF1602" s="1">
        <v>391961.0</v>
      </c>
      <c r="AG1602" s="2">
        <v>41806.0</v>
      </c>
      <c r="AH1602" s="1">
        <v>9100.0</v>
      </c>
      <c r="AI1602" s="1" t="s">
        <v>194</v>
      </c>
      <c r="AJ1602" s="1" t="s">
        <v>3079</v>
      </c>
      <c r="AK1602" s="1" t="s">
        <v>1170</v>
      </c>
      <c r="AL1602" s="1">
        <v>1.0</v>
      </c>
      <c r="AM1602" s="1">
        <v>2015.0</v>
      </c>
      <c r="AN1602" s="1">
        <v>2014.0</v>
      </c>
      <c r="AO1602" s="1" t="s">
        <v>1171</v>
      </c>
    </row>
    <row r="1603">
      <c r="A1603" s="5">
        <v>1.0</v>
      </c>
      <c r="B1603" s="1">
        <f t="shared" si="1"/>
        <v>1603</v>
      </c>
      <c r="C1603" s="1" t="s">
        <v>3048</v>
      </c>
      <c r="D1603" s="1" t="s">
        <v>3048</v>
      </c>
      <c r="E1603" s="1" t="s">
        <v>645</v>
      </c>
      <c r="G1603" s="1">
        <v>4.58254144E8</v>
      </c>
      <c r="H1603" s="2">
        <v>41599.0</v>
      </c>
      <c r="I1603" s="1" t="s">
        <v>710</v>
      </c>
      <c r="K1603" s="1" t="s">
        <v>710</v>
      </c>
      <c r="N1603" s="1" t="s">
        <v>647</v>
      </c>
      <c r="O1603" s="1">
        <v>1200.0</v>
      </c>
      <c r="P1603" s="1" t="s">
        <v>647</v>
      </c>
      <c r="Q1603" s="1" t="str">
        <f>IF(ISERROR(VLOOKUP(P1603,'unique fed agency names'!A:C,3,FALSE)),P1603,VLOOKUP(P1603,'unique fed agency names'!A:C,3,FALSE))
</f>
        <v>U.S. Department of Agriculture (USDA)</v>
      </c>
      <c r="R1603" s="1">
        <v>7.93697942E8</v>
      </c>
      <c r="S1603" s="1" t="s">
        <v>459</v>
      </c>
      <c r="T1603" s="1" t="str">
        <f>IF(ISERROR(VLOOKUP(S1603,'unique org names'!A:C,3,FALSE)),S1603,VLOOKUP(S1603,'unique org names'!A:C,3,FALSE))
</f>
        <v>DETROIT PUBLIC SCHOOLS</v>
      </c>
      <c r="V1603" s="1" t="s">
        <v>460</v>
      </c>
      <c r="W1603" s="1" t="s">
        <v>44</v>
      </c>
      <c r="X1603" s="1" t="s">
        <v>45</v>
      </c>
      <c r="Y1603" s="1">
        <v>4.82141601E8</v>
      </c>
      <c r="AA1603" s="1" t="s">
        <v>44</v>
      </c>
      <c r="AB1603" s="1" t="s">
        <v>45</v>
      </c>
      <c r="AC1603" s="1">
        <v>4.82141601E8</v>
      </c>
      <c r="AD1603" s="1">
        <v>7.6340843E7</v>
      </c>
      <c r="AE1603" s="1" t="s">
        <v>461</v>
      </c>
      <c r="AF1603" s="1">
        <v>50513.7</v>
      </c>
      <c r="AG1603" s="2">
        <v>41599.0</v>
      </c>
      <c r="AH1603" s="1">
        <v>1200.0</v>
      </c>
      <c r="AI1603" s="1" t="s">
        <v>647</v>
      </c>
      <c r="AJ1603" s="1" t="s">
        <v>3080</v>
      </c>
      <c r="AK1603" s="1" t="s">
        <v>712</v>
      </c>
      <c r="AL1603" s="1">
        <v>1.0</v>
      </c>
      <c r="AM1603" s="1">
        <v>2015.0</v>
      </c>
      <c r="AN1603" s="1">
        <v>2014.0</v>
      </c>
      <c r="AO1603" s="1" t="s">
        <v>713</v>
      </c>
    </row>
    <row r="1604">
      <c r="A1604" s="5">
        <v>1.0</v>
      </c>
      <c r="B1604" s="1">
        <f t="shared" si="1"/>
        <v>1604</v>
      </c>
      <c r="C1604" s="1" t="s">
        <v>2995</v>
      </c>
      <c r="D1604" s="1" t="s">
        <v>2995</v>
      </c>
      <c r="E1604" s="1" t="s">
        <v>194</v>
      </c>
      <c r="G1604" s="1">
        <v>5.11731456E8</v>
      </c>
      <c r="H1604" s="2">
        <v>41740.0</v>
      </c>
      <c r="I1604" s="1" t="s">
        <v>1168</v>
      </c>
      <c r="K1604" s="1" t="s">
        <v>1168</v>
      </c>
      <c r="N1604" s="1" t="s">
        <v>194</v>
      </c>
      <c r="O1604" s="1">
        <v>9100.0</v>
      </c>
      <c r="P1604" s="1" t="s">
        <v>194</v>
      </c>
      <c r="Q1604" s="1" t="str">
        <f>IF(ISERROR(VLOOKUP(P1604,'unique fed agency names'!A:C,3,FALSE)),P1604,VLOOKUP(P1604,'unique fed agency names'!A:C,3,FALSE))
</f>
        <v>U.S. Department of Education (ED)</v>
      </c>
      <c r="R1604" s="1">
        <v>7.8465647E7</v>
      </c>
      <c r="S1604" s="1" t="s">
        <v>1176</v>
      </c>
      <c r="T1604" s="1" t="str">
        <f>IF(ISERROR(VLOOKUP(S1604,'unique org names'!A:C,3,FALSE)),S1604,VLOOKUP(S1604,'unique org names'!A:C,3,FALSE))
</f>
        <v>DETROIT INNOVATION ACADEMY</v>
      </c>
      <c r="V1604" s="1" t="s">
        <v>1178</v>
      </c>
      <c r="W1604" s="1" t="s">
        <v>44</v>
      </c>
      <c r="X1604" s="1" t="s">
        <v>45</v>
      </c>
      <c r="Y1604" s="1">
        <v>4.82281142E8</v>
      </c>
      <c r="AA1604" s="1" t="s">
        <v>44</v>
      </c>
      <c r="AB1604" s="1" t="s">
        <v>45</v>
      </c>
      <c r="AC1604" s="1">
        <v>4.82281142E8</v>
      </c>
      <c r="AF1604" s="1">
        <v>181509.0</v>
      </c>
      <c r="AG1604" s="2">
        <v>41740.0</v>
      </c>
      <c r="AH1604" s="1">
        <v>9100.0</v>
      </c>
      <c r="AI1604" s="1" t="s">
        <v>194</v>
      </c>
      <c r="AJ1604" s="1" t="s">
        <v>3081</v>
      </c>
      <c r="AK1604" s="1" t="s">
        <v>1170</v>
      </c>
      <c r="AL1604" s="1">
        <v>1.0</v>
      </c>
      <c r="AM1604" s="1">
        <v>2015.0</v>
      </c>
      <c r="AN1604" s="1">
        <v>2014.0</v>
      </c>
      <c r="AO1604" s="1" t="s">
        <v>1171</v>
      </c>
    </row>
    <row r="1605">
      <c r="A1605" s="5">
        <v>1.0</v>
      </c>
      <c r="B1605" s="1">
        <f t="shared" si="1"/>
        <v>1605</v>
      </c>
      <c r="C1605" s="1" t="s">
        <v>2995</v>
      </c>
      <c r="D1605" s="1" t="s">
        <v>2995</v>
      </c>
      <c r="E1605" s="1" t="s">
        <v>194</v>
      </c>
      <c r="G1605" s="1">
        <v>5.11731456E8</v>
      </c>
      <c r="H1605" s="2">
        <v>41774.0</v>
      </c>
      <c r="I1605" s="1" t="s">
        <v>1168</v>
      </c>
      <c r="K1605" s="1" t="s">
        <v>1168</v>
      </c>
      <c r="N1605" s="1" t="s">
        <v>194</v>
      </c>
      <c r="O1605" s="1">
        <v>9100.0</v>
      </c>
      <c r="P1605" s="1" t="s">
        <v>194</v>
      </c>
      <c r="Q1605" s="1" t="str">
        <f>IF(ISERROR(VLOOKUP(P1605,'unique fed agency names'!A:C,3,FALSE)),P1605,VLOOKUP(P1605,'unique fed agency names'!A:C,3,FALSE))
</f>
        <v>U.S. Department of Education (ED)</v>
      </c>
      <c r="R1605" s="1">
        <v>7.0381949E7</v>
      </c>
      <c r="S1605" s="1" t="s">
        <v>605</v>
      </c>
      <c r="T1605" s="1" t="str">
        <f>IF(ISERROR(VLOOKUP(S1605,'unique org names'!A:C,3,FALSE)),S1605,VLOOKUP(S1605,'unique org names'!A:C,3,FALSE))
</f>
        <v>Liberty Caniff Academy</v>
      </c>
      <c r="V1605" s="1" t="s">
        <v>606</v>
      </c>
      <c r="W1605" s="1" t="s">
        <v>44</v>
      </c>
      <c r="X1605" s="1" t="s">
        <v>45</v>
      </c>
      <c r="Y1605" s="1">
        <v>4.82123033E8</v>
      </c>
      <c r="AA1605" s="1" t="s">
        <v>607</v>
      </c>
      <c r="AB1605" s="1" t="s">
        <v>45</v>
      </c>
      <c r="AC1605" s="1">
        <v>4.82123033E8</v>
      </c>
      <c r="AF1605" s="1">
        <v>358751.0</v>
      </c>
      <c r="AG1605" s="2">
        <v>41774.0</v>
      </c>
      <c r="AH1605" s="1">
        <v>9100.0</v>
      </c>
      <c r="AI1605" s="1" t="s">
        <v>194</v>
      </c>
      <c r="AJ1605" s="1" t="s">
        <v>3082</v>
      </c>
      <c r="AK1605" s="1" t="s">
        <v>3000</v>
      </c>
      <c r="AL1605" s="1">
        <v>1.0</v>
      </c>
      <c r="AM1605" s="1">
        <v>2015.0</v>
      </c>
      <c r="AN1605" s="1">
        <v>2014.0</v>
      </c>
      <c r="AO1605" s="1" t="s">
        <v>1171</v>
      </c>
    </row>
    <row r="1606">
      <c r="A1606" s="5">
        <v>1.0</v>
      </c>
      <c r="B1606" s="1">
        <f t="shared" si="1"/>
        <v>1606</v>
      </c>
      <c r="C1606" s="1" t="s">
        <v>3048</v>
      </c>
      <c r="D1606" s="1" t="s">
        <v>3048</v>
      </c>
      <c r="E1606" s="1" t="s">
        <v>645</v>
      </c>
      <c r="G1606" s="1">
        <v>4.58254144E8</v>
      </c>
      <c r="H1606" s="2">
        <v>41753.0</v>
      </c>
      <c r="I1606" s="1" t="s">
        <v>710</v>
      </c>
      <c r="K1606" s="1" t="s">
        <v>710</v>
      </c>
      <c r="N1606" s="1" t="s">
        <v>647</v>
      </c>
      <c r="O1606" s="1">
        <v>1200.0</v>
      </c>
      <c r="P1606" s="1" t="s">
        <v>647</v>
      </c>
      <c r="Q1606" s="1" t="str">
        <f>IF(ISERROR(VLOOKUP(P1606,'unique fed agency names'!A:C,3,FALSE)),P1606,VLOOKUP(P1606,'unique fed agency names'!A:C,3,FALSE))
</f>
        <v>U.S. Department of Agriculture (USDA)</v>
      </c>
      <c r="R1606" s="1">
        <v>2.0830303E7</v>
      </c>
      <c r="S1606" s="1" t="s">
        <v>424</v>
      </c>
      <c r="T1606" s="1" t="str">
        <f>IF(ISERROR(VLOOKUP(S1606,'unique org names'!A:C,3,FALSE)),S1606,VLOOKUP(S1606,'unique org names'!A:C,3,FALSE))
</f>
        <v>MATRIX HUMAN SERVICES</v>
      </c>
      <c r="U1606" s="1" t="s">
        <v>425</v>
      </c>
      <c r="V1606" s="1" t="s">
        <v>426</v>
      </c>
      <c r="W1606" s="1" t="s">
        <v>44</v>
      </c>
      <c r="X1606" s="1" t="s">
        <v>45</v>
      </c>
      <c r="Y1606" s="1">
        <v>4.82012002E8</v>
      </c>
      <c r="AA1606" s="1" t="s">
        <v>44</v>
      </c>
      <c r="AB1606" s="1" t="s">
        <v>45</v>
      </c>
      <c r="AC1606" s="1">
        <v>4.82022012E8</v>
      </c>
      <c r="AD1606" s="1">
        <v>2.0830303E7</v>
      </c>
      <c r="AE1606" s="1" t="s">
        <v>424</v>
      </c>
      <c r="AF1606" s="1">
        <v>643713.18</v>
      </c>
      <c r="AG1606" s="2">
        <v>41753.0</v>
      </c>
      <c r="AH1606" s="1">
        <v>1200.0</v>
      </c>
      <c r="AI1606" s="1" t="s">
        <v>647</v>
      </c>
      <c r="AJ1606" s="1" t="s">
        <v>3083</v>
      </c>
      <c r="AK1606" s="1" t="s">
        <v>712</v>
      </c>
      <c r="AL1606" s="1">
        <v>1.0</v>
      </c>
      <c r="AM1606" s="1">
        <v>2015.0</v>
      </c>
      <c r="AN1606" s="1">
        <v>2014.0</v>
      </c>
      <c r="AO1606" s="1" t="s">
        <v>713</v>
      </c>
    </row>
    <row r="1607">
      <c r="A1607" s="5">
        <v>1.0</v>
      </c>
      <c r="B1607" s="1">
        <f t="shared" si="1"/>
        <v>1607</v>
      </c>
      <c r="C1607" s="1" t="s">
        <v>2995</v>
      </c>
      <c r="D1607" s="1" t="s">
        <v>2995</v>
      </c>
      <c r="E1607" s="1" t="s">
        <v>194</v>
      </c>
      <c r="G1607" s="1">
        <v>5.11731456E8</v>
      </c>
      <c r="H1607" s="2">
        <v>41740.0</v>
      </c>
      <c r="I1607" s="1" t="s">
        <v>1168</v>
      </c>
      <c r="K1607" s="1" t="s">
        <v>1168</v>
      </c>
      <c r="N1607" s="1" t="s">
        <v>194</v>
      </c>
      <c r="O1607" s="1">
        <v>9100.0</v>
      </c>
      <c r="P1607" s="1" t="s">
        <v>194</v>
      </c>
      <c r="Q1607" s="1" t="str">
        <f>IF(ISERROR(VLOOKUP(P1607,'unique fed agency names'!A:C,3,FALSE)),P1607,VLOOKUP(P1607,'unique fed agency names'!A:C,3,FALSE))
</f>
        <v>U.S. Department of Education (ED)</v>
      </c>
      <c r="R1607" s="1">
        <v>7.8736952E7</v>
      </c>
      <c r="S1607" s="1" t="s">
        <v>3084</v>
      </c>
      <c r="T1607" s="1" t="str">
        <f>IF(ISERROR(VLOOKUP(S1607,'unique org names'!A:C,3,FALSE)),S1607,VLOOKUP(S1607,'unique org names'!A:C,3,FALSE))
</f>
        <v>Taylor Preparatory High School</v>
      </c>
      <c r="V1607" s="1" t="s">
        <v>3085</v>
      </c>
      <c r="W1607" s="1" t="s">
        <v>44</v>
      </c>
      <c r="X1607" s="1" t="s">
        <v>45</v>
      </c>
      <c r="Y1607" s="1">
        <v>4.82263485E8</v>
      </c>
      <c r="AA1607" s="1" t="s">
        <v>3086</v>
      </c>
      <c r="AB1607" s="1" t="s">
        <v>45</v>
      </c>
      <c r="AC1607" s="1">
        <v>4.81803356E8</v>
      </c>
      <c r="AD1607" s="1">
        <v>9434185.0</v>
      </c>
      <c r="AF1607" s="1">
        <v>57094.0</v>
      </c>
      <c r="AG1607" s="2">
        <v>41740.0</v>
      </c>
      <c r="AH1607" s="1">
        <v>9100.0</v>
      </c>
      <c r="AI1607" s="1" t="s">
        <v>194</v>
      </c>
      <c r="AJ1607" s="1" t="s">
        <v>3087</v>
      </c>
      <c r="AK1607" s="1" t="s">
        <v>1170</v>
      </c>
      <c r="AL1607" s="1">
        <v>1.0</v>
      </c>
      <c r="AM1607" s="1">
        <v>2015.0</v>
      </c>
      <c r="AN1607" s="1">
        <v>2014.0</v>
      </c>
      <c r="AO1607" s="1" t="s">
        <v>1171</v>
      </c>
    </row>
    <row r="1608">
      <c r="A1608" s="5">
        <v>1.0</v>
      </c>
      <c r="B1608" s="1">
        <f t="shared" si="1"/>
        <v>1608</v>
      </c>
      <c r="C1608" s="1" t="s">
        <v>2995</v>
      </c>
      <c r="D1608" s="1" t="s">
        <v>2995</v>
      </c>
      <c r="E1608" s="1" t="s">
        <v>194</v>
      </c>
      <c r="G1608" s="1">
        <v>5.11731456E8</v>
      </c>
      <c r="H1608" s="2">
        <v>41733.0</v>
      </c>
      <c r="I1608" s="1" t="s">
        <v>1168</v>
      </c>
      <c r="K1608" s="1" t="s">
        <v>1168</v>
      </c>
      <c r="N1608" s="1" t="s">
        <v>194</v>
      </c>
      <c r="O1608" s="1">
        <v>9100.0</v>
      </c>
      <c r="P1608" s="1" t="s">
        <v>194</v>
      </c>
      <c r="Q1608" s="1" t="str">
        <f>IF(ISERROR(VLOOKUP(P1608,'unique fed agency names'!A:C,3,FALSE)),P1608,VLOOKUP(P1608,'unique fed agency names'!A:C,3,FALSE))
</f>
        <v>U.S. Department of Education (ED)</v>
      </c>
      <c r="R1608" s="1">
        <v>7.6340843E7</v>
      </c>
      <c r="S1608" s="1" t="s">
        <v>461</v>
      </c>
      <c r="T1608" s="1" t="str">
        <f>IF(ISERROR(VLOOKUP(S1608,'unique org names'!A:C,3,FALSE)),S1608,VLOOKUP(S1608,'unique org names'!A:C,3,FALSE))
</f>
        <v>BOARD OF EDUCATION OF THE CITY OF DETROIT</v>
      </c>
      <c r="V1608" s="1" t="s">
        <v>1599</v>
      </c>
      <c r="W1608" s="1" t="s">
        <v>44</v>
      </c>
      <c r="X1608" s="1" t="s">
        <v>45</v>
      </c>
      <c r="Y1608" s="1">
        <v>4.8202301E8</v>
      </c>
      <c r="AA1608" s="1" t="s">
        <v>44</v>
      </c>
      <c r="AB1608" s="1" t="s">
        <v>45</v>
      </c>
      <c r="AC1608" s="1">
        <v>4.82023096E8</v>
      </c>
      <c r="AD1608" s="1">
        <v>7.6340843E7</v>
      </c>
      <c r="AE1608" s="1" t="s">
        <v>461</v>
      </c>
      <c r="AF1608" s="1">
        <v>315578.0</v>
      </c>
      <c r="AG1608" s="2">
        <v>41733.0</v>
      </c>
      <c r="AH1608" s="1">
        <v>9100.0</v>
      </c>
      <c r="AI1608" s="1" t="s">
        <v>194</v>
      </c>
      <c r="AJ1608" s="1" t="s">
        <v>3088</v>
      </c>
      <c r="AK1608" s="1" t="s">
        <v>1170</v>
      </c>
      <c r="AL1608" s="1">
        <v>1.0</v>
      </c>
      <c r="AM1608" s="1">
        <v>2015.0</v>
      </c>
      <c r="AN1608" s="1">
        <v>2014.0</v>
      </c>
      <c r="AO1608" s="1" t="s">
        <v>1171</v>
      </c>
    </row>
    <row r="1609">
      <c r="A1609" s="5">
        <v>1.0</v>
      </c>
      <c r="B1609" s="1">
        <f t="shared" si="1"/>
        <v>1609</v>
      </c>
      <c r="C1609" s="1" t="s">
        <v>3048</v>
      </c>
      <c r="D1609" s="1" t="s">
        <v>3048</v>
      </c>
      <c r="E1609" s="1" t="s">
        <v>645</v>
      </c>
      <c r="G1609" s="1">
        <v>4.58254144E8</v>
      </c>
      <c r="H1609" s="2">
        <v>41557.0</v>
      </c>
      <c r="I1609" s="1" t="s">
        <v>710</v>
      </c>
      <c r="K1609" s="1" t="s">
        <v>710</v>
      </c>
      <c r="N1609" s="1" t="s">
        <v>647</v>
      </c>
      <c r="O1609" s="1">
        <v>1200.0</v>
      </c>
      <c r="P1609" s="1" t="s">
        <v>647</v>
      </c>
      <c r="Q1609" s="1" t="str">
        <f>IF(ISERROR(VLOOKUP(P1609,'unique fed agency names'!A:C,3,FALSE)),P1609,VLOOKUP(P1609,'unique fed agency names'!A:C,3,FALSE))
</f>
        <v>U.S. Department of Agriculture (USDA)</v>
      </c>
      <c r="R1609" s="1">
        <v>8.30649195E8</v>
      </c>
      <c r="S1609" s="1" t="s">
        <v>545</v>
      </c>
      <c r="T1609" s="1" t="str">
        <f>IF(ISERROR(VLOOKUP(S1609,'unique org names'!A:C,3,FALSE)),S1609,VLOOKUP(S1609,'unique org names'!A:C,3,FALSE))
</f>
        <v>PLYMOUTH EDUCATIONAL CENTER CHARTER SCHOOL</v>
      </c>
      <c r="V1609" s="1" t="s">
        <v>547</v>
      </c>
      <c r="W1609" s="1" t="s">
        <v>44</v>
      </c>
      <c r="X1609" s="1" t="s">
        <v>45</v>
      </c>
      <c r="Y1609" s="1">
        <v>4.82071E8</v>
      </c>
      <c r="AA1609" s="1" t="s">
        <v>44</v>
      </c>
      <c r="AB1609" s="1" t="s">
        <v>45</v>
      </c>
      <c r="AC1609" s="1">
        <v>4.82071E8</v>
      </c>
      <c r="AF1609" s="1">
        <v>427493.11</v>
      </c>
      <c r="AG1609" s="2">
        <v>41557.0</v>
      </c>
      <c r="AH1609" s="1">
        <v>1200.0</v>
      </c>
      <c r="AI1609" s="1" t="s">
        <v>647</v>
      </c>
      <c r="AJ1609" s="1" t="s">
        <v>3089</v>
      </c>
      <c r="AK1609" s="1" t="s">
        <v>712</v>
      </c>
      <c r="AL1609" s="1">
        <v>1.0</v>
      </c>
      <c r="AM1609" s="1">
        <v>2015.0</v>
      </c>
      <c r="AN1609" s="1">
        <v>2014.0</v>
      </c>
      <c r="AO1609" s="1" t="s">
        <v>713</v>
      </c>
    </row>
    <row r="1610">
      <c r="A1610" s="5">
        <v>1.0</v>
      </c>
      <c r="B1610" s="1">
        <f t="shared" si="1"/>
        <v>1610</v>
      </c>
      <c r="C1610" s="1" t="s">
        <v>3048</v>
      </c>
      <c r="D1610" s="1" t="s">
        <v>3048</v>
      </c>
      <c r="E1610" s="1" t="s">
        <v>645</v>
      </c>
      <c r="G1610" s="1">
        <v>4.58254144E8</v>
      </c>
      <c r="H1610" s="2">
        <v>41564.0</v>
      </c>
      <c r="I1610" s="1" t="s">
        <v>710</v>
      </c>
      <c r="K1610" s="1" t="s">
        <v>710</v>
      </c>
      <c r="N1610" s="1" t="s">
        <v>647</v>
      </c>
      <c r="O1610" s="1">
        <v>1200.0</v>
      </c>
      <c r="P1610" s="1" t="s">
        <v>647</v>
      </c>
      <c r="Q1610" s="1" t="str">
        <f>IF(ISERROR(VLOOKUP(P1610,'unique fed agency names'!A:C,3,FALSE)),P1610,VLOOKUP(P1610,'unique fed agency names'!A:C,3,FALSE))
</f>
        <v>U.S. Department of Agriculture (USDA)</v>
      </c>
      <c r="R1610" s="1">
        <v>1.47777952E8</v>
      </c>
      <c r="S1610" s="1" t="s">
        <v>459</v>
      </c>
      <c r="T1610" s="1" t="str">
        <f>IF(ISERROR(VLOOKUP(S1610,'unique org names'!A:C,3,FALSE)),S1610,VLOOKUP(S1610,'unique org names'!A:C,3,FALSE))
</f>
        <v>DETROIT PUBLIC SCHOOLS</v>
      </c>
      <c r="U1610" s="1" t="s">
        <v>626</v>
      </c>
      <c r="V1610" s="1" t="s">
        <v>627</v>
      </c>
      <c r="W1610" s="1" t="s">
        <v>44</v>
      </c>
      <c r="X1610" s="1" t="s">
        <v>45</v>
      </c>
      <c r="Y1610" s="1">
        <v>4.82072112E8</v>
      </c>
      <c r="AA1610" s="1" t="s">
        <v>44</v>
      </c>
      <c r="AB1610" s="1" t="s">
        <v>45</v>
      </c>
      <c r="AC1610" s="1">
        <v>4.82072112E8</v>
      </c>
      <c r="AD1610" s="1">
        <v>7.6340843E7</v>
      </c>
      <c r="AE1610" s="1" t="s">
        <v>461</v>
      </c>
      <c r="AF1610" s="1">
        <v>326679.67</v>
      </c>
      <c r="AG1610" s="2">
        <v>41564.0</v>
      </c>
      <c r="AH1610" s="1">
        <v>1200.0</v>
      </c>
      <c r="AI1610" s="1" t="s">
        <v>647</v>
      </c>
      <c r="AJ1610" s="1" t="s">
        <v>3090</v>
      </c>
      <c r="AK1610" s="1" t="s">
        <v>712</v>
      </c>
      <c r="AL1610" s="1">
        <v>1.0</v>
      </c>
      <c r="AM1610" s="1">
        <v>2015.0</v>
      </c>
      <c r="AN1610" s="1">
        <v>2014.0</v>
      </c>
      <c r="AO1610" s="1" t="s">
        <v>713</v>
      </c>
    </row>
    <row r="1611">
      <c r="A1611" s="5">
        <v>1.0</v>
      </c>
      <c r="B1611" s="1">
        <f t="shared" si="1"/>
        <v>1611</v>
      </c>
      <c r="C1611" s="1" t="s">
        <v>3048</v>
      </c>
      <c r="D1611" s="1" t="s">
        <v>3048</v>
      </c>
      <c r="E1611" s="1" t="s">
        <v>645</v>
      </c>
      <c r="G1611" s="1">
        <v>4.58254144E8</v>
      </c>
      <c r="H1611" s="2">
        <v>41683.0</v>
      </c>
      <c r="I1611" s="1" t="s">
        <v>710</v>
      </c>
      <c r="K1611" s="1" t="s">
        <v>710</v>
      </c>
      <c r="N1611" s="1" t="s">
        <v>647</v>
      </c>
      <c r="O1611" s="1">
        <v>1200.0</v>
      </c>
      <c r="P1611" s="1" t="s">
        <v>647</v>
      </c>
      <c r="Q1611" s="1" t="str">
        <f>IF(ISERROR(VLOOKUP(P1611,'unique fed agency names'!A:C,3,FALSE)),P1611,VLOOKUP(P1611,'unique fed agency names'!A:C,3,FALSE))
</f>
        <v>U.S. Department of Agriculture (USDA)</v>
      </c>
      <c r="R1611" s="1">
        <v>8.4297738E7</v>
      </c>
      <c r="S1611" s="1" t="s">
        <v>3091</v>
      </c>
      <c r="T1611" s="1" t="str">
        <f>IF(ISERROR(VLOOKUP(S1611,'unique org names'!A:C,3,FALSE)),S1611,VLOOKUP(S1611,'unique org names'!A:C,3,FALSE))
</f>
        <v>Gleaners Community Food Bank, Inc</v>
      </c>
      <c r="U1611" s="1" t="s">
        <v>3092</v>
      </c>
      <c r="V1611" s="1" t="s">
        <v>3093</v>
      </c>
      <c r="W1611" s="1" t="s">
        <v>44</v>
      </c>
      <c r="X1611" s="1" t="s">
        <v>45</v>
      </c>
      <c r="Y1611" s="1">
        <v>4.8207341E8</v>
      </c>
      <c r="AA1611" s="1" t="s">
        <v>44</v>
      </c>
      <c r="AB1611" s="1" t="s">
        <v>45</v>
      </c>
      <c r="AC1611" s="1">
        <v>4.8207341E8</v>
      </c>
      <c r="AD1611" s="1">
        <v>8.4297738E7</v>
      </c>
      <c r="AE1611" s="1" t="s">
        <v>3091</v>
      </c>
      <c r="AF1611" s="1">
        <v>480879.68</v>
      </c>
      <c r="AG1611" s="2">
        <v>41683.0</v>
      </c>
      <c r="AH1611" s="1">
        <v>1200.0</v>
      </c>
      <c r="AI1611" s="1" t="s">
        <v>647</v>
      </c>
      <c r="AJ1611" s="1" t="s">
        <v>3094</v>
      </c>
      <c r="AK1611" s="1" t="s">
        <v>712</v>
      </c>
      <c r="AL1611" s="1">
        <v>1.0</v>
      </c>
      <c r="AM1611" s="1">
        <v>2015.0</v>
      </c>
      <c r="AN1611" s="1">
        <v>2014.0</v>
      </c>
      <c r="AO1611" s="1" t="s">
        <v>713</v>
      </c>
    </row>
    <row r="1612">
      <c r="A1612" s="5">
        <v>1.0</v>
      </c>
      <c r="B1612" s="1">
        <f t="shared" si="1"/>
        <v>1612</v>
      </c>
      <c r="C1612" s="1" t="s">
        <v>2995</v>
      </c>
      <c r="D1612" s="1" t="s">
        <v>2995</v>
      </c>
      <c r="E1612" s="1" t="s">
        <v>194</v>
      </c>
      <c r="G1612" s="1">
        <v>5.11731456E8</v>
      </c>
      <c r="H1612" s="2">
        <v>41641.0</v>
      </c>
      <c r="I1612" s="1" t="s">
        <v>1168</v>
      </c>
      <c r="K1612" s="1" t="s">
        <v>1168</v>
      </c>
      <c r="N1612" s="1" t="s">
        <v>194</v>
      </c>
      <c r="O1612" s="1">
        <v>9100.0</v>
      </c>
      <c r="P1612" s="1" t="s">
        <v>194</v>
      </c>
      <c r="Q1612" s="1" t="str">
        <f>IF(ISERROR(VLOOKUP(P1612,'unique fed agency names'!A:C,3,FALSE)),P1612,VLOOKUP(P1612,'unique fed agency names'!A:C,3,FALSE))
</f>
        <v>U.S. Department of Education (ED)</v>
      </c>
      <c r="R1612" s="1">
        <v>7.94990296E8</v>
      </c>
      <c r="S1612" s="1" t="s">
        <v>601</v>
      </c>
      <c r="T1612" s="1" t="str">
        <f>IF(ISERROR(VLOOKUP(S1612,'unique org names'!A:C,3,FALSE)),S1612,VLOOKUP(S1612,'unique org names'!A:C,3,FALSE))
</f>
        <v>NORTHPOINTE ACADEMY</v>
      </c>
      <c r="V1612" s="1" t="s">
        <v>602</v>
      </c>
      <c r="W1612" s="1" t="s">
        <v>44</v>
      </c>
      <c r="X1612" s="1" t="s">
        <v>45</v>
      </c>
      <c r="Y1612" s="1">
        <v>4.82032827E8</v>
      </c>
      <c r="AA1612" s="1" t="s">
        <v>603</v>
      </c>
      <c r="AB1612" s="1" t="s">
        <v>45</v>
      </c>
      <c r="AC1612" s="1">
        <v>4.82032827E8</v>
      </c>
      <c r="AF1612" s="1">
        <v>248227.0</v>
      </c>
      <c r="AG1612" s="2">
        <v>41641.0</v>
      </c>
      <c r="AH1612" s="1">
        <v>9100.0</v>
      </c>
      <c r="AI1612" s="1" t="s">
        <v>194</v>
      </c>
      <c r="AJ1612" s="1" t="s">
        <v>3095</v>
      </c>
      <c r="AK1612" s="1" t="s">
        <v>1170</v>
      </c>
      <c r="AL1612" s="1">
        <v>1.0</v>
      </c>
      <c r="AM1612" s="1">
        <v>2015.0</v>
      </c>
      <c r="AN1612" s="1">
        <v>2014.0</v>
      </c>
      <c r="AO1612" s="1" t="s">
        <v>1171</v>
      </c>
    </row>
    <row r="1613">
      <c r="A1613" s="5">
        <v>1.0</v>
      </c>
      <c r="B1613" s="1">
        <f t="shared" si="1"/>
        <v>1613</v>
      </c>
      <c r="C1613" s="1" t="s">
        <v>2995</v>
      </c>
      <c r="D1613" s="1" t="s">
        <v>2995</v>
      </c>
      <c r="E1613" s="1" t="s">
        <v>194</v>
      </c>
      <c r="G1613" s="1">
        <v>5.11731456E8</v>
      </c>
      <c r="H1613" s="2">
        <v>41725.0</v>
      </c>
      <c r="I1613" s="1" t="s">
        <v>1168</v>
      </c>
      <c r="K1613" s="1" t="s">
        <v>1168</v>
      </c>
      <c r="N1613" s="1" t="s">
        <v>194</v>
      </c>
      <c r="O1613" s="1">
        <v>9100.0</v>
      </c>
      <c r="P1613" s="1" t="s">
        <v>194</v>
      </c>
      <c r="Q1613" s="1" t="str">
        <f>IF(ISERROR(VLOOKUP(P1613,'unique fed agency names'!A:C,3,FALSE)),P1613,VLOOKUP(P1613,'unique fed agency names'!A:C,3,FALSE))
</f>
        <v>U.S. Department of Education (ED)</v>
      </c>
      <c r="R1613" s="1">
        <v>9.62378779E8</v>
      </c>
      <c r="S1613" s="1" t="s">
        <v>478</v>
      </c>
      <c r="T1613" s="1" t="str">
        <f>IF(ISERROR(VLOOKUP(S1613,'unique org names'!A:C,3,FALSE)),S1613,VLOOKUP(S1613,'unique org names'!A:C,3,FALSE))
</f>
        <v>LEGACY CHARTER ACADEMY</v>
      </c>
      <c r="V1613" s="1" t="s">
        <v>479</v>
      </c>
      <c r="W1613" s="1" t="s">
        <v>44</v>
      </c>
      <c r="X1613" s="1" t="s">
        <v>45</v>
      </c>
      <c r="Y1613" s="1">
        <v>4.82342225E8</v>
      </c>
      <c r="AA1613" s="1" t="s">
        <v>44</v>
      </c>
      <c r="AB1613" s="1" t="s">
        <v>45</v>
      </c>
      <c r="AC1613" s="1">
        <v>4.82342225E8</v>
      </c>
      <c r="AF1613" s="1">
        <v>835781.0</v>
      </c>
      <c r="AG1613" s="2">
        <v>41725.0</v>
      </c>
      <c r="AH1613" s="1">
        <v>9100.0</v>
      </c>
      <c r="AI1613" s="1" t="s">
        <v>194</v>
      </c>
      <c r="AJ1613" s="1" t="s">
        <v>3096</v>
      </c>
      <c r="AK1613" s="1" t="s">
        <v>1170</v>
      </c>
      <c r="AL1613" s="1">
        <v>1.0</v>
      </c>
      <c r="AM1613" s="1">
        <v>2015.0</v>
      </c>
      <c r="AN1613" s="1">
        <v>2014.0</v>
      </c>
      <c r="AO1613" s="1" t="s">
        <v>1171</v>
      </c>
    </row>
    <row r="1614">
      <c r="A1614" s="5">
        <v>1.0</v>
      </c>
      <c r="B1614" s="1">
        <f t="shared" si="1"/>
        <v>1614</v>
      </c>
      <c r="C1614" s="1" t="s">
        <v>2995</v>
      </c>
      <c r="D1614" s="1" t="s">
        <v>2995</v>
      </c>
      <c r="E1614" s="1" t="s">
        <v>194</v>
      </c>
      <c r="G1614" s="1">
        <v>5.11731456E8</v>
      </c>
      <c r="H1614" s="2">
        <v>41705.0</v>
      </c>
      <c r="I1614" s="1" t="s">
        <v>1168</v>
      </c>
      <c r="K1614" s="1" t="s">
        <v>1168</v>
      </c>
      <c r="N1614" s="1" t="s">
        <v>194</v>
      </c>
      <c r="O1614" s="1">
        <v>9100.0</v>
      </c>
      <c r="P1614" s="1" t="s">
        <v>194</v>
      </c>
      <c r="Q1614" s="1" t="str">
        <f>IF(ISERROR(VLOOKUP(P1614,'unique fed agency names'!A:C,3,FALSE)),P1614,VLOOKUP(P1614,'unique fed agency names'!A:C,3,FALSE))
</f>
        <v>U.S. Department of Education (ED)</v>
      </c>
      <c r="R1614" s="1">
        <v>9.0912429E7</v>
      </c>
      <c r="S1614" s="1" t="s">
        <v>521</v>
      </c>
      <c r="T1614" s="1" t="str">
        <f>IF(ISERROR(VLOOKUP(S1614,'unique org names'!A:C,3,FALSE)),S1614,VLOOKUP(S1614,'unique org names'!A:C,3,FALSE))
</f>
        <v>DETROIT COMMUNITY SCHOOLS</v>
      </c>
      <c r="V1614" s="1" t="s">
        <v>522</v>
      </c>
      <c r="W1614" s="1" t="s">
        <v>44</v>
      </c>
      <c r="X1614" s="1" t="s">
        <v>45</v>
      </c>
      <c r="Y1614" s="1">
        <v>4.82233314E8</v>
      </c>
      <c r="AA1614" s="1" t="s">
        <v>44</v>
      </c>
      <c r="AB1614" s="1" t="s">
        <v>45</v>
      </c>
      <c r="AC1614" s="1">
        <v>4.82233314E8</v>
      </c>
      <c r="AF1614" s="1">
        <v>639502.0</v>
      </c>
      <c r="AG1614" s="2">
        <v>41705.0</v>
      </c>
      <c r="AH1614" s="1">
        <v>9100.0</v>
      </c>
      <c r="AI1614" s="1" t="s">
        <v>194</v>
      </c>
      <c r="AJ1614" s="1" t="s">
        <v>3097</v>
      </c>
      <c r="AK1614" s="1" t="s">
        <v>1170</v>
      </c>
      <c r="AL1614" s="1">
        <v>1.0</v>
      </c>
      <c r="AM1614" s="1">
        <v>2015.0</v>
      </c>
      <c r="AN1614" s="1">
        <v>2014.0</v>
      </c>
      <c r="AO1614" s="1" t="s">
        <v>1171</v>
      </c>
    </row>
    <row r="1615">
      <c r="A1615" s="5">
        <v>1.0</v>
      </c>
      <c r="B1615" s="1">
        <f t="shared" si="1"/>
        <v>1615</v>
      </c>
      <c r="C1615" s="1" t="s">
        <v>3048</v>
      </c>
      <c r="D1615" s="1" t="s">
        <v>3048</v>
      </c>
      <c r="E1615" s="1" t="s">
        <v>645</v>
      </c>
      <c r="G1615" s="1">
        <v>4.58254144E8</v>
      </c>
      <c r="H1615" s="2">
        <v>41557.0</v>
      </c>
      <c r="I1615" s="1" t="s">
        <v>710</v>
      </c>
      <c r="K1615" s="1" t="s">
        <v>710</v>
      </c>
      <c r="N1615" s="1" t="s">
        <v>647</v>
      </c>
      <c r="O1615" s="1">
        <v>1200.0</v>
      </c>
      <c r="P1615" s="1" t="s">
        <v>647</v>
      </c>
      <c r="Q1615" s="1" t="str">
        <f>IF(ISERROR(VLOOKUP(P1615,'unique fed agency names'!A:C,3,FALSE)),P1615,VLOOKUP(P1615,'unique fed agency names'!A:C,3,FALSE))
</f>
        <v>U.S. Department of Agriculture (USDA)</v>
      </c>
      <c r="R1615" s="1">
        <v>8.30649195E8</v>
      </c>
      <c r="S1615" s="1" t="s">
        <v>545</v>
      </c>
      <c r="T1615" s="1" t="str">
        <f>IF(ISERROR(VLOOKUP(S1615,'unique org names'!A:C,3,FALSE)),S1615,VLOOKUP(S1615,'unique org names'!A:C,3,FALSE))
</f>
        <v>PLYMOUTH EDUCATIONAL CENTER CHARTER SCHOOL</v>
      </c>
      <c r="V1615" s="1" t="s">
        <v>547</v>
      </c>
      <c r="W1615" s="1" t="s">
        <v>44</v>
      </c>
      <c r="X1615" s="1" t="s">
        <v>45</v>
      </c>
      <c r="Y1615" s="1">
        <v>4.82071E8</v>
      </c>
      <c r="AA1615" s="1" t="s">
        <v>44</v>
      </c>
      <c r="AB1615" s="1" t="s">
        <v>45</v>
      </c>
      <c r="AC1615" s="1">
        <v>4.82071E8</v>
      </c>
      <c r="AF1615" s="1">
        <v>158986.07</v>
      </c>
      <c r="AG1615" s="2">
        <v>41557.0</v>
      </c>
      <c r="AH1615" s="1">
        <v>1200.0</v>
      </c>
      <c r="AI1615" s="1" t="s">
        <v>647</v>
      </c>
      <c r="AJ1615" s="1" t="s">
        <v>3098</v>
      </c>
      <c r="AK1615" s="1" t="s">
        <v>712</v>
      </c>
      <c r="AL1615" s="1">
        <v>1.0</v>
      </c>
      <c r="AM1615" s="1">
        <v>2015.0</v>
      </c>
      <c r="AN1615" s="1">
        <v>2014.0</v>
      </c>
      <c r="AO1615" s="1" t="s">
        <v>713</v>
      </c>
    </row>
    <row r="1616">
      <c r="A1616" s="5">
        <v>1.0</v>
      </c>
      <c r="B1616" s="1">
        <f t="shared" si="1"/>
        <v>1616</v>
      </c>
      <c r="C1616" s="1" t="s">
        <v>2995</v>
      </c>
      <c r="D1616" s="1" t="s">
        <v>2995</v>
      </c>
      <c r="E1616" s="1" t="s">
        <v>194</v>
      </c>
      <c r="G1616" s="1">
        <v>5.11731456E8</v>
      </c>
      <c r="H1616" s="2">
        <v>41669.0</v>
      </c>
      <c r="I1616" s="1" t="s">
        <v>1168</v>
      </c>
      <c r="K1616" s="1" t="s">
        <v>1168</v>
      </c>
      <c r="N1616" s="1" t="s">
        <v>194</v>
      </c>
      <c r="O1616" s="1">
        <v>9100.0</v>
      </c>
      <c r="P1616" s="1" t="s">
        <v>194</v>
      </c>
      <c r="Q1616" s="1" t="str">
        <f>IF(ISERROR(VLOOKUP(P1616,'unique fed agency names'!A:C,3,FALSE)),P1616,VLOOKUP(P1616,'unique fed agency names'!A:C,3,FALSE))
</f>
        <v>U.S. Department of Education (ED)</v>
      </c>
      <c r="R1616" s="1">
        <v>8.25304442E8</v>
      </c>
      <c r="S1616" s="1" t="s">
        <v>829</v>
      </c>
      <c r="T1616" s="1" t="str">
        <f>IF(ISERROR(VLOOKUP(S1616,'unique org names'!A:C,3,FALSE)),S1616,VLOOKUP(S1616,'unique org names'!A:C,3,FALSE))
</f>
        <v>DAVID ELLIS ACADEMY</v>
      </c>
      <c r="V1616" s="1" t="s">
        <v>830</v>
      </c>
      <c r="W1616" s="1" t="s">
        <v>44</v>
      </c>
      <c r="X1616" s="1" t="s">
        <v>45</v>
      </c>
      <c r="Y1616" s="1">
        <v>4.82351762E8</v>
      </c>
      <c r="AA1616" s="1" t="s">
        <v>44</v>
      </c>
      <c r="AB1616" s="1" t="s">
        <v>45</v>
      </c>
      <c r="AC1616" s="1">
        <v>4.82351762E8</v>
      </c>
      <c r="AF1616" s="1">
        <v>115411.0</v>
      </c>
      <c r="AG1616" s="2">
        <v>41669.0</v>
      </c>
      <c r="AH1616" s="1">
        <v>9100.0</v>
      </c>
      <c r="AI1616" s="1" t="s">
        <v>194</v>
      </c>
      <c r="AJ1616" s="1" t="s">
        <v>3099</v>
      </c>
      <c r="AK1616" s="1" t="s">
        <v>1170</v>
      </c>
      <c r="AL1616" s="1">
        <v>1.0</v>
      </c>
      <c r="AM1616" s="1">
        <v>2015.0</v>
      </c>
      <c r="AN1616" s="1">
        <v>2014.0</v>
      </c>
      <c r="AO1616" s="1" t="s">
        <v>1171</v>
      </c>
    </row>
    <row r="1617">
      <c r="A1617" s="5">
        <v>1.0</v>
      </c>
      <c r="B1617" s="1">
        <f t="shared" si="1"/>
        <v>1617</v>
      </c>
      <c r="C1617" s="1" t="s">
        <v>2995</v>
      </c>
      <c r="D1617" s="1" t="s">
        <v>2995</v>
      </c>
      <c r="E1617" s="1" t="s">
        <v>194</v>
      </c>
      <c r="G1617" s="1">
        <v>5.11731456E8</v>
      </c>
      <c r="H1617" s="2">
        <v>41752.0</v>
      </c>
      <c r="I1617" s="1" t="s">
        <v>1168</v>
      </c>
      <c r="K1617" s="1" t="s">
        <v>1168</v>
      </c>
      <c r="N1617" s="1" t="s">
        <v>194</v>
      </c>
      <c r="O1617" s="1">
        <v>9100.0</v>
      </c>
      <c r="P1617" s="1" t="s">
        <v>194</v>
      </c>
      <c r="Q1617" s="1" t="str">
        <f>IF(ISERROR(VLOOKUP(P1617,'unique fed agency names'!A:C,3,FALSE)),P1617,VLOOKUP(P1617,'unique fed agency names'!A:C,3,FALSE))
</f>
        <v>U.S. Department of Education (ED)</v>
      </c>
      <c r="R1617" s="1">
        <v>9.63121426E8</v>
      </c>
      <c r="S1617" s="1" t="s">
        <v>490</v>
      </c>
      <c r="T1617" s="1" t="str">
        <f>IF(ISERROR(VLOOKUP(S1617,'unique org names'!A:C,3,FALSE)),S1617,VLOOKUP(S1617,'unique org names'!A:C,3,FALSE))
</f>
        <v>DETROIT LEADERSHIP ACADEMY</v>
      </c>
      <c r="V1617" s="1" t="s">
        <v>491</v>
      </c>
      <c r="W1617" s="1" t="s">
        <v>44</v>
      </c>
      <c r="X1617" s="1" t="s">
        <v>45</v>
      </c>
      <c r="Y1617" s="1">
        <v>4.82233051E8</v>
      </c>
      <c r="AA1617" s="1" t="s">
        <v>46</v>
      </c>
      <c r="AB1617" s="1" t="s">
        <v>45</v>
      </c>
      <c r="AC1617" s="1">
        <v>4.82233051E8</v>
      </c>
      <c r="AF1617" s="1">
        <v>496355.0</v>
      </c>
      <c r="AG1617" s="2">
        <v>41752.0</v>
      </c>
      <c r="AH1617" s="1">
        <v>9100.0</v>
      </c>
      <c r="AI1617" s="1" t="s">
        <v>194</v>
      </c>
      <c r="AJ1617" s="1" t="s">
        <v>3100</v>
      </c>
      <c r="AK1617" s="1" t="s">
        <v>1170</v>
      </c>
      <c r="AL1617" s="1">
        <v>1.0</v>
      </c>
      <c r="AM1617" s="1">
        <v>2015.0</v>
      </c>
      <c r="AN1617" s="1">
        <v>2014.0</v>
      </c>
      <c r="AO1617" s="1" t="s">
        <v>1171</v>
      </c>
    </row>
    <row r="1618">
      <c r="A1618" s="5">
        <v>1.0</v>
      </c>
      <c r="B1618" s="1">
        <f t="shared" si="1"/>
        <v>1618</v>
      </c>
      <c r="C1618" s="1" t="s">
        <v>3048</v>
      </c>
      <c r="D1618" s="1" t="s">
        <v>3048</v>
      </c>
      <c r="E1618" s="1" t="s">
        <v>645</v>
      </c>
      <c r="G1618" s="1">
        <v>4.58254144E8</v>
      </c>
      <c r="H1618" s="2">
        <v>41564.0</v>
      </c>
      <c r="I1618" s="1" t="s">
        <v>710</v>
      </c>
      <c r="K1618" s="1" t="s">
        <v>710</v>
      </c>
      <c r="N1618" s="1" t="s">
        <v>647</v>
      </c>
      <c r="O1618" s="1">
        <v>1200.0</v>
      </c>
      <c r="P1618" s="1" t="s">
        <v>647</v>
      </c>
      <c r="Q1618" s="1" t="str">
        <f>IF(ISERROR(VLOOKUP(P1618,'unique fed agency names'!A:C,3,FALSE)),P1618,VLOOKUP(P1618,'unique fed agency names'!A:C,3,FALSE))
</f>
        <v>U.S. Department of Agriculture (USDA)</v>
      </c>
      <c r="R1618" s="1">
        <v>3.9866801E7</v>
      </c>
      <c r="S1618" s="1" t="s">
        <v>612</v>
      </c>
      <c r="T1618" s="1" t="str">
        <f>IF(ISERROR(VLOOKUP(S1618,'unique org names'!A:C,3,FALSE)),S1618,VLOOKUP(S1618,'unique org names'!A:C,3,FALSE))
</f>
        <v>HAMTRAMCK PUBLIC SCHOOLS</v>
      </c>
      <c r="V1618" s="1" t="s">
        <v>613</v>
      </c>
      <c r="W1618" s="1" t="s">
        <v>44</v>
      </c>
      <c r="X1618" s="1" t="s">
        <v>45</v>
      </c>
      <c r="Y1618" s="1">
        <v>4.8212E8</v>
      </c>
      <c r="AA1618" s="1" t="s">
        <v>607</v>
      </c>
      <c r="AB1618" s="1" t="s">
        <v>45</v>
      </c>
      <c r="AC1618" s="1">
        <v>4.82120012E8</v>
      </c>
      <c r="AD1618" s="1">
        <v>3.9866801E7</v>
      </c>
      <c r="AE1618" s="1" t="s">
        <v>612</v>
      </c>
      <c r="AF1618" s="1">
        <v>42636.0</v>
      </c>
      <c r="AG1618" s="2">
        <v>41564.0</v>
      </c>
      <c r="AH1618" s="1">
        <v>1200.0</v>
      </c>
      <c r="AI1618" s="1" t="s">
        <v>647</v>
      </c>
      <c r="AJ1618" s="1" t="s">
        <v>3101</v>
      </c>
      <c r="AK1618" s="1" t="s">
        <v>712</v>
      </c>
      <c r="AL1618" s="1">
        <v>1.0</v>
      </c>
      <c r="AM1618" s="1">
        <v>2015.0</v>
      </c>
      <c r="AN1618" s="1">
        <v>2014.0</v>
      </c>
      <c r="AO1618" s="1" t="s">
        <v>713</v>
      </c>
    </row>
    <row r="1619">
      <c r="A1619" s="5">
        <v>1.0</v>
      </c>
      <c r="B1619" s="1">
        <f t="shared" si="1"/>
        <v>1619</v>
      </c>
      <c r="C1619" s="1" t="s">
        <v>3048</v>
      </c>
      <c r="D1619" s="1" t="s">
        <v>3048</v>
      </c>
      <c r="E1619" s="1" t="s">
        <v>645</v>
      </c>
      <c r="G1619" s="1">
        <v>4.58254144E8</v>
      </c>
      <c r="H1619" s="2">
        <v>41557.0</v>
      </c>
      <c r="I1619" s="1" t="s">
        <v>710</v>
      </c>
      <c r="K1619" s="1" t="s">
        <v>710</v>
      </c>
      <c r="N1619" s="1" t="s">
        <v>647</v>
      </c>
      <c r="O1619" s="1">
        <v>1200.0</v>
      </c>
      <c r="P1619" s="1" t="s">
        <v>647</v>
      </c>
      <c r="Q1619" s="1" t="str">
        <f>IF(ISERROR(VLOOKUP(P1619,'unique fed agency names'!A:C,3,FALSE)),P1619,VLOOKUP(P1619,'unique fed agency names'!A:C,3,FALSE))
</f>
        <v>U.S. Department of Agriculture (USDA)</v>
      </c>
      <c r="R1619" s="1">
        <v>1.9859285E7</v>
      </c>
      <c r="S1619" s="1" t="s">
        <v>1172</v>
      </c>
      <c r="T1619" s="1" t="str">
        <f>IF(ISERROR(VLOOKUP(S1619,'unique org names'!A:C,3,FALSE)),S1619,VLOOKUP(S1619,'unique org names'!A:C,3,FALSE))
</f>
        <v>Madison Carver Academy</v>
      </c>
      <c r="V1619" s="1" t="s">
        <v>1173</v>
      </c>
      <c r="W1619" s="1" t="s">
        <v>44</v>
      </c>
      <c r="X1619" s="1" t="s">
        <v>45</v>
      </c>
      <c r="Y1619" s="1">
        <v>4.82191263E8</v>
      </c>
      <c r="AA1619" s="1" t="s">
        <v>44</v>
      </c>
      <c r="AB1619" s="1" t="s">
        <v>45</v>
      </c>
      <c r="AC1619" s="1">
        <v>4.82191263E8</v>
      </c>
      <c r="AF1619" s="1">
        <v>52438.67</v>
      </c>
      <c r="AG1619" s="2">
        <v>41557.0</v>
      </c>
      <c r="AH1619" s="1">
        <v>1200.0</v>
      </c>
      <c r="AI1619" s="1" t="s">
        <v>647</v>
      </c>
      <c r="AJ1619" s="1" t="s">
        <v>3102</v>
      </c>
      <c r="AK1619" s="1" t="s">
        <v>712</v>
      </c>
      <c r="AL1619" s="1">
        <v>1.0</v>
      </c>
      <c r="AM1619" s="1">
        <v>2015.0</v>
      </c>
      <c r="AN1619" s="1">
        <v>2014.0</v>
      </c>
      <c r="AO1619" s="1" t="s">
        <v>713</v>
      </c>
    </row>
    <row r="1620">
      <c r="A1620" s="5">
        <v>1.0</v>
      </c>
      <c r="B1620" s="1">
        <f t="shared" si="1"/>
        <v>1620</v>
      </c>
      <c r="C1620" s="1" t="s">
        <v>2995</v>
      </c>
      <c r="D1620" s="1" t="s">
        <v>2995</v>
      </c>
      <c r="E1620" s="1" t="s">
        <v>194</v>
      </c>
      <c r="G1620" s="1">
        <v>5.11731456E8</v>
      </c>
      <c r="H1620" s="2">
        <v>41625.0</v>
      </c>
      <c r="I1620" s="1" t="s">
        <v>1168</v>
      </c>
      <c r="K1620" s="1" t="s">
        <v>1168</v>
      </c>
      <c r="N1620" s="1" t="s">
        <v>194</v>
      </c>
      <c r="O1620" s="1">
        <v>9100.0</v>
      </c>
      <c r="P1620" s="1" t="s">
        <v>194</v>
      </c>
      <c r="Q1620" s="1" t="str">
        <f>IF(ISERROR(VLOOKUP(P1620,'unique fed agency names'!A:C,3,FALSE)),P1620,VLOOKUP(P1620,'unique fed agency names'!A:C,3,FALSE))
</f>
        <v>U.S. Department of Education (ED)</v>
      </c>
      <c r="R1620" s="1">
        <v>7.97531279E8</v>
      </c>
      <c r="S1620" s="1" t="s">
        <v>496</v>
      </c>
      <c r="T1620" s="1" t="str">
        <f>IF(ISERROR(VLOOKUP(S1620,'unique org names'!A:C,3,FALSE)),S1620,VLOOKUP(S1620,'unique org names'!A:C,3,FALSE))
</f>
        <v>BRIDGE ACADEMY</v>
      </c>
      <c r="V1620" s="1" t="s">
        <v>497</v>
      </c>
      <c r="W1620" s="1" t="s">
        <v>44</v>
      </c>
      <c r="X1620" s="1" t="s">
        <v>45</v>
      </c>
      <c r="Y1620" s="1">
        <v>4.82123323E8</v>
      </c>
      <c r="AA1620" s="1" t="s">
        <v>498</v>
      </c>
      <c r="AB1620" s="1" t="s">
        <v>45</v>
      </c>
      <c r="AC1620" s="1">
        <v>4.82123323E8</v>
      </c>
      <c r="AF1620" s="1">
        <v>562029.0</v>
      </c>
      <c r="AG1620" s="2">
        <v>41625.0</v>
      </c>
      <c r="AH1620" s="1">
        <v>9100.0</v>
      </c>
      <c r="AI1620" s="1" t="s">
        <v>194</v>
      </c>
      <c r="AJ1620" s="1" t="s">
        <v>3103</v>
      </c>
      <c r="AK1620" s="1" t="s">
        <v>1170</v>
      </c>
      <c r="AL1620" s="1">
        <v>1.0</v>
      </c>
      <c r="AM1620" s="1">
        <v>2015.0</v>
      </c>
      <c r="AN1620" s="1">
        <v>2014.0</v>
      </c>
      <c r="AO1620" s="1" t="s">
        <v>1171</v>
      </c>
    </row>
    <row r="1621">
      <c r="A1621" s="5">
        <v>1.0</v>
      </c>
      <c r="B1621" s="1">
        <f t="shared" si="1"/>
        <v>1621</v>
      </c>
      <c r="C1621" s="1" t="s">
        <v>2995</v>
      </c>
      <c r="D1621" s="1" t="s">
        <v>2995</v>
      </c>
      <c r="E1621" s="1" t="s">
        <v>194</v>
      </c>
      <c r="G1621" s="1">
        <v>5.11731456E8</v>
      </c>
      <c r="H1621" s="2">
        <v>41704.0</v>
      </c>
      <c r="I1621" s="1" t="s">
        <v>1168</v>
      </c>
      <c r="K1621" s="1" t="s">
        <v>1168</v>
      </c>
      <c r="N1621" s="1" t="s">
        <v>194</v>
      </c>
      <c r="O1621" s="1">
        <v>9100.0</v>
      </c>
      <c r="P1621" s="1" t="s">
        <v>194</v>
      </c>
      <c r="Q1621" s="1" t="str">
        <f>IF(ISERROR(VLOOKUP(P1621,'unique fed agency names'!A:C,3,FALSE)),P1621,VLOOKUP(P1621,'unique fed agency names'!A:C,3,FALSE))
</f>
        <v>U.S. Department of Education (ED)</v>
      </c>
      <c r="R1621" s="1">
        <v>1.47552186E8</v>
      </c>
      <c r="S1621" s="1" t="s">
        <v>822</v>
      </c>
      <c r="T1621" s="1" t="str">
        <f>IF(ISERROR(VLOOKUP(S1621,'unique org names'!A:C,3,FALSE)),S1621,VLOOKUP(S1621,'unique org names'!A:C,3,FALSE))
</f>
        <v>NATAKI TALIBAH SCHOOLHOUSE OF DETROIT</v>
      </c>
      <c r="V1621" s="1" t="s">
        <v>823</v>
      </c>
      <c r="W1621" s="1" t="s">
        <v>44</v>
      </c>
      <c r="X1621" s="1" t="s">
        <v>45</v>
      </c>
      <c r="Y1621" s="1">
        <v>4.82191857E8</v>
      </c>
      <c r="AA1621" s="1" t="s">
        <v>44</v>
      </c>
      <c r="AB1621" s="1" t="s">
        <v>45</v>
      </c>
      <c r="AC1621" s="1">
        <v>4.82191857E8</v>
      </c>
      <c r="AF1621" s="1">
        <v>206683.0</v>
      </c>
      <c r="AG1621" s="2">
        <v>41704.0</v>
      </c>
      <c r="AH1621" s="1">
        <v>9100.0</v>
      </c>
      <c r="AI1621" s="1" t="s">
        <v>194</v>
      </c>
      <c r="AJ1621" s="1" t="s">
        <v>3104</v>
      </c>
      <c r="AK1621" s="1" t="s">
        <v>1170</v>
      </c>
      <c r="AL1621" s="1">
        <v>1.0</v>
      </c>
      <c r="AM1621" s="1">
        <v>2015.0</v>
      </c>
      <c r="AN1621" s="1">
        <v>2014.0</v>
      </c>
      <c r="AO1621" s="1" t="s">
        <v>1171</v>
      </c>
    </row>
    <row r="1622">
      <c r="A1622" s="5">
        <v>1.0</v>
      </c>
      <c r="B1622" s="1">
        <f t="shared" si="1"/>
        <v>1622</v>
      </c>
      <c r="C1622" s="1" t="s">
        <v>3048</v>
      </c>
      <c r="D1622" s="1" t="s">
        <v>3048</v>
      </c>
      <c r="E1622" s="1" t="s">
        <v>645</v>
      </c>
      <c r="G1622" s="1">
        <v>4.58254144E8</v>
      </c>
      <c r="H1622" s="2">
        <v>41557.0</v>
      </c>
      <c r="I1622" s="1" t="s">
        <v>710</v>
      </c>
      <c r="K1622" s="1" t="s">
        <v>710</v>
      </c>
      <c r="N1622" s="1" t="s">
        <v>647</v>
      </c>
      <c r="O1622" s="1">
        <v>1200.0</v>
      </c>
      <c r="P1622" s="1" t="s">
        <v>647</v>
      </c>
      <c r="Q1622" s="1" t="str">
        <f>IF(ISERROR(VLOOKUP(P1622,'unique fed agency names'!A:C,3,FALSE)),P1622,VLOOKUP(P1622,'unique fed agency names'!A:C,3,FALSE))
</f>
        <v>U.S. Department of Agriculture (USDA)</v>
      </c>
      <c r="R1622" s="1">
        <v>1.17726252E8</v>
      </c>
      <c r="S1622" s="1" t="s">
        <v>512</v>
      </c>
      <c r="T1622" s="1" t="str">
        <f>IF(ISERROR(VLOOKUP(S1622,'unique org names'!A:C,3,FALSE)),S1622,VLOOKUP(S1622,'unique org names'!A:C,3,FALSE))
</f>
        <v>OLD REDFORD ACADEMY</v>
      </c>
      <c r="V1622" s="1" t="s">
        <v>513</v>
      </c>
      <c r="W1622" s="1" t="s">
        <v>44</v>
      </c>
      <c r="X1622" s="1" t="s">
        <v>45</v>
      </c>
      <c r="Y1622" s="1">
        <v>4.82193259E8</v>
      </c>
      <c r="AA1622" s="1" t="s">
        <v>44</v>
      </c>
      <c r="AB1622" s="1" t="s">
        <v>45</v>
      </c>
      <c r="AC1622" s="1">
        <v>4.82193259E8</v>
      </c>
      <c r="AF1622" s="1">
        <v>811816.86</v>
      </c>
      <c r="AG1622" s="2">
        <v>41557.0</v>
      </c>
      <c r="AH1622" s="1">
        <v>1200.0</v>
      </c>
      <c r="AI1622" s="1" t="s">
        <v>647</v>
      </c>
      <c r="AJ1622" s="1" t="s">
        <v>3105</v>
      </c>
      <c r="AK1622" s="1" t="s">
        <v>712</v>
      </c>
      <c r="AL1622" s="1">
        <v>1.0</v>
      </c>
      <c r="AM1622" s="1">
        <v>2015.0</v>
      </c>
      <c r="AN1622" s="1">
        <v>2014.0</v>
      </c>
      <c r="AO1622" s="1" t="s">
        <v>713</v>
      </c>
    </row>
    <row r="1623">
      <c r="A1623" s="5">
        <v>1.0</v>
      </c>
      <c r="B1623" s="1">
        <f t="shared" si="1"/>
        <v>1623</v>
      </c>
      <c r="C1623" s="1" t="s">
        <v>3048</v>
      </c>
      <c r="D1623" s="1" t="s">
        <v>3048</v>
      </c>
      <c r="E1623" s="1" t="s">
        <v>645</v>
      </c>
      <c r="G1623" s="1">
        <v>4.58254144E8</v>
      </c>
      <c r="H1623" s="2">
        <v>41557.0</v>
      </c>
      <c r="I1623" s="1" t="s">
        <v>710</v>
      </c>
      <c r="K1623" s="1" t="s">
        <v>710</v>
      </c>
      <c r="N1623" s="1" t="s">
        <v>647</v>
      </c>
      <c r="O1623" s="1">
        <v>1200.0</v>
      </c>
      <c r="P1623" s="1" t="s">
        <v>647</v>
      </c>
      <c r="Q1623" s="1" t="str">
        <f>IF(ISERROR(VLOOKUP(P1623,'unique fed agency names'!A:C,3,FALSE)),P1623,VLOOKUP(P1623,'unique fed agency names'!A:C,3,FALSE))
</f>
        <v>U.S. Department of Agriculture (USDA)</v>
      </c>
      <c r="R1623" s="1">
        <v>1.68568132E8</v>
      </c>
      <c r="S1623" s="1" t="s">
        <v>588</v>
      </c>
      <c r="T1623" s="1" t="str">
        <f>IF(ISERROR(VLOOKUP(S1623,'unique org names'!A:C,3,FALSE)),S1623,VLOOKUP(S1623,'unique org names'!A:C,3,FALSE))
</f>
        <v>DETROIT ENTERPRISE ACADEMY</v>
      </c>
      <c r="V1623" s="1" t="s">
        <v>589</v>
      </c>
      <c r="W1623" s="1" t="s">
        <v>44</v>
      </c>
      <c r="X1623" s="1" t="s">
        <v>45</v>
      </c>
      <c r="Y1623" s="1">
        <v>4.82143323E8</v>
      </c>
      <c r="AA1623" s="1" t="s">
        <v>44</v>
      </c>
      <c r="AB1623" s="1" t="s">
        <v>45</v>
      </c>
      <c r="AC1623" s="1">
        <v>4.82143323E8</v>
      </c>
      <c r="AD1623" s="1">
        <v>9.60742484E8</v>
      </c>
      <c r="AF1623" s="1">
        <v>193358.95</v>
      </c>
      <c r="AG1623" s="2">
        <v>41557.0</v>
      </c>
      <c r="AH1623" s="1">
        <v>1200.0</v>
      </c>
      <c r="AI1623" s="1" t="s">
        <v>647</v>
      </c>
      <c r="AJ1623" s="1" t="s">
        <v>3106</v>
      </c>
      <c r="AK1623" s="1" t="s">
        <v>712</v>
      </c>
      <c r="AL1623" s="1">
        <v>1.0</v>
      </c>
      <c r="AM1623" s="1">
        <v>2015.0</v>
      </c>
      <c r="AN1623" s="1">
        <v>2014.0</v>
      </c>
      <c r="AO1623" s="1" t="s">
        <v>713</v>
      </c>
    </row>
    <row r="1624">
      <c r="A1624" s="5">
        <v>1.0</v>
      </c>
      <c r="B1624" s="1">
        <f t="shared" si="1"/>
        <v>1624</v>
      </c>
      <c r="C1624" s="1" t="s">
        <v>3048</v>
      </c>
      <c r="D1624" s="1" t="s">
        <v>3048</v>
      </c>
      <c r="E1624" s="1" t="s">
        <v>645</v>
      </c>
      <c r="G1624" s="1">
        <v>4.58254144E8</v>
      </c>
      <c r="H1624" s="2">
        <v>41550.0</v>
      </c>
      <c r="I1624" s="1" t="s">
        <v>710</v>
      </c>
      <c r="K1624" s="1" t="s">
        <v>710</v>
      </c>
      <c r="N1624" s="1" t="s">
        <v>647</v>
      </c>
      <c r="O1624" s="1">
        <v>1200.0</v>
      </c>
      <c r="P1624" s="1" t="s">
        <v>647</v>
      </c>
      <c r="Q1624" s="1" t="str">
        <f>IF(ISERROR(VLOOKUP(P1624,'unique fed agency names'!A:C,3,FALSE)),P1624,VLOOKUP(P1624,'unique fed agency names'!A:C,3,FALSE))
</f>
        <v>U.S. Department of Agriculture (USDA)</v>
      </c>
      <c r="R1624" s="1">
        <v>6.02722873E8</v>
      </c>
      <c r="S1624" s="1" t="s">
        <v>839</v>
      </c>
      <c r="T1624" s="1" t="str">
        <f>IF(ISERROR(VLOOKUP(S1624,'unique org names'!A:C,3,FALSE)),S1624,VLOOKUP(S1624,'unique org names'!A:C,3,FALSE))
</f>
        <v>Kingdom Kids Montessori</v>
      </c>
      <c r="V1624" s="1" t="s">
        <v>840</v>
      </c>
      <c r="W1624" s="1" t="s">
        <v>44</v>
      </c>
      <c r="X1624" s="1" t="s">
        <v>45</v>
      </c>
      <c r="Y1624" s="1">
        <v>4.82381157E8</v>
      </c>
      <c r="AA1624" s="1" t="s">
        <v>44</v>
      </c>
      <c r="AB1624" s="1" t="s">
        <v>45</v>
      </c>
      <c r="AC1624" s="1">
        <v>4.82381157E8</v>
      </c>
      <c r="AF1624" s="1">
        <v>43631.48</v>
      </c>
      <c r="AG1624" s="2">
        <v>41550.0</v>
      </c>
      <c r="AH1624" s="1">
        <v>1200.0</v>
      </c>
      <c r="AI1624" s="1" t="s">
        <v>647</v>
      </c>
      <c r="AJ1624" s="1" t="s">
        <v>3107</v>
      </c>
      <c r="AK1624" s="1" t="s">
        <v>712</v>
      </c>
      <c r="AL1624" s="1">
        <v>1.0</v>
      </c>
      <c r="AM1624" s="1">
        <v>2015.0</v>
      </c>
      <c r="AN1624" s="1">
        <v>2014.0</v>
      </c>
      <c r="AO1624" s="1" t="s">
        <v>713</v>
      </c>
    </row>
    <row r="1625">
      <c r="A1625" s="5">
        <v>1.0</v>
      </c>
      <c r="B1625" s="1">
        <f t="shared" si="1"/>
        <v>1625</v>
      </c>
      <c r="C1625" s="1" t="s">
        <v>3048</v>
      </c>
      <c r="D1625" s="1" t="s">
        <v>3048</v>
      </c>
      <c r="E1625" s="1" t="s">
        <v>645</v>
      </c>
      <c r="G1625" s="1">
        <v>4.58254144E8</v>
      </c>
      <c r="H1625" s="2">
        <v>41613.0</v>
      </c>
      <c r="I1625" s="1" t="s">
        <v>710</v>
      </c>
      <c r="K1625" s="1" t="s">
        <v>710</v>
      </c>
      <c r="N1625" s="1" t="s">
        <v>647</v>
      </c>
      <c r="O1625" s="1">
        <v>1200.0</v>
      </c>
      <c r="P1625" s="1" t="s">
        <v>647</v>
      </c>
      <c r="Q1625" s="1" t="str">
        <f>IF(ISERROR(VLOOKUP(P1625,'unique fed agency names'!A:C,3,FALSE)),P1625,VLOOKUP(P1625,'unique fed agency names'!A:C,3,FALSE))
</f>
        <v>U.S. Department of Agriculture (USDA)</v>
      </c>
      <c r="R1625" s="1">
        <v>5.667795E7</v>
      </c>
      <c r="S1625" s="1" t="s">
        <v>3108</v>
      </c>
      <c r="T1625" s="1" t="str">
        <f>IF(ISERROR(VLOOKUP(S1625,'unique org names'!A:C,3,FALSE)),S1625,VLOOKUP(S1625,'unique org names'!A:C,3,FALSE))
</f>
        <v>Village Of Shiny Stars</v>
      </c>
      <c r="V1625" s="1" t="s">
        <v>3109</v>
      </c>
      <c r="W1625" s="1" t="s">
        <v>44</v>
      </c>
      <c r="X1625" s="1" t="s">
        <v>45</v>
      </c>
      <c r="Y1625" s="1">
        <v>4.82061134E8</v>
      </c>
      <c r="AA1625" s="1" t="s">
        <v>44</v>
      </c>
      <c r="AB1625" s="1" t="s">
        <v>45</v>
      </c>
      <c r="AC1625" s="1">
        <v>4.82231612E8</v>
      </c>
      <c r="AF1625" s="1">
        <v>31213.66</v>
      </c>
      <c r="AG1625" s="2">
        <v>41613.0</v>
      </c>
      <c r="AH1625" s="1">
        <v>1200.0</v>
      </c>
      <c r="AI1625" s="1" t="s">
        <v>647</v>
      </c>
      <c r="AJ1625" s="1" t="s">
        <v>3110</v>
      </c>
      <c r="AK1625" s="1" t="s">
        <v>712</v>
      </c>
      <c r="AL1625" s="1">
        <v>1.0</v>
      </c>
      <c r="AM1625" s="1">
        <v>2015.0</v>
      </c>
      <c r="AN1625" s="1">
        <v>2014.0</v>
      </c>
      <c r="AO1625" s="1" t="s">
        <v>713</v>
      </c>
    </row>
    <row r="1626">
      <c r="A1626" s="5">
        <v>1.0</v>
      </c>
      <c r="B1626" s="1">
        <f t="shared" si="1"/>
        <v>1626</v>
      </c>
      <c r="C1626" s="1" t="s">
        <v>3048</v>
      </c>
      <c r="D1626" s="1" t="s">
        <v>3048</v>
      </c>
      <c r="E1626" s="1" t="s">
        <v>645</v>
      </c>
      <c r="G1626" s="1">
        <v>4.58254144E8</v>
      </c>
      <c r="H1626" s="2">
        <v>41585.0</v>
      </c>
      <c r="I1626" s="1" t="s">
        <v>710</v>
      </c>
      <c r="K1626" s="1" t="s">
        <v>710</v>
      </c>
      <c r="N1626" s="1" t="s">
        <v>647</v>
      </c>
      <c r="O1626" s="1">
        <v>1200.0</v>
      </c>
      <c r="P1626" s="1" t="s">
        <v>647</v>
      </c>
      <c r="Q1626" s="1" t="str">
        <f>IF(ISERROR(VLOOKUP(P1626,'unique fed agency names'!A:C,3,FALSE)),P1626,VLOOKUP(P1626,'unique fed agency names'!A:C,3,FALSE))
</f>
        <v>U.S. Department of Agriculture (USDA)</v>
      </c>
      <c r="R1626" s="1">
        <v>3.9866801E7</v>
      </c>
      <c r="S1626" s="1" t="s">
        <v>612</v>
      </c>
      <c r="T1626" s="1" t="str">
        <f>IF(ISERROR(VLOOKUP(S1626,'unique org names'!A:C,3,FALSE)),S1626,VLOOKUP(S1626,'unique org names'!A:C,3,FALSE))
</f>
        <v>HAMTRAMCK PUBLIC SCHOOLS</v>
      </c>
      <c r="V1626" s="1" t="s">
        <v>613</v>
      </c>
      <c r="W1626" s="1" t="s">
        <v>44</v>
      </c>
      <c r="X1626" s="1" t="s">
        <v>45</v>
      </c>
      <c r="Y1626" s="1">
        <v>4.8212E8</v>
      </c>
      <c r="AA1626" s="1" t="s">
        <v>607</v>
      </c>
      <c r="AB1626" s="1" t="s">
        <v>45</v>
      </c>
      <c r="AC1626" s="1">
        <v>4.82120012E8</v>
      </c>
      <c r="AD1626" s="1">
        <v>3.9866801E7</v>
      </c>
      <c r="AE1626" s="1" t="s">
        <v>612</v>
      </c>
      <c r="AF1626" s="1">
        <v>711882.97</v>
      </c>
      <c r="AG1626" s="2">
        <v>41585.0</v>
      </c>
      <c r="AH1626" s="1">
        <v>1200.0</v>
      </c>
      <c r="AI1626" s="1" t="s">
        <v>647</v>
      </c>
      <c r="AJ1626" s="1" t="s">
        <v>3111</v>
      </c>
      <c r="AK1626" s="1" t="s">
        <v>712</v>
      </c>
      <c r="AL1626" s="1">
        <v>1.0</v>
      </c>
      <c r="AM1626" s="1">
        <v>2015.0</v>
      </c>
      <c r="AN1626" s="1">
        <v>2014.0</v>
      </c>
      <c r="AO1626" s="1" t="s">
        <v>713</v>
      </c>
    </row>
    <row r="1627">
      <c r="A1627" s="5">
        <v>1.0</v>
      </c>
      <c r="B1627" s="1">
        <f t="shared" si="1"/>
        <v>1627</v>
      </c>
      <c r="C1627" s="1" t="s">
        <v>3048</v>
      </c>
      <c r="D1627" s="1" t="s">
        <v>3048</v>
      </c>
      <c r="E1627" s="1" t="s">
        <v>645</v>
      </c>
      <c r="G1627" s="1">
        <v>4.58254144E8</v>
      </c>
      <c r="H1627" s="2">
        <v>41578.0</v>
      </c>
      <c r="I1627" s="1" t="s">
        <v>710</v>
      </c>
      <c r="K1627" s="1" t="s">
        <v>710</v>
      </c>
      <c r="N1627" s="1" t="s">
        <v>647</v>
      </c>
      <c r="O1627" s="1">
        <v>1200.0</v>
      </c>
      <c r="P1627" s="1" t="s">
        <v>647</v>
      </c>
      <c r="Q1627" s="1" t="str">
        <f>IF(ISERROR(VLOOKUP(P1627,'unique fed agency names'!A:C,3,FALSE)),P1627,VLOOKUP(P1627,'unique fed agency names'!A:C,3,FALSE))
</f>
        <v>U.S. Department of Agriculture (USDA)</v>
      </c>
      <c r="R1627" s="1">
        <v>7.97531295E8</v>
      </c>
      <c r="S1627" s="1" t="s">
        <v>582</v>
      </c>
      <c r="T1627" s="1" t="str">
        <f>IF(ISERROR(VLOOKUP(S1627,'unique org names'!A:C,3,FALSE)),S1627,VLOOKUP(S1627,'unique org names'!A:C,3,FALSE))
</f>
        <v>FRONTIER INTERNATIONAL ACADEMY, THE</v>
      </c>
      <c r="V1627" s="1" t="s">
        <v>583</v>
      </c>
      <c r="W1627" s="1" t="s">
        <v>44</v>
      </c>
      <c r="X1627" s="1" t="s">
        <v>45</v>
      </c>
      <c r="Y1627" s="1">
        <v>4.82123452E8</v>
      </c>
      <c r="AA1627" s="1" t="s">
        <v>44</v>
      </c>
      <c r="AB1627" s="1" t="s">
        <v>45</v>
      </c>
      <c r="AC1627" s="1">
        <v>4.82123452E8</v>
      </c>
      <c r="AF1627" s="1">
        <v>69506.77</v>
      </c>
      <c r="AG1627" s="2">
        <v>41578.0</v>
      </c>
      <c r="AH1627" s="1">
        <v>1200.0</v>
      </c>
      <c r="AI1627" s="1" t="s">
        <v>647</v>
      </c>
      <c r="AJ1627" s="1" t="s">
        <v>3112</v>
      </c>
      <c r="AK1627" s="1" t="s">
        <v>712</v>
      </c>
      <c r="AL1627" s="1">
        <v>1.0</v>
      </c>
      <c r="AM1627" s="1">
        <v>2015.0</v>
      </c>
      <c r="AN1627" s="1">
        <v>2014.0</v>
      </c>
      <c r="AO1627" s="1" t="s">
        <v>713</v>
      </c>
    </row>
    <row r="1628">
      <c r="A1628" s="5">
        <v>1.0</v>
      </c>
      <c r="B1628" s="1">
        <f t="shared" si="1"/>
        <v>1628</v>
      </c>
      <c r="C1628" s="1" t="s">
        <v>3048</v>
      </c>
      <c r="D1628" s="1" t="s">
        <v>3048</v>
      </c>
      <c r="E1628" s="1" t="s">
        <v>645</v>
      </c>
      <c r="G1628" s="1">
        <v>4.58254144E8</v>
      </c>
      <c r="H1628" s="2">
        <v>41578.0</v>
      </c>
      <c r="I1628" s="1" t="s">
        <v>710</v>
      </c>
      <c r="K1628" s="1" t="s">
        <v>710</v>
      </c>
      <c r="N1628" s="1" t="s">
        <v>647</v>
      </c>
      <c r="O1628" s="1">
        <v>1200.0</v>
      </c>
      <c r="P1628" s="1" t="s">
        <v>647</v>
      </c>
      <c r="Q1628" s="1" t="str">
        <f>IF(ISERROR(VLOOKUP(P1628,'unique fed agency names'!A:C,3,FALSE)),P1628,VLOOKUP(P1628,'unique fed agency names'!A:C,3,FALSE))
</f>
        <v>U.S. Department of Agriculture (USDA)</v>
      </c>
      <c r="R1628" s="1">
        <v>1.22483279E8</v>
      </c>
      <c r="S1628" s="1" t="s">
        <v>3113</v>
      </c>
      <c r="T1628" s="1" t="str">
        <f>IF(ISERROR(VLOOKUP(S1628,'unique org names'!A:C,3,FALSE)),S1628,VLOOKUP(S1628,'unique org names'!A:C,3,FALSE))
</f>
        <v>Joleka Kiddies Korner Child Care</v>
      </c>
      <c r="V1628" s="1" t="s">
        <v>3114</v>
      </c>
      <c r="W1628" s="1" t="s">
        <v>44</v>
      </c>
      <c r="X1628" s="1" t="s">
        <v>45</v>
      </c>
      <c r="Y1628" s="1">
        <v>4.82072529E8</v>
      </c>
      <c r="AA1628" s="1" t="s">
        <v>44</v>
      </c>
      <c r="AB1628" s="1" t="s">
        <v>45</v>
      </c>
      <c r="AC1628" s="1">
        <v>4.82072529E8</v>
      </c>
      <c r="AF1628" s="1">
        <v>27835.58</v>
      </c>
      <c r="AG1628" s="2">
        <v>41578.0</v>
      </c>
      <c r="AH1628" s="1">
        <v>1200.0</v>
      </c>
      <c r="AI1628" s="1" t="s">
        <v>647</v>
      </c>
      <c r="AJ1628" s="1" t="s">
        <v>3115</v>
      </c>
      <c r="AK1628" s="1" t="s">
        <v>712</v>
      </c>
      <c r="AL1628" s="1">
        <v>1.0</v>
      </c>
      <c r="AM1628" s="1">
        <v>2015.0</v>
      </c>
      <c r="AN1628" s="1">
        <v>2014.0</v>
      </c>
      <c r="AO1628" s="1" t="s">
        <v>713</v>
      </c>
    </row>
    <row r="1629">
      <c r="A1629" s="5">
        <v>1.0</v>
      </c>
      <c r="B1629" s="1">
        <f t="shared" si="1"/>
        <v>1629</v>
      </c>
      <c r="C1629" s="1" t="s">
        <v>3048</v>
      </c>
      <c r="D1629" s="1" t="s">
        <v>3048</v>
      </c>
      <c r="E1629" s="1" t="s">
        <v>645</v>
      </c>
      <c r="G1629" s="1">
        <v>4.58254144E8</v>
      </c>
      <c r="H1629" s="2">
        <v>41550.0</v>
      </c>
      <c r="I1629" s="1" t="s">
        <v>710</v>
      </c>
      <c r="K1629" s="1" t="s">
        <v>710</v>
      </c>
      <c r="N1629" s="1" t="s">
        <v>647</v>
      </c>
      <c r="O1629" s="1">
        <v>1200.0</v>
      </c>
      <c r="P1629" s="1" t="s">
        <v>647</v>
      </c>
      <c r="Q1629" s="1" t="str">
        <f>IF(ISERROR(VLOOKUP(P1629,'unique fed agency names'!A:C,3,FALSE)),P1629,VLOOKUP(P1629,'unique fed agency names'!A:C,3,FALSE))
</f>
        <v>U.S. Department of Agriculture (USDA)</v>
      </c>
      <c r="R1629" s="1">
        <v>9.48021373E8</v>
      </c>
      <c r="S1629" s="1" t="s">
        <v>501</v>
      </c>
      <c r="T1629" s="1" t="str">
        <f>IF(ISERROR(VLOOKUP(S1629,'unique org names'!A:C,3,FALSE)),S1629,VLOOKUP(S1629,'unique org names'!A:C,3,FALSE))
</f>
        <v>WOODWARD ACADEMY</v>
      </c>
      <c r="V1629" s="1" t="s">
        <v>502</v>
      </c>
      <c r="W1629" s="1" t="s">
        <v>44</v>
      </c>
      <c r="X1629" s="1" t="s">
        <v>45</v>
      </c>
      <c r="Y1629" s="1">
        <v>4.82072901E8</v>
      </c>
      <c r="AA1629" s="1" t="s">
        <v>44</v>
      </c>
      <c r="AB1629" s="1" t="s">
        <v>45</v>
      </c>
      <c r="AC1629" s="1">
        <v>4.82072901E8</v>
      </c>
      <c r="AF1629" s="1">
        <v>161502.76</v>
      </c>
      <c r="AG1629" s="2">
        <v>41550.0</v>
      </c>
      <c r="AH1629" s="1">
        <v>1200.0</v>
      </c>
      <c r="AI1629" s="1" t="s">
        <v>647</v>
      </c>
      <c r="AJ1629" s="1" t="s">
        <v>3116</v>
      </c>
      <c r="AK1629" s="1" t="s">
        <v>712</v>
      </c>
      <c r="AL1629" s="1">
        <v>1.0</v>
      </c>
      <c r="AM1629" s="1">
        <v>2015.0</v>
      </c>
      <c r="AN1629" s="1">
        <v>2014.0</v>
      </c>
      <c r="AO1629" s="1" t="s">
        <v>713</v>
      </c>
    </row>
    <row r="1630">
      <c r="A1630" s="5">
        <v>1.0</v>
      </c>
      <c r="B1630" s="1">
        <f t="shared" si="1"/>
        <v>1630</v>
      </c>
      <c r="C1630" s="1" t="s">
        <v>3048</v>
      </c>
      <c r="D1630" s="1" t="s">
        <v>3048</v>
      </c>
      <c r="E1630" s="1" t="s">
        <v>645</v>
      </c>
      <c r="G1630" s="1">
        <v>4.58254144E8</v>
      </c>
      <c r="H1630" s="2">
        <v>41543.0</v>
      </c>
      <c r="I1630" s="1" t="s">
        <v>710</v>
      </c>
      <c r="K1630" s="1" t="s">
        <v>710</v>
      </c>
      <c r="N1630" s="1" t="s">
        <v>647</v>
      </c>
      <c r="O1630" s="1">
        <v>1200.0</v>
      </c>
      <c r="P1630" s="1" t="s">
        <v>647</v>
      </c>
      <c r="Q1630" s="1" t="str">
        <f>IF(ISERROR(VLOOKUP(P1630,'unique fed agency names'!A:C,3,FALSE)),P1630,VLOOKUP(P1630,'unique fed agency names'!A:C,3,FALSE))
</f>
        <v>U.S. Department of Agriculture (USDA)</v>
      </c>
      <c r="R1630" s="1">
        <v>8.8751375E7</v>
      </c>
      <c r="S1630" s="1" t="s">
        <v>3117</v>
      </c>
      <c r="T1630" s="1" t="str">
        <f>IF(ISERROR(VLOOKUP(S1630,'unique org names'!A:C,3,FALSE)),S1630,VLOOKUP(S1630,'unique org names'!A:C,3,FALSE))
</f>
        <v>Boy Scouts of America - Great Lakes Council</v>
      </c>
      <c r="U1630" s="1" t="s">
        <v>3118</v>
      </c>
      <c r="V1630" s="1" t="s">
        <v>3119</v>
      </c>
      <c r="W1630" s="1" t="s">
        <v>44</v>
      </c>
      <c r="X1630" s="1" t="s">
        <v>45</v>
      </c>
      <c r="Y1630" s="1">
        <v>4.82082215E8</v>
      </c>
      <c r="AA1630" s="1" t="s">
        <v>44</v>
      </c>
      <c r="AB1630" s="1" t="s">
        <v>45</v>
      </c>
      <c r="AC1630" s="1">
        <v>4.82082215E8</v>
      </c>
      <c r="AD1630" s="1">
        <v>8.8751375E7</v>
      </c>
      <c r="AE1630" s="1" t="s">
        <v>3117</v>
      </c>
      <c r="AF1630" s="1">
        <v>25294.6</v>
      </c>
      <c r="AG1630" s="2">
        <v>41543.0</v>
      </c>
      <c r="AH1630" s="1">
        <v>1200.0</v>
      </c>
      <c r="AI1630" s="1" t="s">
        <v>647</v>
      </c>
      <c r="AJ1630" s="1" t="s">
        <v>3120</v>
      </c>
      <c r="AK1630" s="1" t="s">
        <v>712</v>
      </c>
      <c r="AL1630" s="1">
        <v>1.0</v>
      </c>
      <c r="AM1630" s="1">
        <v>2015.0</v>
      </c>
      <c r="AN1630" s="1">
        <v>2013.0</v>
      </c>
      <c r="AO1630" s="1" t="s">
        <v>713</v>
      </c>
    </row>
    <row r="1631">
      <c r="A1631" s="5">
        <v>1.0</v>
      </c>
      <c r="B1631" s="1">
        <f t="shared" si="1"/>
        <v>1631</v>
      </c>
      <c r="C1631" s="1" t="s">
        <v>3048</v>
      </c>
      <c r="D1631" s="1" t="s">
        <v>3048</v>
      </c>
      <c r="E1631" s="1" t="s">
        <v>645</v>
      </c>
      <c r="G1631" s="1">
        <v>4.58254144E8</v>
      </c>
      <c r="H1631" s="2">
        <v>41557.0</v>
      </c>
      <c r="I1631" s="1" t="s">
        <v>710</v>
      </c>
      <c r="K1631" s="1" t="s">
        <v>710</v>
      </c>
      <c r="N1631" s="1" t="s">
        <v>647</v>
      </c>
      <c r="O1631" s="1">
        <v>1200.0</v>
      </c>
      <c r="P1631" s="1" t="s">
        <v>647</v>
      </c>
      <c r="Q1631" s="1" t="str">
        <f>IF(ISERROR(VLOOKUP(P1631,'unique fed agency names'!A:C,3,FALSE)),P1631,VLOOKUP(P1631,'unique fed agency names'!A:C,3,FALSE))
</f>
        <v>U.S. Department of Agriculture (USDA)</v>
      </c>
      <c r="R1631" s="1">
        <v>1.6389763E8</v>
      </c>
      <c r="S1631" s="1" t="s">
        <v>843</v>
      </c>
      <c r="T1631" s="1" t="str">
        <f>IF(ISERROR(VLOOKUP(S1631,'unique org names'!A:C,3,FALSE)),S1631,VLOOKUP(S1631,'unique org names'!A:C,3,FALSE))
</f>
        <v>RENAISSANCE HEAD START</v>
      </c>
      <c r="U1631" s="1" t="s">
        <v>844</v>
      </c>
      <c r="V1631" s="1" t="s">
        <v>845</v>
      </c>
      <c r="W1631" s="1" t="s">
        <v>44</v>
      </c>
      <c r="X1631" s="1" t="s">
        <v>45</v>
      </c>
      <c r="Y1631" s="1">
        <v>4.82383647E8</v>
      </c>
      <c r="AA1631" s="1" t="s">
        <v>46</v>
      </c>
      <c r="AB1631" s="1" t="s">
        <v>45</v>
      </c>
      <c r="AC1631" s="1">
        <v>4.82383647E8</v>
      </c>
      <c r="AD1631" s="1">
        <v>1.6389763E8</v>
      </c>
      <c r="AE1631" s="1" t="s">
        <v>843</v>
      </c>
      <c r="AF1631" s="1">
        <v>149521.15</v>
      </c>
      <c r="AG1631" s="2">
        <v>41557.0</v>
      </c>
      <c r="AH1631" s="1">
        <v>1200.0</v>
      </c>
      <c r="AI1631" s="1" t="s">
        <v>647</v>
      </c>
      <c r="AJ1631" s="1" t="s">
        <v>3121</v>
      </c>
      <c r="AK1631" s="1" t="s">
        <v>712</v>
      </c>
      <c r="AL1631" s="1">
        <v>1.0</v>
      </c>
      <c r="AM1631" s="1">
        <v>2015.0</v>
      </c>
      <c r="AN1631" s="1">
        <v>2014.0</v>
      </c>
      <c r="AO1631" s="1" t="s">
        <v>713</v>
      </c>
    </row>
    <row r="1632">
      <c r="A1632" s="5">
        <v>1.0</v>
      </c>
      <c r="B1632" s="1">
        <f t="shared" si="1"/>
        <v>1632</v>
      </c>
      <c r="C1632" s="1" t="s">
        <v>3048</v>
      </c>
      <c r="D1632" s="1" t="s">
        <v>3048</v>
      </c>
      <c r="E1632" s="1" t="s">
        <v>645</v>
      </c>
      <c r="G1632" s="1">
        <v>4.58254144E8</v>
      </c>
      <c r="H1632" s="2">
        <v>41557.0</v>
      </c>
      <c r="I1632" s="1" t="s">
        <v>710</v>
      </c>
      <c r="K1632" s="1" t="s">
        <v>710</v>
      </c>
      <c r="N1632" s="1" t="s">
        <v>647</v>
      </c>
      <c r="O1632" s="1">
        <v>1200.0</v>
      </c>
      <c r="P1632" s="1" t="s">
        <v>647</v>
      </c>
      <c r="Q1632" s="1" t="str">
        <f>IF(ISERROR(VLOOKUP(P1632,'unique fed agency names'!A:C,3,FALSE)),P1632,VLOOKUP(P1632,'unique fed agency names'!A:C,3,FALSE))
</f>
        <v>U.S. Department of Agriculture (USDA)</v>
      </c>
      <c r="R1632" s="1">
        <v>9.65703361E8</v>
      </c>
      <c r="S1632" s="1" t="s">
        <v>3122</v>
      </c>
      <c r="T1632" s="1" t="str">
        <f>IF(ISERROR(VLOOKUP(S1632,'unique org names'!A:C,3,FALSE)),S1632,VLOOKUP(S1632,'unique org names'!A:C,3,FALSE))
</f>
        <v>Christ Liberty Ministry</v>
      </c>
      <c r="V1632" s="1" t="s">
        <v>3123</v>
      </c>
      <c r="W1632" s="1" t="s">
        <v>44</v>
      </c>
      <c r="X1632" s="1" t="s">
        <v>45</v>
      </c>
      <c r="Y1632" s="1">
        <v>4.82052444E8</v>
      </c>
      <c r="AA1632" s="1" t="s">
        <v>44</v>
      </c>
      <c r="AB1632" s="1" t="s">
        <v>45</v>
      </c>
      <c r="AC1632" s="1">
        <v>4.82052444E8</v>
      </c>
      <c r="AF1632" s="1">
        <v>31886.82</v>
      </c>
      <c r="AG1632" s="2">
        <v>41557.0</v>
      </c>
      <c r="AH1632" s="1">
        <v>1200.0</v>
      </c>
      <c r="AI1632" s="1" t="s">
        <v>647</v>
      </c>
      <c r="AJ1632" s="1" t="s">
        <v>3124</v>
      </c>
      <c r="AK1632" s="1" t="s">
        <v>712</v>
      </c>
      <c r="AL1632" s="1">
        <v>1.0</v>
      </c>
      <c r="AM1632" s="1">
        <v>2015.0</v>
      </c>
      <c r="AN1632" s="1">
        <v>2014.0</v>
      </c>
      <c r="AO1632" s="1" t="s">
        <v>713</v>
      </c>
    </row>
    <row r="1633">
      <c r="A1633" s="5">
        <v>1.0</v>
      </c>
      <c r="B1633" s="1">
        <f t="shared" si="1"/>
        <v>1633</v>
      </c>
      <c r="C1633" s="1" t="s">
        <v>3048</v>
      </c>
      <c r="D1633" s="1" t="s">
        <v>3048</v>
      </c>
      <c r="E1633" s="1" t="s">
        <v>645</v>
      </c>
      <c r="G1633" s="1">
        <v>4.58254144E8</v>
      </c>
      <c r="H1633" s="2">
        <v>41564.0</v>
      </c>
      <c r="I1633" s="1" t="s">
        <v>710</v>
      </c>
      <c r="K1633" s="1" t="s">
        <v>710</v>
      </c>
      <c r="N1633" s="1" t="s">
        <v>647</v>
      </c>
      <c r="O1633" s="1">
        <v>1200.0</v>
      </c>
      <c r="P1633" s="1" t="s">
        <v>647</v>
      </c>
      <c r="Q1633" s="1" t="str">
        <f>IF(ISERROR(VLOOKUP(P1633,'unique fed agency names'!A:C,3,FALSE)),P1633,VLOOKUP(P1633,'unique fed agency names'!A:C,3,FALSE))
</f>
        <v>U.S. Department of Agriculture (USDA)</v>
      </c>
      <c r="R1633" s="1">
        <v>1.36900474E8</v>
      </c>
      <c r="S1633" s="1" t="s">
        <v>930</v>
      </c>
      <c r="T1633" s="1" t="str">
        <f>IF(ISERROR(VLOOKUP(S1633,'unique org names'!A:C,3,FALSE)),S1633,VLOOKUP(S1633,'unique org names'!A:C,3,FALSE))
</f>
        <v>Busy Minds Child Care Center Inc.</v>
      </c>
      <c r="V1633" s="1" t="s">
        <v>931</v>
      </c>
      <c r="W1633" s="1" t="s">
        <v>44</v>
      </c>
      <c r="X1633" s="1" t="s">
        <v>45</v>
      </c>
      <c r="Y1633" s="1">
        <v>4.82281222E8</v>
      </c>
      <c r="AA1633" s="1" t="s">
        <v>44</v>
      </c>
      <c r="AB1633" s="1" t="s">
        <v>45</v>
      </c>
      <c r="AC1633" s="1">
        <v>4.82281222E8</v>
      </c>
      <c r="AF1633" s="1">
        <v>28957.85</v>
      </c>
      <c r="AG1633" s="2">
        <v>41564.0</v>
      </c>
      <c r="AH1633" s="1">
        <v>1200.0</v>
      </c>
      <c r="AI1633" s="1" t="s">
        <v>647</v>
      </c>
      <c r="AJ1633" s="1" t="s">
        <v>3125</v>
      </c>
      <c r="AK1633" s="1" t="s">
        <v>712</v>
      </c>
      <c r="AL1633" s="1">
        <v>1.0</v>
      </c>
      <c r="AM1633" s="1">
        <v>2015.0</v>
      </c>
      <c r="AN1633" s="1">
        <v>2014.0</v>
      </c>
      <c r="AO1633" s="1" t="s">
        <v>713</v>
      </c>
    </row>
    <row r="1634">
      <c r="A1634" s="5">
        <v>1.0</v>
      </c>
      <c r="B1634" s="1">
        <f t="shared" si="1"/>
        <v>1634</v>
      </c>
      <c r="C1634" s="1" t="s">
        <v>3048</v>
      </c>
      <c r="D1634" s="1" t="s">
        <v>3048</v>
      </c>
      <c r="E1634" s="1" t="s">
        <v>645</v>
      </c>
      <c r="G1634" s="1">
        <v>4.58254144E8</v>
      </c>
      <c r="H1634" s="2">
        <v>41557.0</v>
      </c>
      <c r="I1634" s="1" t="s">
        <v>710</v>
      </c>
      <c r="K1634" s="1" t="s">
        <v>710</v>
      </c>
      <c r="N1634" s="1" t="s">
        <v>647</v>
      </c>
      <c r="O1634" s="1">
        <v>1200.0</v>
      </c>
      <c r="P1634" s="1" t="s">
        <v>647</v>
      </c>
      <c r="Q1634" s="1" t="str">
        <f>IF(ISERROR(VLOOKUP(P1634,'unique fed agency names'!A:C,3,FALSE)),P1634,VLOOKUP(P1634,'unique fed agency names'!A:C,3,FALSE))
</f>
        <v>U.S. Department of Agriculture (USDA)</v>
      </c>
      <c r="R1634" s="1">
        <v>5.56265135E8</v>
      </c>
      <c r="S1634" s="1" t="s">
        <v>954</v>
      </c>
      <c r="T1634" s="1" t="str">
        <f>IF(ISERROR(VLOOKUP(S1634,'unique org names'!A:C,3,FALSE)),S1634,VLOOKUP(S1634,'unique org names'!A:C,3,FALSE))
</f>
        <v>Christios Child Care &amp; Academy</v>
      </c>
      <c r="V1634" s="1" t="s">
        <v>955</v>
      </c>
      <c r="W1634" s="1" t="s">
        <v>44</v>
      </c>
      <c r="X1634" s="1" t="s">
        <v>45</v>
      </c>
      <c r="Y1634" s="1">
        <v>4.82192756E8</v>
      </c>
      <c r="AA1634" s="1" t="s">
        <v>44</v>
      </c>
      <c r="AB1634" s="1" t="s">
        <v>45</v>
      </c>
      <c r="AC1634" s="1">
        <v>4.82192756E8</v>
      </c>
      <c r="AF1634" s="1">
        <v>52415.97</v>
      </c>
      <c r="AG1634" s="2">
        <v>41557.0</v>
      </c>
      <c r="AH1634" s="1">
        <v>1200.0</v>
      </c>
      <c r="AI1634" s="1" t="s">
        <v>647</v>
      </c>
      <c r="AJ1634" s="1" t="s">
        <v>3126</v>
      </c>
      <c r="AK1634" s="1" t="s">
        <v>712</v>
      </c>
      <c r="AL1634" s="1">
        <v>1.0</v>
      </c>
      <c r="AM1634" s="1">
        <v>2015.0</v>
      </c>
      <c r="AN1634" s="1">
        <v>2014.0</v>
      </c>
      <c r="AO1634" s="1" t="s">
        <v>713</v>
      </c>
    </row>
    <row r="1635">
      <c r="A1635" s="5">
        <v>1.0</v>
      </c>
      <c r="B1635" s="1">
        <f t="shared" si="1"/>
        <v>1635</v>
      </c>
      <c r="C1635" s="1" t="s">
        <v>3048</v>
      </c>
      <c r="D1635" s="1" t="s">
        <v>3048</v>
      </c>
      <c r="E1635" s="1" t="s">
        <v>645</v>
      </c>
      <c r="G1635" s="1">
        <v>4.58254144E8</v>
      </c>
      <c r="H1635" s="2">
        <v>41564.0</v>
      </c>
      <c r="I1635" s="1" t="s">
        <v>710</v>
      </c>
      <c r="K1635" s="1" t="s">
        <v>710</v>
      </c>
      <c r="N1635" s="1" t="s">
        <v>647</v>
      </c>
      <c r="O1635" s="1">
        <v>1200.0</v>
      </c>
      <c r="P1635" s="1" t="s">
        <v>647</v>
      </c>
      <c r="Q1635" s="1" t="str">
        <f>IF(ISERROR(VLOOKUP(P1635,'unique fed agency names'!A:C,3,FALSE)),P1635,VLOOKUP(P1635,'unique fed agency names'!A:C,3,FALSE))
</f>
        <v>U.S. Department of Agriculture (USDA)</v>
      </c>
      <c r="R1635" s="1">
        <v>8.29630537E8</v>
      </c>
      <c r="S1635" s="1" t="s">
        <v>531</v>
      </c>
      <c r="T1635" s="1" t="str">
        <f>IF(ISERROR(VLOOKUP(S1635,'unique org names'!A:C,3,FALSE)),S1635,VLOOKUP(S1635,'unique org names'!A:C,3,FALSE))
</f>
        <v>DETROIT SERVICE LEARNING ACADEMY</v>
      </c>
      <c r="U1635" s="1" t="s">
        <v>532</v>
      </c>
      <c r="V1635" s="1" t="s">
        <v>533</v>
      </c>
      <c r="W1635" s="1" t="s">
        <v>44</v>
      </c>
      <c r="X1635" s="1" t="s">
        <v>45</v>
      </c>
      <c r="Y1635" s="1">
        <v>4.8219181E8</v>
      </c>
      <c r="AA1635" s="1" t="s">
        <v>44</v>
      </c>
      <c r="AB1635" s="1" t="s">
        <v>45</v>
      </c>
      <c r="AC1635" s="1">
        <v>4.8219181E8</v>
      </c>
      <c r="AF1635" s="1">
        <v>255618.36</v>
      </c>
      <c r="AG1635" s="2">
        <v>41564.0</v>
      </c>
      <c r="AH1635" s="1">
        <v>1200.0</v>
      </c>
      <c r="AI1635" s="1" t="s">
        <v>647</v>
      </c>
      <c r="AJ1635" s="1" t="s">
        <v>3127</v>
      </c>
      <c r="AK1635" s="1" t="s">
        <v>712</v>
      </c>
      <c r="AL1635" s="1">
        <v>1.0</v>
      </c>
      <c r="AM1635" s="1">
        <v>2015.0</v>
      </c>
      <c r="AN1635" s="1">
        <v>2014.0</v>
      </c>
      <c r="AO1635" s="1" t="s">
        <v>713</v>
      </c>
    </row>
    <row r="1636">
      <c r="A1636" s="5">
        <v>1.0</v>
      </c>
      <c r="B1636" s="1">
        <f t="shared" si="1"/>
        <v>1636</v>
      </c>
      <c r="C1636" s="1" t="s">
        <v>3048</v>
      </c>
      <c r="D1636" s="1" t="s">
        <v>3048</v>
      </c>
      <c r="E1636" s="1" t="s">
        <v>645</v>
      </c>
      <c r="G1636" s="1">
        <v>4.58254144E8</v>
      </c>
      <c r="H1636" s="2">
        <v>41683.0</v>
      </c>
      <c r="I1636" s="1" t="s">
        <v>710</v>
      </c>
      <c r="K1636" s="1" t="s">
        <v>710</v>
      </c>
      <c r="N1636" s="1" t="s">
        <v>647</v>
      </c>
      <c r="O1636" s="1">
        <v>1200.0</v>
      </c>
      <c r="P1636" s="1" t="s">
        <v>647</v>
      </c>
      <c r="Q1636" s="1" t="str">
        <f>IF(ISERROR(VLOOKUP(P1636,'unique fed agency names'!A:C,3,FALSE)),P1636,VLOOKUP(P1636,'unique fed agency names'!A:C,3,FALSE))
</f>
        <v>U.S. Department of Agriculture (USDA)</v>
      </c>
      <c r="R1636" s="1">
        <v>7.6340843E7</v>
      </c>
      <c r="S1636" s="1" t="s">
        <v>461</v>
      </c>
      <c r="T1636" s="1" t="str">
        <f>IF(ISERROR(VLOOKUP(S1636,'unique org names'!A:C,3,FALSE)),S1636,VLOOKUP(S1636,'unique org names'!A:C,3,FALSE))
</f>
        <v>BOARD OF EDUCATION OF THE CITY OF DETROIT</v>
      </c>
      <c r="V1636" s="1" t="s">
        <v>1599</v>
      </c>
      <c r="W1636" s="1" t="s">
        <v>44</v>
      </c>
      <c r="X1636" s="1" t="s">
        <v>45</v>
      </c>
      <c r="Y1636" s="1">
        <v>4.8202301E8</v>
      </c>
      <c r="AA1636" s="1" t="s">
        <v>44</v>
      </c>
      <c r="AB1636" s="1" t="s">
        <v>45</v>
      </c>
      <c r="AC1636" s="1">
        <v>4.82023096E8</v>
      </c>
      <c r="AD1636" s="1">
        <v>7.6340843E7</v>
      </c>
      <c r="AE1636" s="1" t="s">
        <v>461</v>
      </c>
      <c r="AF1636" s="1">
        <v>1312392.14</v>
      </c>
      <c r="AG1636" s="2">
        <v>41683.0</v>
      </c>
      <c r="AH1636" s="1">
        <v>1200.0</v>
      </c>
      <c r="AI1636" s="1" t="s">
        <v>647</v>
      </c>
      <c r="AJ1636" s="1" t="s">
        <v>3128</v>
      </c>
      <c r="AK1636" s="1" t="s">
        <v>712</v>
      </c>
      <c r="AL1636" s="1">
        <v>1.0</v>
      </c>
      <c r="AM1636" s="1">
        <v>2015.0</v>
      </c>
      <c r="AN1636" s="1">
        <v>2014.0</v>
      </c>
      <c r="AO1636" s="1" t="s">
        <v>713</v>
      </c>
    </row>
    <row r="1637">
      <c r="A1637" s="5">
        <v>1.0</v>
      </c>
      <c r="B1637" s="1">
        <f t="shared" si="1"/>
        <v>1637</v>
      </c>
      <c r="C1637" s="1" t="s">
        <v>3048</v>
      </c>
      <c r="D1637" s="1" t="s">
        <v>3048</v>
      </c>
      <c r="E1637" s="1" t="s">
        <v>645</v>
      </c>
      <c r="G1637" s="1">
        <v>4.58254144E8</v>
      </c>
      <c r="H1637" s="2">
        <v>41585.0</v>
      </c>
      <c r="I1637" s="1" t="s">
        <v>710</v>
      </c>
      <c r="K1637" s="1" t="s">
        <v>710</v>
      </c>
      <c r="N1637" s="1" t="s">
        <v>647</v>
      </c>
      <c r="O1637" s="1">
        <v>1200.0</v>
      </c>
      <c r="P1637" s="1" t="s">
        <v>647</v>
      </c>
      <c r="Q1637" s="1" t="str">
        <f>IF(ISERROR(VLOOKUP(P1637,'unique fed agency names'!A:C,3,FALSE)),P1637,VLOOKUP(P1637,'unique fed agency names'!A:C,3,FALSE))
</f>
        <v>U.S. Department of Agriculture (USDA)</v>
      </c>
      <c r="R1637" s="1">
        <v>8.76992343E8</v>
      </c>
      <c r="S1637" s="1" t="s">
        <v>550</v>
      </c>
      <c r="T1637" s="1" t="str">
        <f>IF(ISERROR(VLOOKUP(S1637,'unique org names'!A:C,3,FALSE)),S1637,VLOOKUP(S1637,'unique org names'!A:C,3,FALSE))
</f>
        <v>VOYAGEUR ACADEMY</v>
      </c>
      <c r="V1637" s="1" t="s">
        <v>551</v>
      </c>
      <c r="W1637" s="1" t="s">
        <v>44</v>
      </c>
      <c r="X1637" s="1" t="s">
        <v>45</v>
      </c>
      <c r="Y1637" s="1">
        <v>4.82102451E8</v>
      </c>
      <c r="AA1637" s="1" t="s">
        <v>44</v>
      </c>
      <c r="AB1637" s="1" t="s">
        <v>45</v>
      </c>
      <c r="AC1637" s="1">
        <v>4.82102451E8</v>
      </c>
      <c r="AF1637" s="1">
        <v>322254.92</v>
      </c>
      <c r="AG1637" s="2">
        <v>41585.0</v>
      </c>
      <c r="AH1637" s="1">
        <v>1200.0</v>
      </c>
      <c r="AI1637" s="1" t="s">
        <v>647</v>
      </c>
      <c r="AJ1637" s="1" t="s">
        <v>3129</v>
      </c>
      <c r="AK1637" s="1" t="s">
        <v>712</v>
      </c>
      <c r="AL1637" s="1">
        <v>1.0</v>
      </c>
      <c r="AM1637" s="1">
        <v>2015.0</v>
      </c>
      <c r="AN1637" s="1">
        <v>2014.0</v>
      </c>
      <c r="AO1637" s="1" t="s">
        <v>713</v>
      </c>
    </row>
    <row r="1638">
      <c r="A1638" s="5">
        <v>1.0</v>
      </c>
      <c r="B1638" s="1">
        <f t="shared" si="1"/>
        <v>1638</v>
      </c>
      <c r="C1638" s="1" t="s">
        <v>3048</v>
      </c>
      <c r="D1638" s="1" t="s">
        <v>3048</v>
      </c>
      <c r="E1638" s="1" t="s">
        <v>645</v>
      </c>
      <c r="G1638" s="1">
        <v>4.58254144E8</v>
      </c>
      <c r="H1638" s="2">
        <v>41564.0</v>
      </c>
      <c r="I1638" s="1" t="s">
        <v>710</v>
      </c>
      <c r="K1638" s="1" t="s">
        <v>710</v>
      </c>
      <c r="N1638" s="1" t="s">
        <v>647</v>
      </c>
      <c r="O1638" s="1">
        <v>1200.0</v>
      </c>
      <c r="P1638" s="1" t="s">
        <v>647</v>
      </c>
      <c r="Q1638" s="1" t="str">
        <f>IF(ISERROR(VLOOKUP(P1638,'unique fed agency names'!A:C,3,FALSE)),P1638,VLOOKUP(P1638,'unique fed agency names'!A:C,3,FALSE))
</f>
        <v>U.S. Department of Agriculture (USDA)</v>
      </c>
      <c r="R1638" s="1">
        <v>1.52892667E8</v>
      </c>
      <c r="S1638" s="1" t="s">
        <v>638</v>
      </c>
      <c r="T1638" s="1" t="str">
        <f>IF(ISERROR(VLOOKUP(S1638,'unique org names'!A:C,3,FALSE)),S1638,VLOOKUP(S1638,'unique org names'!A:C,3,FALSE))
</f>
        <v>DOVE ACADEMY OF DETROIT</v>
      </c>
      <c r="V1638" s="1" t="s">
        <v>639</v>
      </c>
      <c r="W1638" s="1" t="s">
        <v>44</v>
      </c>
      <c r="X1638" s="1" t="s">
        <v>45</v>
      </c>
      <c r="Y1638" s="1">
        <v>4.82343358E8</v>
      </c>
      <c r="AA1638" s="1" t="s">
        <v>46</v>
      </c>
      <c r="AB1638" s="1" t="s">
        <v>45</v>
      </c>
      <c r="AC1638" s="1">
        <v>4.82343358E8</v>
      </c>
      <c r="AF1638" s="1">
        <v>28713.52</v>
      </c>
      <c r="AG1638" s="2">
        <v>41564.0</v>
      </c>
      <c r="AH1638" s="1">
        <v>1200.0</v>
      </c>
      <c r="AI1638" s="1" t="s">
        <v>647</v>
      </c>
      <c r="AJ1638" s="1" t="s">
        <v>3130</v>
      </c>
      <c r="AK1638" s="1" t="s">
        <v>712</v>
      </c>
      <c r="AL1638" s="1">
        <v>1.0</v>
      </c>
      <c r="AM1638" s="1">
        <v>2015.0</v>
      </c>
      <c r="AN1638" s="1">
        <v>2014.0</v>
      </c>
      <c r="AO1638" s="1" t="s">
        <v>713</v>
      </c>
    </row>
    <row r="1639">
      <c r="A1639" s="5">
        <v>1.0</v>
      </c>
      <c r="B1639" s="1">
        <f t="shared" si="1"/>
        <v>1639</v>
      </c>
      <c r="C1639" s="1" t="s">
        <v>3048</v>
      </c>
      <c r="D1639" s="1" t="s">
        <v>3048</v>
      </c>
      <c r="E1639" s="1" t="s">
        <v>645</v>
      </c>
      <c r="G1639" s="1">
        <v>4.58254144E8</v>
      </c>
      <c r="H1639" s="2">
        <v>41466.0</v>
      </c>
      <c r="I1639" s="1" t="s">
        <v>710</v>
      </c>
      <c r="K1639" s="1" t="s">
        <v>710</v>
      </c>
      <c r="N1639" s="1" t="s">
        <v>647</v>
      </c>
      <c r="O1639" s="1">
        <v>1200.0</v>
      </c>
      <c r="P1639" s="1" t="s">
        <v>647</v>
      </c>
      <c r="Q1639" s="1" t="str">
        <f>IF(ISERROR(VLOOKUP(P1639,'unique fed agency names'!A:C,3,FALSE)),P1639,VLOOKUP(P1639,'unique fed agency names'!A:C,3,FALSE))
</f>
        <v>U.S. Department of Agriculture (USDA)</v>
      </c>
      <c r="R1639" s="1">
        <v>8.7299367E8</v>
      </c>
      <c r="S1639" s="1" t="s">
        <v>888</v>
      </c>
      <c r="T1639" s="1" t="str">
        <f>IF(ISERROR(VLOOKUP(S1639,'unique org names'!A:C,3,FALSE)),S1639,VLOOKUP(S1639,'unique org names'!A:C,3,FALSE))
</f>
        <v>NSOROMA INSTITUTE</v>
      </c>
      <c r="V1639" s="1" t="s">
        <v>889</v>
      </c>
      <c r="W1639" s="1" t="s">
        <v>44</v>
      </c>
      <c r="X1639" s="1" t="s">
        <v>45</v>
      </c>
      <c r="Y1639" s="1">
        <v>4.82051136E8</v>
      </c>
      <c r="AA1639" s="1" t="s">
        <v>44</v>
      </c>
      <c r="AB1639" s="1" t="s">
        <v>45</v>
      </c>
      <c r="AC1639" s="1">
        <v>4.82051136E8</v>
      </c>
      <c r="AF1639" s="1">
        <v>64924.24</v>
      </c>
      <c r="AG1639" s="2">
        <v>41466.0</v>
      </c>
      <c r="AH1639" s="1">
        <v>1200.0</v>
      </c>
      <c r="AI1639" s="1" t="s">
        <v>647</v>
      </c>
      <c r="AJ1639" s="1" t="s">
        <v>3131</v>
      </c>
      <c r="AK1639" s="1" t="s">
        <v>712</v>
      </c>
      <c r="AL1639" s="1">
        <v>1.0</v>
      </c>
      <c r="AM1639" s="1">
        <v>2015.0</v>
      </c>
      <c r="AN1639" s="1">
        <v>2013.0</v>
      </c>
      <c r="AO1639" s="1" t="s">
        <v>713</v>
      </c>
    </row>
    <row r="1640">
      <c r="A1640" s="5">
        <v>1.0</v>
      </c>
      <c r="B1640" s="1">
        <f t="shared" si="1"/>
        <v>1640</v>
      </c>
      <c r="C1640" s="1" t="s">
        <v>3048</v>
      </c>
      <c r="D1640" s="1" t="s">
        <v>3048</v>
      </c>
      <c r="E1640" s="1" t="s">
        <v>645</v>
      </c>
      <c r="G1640" s="1">
        <v>4.58254144E8</v>
      </c>
      <c r="H1640" s="2">
        <v>41557.0</v>
      </c>
      <c r="I1640" s="1" t="s">
        <v>710</v>
      </c>
      <c r="K1640" s="1" t="s">
        <v>710</v>
      </c>
      <c r="N1640" s="1" t="s">
        <v>647</v>
      </c>
      <c r="O1640" s="1">
        <v>1200.0</v>
      </c>
      <c r="P1640" s="1" t="s">
        <v>647</v>
      </c>
      <c r="Q1640" s="1" t="str">
        <f>IF(ISERROR(VLOOKUP(P1640,'unique fed agency names'!A:C,3,FALSE)),P1640,VLOOKUP(P1640,'unique fed agency names'!A:C,3,FALSE))
</f>
        <v>U.S. Department of Agriculture (USDA)</v>
      </c>
      <c r="R1640" s="1">
        <v>1.96632496E8</v>
      </c>
      <c r="S1640" s="1" t="s">
        <v>715</v>
      </c>
      <c r="T1640" s="1" t="str">
        <f>IF(ISERROR(VLOOKUP(S1640,'unique org names'!A:C,3,FALSE)),S1640,VLOOKUP(S1640,'unique org names'!A:C,3,FALSE))
</f>
        <v>CASA RICHARD ACADEMY</v>
      </c>
      <c r="V1640" s="1" t="s">
        <v>716</v>
      </c>
      <c r="W1640" s="1" t="s">
        <v>44</v>
      </c>
      <c r="X1640" s="1" t="s">
        <v>45</v>
      </c>
      <c r="Y1640" s="1">
        <v>4.82162058E8</v>
      </c>
      <c r="AA1640" s="1" t="s">
        <v>44</v>
      </c>
      <c r="AB1640" s="1" t="s">
        <v>45</v>
      </c>
      <c r="AC1640" s="1">
        <v>4.82162058E8</v>
      </c>
      <c r="AF1640" s="1">
        <v>26124.41</v>
      </c>
      <c r="AG1640" s="2">
        <v>41557.0</v>
      </c>
      <c r="AH1640" s="1">
        <v>1200.0</v>
      </c>
      <c r="AI1640" s="1" t="s">
        <v>647</v>
      </c>
      <c r="AJ1640" s="1" t="s">
        <v>3132</v>
      </c>
      <c r="AK1640" s="1" t="s">
        <v>712</v>
      </c>
      <c r="AL1640" s="1">
        <v>1.0</v>
      </c>
      <c r="AM1640" s="1">
        <v>2015.0</v>
      </c>
      <c r="AN1640" s="1">
        <v>2014.0</v>
      </c>
      <c r="AO1640" s="1" t="s">
        <v>713</v>
      </c>
    </row>
    <row r="1641">
      <c r="A1641" s="5">
        <v>1.0</v>
      </c>
      <c r="B1641" s="1">
        <f t="shared" si="1"/>
        <v>1641</v>
      </c>
      <c r="C1641" s="1" t="s">
        <v>3048</v>
      </c>
      <c r="D1641" s="1" t="s">
        <v>3048</v>
      </c>
      <c r="E1641" s="1" t="s">
        <v>645</v>
      </c>
      <c r="G1641" s="1">
        <v>4.58254144E8</v>
      </c>
      <c r="H1641" s="2">
        <v>41557.0</v>
      </c>
      <c r="I1641" s="1" t="s">
        <v>710</v>
      </c>
      <c r="K1641" s="1" t="s">
        <v>710</v>
      </c>
      <c r="N1641" s="1" t="s">
        <v>647</v>
      </c>
      <c r="O1641" s="1">
        <v>1200.0</v>
      </c>
      <c r="P1641" s="1" t="s">
        <v>647</v>
      </c>
      <c r="Q1641" s="1" t="str">
        <f>IF(ISERROR(VLOOKUP(P1641,'unique fed agency names'!A:C,3,FALSE)),P1641,VLOOKUP(P1641,'unique fed agency names'!A:C,3,FALSE))
</f>
        <v>U.S. Department of Agriculture (USDA)</v>
      </c>
      <c r="R1641" s="1">
        <v>7.97527715E8</v>
      </c>
      <c r="S1641" s="1" t="s">
        <v>567</v>
      </c>
      <c r="T1641" s="1" t="str">
        <f>IF(ISERROR(VLOOKUP(S1641,'unique org names'!A:C,3,FALSE)),S1641,VLOOKUP(S1641,'unique org names'!A:C,3,FALSE))
</f>
        <v>HAMTRAMCK ACADEMY</v>
      </c>
      <c r="V1641" s="1" t="s">
        <v>568</v>
      </c>
      <c r="W1641" s="1" t="s">
        <v>44</v>
      </c>
      <c r="X1641" s="1" t="s">
        <v>45</v>
      </c>
      <c r="Y1641" s="1">
        <v>4.82123134E8</v>
      </c>
      <c r="AA1641" s="1" t="s">
        <v>498</v>
      </c>
      <c r="AB1641" s="1" t="s">
        <v>45</v>
      </c>
      <c r="AC1641" s="1">
        <v>4.82123134E8</v>
      </c>
      <c r="AD1641" s="1">
        <v>9.60742484E8</v>
      </c>
      <c r="AF1641" s="1">
        <v>26712.99</v>
      </c>
      <c r="AG1641" s="2">
        <v>41557.0</v>
      </c>
      <c r="AH1641" s="1">
        <v>1200.0</v>
      </c>
      <c r="AI1641" s="1" t="s">
        <v>647</v>
      </c>
      <c r="AJ1641" s="1" t="s">
        <v>3133</v>
      </c>
      <c r="AK1641" s="1" t="s">
        <v>712</v>
      </c>
      <c r="AL1641" s="1">
        <v>1.0</v>
      </c>
      <c r="AM1641" s="1">
        <v>2015.0</v>
      </c>
      <c r="AN1641" s="1">
        <v>2014.0</v>
      </c>
      <c r="AO1641" s="1" t="s">
        <v>713</v>
      </c>
    </row>
    <row r="1642">
      <c r="A1642" s="5">
        <v>1.0</v>
      </c>
      <c r="B1642" s="1">
        <f t="shared" si="1"/>
        <v>1642</v>
      </c>
      <c r="C1642" s="1" t="s">
        <v>3048</v>
      </c>
      <c r="D1642" s="1" t="s">
        <v>3048</v>
      </c>
      <c r="E1642" s="1" t="s">
        <v>645</v>
      </c>
      <c r="G1642" s="1">
        <v>4.58254144E8</v>
      </c>
      <c r="H1642" s="2">
        <v>41550.0</v>
      </c>
      <c r="I1642" s="1" t="s">
        <v>710</v>
      </c>
      <c r="K1642" s="1" t="s">
        <v>710</v>
      </c>
      <c r="N1642" s="1" t="s">
        <v>647</v>
      </c>
      <c r="O1642" s="1">
        <v>1200.0</v>
      </c>
      <c r="P1642" s="1" t="s">
        <v>647</v>
      </c>
      <c r="Q1642" s="1" t="str">
        <f>IF(ISERROR(VLOOKUP(P1642,'unique fed agency names'!A:C,3,FALSE)),P1642,VLOOKUP(P1642,'unique fed agency names'!A:C,3,FALSE))
</f>
        <v>U.S. Department of Agriculture (USDA)</v>
      </c>
      <c r="R1642" s="1">
        <v>1.4934485E8</v>
      </c>
      <c r="S1642" s="1" t="s">
        <v>3134</v>
      </c>
      <c r="T1642" s="1" t="str">
        <f>IF(ISERROR(VLOOKUP(S1642,'unique org names'!A:C,3,FALSE)),S1642,VLOOKUP(S1642,'unique org names'!A:C,3,FALSE))
</f>
        <v>A PLACE OF OUR OWN</v>
      </c>
      <c r="V1642" s="1" t="s">
        <v>3135</v>
      </c>
      <c r="W1642" s="1" t="s">
        <v>44</v>
      </c>
      <c r="X1642" s="1" t="s">
        <v>45</v>
      </c>
      <c r="Y1642" s="1">
        <v>4.82282726E8</v>
      </c>
      <c r="AA1642" s="1" t="s">
        <v>44</v>
      </c>
      <c r="AB1642" s="1" t="s">
        <v>45</v>
      </c>
      <c r="AC1642" s="1">
        <v>4.82282726E8</v>
      </c>
      <c r="AF1642" s="1">
        <v>26143.58</v>
      </c>
      <c r="AG1642" s="2">
        <v>41550.0</v>
      </c>
      <c r="AH1642" s="1">
        <v>1200.0</v>
      </c>
      <c r="AI1642" s="1" t="s">
        <v>647</v>
      </c>
      <c r="AJ1642" s="1" t="s">
        <v>3136</v>
      </c>
      <c r="AK1642" s="1" t="s">
        <v>712</v>
      </c>
      <c r="AL1642" s="1">
        <v>1.0</v>
      </c>
      <c r="AM1642" s="1">
        <v>2015.0</v>
      </c>
      <c r="AN1642" s="1">
        <v>2014.0</v>
      </c>
      <c r="AO1642" s="1" t="s">
        <v>713</v>
      </c>
    </row>
    <row r="1643">
      <c r="A1643" s="5">
        <v>1.0</v>
      </c>
      <c r="B1643" s="1">
        <f t="shared" si="1"/>
        <v>1643</v>
      </c>
      <c r="C1643" s="1" t="s">
        <v>3048</v>
      </c>
      <c r="D1643" s="1" t="s">
        <v>3048</v>
      </c>
      <c r="E1643" s="1" t="s">
        <v>645</v>
      </c>
      <c r="G1643" s="1">
        <v>4.58254144E8</v>
      </c>
      <c r="H1643" s="2">
        <v>41550.0</v>
      </c>
      <c r="I1643" s="1" t="s">
        <v>710</v>
      </c>
      <c r="K1643" s="1" t="s">
        <v>710</v>
      </c>
      <c r="N1643" s="1" t="s">
        <v>647</v>
      </c>
      <c r="O1643" s="1">
        <v>1200.0</v>
      </c>
      <c r="P1643" s="1" t="s">
        <v>647</v>
      </c>
      <c r="Q1643" s="1" t="str">
        <f>IF(ISERROR(VLOOKUP(P1643,'unique fed agency names'!A:C,3,FALSE)),P1643,VLOOKUP(P1643,'unique fed agency names'!A:C,3,FALSE))
</f>
        <v>U.S. Department of Agriculture (USDA)</v>
      </c>
      <c r="R1643" s="1">
        <v>7.8498569E7</v>
      </c>
      <c r="S1643" s="1" t="s">
        <v>1184</v>
      </c>
      <c r="T1643" s="1" t="str">
        <f>IF(ISERROR(VLOOKUP(S1643,'unique org names'!A:C,3,FALSE)),S1643,VLOOKUP(S1643,'unique org names'!A:C,3,FALSE))
</f>
        <v>Academy Of International Studies</v>
      </c>
      <c r="V1643" s="1" t="s">
        <v>506</v>
      </c>
      <c r="W1643" s="1" t="s">
        <v>44</v>
      </c>
      <c r="X1643" s="1" t="s">
        <v>45</v>
      </c>
      <c r="Y1643" s="1">
        <v>4.82123572E8</v>
      </c>
      <c r="AA1643" s="1" t="s">
        <v>498</v>
      </c>
      <c r="AB1643" s="1" t="s">
        <v>45</v>
      </c>
      <c r="AC1643" s="1">
        <v>4.82123572E8</v>
      </c>
      <c r="AF1643" s="1">
        <v>36201.39</v>
      </c>
      <c r="AG1643" s="2">
        <v>41550.0</v>
      </c>
      <c r="AH1643" s="1">
        <v>1200.0</v>
      </c>
      <c r="AI1643" s="1" t="s">
        <v>647</v>
      </c>
      <c r="AJ1643" s="1" t="s">
        <v>3137</v>
      </c>
      <c r="AK1643" s="1" t="s">
        <v>712</v>
      </c>
      <c r="AL1643" s="1">
        <v>1.0</v>
      </c>
      <c r="AM1643" s="1">
        <v>2015.0</v>
      </c>
      <c r="AN1643" s="1">
        <v>2014.0</v>
      </c>
      <c r="AO1643" s="1" t="s">
        <v>713</v>
      </c>
    </row>
    <row r="1644">
      <c r="A1644" s="5">
        <v>1.0</v>
      </c>
      <c r="B1644" s="1">
        <f t="shared" si="1"/>
        <v>1644</v>
      </c>
      <c r="C1644" s="1" t="s">
        <v>3048</v>
      </c>
      <c r="D1644" s="1" t="s">
        <v>3048</v>
      </c>
      <c r="E1644" s="1" t="s">
        <v>645</v>
      </c>
      <c r="G1644" s="1">
        <v>4.58254144E8</v>
      </c>
      <c r="H1644" s="2">
        <v>41550.0</v>
      </c>
      <c r="I1644" s="1" t="s">
        <v>710</v>
      </c>
      <c r="K1644" s="1" t="s">
        <v>710</v>
      </c>
      <c r="N1644" s="1" t="s">
        <v>647</v>
      </c>
      <c r="O1644" s="1">
        <v>1200.0</v>
      </c>
      <c r="P1644" s="1" t="s">
        <v>647</v>
      </c>
      <c r="Q1644" s="1" t="str">
        <f>IF(ISERROR(VLOOKUP(P1644,'unique fed agency names'!A:C,3,FALSE)),P1644,VLOOKUP(P1644,'unique fed agency names'!A:C,3,FALSE))
</f>
        <v>U.S. Department of Agriculture (USDA)</v>
      </c>
      <c r="R1644" s="1">
        <v>1.36396822E8</v>
      </c>
      <c r="S1644" s="1" t="s">
        <v>947</v>
      </c>
      <c r="T1644" s="1" t="str">
        <f>IF(ISERROR(VLOOKUP(S1644,'unique org names'!A:C,3,FALSE)),S1644,VLOOKUP(S1644,'unique org names'!A:C,3,FALSE))
</f>
        <v>Kristy's Early Childhood Devel</v>
      </c>
      <c r="V1644" s="1" t="s">
        <v>948</v>
      </c>
      <c r="W1644" s="1" t="s">
        <v>44</v>
      </c>
      <c r="X1644" s="1" t="s">
        <v>45</v>
      </c>
      <c r="Y1644" s="1">
        <v>4.82191902E8</v>
      </c>
      <c r="AA1644" s="1" t="s">
        <v>44</v>
      </c>
      <c r="AB1644" s="1" t="s">
        <v>45</v>
      </c>
      <c r="AC1644" s="1">
        <v>4.82191902E8</v>
      </c>
      <c r="AF1644" s="1">
        <v>51126.47</v>
      </c>
      <c r="AG1644" s="2">
        <v>41550.0</v>
      </c>
      <c r="AH1644" s="1">
        <v>1200.0</v>
      </c>
      <c r="AI1644" s="1" t="s">
        <v>647</v>
      </c>
      <c r="AJ1644" s="1" t="s">
        <v>3138</v>
      </c>
      <c r="AK1644" s="1" t="s">
        <v>712</v>
      </c>
      <c r="AL1644" s="1">
        <v>1.0</v>
      </c>
      <c r="AM1644" s="1">
        <v>2015.0</v>
      </c>
      <c r="AN1644" s="1">
        <v>2014.0</v>
      </c>
      <c r="AO1644" s="1" t="s">
        <v>713</v>
      </c>
    </row>
    <row r="1645">
      <c r="A1645" s="5">
        <v>1.0</v>
      </c>
      <c r="B1645" s="1">
        <f t="shared" si="1"/>
        <v>1645</v>
      </c>
      <c r="C1645" s="1" t="s">
        <v>3048</v>
      </c>
      <c r="D1645" s="1" t="s">
        <v>3048</v>
      </c>
      <c r="E1645" s="1" t="s">
        <v>645</v>
      </c>
      <c r="G1645" s="1">
        <v>4.58254144E8</v>
      </c>
      <c r="H1645" s="2">
        <v>41564.0</v>
      </c>
      <c r="I1645" s="1" t="s">
        <v>710</v>
      </c>
      <c r="K1645" s="1" t="s">
        <v>710</v>
      </c>
      <c r="N1645" s="1" t="s">
        <v>647</v>
      </c>
      <c r="O1645" s="1">
        <v>1200.0</v>
      </c>
      <c r="P1645" s="1" t="s">
        <v>647</v>
      </c>
      <c r="Q1645" s="1" t="str">
        <f>IF(ISERROR(VLOOKUP(P1645,'unique fed agency names'!A:C,3,FALSE)),P1645,VLOOKUP(P1645,'unique fed agency names'!A:C,3,FALSE))
</f>
        <v>U.S. Department of Agriculture (USDA)</v>
      </c>
      <c r="R1645" s="1">
        <v>1.6388758E7</v>
      </c>
      <c r="S1645" s="1" t="s">
        <v>3139</v>
      </c>
      <c r="T1645" s="1" t="str">
        <f>IF(ISERROR(VLOOKUP(S1645,'unique org names'!A:C,3,FALSE)),S1645,VLOOKUP(S1645,'unique org names'!A:C,3,FALSE))
</f>
        <v>CALUMET CENTER</v>
      </c>
      <c r="U1645" s="1" t="s">
        <v>3140</v>
      </c>
      <c r="V1645" s="1" t="s">
        <v>281</v>
      </c>
      <c r="W1645" s="1" t="s">
        <v>44</v>
      </c>
      <c r="X1645" s="1" t="s">
        <v>45</v>
      </c>
      <c r="Y1645" s="1">
        <v>4.82033277E8</v>
      </c>
      <c r="AA1645" s="1" t="s">
        <v>603</v>
      </c>
      <c r="AB1645" s="1" t="s">
        <v>45</v>
      </c>
      <c r="AC1645" s="1">
        <v>4.82033277E8</v>
      </c>
      <c r="AF1645" s="1">
        <v>29005.46</v>
      </c>
      <c r="AG1645" s="2">
        <v>41564.0</v>
      </c>
      <c r="AH1645" s="1">
        <v>1200.0</v>
      </c>
      <c r="AI1645" s="1" t="s">
        <v>647</v>
      </c>
      <c r="AJ1645" s="1" t="s">
        <v>3141</v>
      </c>
      <c r="AK1645" s="1" t="s">
        <v>712</v>
      </c>
      <c r="AL1645" s="1">
        <v>1.0</v>
      </c>
      <c r="AM1645" s="1">
        <v>2015.0</v>
      </c>
      <c r="AN1645" s="1">
        <v>2014.0</v>
      </c>
      <c r="AO1645" s="1" t="s">
        <v>713</v>
      </c>
    </row>
    <row r="1646">
      <c r="A1646" s="5">
        <v>1.0</v>
      </c>
      <c r="B1646" s="1">
        <f t="shared" si="1"/>
        <v>1646</v>
      </c>
      <c r="C1646" s="1" t="s">
        <v>3048</v>
      </c>
      <c r="D1646" s="1" t="s">
        <v>3048</v>
      </c>
      <c r="E1646" s="1" t="s">
        <v>645</v>
      </c>
      <c r="G1646" s="1">
        <v>4.58254144E8</v>
      </c>
      <c r="H1646" s="2">
        <v>41557.0</v>
      </c>
      <c r="I1646" s="1" t="s">
        <v>710</v>
      </c>
      <c r="K1646" s="1" t="s">
        <v>710</v>
      </c>
      <c r="N1646" s="1" t="s">
        <v>647</v>
      </c>
      <c r="O1646" s="1">
        <v>1200.0</v>
      </c>
      <c r="P1646" s="1" t="s">
        <v>647</v>
      </c>
      <c r="Q1646" s="1" t="str">
        <f>IF(ISERROR(VLOOKUP(P1646,'unique fed agency names'!A:C,3,FALSE)),P1646,VLOOKUP(P1646,'unique fed agency names'!A:C,3,FALSE))
</f>
        <v>U.S. Department of Agriculture (USDA)</v>
      </c>
      <c r="R1646" s="1">
        <v>5.3529803E7</v>
      </c>
      <c r="S1646" s="1" t="s">
        <v>950</v>
      </c>
      <c r="T1646" s="1" t="str">
        <f>IF(ISERROR(VLOOKUP(S1646,'unique org names'!A:C,3,FALSE)),S1646,VLOOKUP(S1646,'unique org names'!A:C,3,FALSE))
</f>
        <v>The Academy Of Beanie Care</v>
      </c>
      <c r="V1646" s="1" t="s">
        <v>951</v>
      </c>
      <c r="W1646" s="1" t="s">
        <v>44</v>
      </c>
      <c r="X1646" s="1" t="s">
        <v>45</v>
      </c>
      <c r="Y1646" s="1">
        <v>4.82241518E8</v>
      </c>
      <c r="AA1646" s="1" t="s">
        <v>46</v>
      </c>
      <c r="AB1646" s="1" t="s">
        <v>45</v>
      </c>
      <c r="AC1646" s="1">
        <v>4.82241518E8</v>
      </c>
      <c r="AF1646" s="1">
        <v>43496.96</v>
      </c>
      <c r="AG1646" s="2">
        <v>41557.0</v>
      </c>
      <c r="AH1646" s="1">
        <v>1200.0</v>
      </c>
      <c r="AI1646" s="1" t="s">
        <v>647</v>
      </c>
      <c r="AJ1646" s="1" t="s">
        <v>3142</v>
      </c>
      <c r="AK1646" s="1" t="s">
        <v>712</v>
      </c>
      <c r="AL1646" s="1">
        <v>1.0</v>
      </c>
      <c r="AM1646" s="1">
        <v>2015.0</v>
      </c>
      <c r="AN1646" s="1">
        <v>2014.0</v>
      </c>
      <c r="AO1646" s="1" t="s">
        <v>713</v>
      </c>
    </row>
    <row r="1647">
      <c r="A1647" s="5">
        <v>1.0</v>
      </c>
      <c r="B1647" s="1">
        <f t="shared" si="1"/>
        <v>1647</v>
      </c>
      <c r="C1647" s="1" t="s">
        <v>3048</v>
      </c>
      <c r="D1647" s="1" t="s">
        <v>3048</v>
      </c>
      <c r="E1647" s="1" t="s">
        <v>645</v>
      </c>
      <c r="G1647" s="1">
        <v>4.58254144E8</v>
      </c>
      <c r="H1647" s="2">
        <v>41550.0</v>
      </c>
      <c r="I1647" s="1" t="s">
        <v>710</v>
      </c>
      <c r="K1647" s="1" t="s">
        <v>710</v>
      </c>
      <c r="N1647" s="1" t="s">
        <v>647</v>
      </c>
      <c r="O1647" s="1">
        <v>1200.0</v>
      </c>
      <c r="P1647" s="1" t="s">
        <v>647</v>
      </c>
      <c r="Q1647" s="1" t="str">
        <f>IF(ISERROR(VLOOKUP(P1647,'unique fed agency names'!A:C,3,FALSE)),P1647,VLOOKUP(P1647,'unique fed agency names'!A:C,3,FALSE))
</f>
        <v>U.S. Department of Agriculture (USDA)</v>
      </c>
      <c r="R1647" s="1">
        <v>9.60752871E8</v>
      </c>
      <c r="S1647" s="1" t="s">
        <v>793</v>
      </c>
      <c r="T1647" s="1" t="str">
        <f>IF(ISERROR(VLOOKUP(S1647,'unique org names'!A:C,3,FALSE)),S1647,VLOOKUP(S1647,'unique org names'!A:C,3,FALSE))
</f>
        <v>Toddler's Center Inc</v>
      </c>
      <c r="V1647" s="1" t="s">
        <v>794</v>
      </c>
      <c r="W1647" s="1" t="s">
        <v>44</v>
      </c>
      <c r="X1647" s="1" t="s">
        <v>45</v>
      </c>
      <c r="Y1647" s="1">
        <v>4.82272749E8</v>
      </c>
      <c r="AA1647" s="1" t="s">
        <v>44</v>
      </c>
      <c r="AB1647" s="1" t="s">
        <v>45</v>
      </c>
      <c r="AC1647" s="1">
        <v>4.82272749E8</v>
      </c>
      <c r="AF1647" s="1">
        <v>28401.4</v>
      </c>
      <c r="AG1647" s="2">
        <v>41550.0</v>
      </c>
      <c r="AH1647" s="1">
        <v>1200.0</v>
      </c>
      <c r="AI1647" s="1" t="s">
        <v>647</v>
      </c>
      <c r="AJ1647" s="1" t="s">
        <v>3143</v>
      </c>
      <c r="AK1647" s="1" t="s">
        <v>712</v>
      </c>
      <c r="AL1647" s="1">
        <v>1.0</v>
      </c>
      <c r="AM1647" s="1">
        <v>2015.0</v>
      </c>
      <c r="AN1647" s="1">
        <v>2014.0</v>
      </c>
      <c r="AO1647" s="1" t="s">
        <v>713</v>
      </c>
    </row>
    <row r="1648">
      <c r="A1648" s="5">
        <v>1.0</v>
      </c>
      <c r="B1648" s="1">
        <f t="shared" si="1"/>
        <v>1648</v>
      </c>
      <c r="C1648" s="1" t="s">
        <v>3048</v>
      </c>
      <c r="D1648" s="1" t="s">
        <v>3048</v>
      </c>
      <c r="E1648" s="1" t="s">
        <v>645</v>
      </c>
      <c r="G1648" s="1">
        <v>4.58254144E8</v>
      </c>
      <c r="H1648" s="2">
        <v>41571.0</v>
      </c>
      <c r="I1648" s="1" t="s">
        <v>710</v>
      </c>
      <c r="K1648" s="1" t="s">
        <v>710</v>
      </c>
      <c r="N1648" s="1" t="s">
        <v>647</v>
      </c>
      <c r="O1648" s="1">
        <v>1200.0</v>
      </c>
      <c r="P1648" s="1" t="s">
        <v>647</v>
      </c>
      <c r="Q1648" s="1" t="str">
        <f>IF(ISERROR(VLOOKUP(P1648,'unique fed agency names'!A:C,3,FALSE)),P1648,VLOOKUP(P1648,'unique fed agency names'!A:C,3,FALSE))
</f>
        <v>U.S. Department of Agriculture (USDA)</v>
      </c>
      <c r="R1648" s="1">
        <v>2.2561935E7</v>
      </c>
      <c r="S1648" s="1" t="s">
        <v>2631</v>
      </c>
      <c r="T1648" s="1" t="str">
        <f>IF(ISERROR(VLOOKUP(S1648,'unique org names'!A:C,3,FALSE)),S1648,VLOOKUP(S1648,'unique org names'!A:C,3,FALSE))
</f>
        <v>JOY PREPARATORY ACADEMY</v>
      </c>
      <c r="V1648" s="1" t="s">
        <v>2632</v>
      </c>
      <c r="W1648" s="1" t="s">
        <v>44</v>
      </c>
      <c r="X1648" s="1" t="s">
        <v>45</v>
      </c>
      <c r="Y1648" s="1">
        <v>4.8238E8</v>
      </c>
      <c r="AA1648" s="1" t="s">
        <v>44</v>
      </c>
      <c r="AB1648" s="1" t="s">
        <v>45</v>
      </c>
      <c r="AC1648" s="1">
        <v>4.82382124E8</v>
      </c>
      <c r="AF1648" s="1">
        <v>164335.93</v>
      </c>
      <c r="AG1648" s="2">
        <v>41571.0</v>
      </c>
      <c r="AH1648" s="1">
        <v>1200.0</v>
      </c>
      <c r="AI1648" s="1" t="s">
        <v>647</v>
      </c>
      <c r="AJ1648" s="1" t="s">
        <v>3144</v>
      </c>
      <c r="AK1648" s="1" t="s">
        <v>712</v>
      </c>
      <c r="AL1648" s="1">
        <v>1.0</v>
      </c>
      <c r="AM1648" s="1">
        <v>2015.0</v>
      </c>
      <c r="AN1648" s="1">
        <v>2014.0</v>
      </c>
      <c r="AO1648" s="1" t="s">
        <v>713</v>
      </c>
    </row>
    <row r="1649">
      <c r="A1649" s="5">
        <v>1.0</v>
      </c>
      <c r="B1649" s="1">
        <f t="shared" si="1"/>
        <v>1649</v>
      </c>
      <c r="C1649" s="1" t="s">
        <v>3048</v>
      </c>
      <c r="D1649" s="1" t="s">
        <v>3048</v>
      </c>
      <c r="E1649" s="1" t="s">
        <v>645</v>
      </c>
      <c r="G1649" s="1">
        <v>4.58254144E8</v>
      </c>
      <c r="H1649" s="2">
        <v>41550.0</v>
      </c>
      <c r="I1649" s="1" t="s">
        <v>710</v>
      </c>
      <c r="K1649" s="1" t="s">
        <v>710</v>
      </c>
      <c r="N1649" s="1" t="s">
        <v>647</v>
      </c>
      <c r="O1649" s="1">
        <v>1200.0</v>
      </c>
      <c r="P1649" s="1" t="s">
        <v>647</v>
      </c>
      <c r="Q1649" s="1" t="str">
        <f>IF(ISERROR(VLOOKUP(P1649,'unique fed agency names'!A:C,3,FALSE)),P1649,VLOOKUP(P1649,'unique fed agency names'!A:C,3,FALSE))
</f>
        <v>U.S. Department of Agriculture (USDA)</v>
      </c>
      <c r="R1649" s="1">
        <v>9.6910162E8</v>
      </c>
      <c r="S1649" s="1" t="s">
        <v>579</v>
      </c>
      <c r="T1649" s="1" t="str">
        <f>IF(ISERROR(VLOOKUP(S1649,'unique org names'!A:C,3,FALSE)),S1649,VLOOKUP(S1649,'unique org names'!A:C,3,FALSE))
</f>
        <v>AMERICAN INTERNATIONAL ACADEMY, INC.</v>
      </c>
      <c r="V1649" s="1" t="s">
        <v>580</v>
      </c>
      <c r="W1649" s="1" t="s">
        <v>44</v>
      </c>
      <c r="X1649" s="1" t="s">
        <v>45</v>
      </c>
      <c r="Y1649" s="1">
        <v>4.82283905E8</v>
      </c>
      <c r="AA1649" s="1" t="s">
        <v>287</v>
      </c>
      <c r="AB1649" s="1" t="s">
        <v>45</v>
      </c>
      <c r="AC1649" s="1">
        <v>4.82283905E8</v>
      </c>
      <c r="AF1649" s="1">
        <v>109613.83</v>
      </c>
      <c r="AG1649" s="2">
        <v>41550.0</v>
      </c>
      <c r="AH1649" s="1">
        <v>1200.0</v>
      </c>
      <c r="AI1649" s="1" t="s">
        <v>647</v>
      </c>
      <c r="AJ1649" s="1" t="s">
        <v>3145</v>
      </c>
      <c r="AK1649" s="1" t="s">
        <v>712</v>
      </c>
      <c r="AL1649" s="1">
        <v>1.0</v>
      </c>
      <c r="AM1649" s="1">
        <v>2015.0</v>
      </c>
      <c r="AN1649" s="1">
        <v>2014.0</v>
      </c>
      <c r="AO1649" s="1" t="s">
        <v>713</v>
      </c>
    </row>
    <row r="1650">
      <c r="A1650" s="5">
        <v>1.0</v>
      </c>
      <c r="B1650" s="1">
        <f t="shared" si="1"/>
        <v>1650</v>
      </c>
      <c r="C1650" s="1" t="s">
        <v>3048</v>
      </c>
      <c r="D1650" s="1" t="s">
        <v>3048</v>
      </c>
      <c r="E1650" s="1" t="s">
        <v>645</v>
      </c>
      <c r="G1650" s="1">
        <v>4.58254144E8</v>
      </c>
      <c r="H1650" s="2">
        <v>41557.0</v>
      </c>
      <c r="I1650" s="1" t="s">
        <v>710</v>
      </c>
      <c r="K1650" s="1" t="s">
        <v>710</v>
      </c>
      <c r="N1650" s="1" t="s">
        <v>647</v>
      </c>
      <c r="O1650" s="1">
        <v>1200.0</v>
      </c>
      <c r="P1650" s="1" t="s">
        <v>647</v>
      </c>
      <c r="Q1650" s="1" t="str">
        <f>IF(ISERROR(VLOOKUP(P1650,'unique fed agency names'!A:C,3,FALSE)),P1650,VLOOKUP(P1650,'unique fed agency names'!A:C,3,FALSE))
</f>
        <v>U.S. Department of Agriculture (USDA)</v>
      </c>
      <c r="R1650" s="1">
        <v>1.38064923E8</v>
      </c>
      <c r="S1650" s="1" t="s">
        <v>585</v>
      </c>
      <c r="T1650" s="1" t="str">
        <f>IF(ISERROR(VLOOKUP(S1650,'unique org names'!A:C,3,FALSE)),S1650,VLOOKUP(S1650,'unique org names'!A:C,3,FALSE))
</f>
        <v>DETROIT MERIT CHARTER ACADEMY</v>
      </c>
      <c r="V1650" s="1" t="s">
        <v>586</v>
      </c>
      <c r="W1650" s="1" t="s">
        <v>44</v>
      </c>
      <c r="X1650" s="1" t="s">
        <v>45</v>
      </c>
      <c r="Y1650" s="1">
        <v>4.82152861E8</v>
      </c>
      <c r="AA1650" s="1" t="s">
        <v>44</v>
      </c>
      <c r="AB1650" s="1" t="s">
        <v>45</v>
      </c>
      <c r="AC1650" s="1">
        <v>4.82152861E8</v>
      </c>
      <c r="AD1650" s="1">
        <v>9.60742484E8</v>
      </c>
      <c r="AF1650" s="1">
        <v>100737.71</v>
      </c>
      <c r="AG1650" s="2">
        <v>41557.0</v>
      </c>
      <c r="AH1650" s="1">
        <v>1200.0</v>
      </c>
      <c r="AI1650" s="1" t="s">
        <v>647</v>
      </c>
      <c r="AJ1650" s="1" t="s">
        <v>3146</v>
      </c>
      <c r="AK1650" s="1" t="s">
        <v>712</v>
      </c>
      <c r="AL1650" s="1">
        <v>1.0</v>
      </c>
      <c r="AM1650" s="1">
        <v>2015.0</v>
      </c>
      <c r="AN1650" s="1">
        <v>2014.0</v>
      </c>
      <c r="AO1650" s="1" t="s">
        <v>713</v>
      </c>
    </row>
    <row r="1651">
      <c r="A1651" s="5">
        <v>1.0</v>
      </c>
      <c r="B1651" s="1">
        <f t="shared" si="1"/>
        <v>1651</v>
      </c>
      <c r="C1651" s="1" t="s">
        <v>3048</v>
      </c>
      <c r="D1651" s="1" t="s">
        <v>3048</v>
      </c>
      <c r="E1651" s="1" t="s">
        <v>645</v>
      </c>
      <c r="G1651" s="1">
        <v>4.58254144E8</v>
      </c>
      <c r="H1651" s="2">
        <v>41564.0</v>
      </c>
      <c r="I1651" s="1" t="s">
        <v>710</v>
      </c>
      <c r="K1651" s="1" t="s">
        <v>710</v>
      </c>
      <c r="N1651" s="1" t="s">
        <v>647</v>
      </c>
      <c r="O1651" s="1">
        <v>1200.0</v>
      </c>
      <c r="P1651" s="1" t="s">
        <v>647</v>
      </c>
      <c r="Q1651" s="1" t="str">
        <f>IF(ISERROR(VLOOKUP(P1651,'unique fed agency names'!A:C,3,FALSE)),P1651,VLOOKUP(P1651,'unique fed agency names'!A:C,3,FALSE))
</f>
        <v>U.S. Department of Agriculture (USDA)</v>
      </c>
      <c r="R1651" s="1">
        <v>8.01337023E8</v>
      </c>
      <c r="S1651" s="1" t="s">
        <v>731</v>
      </c>
      <c r="T1651" s="1" t="str">
        <f>IF(ISERROR(VLOOKUP(S1651,'unique org names'!A:C,3,FALSE)),S1651,VLOOKUP(S1651,'unique org names'!A:C,3,FALSE))
</f>
        <v>Cornerstone Schools Association</v>
      </c>
      <c r="U1651" s="1" t="s">
        <v>732</v>
      </c>
      <c r="V1651" s="1" t="s">
        <v>733</v>
      </c>
      <c r="W1651" s="1" t="s">
        <v>44</v>
      </c>
      <c r="X1651" s="1" t="s">
        <v>45</v>
      </c>
      <c r="Y1651" s="1">
        <v>4.82342968E8</v>
      </c>
      <c r="AA1651" s="1" t="s">
        <v>44</v>
      </c>
      <c r="AB1651" s="1" t="s">
        <v>45</v>
      </c>
      <c r="AC1651" s="1">
        <v>4.82342968E8</v>
      </c>
      <c r="AD1651" s="1">
        <v>8.01337023E8</v>
      </c>
      <c r="AE1651" s="1" t="s">
        <v>731</v>
      </c>
      <c r="AF1651" s="1">
        <v>117892.63</v>
      </c>
      <c r="AG1651" s="2">
        <v>41564.0</v>
      </c>
      <c r="AH1651" s="1">
        <v>1200.0</v>
      </c>
      <c r="AI1651" s="1" t="s">
        <v>647</v>
      </c>
      <c r="AJ1651" s="1" t="s">
        <v>3147</v>
      </c>
      <c r="AK1651" s="1" t="s">
        <v>712</v>
      </c>
      <c r="AL1651" s="1">
        <v>1.0</v>
      </c>
      <c r="AM1651" s="1">
        <v>2015.0</v>
      </c>
      <c r="AN1651" s="1">
        <v>2014.0</v>
      </c>
      <c r="AO1651" s="1" t="s">
        <v>713</v>
      </c>
    </row>
    <row r="1652">
      <c r="A1652" s="5">
        <v>1.0</v>
      </c>
      <c r="B1652" s="1">
        <f t="shared" si="1"/>
        <v>1652</v>
      </c>
      <c r="C1652" s="1" t="s">
        <v>3048</v>
      </c>
      <c r="D1652" s="1" t="s">
        <v>3048</v>
      </c>
      <c r="E1652" s="1" t="s">
        <v>645</v>
      </c>
      <c r="G1652" s="1">
        <v>4.58254144E8</v>
      </c>
      <c r="H1652" s="2">
        <v>41557.0</v>
      </c>
      <c r="I1652" s="1" t="s">
        <v>710</v>
      </c>
      <c r="K1652" s="1" t="s">
        <v>710</v>
      </c>
      <c r="N1652" s="1" t="s">
        <v>647</v>
      </c>
      <c r="O1652" s="1">
        <v>1200.0</v>
      </c>
      <c r="P1652" s="1" t="s">
        <v>647</v>
      </c>
      <c r="Q1652" s="1" t="str">
        <f>IF(ISERROR(VLOOKUP(P1652,'unique fed agency names'!A:C,3,FALSE)),P1652,VLOOKUP(P1652,'unique fed agency names'!A:C,3,FALSE))
</f>
        <v>U.S. Department of Agriculture (USDA)</v>
      </c>
      <c r="R1652" s="1">
        <v>1.95837232E8</v>
      </c>
      <c r="S1652" s="1" t="s">
        <v>785</v>
      </c>
      <c r="T1652" s="1" t="str">
        <f>IF(ISERROR(VLOOKUP(S1652,'unique org names'!A:C,3,FALSE)),S1652,VLOOKUP(S1652,'unique org names'!A:C,3,FALSE))
</f>
        <v>WOLVERINE HUMAN SERVICES</v>
      </c>
      <c r="U1652" s="1" t="s">
        <v>786</v>
      </c>
      <c r="V1652" s="1" t="s">
        <v>787</v>
      </c>
      <c r="W1652" s="1" t="s">
        <v>44</v>
      </c>
      <c r="X1652" s="1" t="s">
        <v>45</v>
      </c>
      <c r="Y1652" s="1">
        <v>4.82242358E8</v>
      </c>
      <c r="AA1652" s="1" t="s">
        <v>44</v>
      </c>
      <c r="AB1652" s="1" t="s">
        <v>45</v>
      </c>
      <c r="AC1652" s="1">
        <v>4.82152667E8</v>
      </c>
      <c r="AD1652" s="1">
        <v>1.95837232E8</v>
      </c>
      <c r="AE1652" s="1" t="s">
        <v>785</v>
      </c>
      <c r="AF1652" s="1">
        <v>25908.26</v>
      </c>
      <c r="AG1652" s="2">
        <v>41557.0</v>
      </c>
      <c r="AH1652" s="1">
        <v>1200.0</v>
      </c>
      <c r="AI1652" s="1" t="s">
        <v>647</v>
      </c>
      <c r="AJ1652" s="1" t="s">
        <v>3148</v>
      </c>
      <c r="AK1652" s="1" t="s">
        <v>712</v>
      </c>
      <c r="AL1652" s="1">
        <v>1.0</v>
      </c>
      <c r="AM1652" s="1">
        <v>2015.0</v>
      </c>
      <c r="AN1652" s="1">
        <v>2014.0</v>
      </c>
      <c r="AO1652" s="1" t="s">
        <v>713</v>
      </c>
    </row>
    <row r="1653">
      <c r="A1653" s="5">
        <v>1.0</v>
      </c>
      <c r="B1653" s="1">
        <f t="shared" si="1"/>
        <v>1653</v>
      </c>
      <c r="C1653" s="1" t="s">
        <v>3048</v>
      </c>
      <c r="D1653" s="1" t="s">
        <v>3048</v>
      </c>
      <c r="E1653" s="1" t="s">
        <v>645</v>
      </c>
      <c r="G1653" s="1">
        <v>4.58254144E8</v>
      </c>
      <c r="H1653" s="2">
        <v>41564.0</v>
      </c>
      <c r="I1653" s="1" t="s">
        <v>710</v>
      </c>
      <c r="K1653" s="1" t="s">
        <v>710</v>
      </c>
      <c r="N1653" s="1" t="s">
        <v>647</v>
      </c>
      <c r="O1653" s="1">
        <v>1200.0</v>
      </c>
      <c r="P1653" s="1" t="s">
        <v>647</v>
      </c>
      <c r="Q1653" s="1" t="str">
        <f>IF(ISERROR(VLOOKUP(P1653,'unique fed agency names'!A:C,3,FALSE)),P1653,VLOOKUP(P1653,'unique fed agency names'!A:C,3,FALSE))
</f>
        <v>U.S. Department of Agriculture (USDA)</v>
      </c>
      <c r="R1653" s="1">
        <v>7.8776131E7</v>
      </c>
      <c r="S1653" s="1" t="s">
        <v>3149</v>
      </c>
      <c r="T1653" s="1" t="str">
        <f>IF(ISERROR(VLOOKUP(S1653,'unique org names'!A:C,3,FALSE)),S1653,VLOOKUP(S1653,'unique org names'!A:C,3,FALSE))
</f>
        <v>Tott's Early Learning Center, LLC</v>
      </c>
      <c r="V1653" s="1" t="s">
        <v>3150</v>
      </c>
      <c r="W1653" s="1" t="s">
        <v>44</v>
      </c>
      <c r="X1653" s="1" t="s">
        <v>45</v>
      </c>
      <c r="Y1653" s="1">
        <v>4.82281775E8</v>
      </c>
      <c r="AA1653" s="1" t="s">
        <v>44</v>
      </c>
      <c r="AB1653" s="1" t="s">
        <v>45</v>
      </c>
      <c r="AC1653" s="1">
        <v>4.82281775E8</v>
      </c>
      <c r="AF1653" s="1">
        <v>44230.94</v>
      </c>
      <c r="AG1653" s="2">
        <v>41564.0</v>
      </c>
      <c r="AH1653" s="1">
        <v>1200.0</v>
      </c>
      <c r="AI1653" s="1" t="s">
        <v>647</v>
      </c>
      <c r="AJ1653" s="1" t="s">
        <v>3151</v>
      </c>
      <c r="AK1653" s="1" t="s">
        <v>712</v>
      </c>
      <c r="AL1653" s="1">
        <v>1.0</v>
      </c>
      <c r="AM1653" s="1">
        <v>2015.0</v>
      </c>
      <c r="AN1653" s="1">
        <v>2014.0</v>
      </c>
      <c r="AO1653" s="1" t="s">
        <v>713</v>
      </c>
    </row>
    <row r="1654">
      <c r="A1654" s="5">
        <v>1.0</v>
      </c>
      <c r="B1654" s="1">
        <f t="shared" si="1"/>
        <v>1654</v>
      </c>
      <c r="C1654" s="1" t="s">
        <v>3048</v>
      </c>
      <c r="D1654" s="1" t="s">
        <v>3048</v>
      </c>
      <c r="E1654" s="1" t="s">
        <v>645</v>
      </c>
      <c r="G1654" s="1">
        <v>4.58254144E8</v>
      </c>
      <c r="H1654" s="2">
        <v>41585.0</v>
      </c>
      <c r="I1654" s="1" t="s">
        <v>710</v>
      </c>
      <c r="K1654" s="1" t="s">
        <v>710</v>
      </c>
      <c r="N1654" s="1" t="s">
        <v>647</v>
      </c>
      <c r="O1654" s="1">
        <v>1200.0</v>
      </c>
      <c r="P1654" s="1" t="s">
        <v>647</v>
      </c>
      <c r="Q1654" s="1" t="str">
        <f>IF(ISERROR(VLOOKUP(P1654,'unique fed agency names'!A:C,3,FALSE)),P1654,VLOOKUP(P1654,'unique fed agency names'!A:C,3,FALSE))
</f>
        <v>U.S. Department of Agriculture (USDA)</v>
      </c>
      <c r="R1654" s="1">
        <v>9.63121426E8</v>
      </c>
      <c r="S1654" s="1" t="s">
        <v>490</v>
      </c>
      <c r="T1654" s="1" t="str">
        <f>IF(ISERROR(VLOOKUP(S1654,'unique org names'!A:C,3,FALSE)),S1654,VLOOKUP(S1654,'unique org names'!A:C,3,FALSE))
</f>
        <v>DETROIT LEADERSHIP ACADEMY</v>
      </c>
      <c r="V1654" s="1" t="s">
        <v>491</v>
      </c>
      <c r="W1654" s="1" t="s">
        <v>44</v>
      </c>
      <c r="X1654" s="1" t="s">
        <v>45</v>
      </c>
      <c r="Y1654" s="1">
        <v>4.82233051E8</v>
      </c>
      <c r="AA1654" s="1" t="s">
        <v>46</v>
      </c>
      <c r="AB1654" s="1" t="s">
        <v>45</v>
      </c>
      <c r="AC1654" s="1">
        <v>4.82233051E8</v>
      </c>
      <c r="AF1654" s="1">
        <v>164930.71</v>
      </c>
      <c r="AG1654" s="2">
        <v>41585.0</v>
      </c>
      <c r="AH1654" s="1">
        <v>1200.0</v>
      </c>
      <c r="AI1654" s="1" t="s">
        <v>647</v>
      </c>
      <c r="AJ1654" s="1" t="s">
        <v>3152</v>
      </c>
      <c r="AK1654" s="1" t="s">
        <v>712</v>
      </c>
      <c r="AL1654" s="1">
        <v>1.0</v>
      </c>
      <c r="AM1654" s="1">
        <v>2015.0</v>
      </c>
      <c r="AN1654" s="1">
        <v>2014.0</v>
      </c>
      <c r="AO1654" s="1" t="s">
        <v>713</v>
      </c>
    </row>
    <row r="1655">
      <c r="A1655" s="5">
        <v>1.0</v>
      </c>
      <c r="B1655" s="1">
        <f t="shared" si="1"/>
        <v>1655</v>
      </c>
      <c r="C1655" s="1" t="s">
        <v>3048</v>
      </c>
      <c r="D1655" s="1" t="s">
        <v>3048</v>
      </c>
      <c r="E1655" s="1" t="s">
        <v>645</v>
      </c>
      <c r="G1655" s="1">
        <v>4.58254144E8</v>
      </c>
      <c r="H1655" s="2">
        <v>41515.0</v>
      </c>
      <c r="I1655" s="1" t="s">
        <v>710</v>
      </c>
      <c r="K1655" s="1" t="s">
        <v>710</v>
      </c>
      <c r="N1655" s="1" t="s">
        <v>647</v>
      </c>
      <c r="O1655" s="1">
        <v>1200.0</v>
      </c>
      <c r="P1655" s="1" t="s">
        <v>647</v>
      </c>
      <c r="Q1655" s="1" t="str">
        <f>IF(ISERROR(VLOOKUP(P1655,'unique fed agency names'!A:C,3,FALSE)),P1655,VLOOKUP(P1655,'unique fed agency names'!A:C,3,FALSE))
</f>
        <v>U.S. Department of Agriculture (USDA)</v>
      </c>
      <c r="R1655" s="1">
        <v>7.3134884E7</v>
      </c>
      <c r="S1655" s="1" t="s">
        <v>1796</v>
      </c>
      <c r="T1655" s="1" t="str">
        <f>IF(ISERROR(VLOOKUP(S1655,'unique org names'!A:C,3,FALSE)),S1655,VLOOKUP(S1655,'unique org names'!A:C,3,FALSE))
</f>
        <v>Wayne County</v>
      </c>
      <c r="V1655" s="1" t="s">
        <v>1855</v>
      </c>
      <c r="W1655" s="1" t="s">
        <v>44</v>
      </c>
      <c r="X1655" s="1" t="s">
        <v>45</v>
      </c>
      <c r="Y1655" s="1">
        <v>48226.0</v>
      </c>
      <c r="AA1655" s="1" t="s">
        <v>3153</v>
      </c>
      <c r="AB1655" s="1" t="s">
        <v>45</v>
      </c>
      <c r="AC1655" s="1">
        <v>4.8184E8</v>
      </c>
      <c r="AD1655" s="1">
        <v>7.3134884E7</v>
      </c>
      <c r="AE1655" s="1" t="s">
        <v>1796</v>
      </c>
      <c r="AF1655" s="1">
        <v>86510.14</v>
      </c>
      <c r="AG1655" s="2">
        <v>41515.0</v>
      </c>
      <c r="AH1655" s="1">
        <v>1200.0</v>
      </c>
      <c r="AI1655" s="1" t="s">
        <v>647</v>
      </c>
      <c r="AJ1655" s="1" t="s">
        <v>3154</v>
      </c>
      <c r="AK1655" s="1" t="s">
        <v>712</v>
      </c>
      <c r="AL1655" s="1">
        <v>1.0</v>
      </c>
      <c r="AM1655" s="1">
        <v>2015.0</v>
      </c>
      <c r="AN1655" s="1">
        <v>2013.0</v>
      </c>
      <c r="AO1655" s="1" t="s">
        <v>713</v>
      </c>
    </row>
    <row r="1656">
      <c r="A1656" s="5">
        <v>1.0</v>
      </c>
      <c r="B1656" s="1">
        <f t="shared" si="1"/>
        <v>1656</v>
      </c>
      <c r="C1656" s="1" t="s">
        <v>3048</v>
      </c>
      <c r="D1656" s="1" t="s">
        <v>3048</v>
      </c>
      <c r="E1656" s="1" t="s">
        <v>645</v>
      </c>
      <c r="G1656" s="1">
        <v>4.58254144E8</v>
      </c>
      <c r="H1656" s="2">
        <v>41585.0</v>
      </c>
      <c r="I1656" s="1" t="s">
        <v>710</v>
      </c>
      <c r="K1656" s="1" t="s">
        <v>710</v>
      </c>
      <c r="N1656" s="1" t="s">
        <v>647</v>
      </c>
      <c r="O1656" s="1">
        <v>1200.0</v>
      </c>
      <c r="P1656" s="1" t="s">
        <v>647</v>
      </c>
      <c r="Q1656" s="1" t="str">
        <f>IF(ISERROR(VLOOKUP(P1656,'unique fed agency names'!A:C,3,FALSE)),P1656,VLOOKUP(P1656,'unique fed agency names'!A:C,3,FALSE))
</f>
        <v>U.S. Department of Agriculture (USDA)</v>
      </c>
      <c r="R1656" s="1">
        <v>7.8465647E7</v>
      </c>
      <c r="S1656" s="1" t="s">
        <v>1176</v>
      </c>
      <c r="T1656" s="1" t="str">
        <f>IF(ISERROR(VLOOKUP(S1656,'unique org names'!A:C,3,FALSE)),S1656,VLOOKUP(S1656,'unique org names'!A:C,3,FALSE))
</f>
        <v>DETROIT INNOVATION ACADEMY</v>
      </c>
      <c r="V1656" s="1" t="s">
        <v>1178</v>
      </c>
      <c r="W1656" s="1" t="s">
        <v>44</v>
      </c>
      <c r="X1656" s="1" t="s">
        <v>45</v>
      </c>
      <c r="Y1656" s="1">
        <v>4.82281142E8</v>
      </c>
      <c r="AA1656" s="1" t="s">
        <v>44</v>
      </c>
      <c r="AB1656" s="1" t="s">
        <v>45</v>
      </c>
      <c r="AC1656" s="1">
        <v>4.82281142E8</v>
      </c>
      <c r="AF1656" s="1">
        <v>31698.67</v>
      </c>
      <c r="AG1656" s="2">
        <v>41585.0</v>
      </c>
      <c r="AH1656" s="1">
        <v>1200.0</v>
      </c>
      <c r="AI1656" s="1" t="s">
        <v>647</v>
      </c>
      <c r="AJ1656" s="1" t="s">
        <v>3155</v>
      </c>
      <c r="AK1656" s="1" t="s">
        <v>712</v>
      </c>
      <c r="AL1656" s="1">
        <v>1.0</v>
      </c>
      <c r="AM1656" s="1">
        <v>2015.0</v>
      </c>
      <c r="AN1656" s="1">
        <v>2014.0</v>
      </c>
      <c r="AO1656" s="1" t="s">
        <v>713</v>
      </c>
    </row>
    <row r="1657">
      <c r="A1657" s="5">
        <v>1.0</v>
      </c>
      <c r="B1657" s="1">
        <f t="shared" si="1"/>
        <v>1657</v>
      </c>
      <c r="C1657" s="1" t="s">
        <v>3048</v>
      </c>
      <c r="D1657" s="1" t="s">
        <v>3048</v>
      </c>
      <c r="E1657" s="1" t="s">
        <v>645</v>
      </c>
      <c r="G1657" s="1">
        <v>4.58254144E8</v>
      </c>
      <c r="H1657" s="2">
        <v>41578.0</v>
      </c>
      <c r="I1657" s="1" t="s">
        <v>710</v>
      </c>
      <c r="K1657" s="1" t="s">
        <v>710</v>
      </c>
      <c r="N1657" s="1" t="s">
        <v>647</v>
      </c>
      <c r="O1657" s="1">
        <v>1200.0</v>
      </c>
      <c r="P1657" s="1" t="s">
        <v>647</v>
      </c>
      <c r="Q1657" s="1" t="str">
        <f>IF(ISERROR(VLOOKUP(P1657,'unique fed agency names'!A:C,3,FALSE)),P1657,VLOOKUP(P1657,'unique fed agency names'!A:C,3,FALSE))
</f>
        <v>U.S. Department of Agriculture (USDA)</v>
      </c>
      <c r="R1657" s="1">
        <v>8.29503312E8</v>
      </c>
      <c r="S1657" s="1" t="s">
        <v>622</v>
      </c>
      <c r="T1657" s="1" t="str">
        <f>IF(ISERROR(VLOOKUP(S1657,'unique org names'!A:C,3,FALSE)),S1657,VLOOKUP(S1657,'unique org names'!A:C,3,FALSE))
</f>
        <v>GEORGE WASHINGTON CARVER ACADEMY</v>
      </c>
      <c r="V1657" s="1" t="s">
        <v>623</v>
      </c>
      <c r="W1657" s="1" t="s">
        <v>44</v>
      </c>
      <c r="X1657" s="1" t="s">
        <v>45</v>
      </c>
      <c r="Y1657" s="1">
        <v>4.82035715E8</v>
      </c>
      <c r="AA1657" s="1" t="s">
        <v>603</v>
      </c>
      <c r="AB1657" s="1" t="s">
        <v>45</v>
      </c>
      <c r="AC1657" s="1">
        <v>4.82035715E8</v>
      </c>
      <c r="AF1657" s="1">
        <v>165045.96</v>
      </c>
      <c r="AG1657" s="2">
        <v>41578.0</v>
      </c>
      <c r="AH1657" s="1">
        <v>1200.0</v>
      </c>
      <c r="AI1657" s="1" t="s">
        <v>647</v>
      </c>
      <c r="AJ1657" s="1" t="s">
        <v>3156</v>
      </c>
      <c r="AK1657" s="1" t="s">
        <v>712</v>
      </c>
      <c r="AL1657" s="1">
        <v>1.0</v>
      </c>
      <c r="AM1657" s="1">
        <v>2015.0</v>
      </c>
      <c r="AN1657" s="1">
        <v>2014.0</v>
      </c>
      <c r="AO1657" s="1" t="s">
        <v>713</v>
      </c>
    </row>
    <row r="1658">
      <c r="A1658" s="5">
        <v>1.0</v>
      </c>
      <c r="B1658" s="1">
        <f t="shared" si="1"/>
        <v>1658</v>
      </c>
      <c r="C1658" s="1" t="s">
        <v>3157</v>
      </c>
      <c r="D1658" s="1" t="s">
        <v>3157</v>
      </c>
      <c r="E1658" s="1" t="s">
        <v>645</v>
      </c>
      <c r="G1658" s="1">
        <v>855545.0</v>
      </c>
      <c r="H1658" s="2">
        <v>41977.0</v>
      </c>
      <c r="I1658" s="1" t="s">
        <v>754</v>
      </c>
      <c r="K1658" s="1" t="s">
        <v>754</v>
      </c>
      <c r="N1658" s="1" t="s">
        <v>647</v>
      </c>
      <c r="O1658" s="1">
        <v>1200.0</v>
      </c>
      <c r="P1658" s="1" t="s">
        <v>647</v>
      </c>
      <c r="Q1658" s="1" t="str">
        <f>IF(ISERROR(VLOOKUP(P1658,'unique fed agency names'!A:C,3,FALSE)),P1658,VLOOKUP(P1658,'unique fed agency names'!A:C,3,FALSE))
</f>
        <v>U.S. Department of Agriculture (USDA)</v>
      </c>
      <c r="R1658" s="1">
        <v>7.6340843E7</v>
      </c>
      <c r="S1658" s="1" t="s">
        <v>461</v>
      </c>
      <c r="T1658" s="1" t="str">
        <f>IF(ISERROR(VLOOKUP(S1658,'unique org names'!A:C,3,FALSE)),S1658,VLOOKUP(S1658,'unique org names'!A:C,3,FALSE))
</f>
        <v>BOARD OF EDUCATION OF THE CITY OF DETROIT</v>
      </c>
      <c r="V1658" s="1" t="s">
        <v>1599</v>
      </c>
      <c r="W1658" s="1" t="s">
        <v>44</v>
      </c>
      <c r="X1658" s="1" t="s">
        <v>45</v>
      </c>
      <c r="Y1658" s="1">
        <v>4.8202301E8</v>
      </c>
      <c r="AA1658" s="1" t="s">
        <v>44</v>
      </c>
      <c r="AB1658" s="1" t="s">
        <v>45</v>
      </c>
      <c r="AC1658" s="1">
        <v>4.82023096E8</v>
      </c>
      <c r="AD1658" s="1">
        <v>7.6340843E7</v>
      </c>
      <c r="AE1658" s="1" t="s">
        <v>461</v>
      </c>
      <c r="AF1658" s="1">
        <v>172587.95</v>
      </c>
      <c r="AG1658" s="2">
        <v>41977.0</v>
      </c>
      <c r="AH1658" s="1">
        <v>1200.0</v>
      </c>
      <c r="AI1658" s="1" t="s">
        <v>647</v>
      </c>
      <c r="AJ1658" s="1" t="s">
        <v>3158</v>
      </c>
      <c r="AK1658" s="1" t="s">
        <v>712</v>
      </c>
      <c r="AL1658" s="1">
        <v>1.0</v>
      </c>
      <c r="AM1658" s="1">
        <v>2015.0</v>
      </c>
      <c r="AN1658" s="1">
        <v>2015.0</v>
      </c>
      <c r="AO1658" s="1" t="s">
        <v>757</v>
      </c>
    </row>
    <row r="1659">
      <c r="A1659" s="5">
        <v>1.0</v>
      </c>
      <c r="B1659" s="1">
        <f t="shared" si="1"/>
        <v>1659</v>
      </c>
      <c r="C1659" s="1" t="s">
        <v>3048</v>
      </c>
      <c r="D1659" s="1" t="s">
        <v>3048</v>
      </c>
      <c r="E1659" s="1" t="s">
        <v>645</v>
      </c>
      <c r="G1659" s="1">
        <v>4.58254144E8</v>
      </c>
      <c r="H1659" s="2">
        <v>41550.0</v>
      </c>
      <c r="I1659" s="1" t="s">
        <v>710</v>
      </c>
      <c r="K1659" s="1" t="s">
        <v>710</v>
      </c>
      <c r="N1659" s="1" t="s">
        <v>647</v>
      </c>
      <c r="O1659" s="1">
        <v>1200.0</v>
      </c>
      <c r="P1659" s="1" t="s">
        <v>647</v>
      </c>
      <c r="Q1659" s="1" t="str">
        <f>IF(ISERROR(VLOOKUP(P1659,'unique fed agency names'!A:C,3,FALSE)),P1659,VLOOKUP(P1659,'unique fed agency names'!A:C,3,FALSE))
</f>
        <v>U.S. Department of Agriculture (USDA)</v>
      </c>
      <c r="R1659" s="1">
        <v>1.95837232E8</v>
      </c>
      <c r="S1659" s="1" t="s">
        <v>785</v>
      </c>
      <c r="T1659" s="1" t="str">
        <f>IF(ISERROR(VLOOKUP(S1659,'unique org names'!A:C,3,FALSE)),S1659,VLOOKUP(S1659,'unique org names'!A:C,3,FALSE))
</f>
        <v>WOLVERINE HUMAN SERVICES</v>
      </c>
      <c r="U1659" s="1" t="s">
        <v>786</v>
      </c>
      <c r="V1659" s="1" t="s">
        <v>787</v>
      </c>
      <c r="W1659" s="1" t="s">
        <v>44</v>
      </c>
      <c r="X1659" s="1" t="s">
        <v>45</v>
      </c>
      <c r="Y1659" s="1">
        <v>4.82242358E8</v>
      </c>
      <c r="AA1659" s="1" t="s">
        <v>44</v>
      </c>
      <c r="AB1659" s="1" t="s">
        <v>45</v>
      </c>
      <c r="AC1659" s="1">
        <v>4.82152667E8</v>
      </c>
      <c r="AD1659" s="1">
        <v>1.95837232E8</v>
      </c>
      <c r="AE1659" s="1" t="s">
        <v>785</v>
      </c>
      <c r="AF1659" s="1">
        <v>38392.58</v>
      </c>
      <c r="AG1659" s="2">
        <v>41550.0</v>
      </c>
      <c r="AH1659" s="1">
        <v>1200.0</v>
      </c>
      <c r="AI1659" s="1" t="s">
        <v>647</v>
      </c>
      <c r="AJ1659" s="1" t="s">
        <v>3159</v>
      </c>
      <c r="AK1659" s="1" t="s">
        <v>712</v>
      </c>
      <c r="AL1659" s="1">
        <v>1.0</v>
      </c>
      <c r="AM1659" s="1">
        <v>2015.0</v>
      </c>
      <c r="AN1659" s="1">
        <v>2014.0</v>
      </c>
      <c r="AO1659" s="1" t="s">
        <v>713</v>
      </c>
    </row>
    <row r="1660">
      <c r="A1660" s="5">
        <v>1.0</v>
      </c>
      <c r="B1660" s="1">
        <f t="shared" si="1"/>
        <v>1660</v>
      </c>
      <c r="C1660" s="1" t="s">
        <v>2995</v>
      </c>
      <c r="D1660" s="1" t="s">
        <v>2995</v>
      </c>
      <c r="E1660" s="1" t="s">
        <v>194</v>
      </c>
      <c r="G1660" s="1">
        <v>5.11731456E8</v>
      </c>
      <c r="H1660" s="2">
        <v>41691.0</v>
      </c>
      <c r="I1660" s="1" t="s">
        <v>1168</v>
      </c>
      <c r="K1660" s="1" t="s">
        <v>1168</v>
      </c>
      <c r="N1660" s="1" t="s">
        <v>194</v>
      </c>
      <c r="O1660" s="1">
        <v>9100.0</v>
      </c>
      <c r="P1660" s="1" t="s">
        <v>194</v>
      </c>
      <c r="Q1660" s="1" t="str">
        <f>IF(ISERROR(VLOOKUP(P1660,'unique fed agency names'!A:C,3,FALSE)),P1660,VLOOKUP(P1660,'unique fed agency names'!A:C,3,FALSE))
</f>
        <v>U.S. Department of Education (ED)</v>
      </c>
      <c r="R1660" s="1">
        <v>7.3832607E7</v>
      </c>
      <c r="S1660" s="1" t="s">
        <v>482</v>
      </c>
      <c r="T1660" s="1" t="str">
        <f>IF(ISERROR(VLOOKUP(S1660,'unique org names'!A:C,3,FALSE)),S1660,VLOOKUP(S1660,'unique org names'!A:C,3,FALSE))
</f>
        <v>DETROIT ACADEMY OF ARTS AND SCIENCES</v>
      </c>
      <c r="V1660" s="1" t="s">
        <v>483</v>
      </c>
      <c r="W1660" s="1" t="s">
        <v>44</v>
      </c>
      <c r="X1660" s="1" t="s">
        <v>45</v>
      </c>
      <c r="Y1660" s="1">
        <v>4.82074288E8</v>
      </c>
      <c r="AA1660" s="1" t="s">
        <v>44</v>
      </c>
      <c r="AB1660" s="1" t="s">
        <v>45</v>
      </c>
      <c r="AC1660" s="1">
        <v>4.82074288E8</v>
      </c>
      <c r="AF1660" s="1">
        <v>1139003.0</v>
      </c>
      <c r="AG1660" s="2">
        <v>41691.0</v>
      </c>
      <c r="AH1660" s="1">
        <v>9100.0</v>
      </c>
      <c r="AI1660" s="1" t="s">
        <v>194</v>
      </c>
      <c r="AJ1660" s="1" t="s">
        <v>3160</v>
      </c>
      <c r="AK1660" s="1" t="s">
        <v>1170</v>
      </c>
      <c r="AL1660" s="1">
        <v>1.0</v>
      </c>
      <c r="AM1660" s="1">
        <v>2015.0</v>
      </c>
      <c r="AN1660" s="1">
        <v>2014.0</v>
      </c>
      <c r="AO1660" s="1" t="s">
        <v>1171</v>
      </c>
    </row>
    <row r="1661">
      <c r="A1661" s="5">
        <v>1.0</v>
      </c>
      <c r="B1661" s="1">
        <f t="shared" si="1"/>
        <v>1661</v>
      </c>
      <c r="C1661" s="1" t="s">
        <v>2995</v>
      </c>
      <c r="D1661" s="1" t="s">
        <v>2995</v>
      </c>
      <c r="E1661" s="1" t="s">
        <v>194</v>
      </c>
      <c r="G1661" s="1">
        <v>5.11731456E8</v>
      </c>
      <c r="H1661" s="2">
        <v>41739.0</v>
      </c>
      <c r="I1661" s="1" t="s">
        <v>1168</v>
      </c>
      <c r="K1661" s="1" t="s">
        <v>1168</v>
      </c>
      <c r="N1661" s="1" t="s">
        <v>194</v>
      </c>
      <c r="O1661" s="1">
        <v>9100.0</v>
      </c>
      <c r="P1661" s="1" t="s">
        <v>194</v>
      </c>
      <c r="Q1661" s="1" t="str">
        <f>IF(ISERROR(VLOOKUP(P1661,'unique fed agency names'!A:C,3,FALSE)),P1661,VLOOKUP(P1661,'unique fed agency names'!A:C,3,FALSE))
</f>
        <v>U.S. Department of Education (ED)</v>
      </c>
      <c r="R1661" s="1">
        <v>8.29630537E8</v>
      </c>
      <c r="S1661" s="1" t="s">
        <v>531</v>
      </c>
      <c r="T1661" s="1" t="str">
        <f>IF(ISERROR(VLOOKUP(S1661,'unique org names'!A:C,3,FALSE)),S1661,VLOOKUP(S1661,'unique org names'!A:C,3,FALSE))
</f>
        <v>DETROIT SERVICE LEARNING ACADEMY</v>
      </c>
      <c r="U1661" s="1" t="s">
        <v>532</v>
      </c>
      <c r="V1661" s="1" t="s">
        <v>533</v>
      </c>
      <c r="W1661" s="1" t="s">
        <v>44</v>
      </c>
      <c r="X1661" s="1" t="s">
        <v>45</v>
      </c>
      <c r="Y1661" s="1">
        <v>4.8219181E8</v>
      </c>
      <c r="AA1661" s="1" t="s">
        <v>44</v>
      </c>
      <c r="AB1661" s="1" t="s">
        <v>45</v>
      </c>
      <c r="AC1661" s="1">
        <v>4.8219181E8</v>
      </c>
      <c r="AF1661" s="1">
        <v>645355.0</v>
      </c>
      <c r="AG1661" s="2">
        <v>41739.0</v>
      </c>
      <c r="AH1661" s="1">
        <v>9100.0</v>
      </c>
      <c r="AI1661" s="1" t="s">
        <v>194</v>
      </c>
      <c r="AJ1661" s="1" t="s">
        <v>3161</v>
      </c>
      <c r="AK1661" s="1" t="s">
        <v>1170</v>
      </c>
      <c r="AL1661" s="1">
        <v>1.0</v>
      </c>
      <c r="AM1661" s="1">
        <v>2015.0</v>
      </c>
      <c r="AN1661" s="1">
        <v>2014.0</v>
      </c>
      <c r="AO1661" s="1" t="s">
        <v>1171</v>
      </c>
    </row>
    <row r="1662">
      <c r="A1662" s="5">
        <v>1.0</v>
      </c>
      <c r="B1662" s="1">
        <f t="shared" si="1"/>
        <v>1662</v>
      </c>
      <c r="C1662" s="1" t="s">
        <v>3048</v>
      </c>
      <c r="D1662" s="1" t="s">
        <v>3048</v>
      </c>
      <c r="E1662" s="1" t="s">
        <v>645</v>
      </c>
      <c r="G1662" s="1">
        <v>4.58254144E8</v>
      </c>
      <c r="H1662" s="2">
        <v>41571.0</v>
      </c>
      <c r="I1662" s="1" t="s">
        <v>710</v>
      </c>
      <c r="K1662" s="1" t="s">
        <v>710</v>
      </c>
      <c r="N1662" s="1" t="s">
        <v>647</v>
      </c>
      <c r="O1662" s="1">
        <v>1200.0</v>
      </c>
      <c r="P1662" s="1" t="s">
        <v>647</v>
      </c>
      <c r="Q1662" s="1" t="str">
        <f>IF(ISERROR(VLOOKUP(P1662,'unique fed agency names'!A:C,3,FALSE)),P1662,VLOOKUP(P1662,'unique fed agency names'!A:C,3,FALSE))
</f>
        <v>U.S. Department of Agriculture (USDA)</v>
      </c>
      <c r="R1662" s="1">
        <v>9.62104118E8</v>
      </c>
      <c r="S1662" s="1" t="s">
        <v>634</v>
      </c>
      <c r="T1662" s="1" t="str">
        <f>IF(ISERROR(VLOOKUP(S1662,'unique org names'!A:C,3,FALSE)),S1662,VLOOKUP(S1662,'unique org names'!A:C,3,FALSE))
</f>
        <v>UNIVERSITY YES ACADEMY</v>
      </c>
      <c r="V1662" s="1" t="s">
        <v>635</v>
      </c>
      <c r="W1662" s="1" t="s">
        <v>44</v>
      </c>
      <c r="X1662" s="1" t="s">
        <v>45</v>
      </c>
      <c r="Y1662" s="1">
        <v>4.82351111E8</v>
      </c>
      <c r="AA1662" s="1" t="s">
        <v>46</v>
      </c>
      <c r="AB1662" s="1" t="s">
        <v>45</v>
      </c>
      <c r="AC1662" s="1">
        <v>4.82351111E8</v>
      </c>
      <c r="AF1662" s="1">
        <v>140301.47</v>
      </c>
      <c r="AG1662" s="2">
        <v>41571.0</v>
      </c>
      <c r="AH1662" s="1">
        <v>1200.0</v>
      </c>
      <c r="AI1662" s="1" t="s">
        <v>647</v>
      </c>
      <c r="AJ1662" s="1" t="s">
        <v>3162</v>
      </c>
      <c r="AK1662" s="1" t="s">
        <v>712</v>
      </c>
      <c r="AL1662" s="1">
        <v>1.0</v>
      </c>
      <c r="AM1662" s="1">
        <v>2015.0</v>
      </c>
      <c r="AN1662" s="1">
        <v>2014.0</v>
      </c>
      <c r="AO1662" s="1" t="s">
        <v>713</v>
      </c>
    </row>
    <row r="1663">
      <c r="A1663" s="5">
        <v>1.0</v>
      </c>
      <c r="B1663" s="1">
        <f t="shared" si="1"/>
        <v>1663</v>
      </c>
      <c r="C1663" s="1" t="s">
        <v>3048</v>
      </c>
      <c r="D1663" s="1" t="s">
        <v>3048</v>
      </c>
      <c r="E1663" s="1" t="s">
        <v>645</v>
      </c>
      <c r="G1663" s="1">
        <v>4.58254144E8</v>
      </c>
      <c r="H1663" s="2">
        <v>41585.0</v>
      </c>
      <c r="I1663" s="1" t="s">
        <v>710</v>
      </c>
      <c r="K1663" s="1" t="s">
        <v>710</v>
      </c>
      <c r="N1663" s="1" t="s">
        <v>647</v>
      </c>
      <c r="O1663" s="1">
        <v>1200.0</v>
      </c>
      <c r="P1663" s="1" t="s">
        <v>647</v>
      </c>
      <c r="Q1663" s="1" t="str">
        <f>IF(ISERROR(VLOOKUP(P1663,'unique fed agency names'!A:C,3,FALSE)),P1663,VLOOKUP(P1663,'unique fed agency names'!A:C,3,FALSE))
</f>
        <v>U.S. Department of Agriculture (USDA)</v>
      </c>
      <c r="R1663" s="1">
        <v>8.76992343E8</v>
      </c>
      <c r="S1663" s="1" t="s">
        <v>550</v>
      </c>
      <c r="T1663" s="1" t="str">
        <f>IF(ISERROR(VLOOKUP(S1663,'unique org names'!A:C,3,FALSE)),S1663,VLOOKUP(S1663,'unique org names'!A:C,3,FALSE))
</f>
        <v>VOYAGEUR ACADEMY</v>
      </c>
      <c r="V1663" s="1" t="s">
        <v>551</v>
      </c>
      <c r="W1663" s="1" t="s">
        <v>44</v>
      </c>
      <c r="X1663" s="1" t="s">
        <v>45</v>
      </c>
      <c r="Y1663" s="1">
        <v>4.82102451E8</v>
      </c>
      <c r="AA1663" s="1" t="s">
        <v>44</v>
      </c>
      <c r="AB1663" s="1" t="s">
        <v>45</v>
      </c>
      <c r="AC1663" s="1">
        <v>4.82102451E8</v>
      </c>
      <c r="AF1663" s="1">
        <v>32901.89</v>
      </c>
      <c r="AG1663" s="2">
        <v>41585.0</v>
      </c>
      <c r="AH1663" s="1">
        <v>1200.0</v>
      </c>
      <c r="AI1663" s="1" t="s">
        <v>647</v>
      </c>
      <c r="AJ1663" s="1" t="s">
        <v>3163</v>
      </c>
      <c r="AK1663" s="1" t="s">
        <v>712</v>
      </c>
      <c r="AL1663" s="1">
        <v>1.0</v>
      </c>
      <c r="AM1663" s="1">
        <v>2015.0</v>
      </c>
      <c r="AN1663" s="1">
        <v>2014.0</v>
      </c>
      <c r="AO1663" s="1" t="s">
        <v>713</v>
      </c>
    </row>
    <row r="1664">
      <c r="A1664" s="5">
        <v>1.0</v>
      </c>
      <c r="B1664" s="1">
        <f t="shared" si="1"/>
        <v>1664</v>
      </c>
      <c r="C1664" s="1" t="s">
        <v>3048</v>
      </c>
      <c r="D1664" s="1" t="s">
        <v>3048</v>
      </c>
      <c r="E1664" s="1" t="s">
        <v>645</v>
      </c>
      <c r="G1664" s="1">
        <v>4.58254144E8</v>
      </c>
      <c r="H1664" s="2">
        <v>41564.0</v>
      </c>
      <c r="I1664" s="1" t="s">
        <v>710</v>
      </c>
      <c r="K1664" s="1" t="s">
        <v>710</v>
      </c>
      <c r="N1664" s="1" t="s">
        <v>647</v>
      </c>
      <c r="O1664" s="1">
        <v>1200.0</v>
      </c>
      <c r="P1664" s="1" t="s">
        <v>647</v>
      </c>
      <c r="Q1664" s="1" t="str">
        <f>IF(ISERROR(VLOOKUP(P1664,'unique fed agency names'!A:C,3,FALSE)),P1664,VLOOKUP(P1664,'unique fed agency names'!A:C,3,FALSE))
</f>
        <v>U.S. Department of Agriculture (USDA)</v>
      </c>
      <c r="R1664" s="1">
        <v>9.62949843E8</v>
      </c>
      <c r="S1664" s="1" t="s">
        <v>619</v>
      </c>
      <c r="T1664" s="1" t="str">
        <f>IF(ISERROR(VLOOKUP(S1664,'unique org names'!A:C,3,FALSE)),S1664,VLOOKUP(S1664,'unique org names'!A:C,3,FALSE))
</f>
        <v>ALLEN ACADEMY</v>
      </c>
      <c r="V1664" s="1" t="s">
        <v>620</v>
      </c>
      <c r="W1664" s="1" t="s">
        <v>44</v>
      </c>
      <c r="X1664" s="1" t="s">
        <v>45</v>
      </c>
      <c r="Y1664" s="1">
        <v>4.82042306E8</v>
      </c>
      <c r="AA1664" s="1" t="s">
        <v>44</v>
      </c>
      <c r="AB1664" s="1" t="s">
        <v>45</v>
      </c>
      <c r="AC1664" s="1">
        <v>4.82042306E8</v>
      </c>
      <c r="AF1664" s="1">
        <v>355661.39</v>
      </c>
      <c r="AG1664" s="2">
        <v>41564.0</v>
      </c>
      <c r="AH1664" s="1">
        <v>1200.0</v>
      </c>
      <c r="AI1664" s="1" t="s">
        <v>647</v>
      </c>
      <c r="AJ1664" s="1" t="s">
        <v>3164</v>
      </c>
      <c r="AK1664" s="1" t="s">
        <v>712</v>
      </c>
      <c r="AL1664" s="1">
        <v>1.0</v>
      </c>
      <c r="AM1664" s="1">
        <v>2015.0</v>
      </c>
      <c r="AN1664" s="1">
        <v>2014.0</v>
      </c>
      <c r="AO1664" s="1" t="s">
        <v>713</v>
      </c>
    </row>
    <row r="1665">
      <c r="A1665" s="5">
        <v>1.0</v>
      </c>
      <c r="B1665" s="1">
        <f t="shared" si="1"/>
        <v>1665</v>
      </c>
      <c r="C1665" s="1" t="s">
        <v>3048</v>
      </c>
      <c r="D1665" s="1" t="s">
        <v>3048</v>
      </c>
      <c r="E1665" s="1" t="s">
        <v>645</v>
      </c>
      <c r="G1665" s="1">
        <v>4.58254144E8</v>
      </c>
      <c r="H1665" s="2">
        <v>41473.0</v>
      </c>
      <c r="I1665" s="1" t="s">
        <v>710</v>
      </c>
      <c r="K1665" s="1" t="s">
        <v>710</v>
      </c>
      <c r="N1665" s="1" t="s">
        <v>647</v>
      </c>
      <c r="O1665" s="1">
        <v>1200.0</v>
      </c>
      <c r="P1665" s="1" t="s">
        <v>647</v>
      </c>
      <c r="Q1665" s="1" t="str">
        <f>IF(ISERROR(VLOOKUP(P1665,'unique fed agency names'!A:C,3,FALSE)),P1665,VLOOKUP(P1665,'unique fed agency names'!A:C,3,FALSE))
</f>
        <v>U.S. Department of Agriculture (USDA)</v>
      </c>
      <c r="R1665" s="1">
        <v>7.94990296E8</v>
      </c>
      <c r="S1665" s="1" t="s">
        <v>601</v>
      </c>
      <c r="T1665" s="1" t="str">
        <f>IF(ISERROR(VLOOKUP(S1665,'unique org names'!A:C,3,FALSE)),S1665,VLOOKUP(S1665,'unique org names'!A:C,3,FALSE))
</f>
        <v>NORTHPOINTE ACADEMY</v>
      </c>
      <c r="V1665" s="1" t="s">
        <v>602</v>
      </c>
      <c r="W1665" s="1" t="s">
        <v>44</v>
      </c>
      <c r="X1665" s="1" t="s">
        <v>45</v>
      </c>
      <c r="Y1665" s="1">
        <v>4.82032827E8</v>
      </c>
      <c r="AA1665" s="1" t="s">
        <v>603</v>
      </c>
      <c r="AB1665" s="1" t="s">
        <v>45</v>
      </c>
      <c r="AC1665" s="1">
        <v>4.82032827E8</v>
      </c>
      <c r="AF1665" s="1">
        <v>48986.63</v>
      </c>
      <c r="AG1665" s="2">
        <v>41473.0</v>
      </c>
      <c r="AH1665" s="1">
        <v>1200.0</v>
      </c>
      <c r="AI1665" s="1" t="s">
        <v>647</v>
      </c>
      <c r="AJ1665" s="1" t="s">
        <v>3165</v>
      </c>
      <c r="AK1665" s="1" t="s">
        <v>712</v>
      </c>
      <c r="AL1665" s="1">
        <v>1.0</v>
      </c>
      <c r="AM1665" s="1">
        <v>2015.0</v>
      </c>
      <c r="AN1665" s="1">
        <v>2013.0</v>
      </c>
      <c r="AO1665" s="1" t="s">
        <v>713</v>
      </c>
    </row>
    <row r="1666">
      <c r="A1666" s="5">
        <v>1.0</v>
      </c>
      <c r="B1666" s="1">
        <f t="shared" si="1"/>
        <v>1666</v>
      </c>
      <c r="C1666" s="1" t="s">
        <v>3048</v>
      </c>
      <c r="D1666" s="1" t="s">
        <v>3048</v>
      </c>
      <c r="E1666" s="1" t="s">
        <v>645</v>
      </c>
      <c r="G1666" s="1">
        <v>4.58254144E8</v>
      </c>
      <c r="H1666" s="2">
        <v>41557.0</v>
      </c>
      <c r="I1666" s="1" t="s">
        <v>710</v>
      </c>
      <c r="K1666" s="1" t="s">
        <v>710</v>
      </c>
      <c r="N1666" s="1" t="s">
        <v>647</v>
      </c>
      <c r="O1666" s="1">
        <v>1200.0</v>
      </c>
      <c r="P1666" s="1" t="s">
        <v>647</v>
      </c>
      <c r="Q1666" s="1" t="str">
        <f>IF(ISERROR(VLOOKUP(P1666,'unique fed agency names'!A:C,3,FALSE)),P1666,VLOOKUP(P1666,'unique fed agency names'!A:C,3,FALSE))
</f>
        <v>U.S. Department of Agriculture (USDA)</v>
      </c>
      <c r="R1666" s="1">
        <v>8.0463354E7</v>
      </c>
      <c r="S1666" s="1" t="s">
        <v>518</v>
      </c>
      <c r="T1666" s="1" t="str">
        <f>IF(ISERROR(VLOOKUP(S1666,'unique org names'!A:C,3,FALSE)),S1666,VLOOKUP(S1666,'unique org names'!A:C,3,FALSE))
</f>
        <v>UNIVERSAL ACADEMY</v>
      </c>
      <c r="V1666" s="1" t="s">
        <v>519</v>
      </c>
      <c r="W1666" s="1" t="s">
        <v>44</v>
      </c>
      <c r="X1666" s="1" t="s">
        <v>45</v>
      </c>
      <c r="Y1666" s="1">
        <v>4.82102105E8</v>
      </c>
      <c r="AA1666" s="1" t="s">
        <v>44</v>
      </c>
      <c r="AB1666" s="1" t="s">
        <v>45</v>
      </c>
      <c r="AC1666" s="1">
        <v>4.82102105E8</v>
      </c>
      <c r="AD1666" s="1">
        <v>8.0463354E7</v>
      </c>
      <c r="AE1666" s="1" t="s">
        <v>518</v>
      </c>
      <c r="AF1666" s="1">
        <v>220714.67</v>
      </c>
      <c r="AG1666" s="2">
        <v>41557.0</v>
      </c>
      <c r="AH1666" s="1">
        <v>1200.0</v>
      </c>
      <c r="AI1666" s="1" t="s">
        <v>647</v>
      </c>
      <c r="AJ1666" s="1" t="s">
        <v>3166</v>
      </c>
      <c r="AK1666" s="1" t="s">
        <v>712</v>
      </c>
      <c r="AL1666" s="1">
        <v>1.0</v>
      </c>
      <c r="AM1666" s="1">
        <v>2015.0</v>
      </c>
      <c r="AN1666" s="1">
        <v>2014.0</v>
      </c>
      <c r="AO1666" s="1" t="s">
        <v>713</v>
      </c>
    </row>
    <row r="1667">
      <c r="A1667" s="5">
        <v>1.0</v>
      </c>
      <c r="B1667" s="1">
        <f t="shared" si="1"/>
        <v>1667</v>
      </c>
      <c r="C1667" s="1" t="s">
        <v>3048</v>
      </c>
      <c r="D1667" s="1" t="s">
        <v>3048</v>
      </c>
      <c r="E1667" s="1" t="s">
        <v>645</v>
      </c>
      <c r="G1667" s="1">
        <v>4.58254144E8</v>
      </c>
      <c r="H1667" s="2">
        <v>41550.0</v>
      </c>
      <c r="I1667" s="1" t="s">
        <v>710</v>
      </c>
      <c r="K1667" s="1" t="s">
        <v>710</v>
      </c>
      <c r="N1667" s="1" t="s">
        <v>647</v>
      </c>
      <c r="O1667" s="1">
        <v>1200.0</v>
      </c>
      <c r="P1667" s="1" t="s">
        <v>647</v>
      </c>
      <c r="Q1667" s="1" t="str">
        <f>IF(ISERROR(VLOOKUP(P1667,'unique fed agency names'!A:C,3,FALSE)),P1667,VLOOKUP(P1667,'unique fed agency names'!A:C,3,FALSE))
</f>
        <v>U.S. Department of Agriculture (USDA)</v>
      </c>
      <c r="R1667" s="1">
        <v>2.5773859E7</v>
      </c>
      <c r="S1667" s="1" t="s">
        <v>872</v>
      </c>
      <c r="T1667" s="1" t="str">
        <f>IF(ISERROR(VLOOKUP(S1667,'unique org names'!A:C,3,FALSE)),S1667,VLOOKUP(S1667,'unique org names'!A:C,3,FALSE))
</f>
        <v>HOPE ACADEMY</v>
      </c>
      <c r="V1667" s="1" t="s">
        <v>873</v>
      </c>
      <c r="W1667" s="1" t="s">
        <v>44</v>
      </c>
      <c r="X1667" s="1" t="s">
        <v>45</v>
      </c>
      <c r="Y1667" s="1">
        <v>4.82042042E8</v>
      </c>
      <c r="AA1667" s="1" t="s">
        <v>44</v>
      </c>
      <c r="AB1667" s="1" t="s">
        <v>45</v>
      </c>
      <c r="AC1667" s="1">
        <v>4.82042042E8</v>
      </c>
      <c r="AF1667" s="1">
        <v>315244.3</v>
      </c>
      <c r="AG1667" s="2">
        <v>41550.0</v>
      </c>
      <c r="AH1667" s="1">
        <v>1200.0</v>
      </c>
      <c r="AI1667" s="1" t="s">
        <v>647</v>
      </c>
      <c r="AJ1667" s="1" t="s">
        <v>3167</v>
      </c>
      <c r="AK1667" s="1" t="s">
        <v>712</v>
      </c>
      <c r="AL1667" s="1">
        <v>1.0</v>
      </c>
      <c r="AM1667" s="1">
        <v>2015.0</v>
      </c>
      <c r="AN1667" s="1">
        <v>2014.0</v>
      </c>
      <c r="AO1667" s="1" t="s">
        <v>713</v>
      </c>
    </row>
    <row r="1668">
      <c r="A1668" s="5">
        <v>1.0</v>
      </c>
      <c r="B1668" s="1">
        <f t="shared" si="1"/>
        <v>1668</v>
      </c>
      <c r="C1668" s="1" t="s">
        <v>2995</v>
      </c>
      <c r="D1668" s="1" t="s">
        <v>2995</v>
      </c>
      <c r="E1668" s="1" t="s">
        <v>194</v>
      </c>
      <c r="G1668" s="1">
        <v>5.11731456E8</v>
      </c>
      <c r="H1668" s="2">
        <v>41684.0</v>
      </c>
      <c r="I1668" s="1" t="s">
        <v>1168</v>
      </c>
      <c r="K1668" s="1" t="s">
        <v>1168</v>
      </c>
      <c r="N1668" s="1" t="s">
        <v>194</v>
      </c>
      <c r="O1668" s="1">
        <v>9100.0</v>
      </c>
      <c r="P1668" s="1" t="s">
        <v>194</v>
      </c>
      <c r="Q1668" s="1" t="str">
        <f>IF(ISERROR(VLOOKUP(P1668,'unique fed agency names'!A:C,3,FALSE)),P1668,VLOOKUP(P1668,'unique fed agency names'!A:C,3,FALSE))
</f>
        <v>U.S. Department of Education (ED)</v>
      </c>
      <c r="R1668" s="1">
        <v>8.31014068E8</v>
      </c>
      <c r="S1668" s="1" t="s">
        <v>515</v>
      </c>
      <c r="T1668" s="1" t="str">
        <f>IF(ISERROR(VLOOKUP(S1668,'unique org names'!A:C,3,FALSE)),S1668,VLOOKUP(S1668,'unique org names'!A:C,3,FALSE))
</f>
        <v>DETROIT PREMIER ACADEMY</v>
      </c>
      <c r="V1668" s="1" t="s">
        <v>516</v>
      </c>
      <c r="W1668" s="1" t="s">
        <v>44</v>
      </c>
      <c r="X1668" s="1" t="s">
        <v>45</v>
      </c>
      <c r="Y1668" s="1">
        <v>4.82283685E8</v>
      </c>
      <c r="AA1668" s="1" t="s">
        <v>46</v>
      </c>
      <c r="AB1668" s="1" t="s">
        <v>45</v>
      </c>
      <c r="AC1668" s="1">
        <v>4.82283685E8</v>
      </c>
      <c r="AD1668" s="1">
        <v>9.60742484E8</v>
      </c>
      <c r="AF1668" s="1">
        <v>543718.0</v>
      </c>
      <c r="AG1668" s="2">
        <v>41684.0</v>
      </c>
      <c r="AH1668" s="1">
        <v>9100.0</v>
      </c>
      <c r="AI1668" s="1" t="s">
        <v>194</v>
      </c>
      <c r="AJ1668" s="1" t="s">
        <v>3168</v>
      </c>
      <c r="AK1668" s="1" t="s">
        <v>1170</v>
      </c>
      <c r="AL1668" s="1">
        <v>1.0</v>
      </c>
      <c r="AM1668" s="1">
        <v>2015.0</v>
      </c>
      <c r="AN1668" s="1">
        <v>2014.0</v>
      </c>
      <c r="AO1668" s="1" t="s">
        <v>1171</v>
      </c>
    </row>
    <row r="1669">
      <c r="A1669" s="5">
        <v>1.0</v>
      </c>
      <c r="B1669" s="1">
        <f t="shared" si="1"/>
        <v>1669</v>
      </c>
      <c r="C1669" s="1" t="s">
        <v>3048</v>
      </c>
      <c r="D1669" s="1" t="s">
        <v>3048</v>
      </c>
      <c r="E1669" s="1" t="s">
        <v>645</v>
      </c>
      <c r="G1669" s="1">
        <v>4.58254144E8</v>
      </c>
      <c r="H1669" s="2">
        <v>41557.0</v>
      </c>
      <c r="I1669" s="1" t="s">
        <v>710</v>
      </c>
      <c r="K1669" s="1" t="s">
        <v>710</v>
      </c>
      <c r="N1669" s="1" t="s">
        <v>647</v>
      </c>
      <c r="O1669" s="1">
        <v>1200.0</v>
      </c>
      <c r="P1669" s="1" t="s">
        <v>647</v>
      </c>
      <c r="Q1669" s="1" t="str">
        <f>IF(ISERROR(VLOOKUP(P1669,'unique fed agency names'!A:C,3,FALSE)),P1669,VLOOKUP(P1669,'unique fed agency names'!A:C,3,FALSE))
</f>
        <v>U.S. Department of Agriculture (USDA)</v>
      </c>
      <c r="R1669" s="1">
        <v>7.93697355E8</v>
      </c>
      <c r="S1669" s="1" t="s">
        <v>691</v>
      </c>
      <c r="T1669" s="1" t="str">
        <f>IF(ISERROR(VLOOKUP(S1669,'unique org names'!A:C,3,FALSE)),S1669,VLOOKUP(S1669,'unique org names'!A:C,3,FALSE))
</f>
        <v>OAKLAND INTERNATIONAL ACADEMY</v>
      </c>
      <c r="U1669" s="1" t="s">
        <v>1194</v>
      </c>
      <c r="V1669" s="1" t="s">
        <v>692</v>
      </c>
      <c r="W1669" s="1" t="s">
        <v>44</v>
      </c>
      <c r="X1669" s="1" t="s">
        <v>45</v>
      </c>
      <c r="Y1669" s="1">
        <v>4.82111554E8</v>
      </c>
      <c r="AA1669" s="1" t="s">
        <v>44</v>
      </c>
      <c r="AB1669" s="1" t="s">
        <v>45</v>
      </c>
      <c r="AC1669" s="1">
        <v>4.82111552E8</v>
      </c>
      <c r="AF1669" s="1">
        <v>307774.79</v>
      </c>
      <c r="AG1669" s="2">
        <v>41557.0</v>
      </c>
      <c r="AH1669" s="1">
        <v>1200.0</v>
      </c>
      <c r="AI1669" s="1" t="s">
        <v>647</v>
      </c>
      <c r="AJ1669" s="1" t="s">
        <v>3169</v>
      </c>
      <c r="AK1669" s="1" t="s">
        <v>712</v>
      </c>
      <c r="AL1669" s="1">
        <v>1.0</v>
      </c>
      <c r="AM1669" s="1">
        <v>2015.0</v>
      </c>
      <c r="AN1669" s="1">
        <v>2014.0</v>
      </c>
      <c r="AO1669" s="1" t="s">
        <v>713</v>
      </c>
    </row>
    <row r="1670">
      <c r="A1670" s="5">
        <v>1.0</v>
      </c>
      <c r="B1670" s="1">
        <f t="shared" si="1"/>
        <v>1670</v>
      </c>
      <c r="C1670" s="1" t="s">
        <v>2995</v>
      </c>
      <c r="D1670" s="1" t="s">
        <v>2995</v>
      </c>
      <c r="E1670" s="1" t="s">
        <v>194</v>
      </c>
      <c r="G1670" s="1">
        <v>5.11731456E8</v>
      </c>
      <c r="H1670" s="2">
        <v>41682.0</v>
      </c>
      <c r="I1670" s="1" t="s">
        <v>1168</v>
      </c>
      <c r="K1670" s="1" t="s">
        <v>1168</v>
      </c>
      <c r="N1670" s="1" t="s">
        <v>194</v>
      </c>
      <c r="O1670" s="1">
        <v>9100.0</v>
      </c>
      <c r="P1670" s="1" t="s">
        <v>194</v>
      </c>
      <c r="Q1670" s="1" t="str">
        <f>IF(ISERROR(VLOOKUP(P1670,'unique fed agency names'!A:C,3,FALSE)),P1670,VLOOKUP(P1670,'unique fed agency names'!A:C,3,FALSE))
</f>
        <v>U.S. Department of Education (ED)</v>
      </c>
      <c r="R1670" s="1">
        <v>8.29503312E8</v>
      </c>
      <c r="S1670" s="1" t="s">
        <v>622</v>
      </c>
      <c r="T1670" s="1" t="str">
        <f>IF(ISERROR(VLOOKUP(S1670,'unique org names'!A:C,3,FALSE)),S1670,VLOOKUP(S1670,'unique org names'!A:C,3,FALSE))
</f>
        <v>GEORGE WASHINGTON CARVER ACADEMY</v>
      </c>
      <c r="V1670" s="1" t="s">
        <v>623</v>
      </c>
      <c r="W1670" s="1" t="s">
        <v>44</v>
      </c>
      <c r="X1670" s="1" t="s">
        <v>45</v>
      </c>
      <c r="Y1670" s="1">
        <v>4.82035715E8</v>
      </c>
      <c r="AA1670" s="1" t="s">
        <v>603</v>
      </c>
      <c r="AB1670" s="1" t="s">
        <v>45</v>
      </c>
      <c r="AC1670" s="1">
        <v>4.82035715E8</v>
      </c>
      <c r="AF1670" s="1">
        <v>466890.0</v>
      </c>
      <c r="AG1670" s="2">
        <v>41682.0</v>
      </c>
      <c r="AH1670" s="1">
        <v>9100.0</v>
      </c>
      <c r="AI1670" s="1" t="s">
        <v>194</v>
      </c>
      <c r="AJ1670" s="1" t="s">
        <v>3170</v>
      </c>
      <c r="AK1670" s="1" t="s">
        <v>1170</v>
      </c>
      <c r="AL1670" s="1">
        <v>1.0</v>
      </c>
      <c r="AM1670" s="1">
        <v>2015.0</v>
      </c>
      <c r="AN1670" s="1">
        <v>2014.0</v>
      </c>
      <c r="AO1670" s="1" t="s">
        <v>1171</v>
      </c>
    </row>
    <row r="1671">
      <c r="A1671" s="5">
        <v>1.0</v>
      </c>
      <c r="B1671" s="1">
        <f t="shared" si="1"/>
        <v>1671</v>
      </c>
      <c r="C1671" s="1" t="s">
        <v>3048</v>
      </c>
      <c r="D1671" s="1" t="s">
        <v>3048</v>
      </c>
      <c r="E1671" s="1" t="s">
        <v>645</v>
      </c>
      <c r="G1671" s="1">
        <v>4.58254144E8</v>
      </c>
      <c r="H1671" s="2">
        <v>41578.0</v>
      </c>
      <c r="I1671" s="1" t="s">
        <v>710</v>
      </c>
      <c r="K1671" s="1" t="s">
        <v>710</v>
      </c>
      <c r="N1671" s="1" t="s">
        <v>647</v>
      </c>
      <c r="O1671" s="1">
        <v>1200.0</v>
      </c>
      <c r="P1671" s="1" t="s">
        <v>647</v>
      </c>
      <c r="Q1671" s="1" t="str">
        <f>IF(ISERROR(VLOOKUP(P1671,'unique fed agency names'!A:C,3,FALSE)),P1671,VLOOKUP(P1671,'unique fed agency names'!A:C,3,FALSE))
</f>
        <v>U.S. Department of Agriculture (USDA)</v>
      </c>
      <c r="R1671" s="1">
        <v>7.97531279E8</v>
      </c>
      <c r="S1671" s="1" t="s">
        <v>496</v>
      </c>
      <c r="T1671" s="1" t="str">
        <f>IF(ISERROR(VLOOKUP(S1671,'unique org names'!A:C,3,FALSE)),S1671,VLOOKUP(S1671,'unique org names'!A:C,3,FALSE))
</f>
        <v>BRIDGE ACADEMY</v>
      </c>
      <c r="V1671" s="1" t="s">
        <v>497</v>
      </c>
      <c r="W1671" s="1" t="s">
        <v>44</v>
      </c>
      <c r="X1671" s="1" t="s">
        <v>45</v>
      </c>
      <c r="Y1671" s="1">
        <v>4.82123323E8</v>
      </c>
      <c r="AA1671" s="1" t="s">
        <v>498</v>
      </c>
      <c r="AB1671" s="1" t="s">
        <v>45</v>
      </c>
      <c r="AC1671" s="1">
        <v>4.82123323E8</v>
      </c>
      <c r="AF1671" s="1">
        <v>103969.88</v>
      </c>
      <c r="AG1671" s="2">
        <v>41578.0</v>
      </c>
      <c r="AH1671" s="1">
        <v>1200.0</v>
      </c>
      <c r="AI1671" s="1" t="s">
        <v>647</v>
      </c>
      <c r="AJ1671" s="1" t="s">
        <v>3171</v>
      </c>
      <c r="AK1671" s="1" t="s">
        <v>712</v>
      </c>
      <c r="AL1671" s="1">
        <v>1.0</v>
      </c>
      <c r="AM1671" s="1">
        <v>2015.0</v>
      </c>
      <c r="AN1671" s="1">
        <v>2014.0</v>
      </c>
      <c r="AO1671" s="1" t="s">
        <v>713</v>
      </c>
    </row>
    <row r="1672">
      <c r="A1672" s="5">
        <v>1.0</v>
      </c>
      <c r="B1672" s="1">
        <f t="shared" si="1"/>
        <v>1672</v>
      </c>
      <c r="C1672" s="1" t="s">
        <v>2995</v>
      </c>
      <c r="D1672" s="1" t="s">
        <v>2995</v>
      </c>
      <c r="E1672" s="1" t="s">
        <v>194</v>
      </c>
      <c r="G1672" s="1">
        <v>5.11731456E8</v>
      </c>
      <c r="H1672" s="2">
        <v>41739.0</v>
      </c>
      <c r="I1672" s="1" t="s">
        <v>1168</v>
      </c>
      <c r="K1672" s="1" t="s">
        <v>1168</v>
      </c>
      <c r="N1672" s="1" t="s">
        <v>194</v>
      </c>
      <c r="O1672" s="1">
        <v>9100.0</v>
      </c>
      <c r="P1672" s="1" t="s">
        <v>194</v>
      </c>
      <c r="Q1672" s="1" t="str">
        <f>IF(ISERROR(VLOOKUP(P1672,'unique fed agency names'!A:C,3,FALSE)),P1672,VLOOKUP(P1672,'unique fed agency names'!A:C,3,FALSE))
</f>
        <v>U.S. Department of Education (ED)</v>
      </c>
      <c r="R1672" s="1">
        <v>7.8577051E7</v>
      </c>
      <c r="S1672" s="1" t="s">
        <v>1680</v>
      </c>
      <c r="T1672" s="1" t="str">
        <f>IF(ISERROR(VLOOKUP(S1672,'unique org names'!A:C,3,FALSE)),S1672,VLOOKUP(S1672,'unique org names'!A:C,3,FALSE))
</f>
        <v>International Preparatory Academy</v>
      </c>
      <c r="V1672" s="1" t="s">
        <v>1681</v>
      </c>
      <c r="W1672" s="1" t="s">
        <v>44</v>
      </c>
      <c r="X1672" s="1" t="s">
        <v>45</v>
      </c>
      <c r="Y1672" s="1">
        <v>4.82211457E8</v>
      </c>
      <c r="AA1672" s="1" t="s">
        <v>46</v>
      </c>
      <c r="AB1672" s="1" t="s">
        <v>45</v>
      </c>
      <c r="AC1672" s="1">
        <v>4.82211457E8</v>
      </c>
      <c r="AF1672" s="1">
        <v>516048.0</v>
      </c>
      <c r="AG1672" s="2">
        <v>41739.0</v>
      </c>
      <c r="AH1672" s="1">
        <v>9100.0</v>
      </c>
      <c r="AI1672" s="1" t="s">
        <v>194</v>
      </c>
      <c r="AJ1672" s="1" t="s">
        <v>3172</v>
      </c>
      <c r="AK1672" s="1" t="s">
        <v>3000</v>
      </c>
      <c r="AL1672" s="1">
        <v>1.0</v>
      </c>
      <c r="AM1672" s="1">
        <v>2015.0</v>
      </c>
      <c r="AN1672" s="1">
        <v>2014.0</v>
      </c>
      <c r="AO1672" s="1" t="s">
        <v>1171</v>
      </c>
    </row>
    <row r="1673">
      <c r="A1673" s="5">
        <v>1.0</v>
      </c>
      <c r="B1673" s="1">
        <f t="shared" si="1"/>
        <v>1673</v>
      </c>
      <c r="C1673" s="1" t="s">
        <v>3048</v>
      </c>
      <c r="D1673" s="1" t="s">
        <v>3048</v>
      </c>
      <c r="E1673" s="1" t="s">
        <v>645</v>
      </c>
      <c r="G1673" s="1">
        <v>4.58254144E8</v>
      </c>
      <c r="H1673" s="2">
        <v>41557.0</v>
      </c>
      <c r="I1673" s="1" t="s">
        <v>710</v>
      </c>
      <c r="K1673" s="1" t="s">
        <v>710</v>
      </c>
      <c r="N1673" s="1" t="s">
        <v>647</v>
      </c>
      <c r="O1673" s="1">
        <v>1200.0</v>
      </c>
      <c r="P1673" s="1" t="s">
        <v>647</v>
      </c>
      <c r="Q1673" s="1" t="str">
        <f>IF(ISERROR(VLOOKUP(P1673,'unique fed agency names'!A:C,3,FALSE)),P1673,VLOOKUP(P1673,'unique fed agency names'!A:C,3,FALSE))
</f>
        <v>U.S. Department of Agriculture (USDA)</v>
      </c>
      <c r="R1673" s="1">
        <v>1.68568132E8</v>
      </c>
      <c r="S1673" s="1" t="s">
        <v>588</v>
      </c>
      <c r="T1673" s="1" t="str">
        <f>IF(ISERROR(VLOOKUP(S1673,'unique org names'!A:C,3,FALSE)),S1673,VLOOKUP(S1673,'unique org names'!A:C,3,FALSE))
</f>
        <v>DETROIT ENTERPRISE ACADEMY</v>
      </c>
      <c r="V1673" s="1" t="s">
        <v>589</v>
      </c>
      <c r="W1673" s="1" t="s">
        <v>44</v>
      </c>
      <c r="X1673" s="1" t="s">
        <v>45</v>
      </c>
      <c r="Y1673" s="1">
        <v>4.82143323E8</v>
      </c>
      <c r="AA1673" s="1" t="s">
        <v>44</v>
      </c>
      <c r="AB1673" s="1" t="s">
        <v>45</v>
      </c>
      <c r="AC1673" s="1">
        <v>4.82143323E8</v>
      </c>
      <c r="AD1673" s="1">
        <v>9.60742484E8</v>
      </c>
      <c r="AF1673" s="1">
        <v>27951.49</v>
      </c>
      <c r="AG1673" s="2">
        <v>41557.0</v>
      </c>
      <c r="AH1673" s="1">
        <v>1200.0</v>
      </c>
      <c r="AI1673" s="1" t="s">
        <v>647</v>
      </c>
      <c r="AJ1673" s="1" t="s">
        <v>3173</v>
      </c>
      <c r="AK1673" s="1" t="s">
        <v>712</v>
      </c>
      <c r="AL1673" s="1">
        <v>1.0</v>
      </c>
      <c r="AM1673" s="1">
        <v>2015.0</v>
      </c>
      <c r="AN1673" s="1">
        <v>2014.0</v>
      </c>
      <c r="AO1673" s="1" t="s">
        <v>713</v>
      </c>
    </row>
    <row r="1674">
      <c r="A1674" s="5">
        <v>1.0</v>
      </c>
      <c r="B1674" s="1">
        <f t="shared" si="1"/>
        <v>1674</v>
      </c>
      <c r="C1674" s="1" t="s">
        <v>2995</v>
      </c>
      <c r="D1674" s="1" t="s">
        <v>2995</v>
      </c>
      <c r="E1674" s="1" t="s">
        <v>194</v>
      </c>
      <c r="G1674" s="1">
        <v>5.11731456E8</v>
      </c>
      <c r="H1674" s="2">
        <v>41682.0</v>
      </c>
      <c r="I1674" s="1" t="s">
        <v>1168</v>
      </c>
      <c r="K1674" s="1" t="s">
        <v>1168</v>
      </c>
      <c r="N1674" s="1" t="s">
        <v>194</v>
      </c>
      <c r="O1674" s="1">
        <v>9100.0</v>
      </c>
      <c r="P1674" s="1" t="s">
        <v>194</v>
      </c>
      <c r="Q1674" s="1" t="str">
        <f>IF(ISERROR(VLOOKUP(P1674,'unique fed agency names'!A:C,3,FALSE)),P1674,VLOOKUP(P1674,'unique fed agency names'!A:C,3,FALSE))
</f>
        <v>U.S. Department of Education (ED)</v>
      </c>
      <c r="R1674" s="1">
        <v>8.30792151E8</v>
      </c>
      <c r="S1674" s="1" t="s">
        <v>594</v>
      </c>
      <c r="T1674" s="1" t="str">
        <f>IF(ISERROR(VLOOKUP(S1674,'unique org names'!A:C,3,FALSE)),S1674,VLOOKUP(S1674,'unique org names'!A:C,3,FALSE))
</f>
        <v>FLAGSHIP CHARTER ACADEMY</v>
      </c>
      <c r="V1674" s="1" t="s">
        <v>596</v>
      </c>
      <c r="W1674" s="1" t="s">
        <v>44</v>
      </c>
      <c r="X1674" s="1" t="s">
        <v>45</v>
      </c>
      <c r="Y1674" s="1">
        <v>4.82382356E8</v>
      </c>
      <c r="AA1674" s="1" t="s">
        <v>44</v>
      </c>
      <c r="AB1674" s="1" t="s">
        <v>45</v>
      </c>
      <c r="AC1674" s="1">
        <v>4.82382356E8</v>
      </c>
      <c r="AD1674" s="1">
        <v>9.60742484E8</v>
      </c>
      <c r="AF1674" s="1">
        <v>549571.0</v>
      </c>
      <c r="AG1674" s="2">
        <v>41682.0</v>
      </c>
      <c r="AH1674" s="1">
        <v>9100.0</v>
      </c>
      <c r="AI1674" s="1" t="s">
        <v>194</v>
      </c>
      <c r="AJ1674" s="1" t="s">
        <v>3174</v>
      </c>
      <c r="AK1674" s="1" t="s">
        <v>1170</v>
      </c>
      <c r="AL1674" s="1">
        <v>1.0</v>
      </c>
      <c r="AM1674" s="1">
        <v>2015.0</v>
      </c>
      <c r="AN1674" s="1">
        <v>2014.0</v>
      </c>
      <c r="AO1674" s="1" t="s">
        <v>1171</v>
      </c>
    </row>
    <row r="1675">
      <c r="A1675" s="5">
        <v>1.0</v>
      </c>
      <c r="B1675" s="1">
        <f t="shared" si="1"/>
        <v>1675</v>
      </c>
      <c r="C1675" s="1" t="s">
        <v>3048</v>
      </c>
      <c r="D1675" s="1" t="s">
        <v>3048</v>
      </c>
      <c r="E1675" s="1" t="s">
        <v>645</v>
      </c>
      <c r="G1675" s="1">
        <v>4.58254144E8</v>
      </c>
      <c r="H1675" s="2">
        <v>41620.0</v>
      </c>
      <c r="I1675" s="1" t="s">
        <v>710</v>
      </c>
      <c r="K1675" s="1" t="s">
        <v>710</v>
      </c>
      <c r="N1675" s="1" t="s">
        <v>647</v>
      </c>
      <c r="O1675" s="1">
        <v>1200.0</v>
      </c>
      <c r="P1675" s="1" t="s">
        <v>647</v>
      </c>
      <c r="Q1675" s="1" t="str">
        <f>IF(ISERROR(VLOOKUP(P1675,'unique fed agency names'!A:C,3,FALSE)),P1675,VLOOKUP(P1675,'unique fed agency names'!A:C,3,FALSE))
</f>
        <v>U.S. Department of Agriculture (USDA)</v>
      </c>
      <c r="R1675" s="1">
        <v>3.0098093E7</v>
      </c>
      <c r="S1675" s="1" t="s">
        <v>816</v>
      </c>
      <c r="T1675" s="1" t="str">
        <f>IF(ISERROR(VLOOKUP(S1675,'unique org names'!A:C,3,FALSE)),S1675,VLOOKUP(S1675,'unique org names'!A:C,3,FALSE))
</f>
        <v>Growing Minds Learning Center</v>
      </c>
      <c r="V1675" s="1" t="s">
        <v>817</v>
      </c>
      <c r="W1675" s="1" t="s">
        <v>44</v>
      </c>
      <c r="X1675" s="1" t="s">
        <v>45</v>
      </c>
      <c r="Y1675" s="1">
        <v>4.82243226E8</v>
      </c>
      <c r="AA1675" s="1" t="s">
        <v>44</v>
      </c>
      <c r="AB1675" s="1" t="s">
        <v>45</v>
      </c>
      <c r="AC1675" s="1">
        <v>4.82243226E8</v>
      </c>
      <c r="AF1675" s="1">
        <v>51948.82</v>
      </c>
      <c r="AG1675" s="2">
        <v>41620.0</v>
      </c>
      <c r="AH1675" s="1">
        <v>1200.0</v>
      </c>
      <c r="AI1675" s="1" t="s">
        <v>647</v>
      </c>
      <c r="AJ1675" s="1" t="s">
        <v>3175</v>
      </c>
      <c r="AK1675" s="1" t="s">
        <v>712</v>
      </c>
      <c r="AL1675" s="1">
        <v>1.0</v>
      </c>
      <c r="AM1675" s="1">
        <v>2015.0</v>
      </c>
      <c r="AN1675" s="1">
        <v>2014.0</v>
      </c>
      <c r="AO1675" s="1" t="s">
        <v>713</v>
      </c>
    </row>
    <row r="1676">
      <c r="A1676" s="5">
        <v>1.0</v>
      </c>
      <c r="B1676" s="1">
        <f t="shared" si="1"/>
        <v>1676</v>
      </c>
      <c r="C1676" s="1" t="s">
        <v>3048</v>
      </c>
      <c r="D1676" s="1" t="s">
        <v>3048</v>
      </c>
      <c r="E1676" s="1" t="s">
        <v>645</v>
      </c>
      <c r="G1676" s="1">
        <v>4.58254144E8</v>
      </c>
      <c r="H1676" s="2">
        <v>41571.0</v>
      </c>
      <c r="I1676" s="1" t="s">
        <v>710</v>
      </c>
      <c r="K1676" s="1" t="s">
        <v>710</v>
      </c>
      <c r="N1676" s="1" t="s">
        <v>647</v>
      </c>
      <c r="O1676" s="1">
        <v>1200.0</v>
      </c>
      <c r="P1676" s="1" t="s">
        <v>647</v>
      </c>
      <c r="Q1676" s="1" t="str">
        <f>IF(ISERROR(VLOOKUP(P1676,'unique fed agency names'!A:C,3,FALSE)),P1676,VLOOKUP(P1676,'unique fed agency names'!A:C,3,FALSE))
</f>
        <v>U.S. Department of Agriculture (USDA)</v>
      </c>
      <c r="R1676" s="1">
        <v>1.52807538E8</v>
      </c>
      <c r="S1676" s="1" t="s">
        <v>591</v>
      </c>
      <c r="T1676" s="1" t="str">
        <f>IF(ISERROR(VLOOKUP(S1676,'unique org names'!A:C,3,FALSE)),S1676,VLOOKUP(S1676,'unique org names'!A:C,3,FALSE))
</f>
        <v>WESTON TECHNICAL ACADEMY</v>
      </c>
      <c r="V1676" s="1" t="s">
        <v>592</v>
      </c>
      <c r="W1676" s="1" t="s">
        <v>44</v>
      </c>
      <c r="X1676" s="1" t="s">
        <v>45</v>
      </c>
      <c r="Y1676" s="1">
        <v>4.82191161E8</v>
      </c>
      <c r="AA1676" s="1" t="s">
        <v>44</v>
      </c>
      <c r="AB1676" s="1" t="s">
        <v>45</v>
      </c>
      <c r="AC1676" s="1">
        <v>4.82191161E8</v>
      </c>
      <c r="AF1676" s="1">
        <v>100821.86</v>
      </c>
      <c r="AG1676" s="2">
        <v>41571.0</v>
      </c>
      <c r="AH1676" s="1">
        <v>1200.0</v>
      </c>
      <c r="AI1676" s="1" t="s">
        <v>647</v>
      </c>
      <c r="AJ1676" s="1" t="s">
        <v>3176</v>
      </c>
      <c r="AK1676" s="1" t="s">
        <v>712</v>
      </c>
      <c r="AL1676" s="1">
        <v>1.0</v>
      </c>
      <c r="AM1676" s="1">
        <v>2015.0</v>
      </c>
      <c r="AN1676" s="1">
        <v>2014.0</v>
      </c>
      <c r="AO1676" s="1" t="s">
        <v>713</v>
      </c>
    </row>
    <row r="1677">
      <c r="A1677" s="5">
        <v>1.0</v>
      </c>
      <c r="B1677" s="1">
        <f t="shared" si="1"/>
        <v>1677</v>
      </c>
      <c r="C1677" s="1" t="s">
        <v>3048</v>
      </c>
      <c r="D1677" s="1" t="s">
        <v>3048</v>
      </c>
      <c r="E1677" s="1" t="s">
        <v>645</v>
      </c>
      <c r="G1677" s="1">
        <v>4.58254144E8</v>
      </c>
      <c r="H1677" s="2">
        <v>41550.0</v>
      </c>
      <c r="I1677" s="1" t="s">
        <v>710</v>
      </c>
      <c r="K1677" s="1" t="s">
        <v>710</v>
      </c>
      <c r="N1677" s="1" t="s">
        <v>647</v>
      </c>
      <c r="O1677" s="1">
        <v>1200.0</v>
      </c>
      <c r="P1677" s="1" t="s">
        <v>647</v>
      </c>
      <c r="Q1677" s="1" t="str">
        <f>IF(ISERROR(VLOOKUP(P1677,'unique fed agency names'!A:C,3,FALSE)),P1677,VLOOKUP(P1677,'unique fed agency names'!A:C,3,FALSE))
</f>
        <v>U.S. Department of Agriculture (USDA)</v>
      </c>
      <c r="R1677" s="1">
        <v>7.0381949E7</v>
      </c>
      <c r="S1677" s="1" t="s">
        <v>605</v>
      </c>
      <c r="T1677" s="1" t="str">
        <f>IF(ISERROR(VLOOKUP(S1677,'unique org names'!A:C,3,FALSE)),S1677,VLOOKUP(S1677,'unique org names'!A:C,3,FALSE))
</f>
        <v>Liberty Caniff Academy</v>
      </c>
      <c r="V1677" s="1" t="s">
        <v>606</v>
      </c>
      <c r="W1677" s="1" t="s">
        <v>44</v>
      </c>
      <c r="X1677" s="1" t="s">
        <v>45</v>
      </c>
      <c r="Y1677" s="1">
        <v>4.82123033E8</v>
      </c>
      <c r="AA1677" s="1" t="s">
        <v>607</v>
      </c>
      <c r="AB1677" s="1" t="s">
        <v>45</v>
      </c>
      <c r="AC1677" s="1">
        <v>4.82123033E8</v>
      </c>
      <c r="AF1677" s="1">
        <v>31216.45</v>
      </c>
      <c r="AG1677" s="2">
        <v>41550.0</v>
      </c>
      <c r="AH1677" s="1">
        <v>1200.0</v>
      </c>
      <c r="AI1677" s="1" t="s">
        <v>647</v>
      </c>
      <c r="AJ1677" s="1" t="s">
        <v>3177</v>
      </c>
      <c r="AK1677" s="1" t="s">
        <v>712</v>
      </c>
      <c r="AL1677" s="1">
        <v>1.0</v>
      </c>
      <c r="AM1677" s="1">
        <v>2015.0</v>
      </c>
      <c r="AN1677" s="1">
        <v>2014.0</v>
      </c>
      <c r="AO1677" s="1" t="s">
        <v>713</v>
      </c>
    </row>
    <row r="1678">
      <c r="A1678" s="5">
        <v>1.0</v>
      </c>
      <c r="B1678" s="1">
        <f t="shared" si="1"/>
        <v>1678</v>
      </c>
      <c r="C1678" s="1" t="s">
        <v>3048</v>
      </c>
      <c r="D1678" s="1" t="s">
        <v>3048</v>
      </c>
      <c r="E1678" s="1" t="s">
        <v>645</v>
      </c>
      <c r="G1678" s="1">
        <v>4.58254144E8</v>
      </c>
      <c r="H1678" s="2">
        <v>41620.0</v>
      </c>
      <c r="I1678" s="1" t="s">
        <v>710</v>
      </c>
      <c r="K1678" s="1" t="s">
        <v>710</v>
      </c>
      <c r="N1678" s="1" t="s">
        <v>647</v>
      </c>
      <c r="O1678" s="1">
        <v>1200.0</v>
      </c>
      <c r="P1678" s="1" t="s">
        <v>647</v>
      </c>
      <c r="Q1678" s="1" t="str">
        <f>IF(ISERROR(VLOOKUP(P1678,'unique fed agency names'!A:C,3,FALSE)),P1678,VLOOKUP(P1678,'unique fed agency names'!A:C,3,FALSE))
</f>
        <v>U.S. Department of Agriculture (USDA)</v>
      </c>
      <c r="R1678" s="1">
        <v>5.57263386E8</v>
      </c>
      <c r="S1678" s="1" t="s">
        <v>727</v>
      </c>
      <c r="T1678" s="1" t="str">
        <f>IF(ISERROR(VLOOKUP(S1678,'unique org names'!A:C,3,FALSE)),S1678,VLOOKUP(S1678,'unique org names'!A:C,3,FALSE))
</f>
        <v>LITTLE SCHOLARS DAY CARE</v>
      </c>
      <c r="V1678" s="1" t="s">
        <v>728</v>
      </c>
      <c r="W1678" s="1" t="s">
        <v>44</v>
      </c>
      <c r="X1678" s="1" t="s">
        <v>45</v>
      </c>
      <c r="Y1678" s="1">
        <v>4.82231703E8</v>
      </c>
      <c r="AA1678" s="1" t="s">
        <v>44</v>
      </c>
      <c r="AB1678" s="1" t="s">
        <v>45</v>
      </c>
      <c r="AC1678" s="1">
        <v>4.82231703E8</v>
      </c>
      <c r="AF1678" s="1">
        <v>56810.31</v>
      </c>
      <c r="AG1678" s="2">
        <v>41620.0</v>
      </c>
      <c r="AH1678" s="1">
        <v>1200.0</v>
      </c>
      <c r="AI1678" s="1" t="s">
        <v>647</v>
      </c>
      <c r="AJ1678" s="1" t="s">
        <v>3178</v>
      </c>
      <c r="AK1678" s="1" t="s">
        <v>712</v>
      </c>
      <c r="AL1678" s="1">
        <v>1.0</v>
      </c>
      <c r="AM1678" s="1">
        <v>2015.0</v>
      </c>
      <c r="AN1678" s="1">
        <v>2014.0</v>
      </c>
      <c r="AO1678" s="1" t="s">
        <v>713</v>
      </c>
    </row>
    <row r="1679">
      <c r="A1679" s="5">
        <v>1.0</v>
      </c>
      <c r="B1679" s="1">
        <f t="shared" si="1"/>
        <v>1679</v>
      </c>
      <c r="C1679" s="1" t="s">
        <v>3048</v>
      </c>
      <c r="D1679" s="1" t="s">
        <v>3048</v>
      </c>
      <c r="E1679" s="1" t="s">
        <v>645</v>
      </c>
      <c r="G1679" s="1">
        <v>4.58254144E8</v>
      </c>
      <c r="H1679" s="2">
        <v>41578.0</v>
      </c>
      <c r="I1679" s="1" t="s">
        <v>710</v>
      </c>
      <c r="K1679" s="1" t="s">
        <v>710</v>
      </c>
      <c r="N1679" s="1" t="s">
        <v>647</v>
      </c>
      <c r="O1679" s="1">
        <v>1200.0</v>
      </c>
      <c r="P1679" s="1" t="s">
        <v>647</v>
      </c>
      <c r="Q1679" s="1" t="str">
        <f>IF(ISERROR(VLOOKUP(P1679,'unique fed agency names'!A:C,3,FALSE)),P1679,VLOOKUP(P1679,'unique fed agency names'!A:C,3,FALSE))
</f>
        <v>U.S. Department of Agriculture (USDA)</v>
      </c>
      <c r="R1679" s="1">
        <v>7.97531295E8</v>
      </c>
      <c r="S1679" s="1" t="s">
        <v>582</v>
      </c>
      <c r="T1679" s="1" t="str">
        <f>IF(ISERROR(VLOOKUP(S1679,'unique org names'!A:C,3,FALSE)),S1679,VLOOKUP(S1679,'unique org names'!A:C,3,FALSE))
</f>
        <v>FRONTIER INTERNATIONAL ACADEMY, THE</v>
      </c>
      <c r="V1679" s="1" t="s">
        <v>583</v>
      </c>
      <c r="W1679" s="1" t="s">
        <v>44</v>
      </c>
      <c r="X1679" s="1" t="s">
        <v>45</v>
      </c>
      <c r="Y1679" s="1">
        <v>4.82123452E8</v>
      </c>
      <c r="AA1679" s="1" t="s">
        <v>44</v>
      </c>
      <c r="AB1679" s="1" t="s">
        <v>45</v>
      </c>
      <c r="AC1679" s="1">
        <v>4.82123452E8</v>
      </c>
      <c r="AF1679" s="1">
        <v>160039.18</v>
      </c>
      <c r="AG1679" s="2">
        <v>41578.0</v>
      </c>
      <c r="AH1679" s="1">
        <v>1200.0</v>
      </c>
      <c r="AI1679" s="1" t="s">
        <v>647</v>
      </c>
      <c r="AJ1679" s="1" t="s">
        <v>3179</v>
      </c>
      <c r="AK1679" s="1" t="s">
        <v>712</v>
      </c>
      <c r="AL1679" s="1">
        <v>1.0</v>
      </c>
      <c r="AM1679" s="1">
        <v>2015.0</v>
      </c>
      <c r="AN1679" s="1">
        <v>2014.0</v>
      </c>
      <c r="AO1679" s="1" t="s">
        <v>713</v>
      </c>
    </row>
    <row r="1680">
      <c r="A1680" s="5">
        <v>1.0</v>
      </c>
      <c r="B1680" s="1">
        <f t="shared" si="1"/>
        <v>1680</v>
      </c>
      <c r="C1680" s="1" t="s">
        <v>3048</v>
      </c>
      <c r="D1680" s="1" t="s">
        <v>3048</v>
      </c>
      <c r="E1680" s="1" t="s">
        <v>645</v>
      </c>
      <c r="G1680" s="1">
        <v>4.58254144E8</v>
      </c>
      <c r="H1680" s="2">
        <v>41564.0</v>
      </c>
      <c r="I1680" s="1" t="s">
        <v>710</v>
      </c>
      <c r="K1680" s="1" t="s">
        <v>710</v>
      </c>
      <c r="N1680" s="1" t="s">
        <v>647</v>
      </c>
      <c r="O1680" s="1">
        <v>1200.0</v>
      </c>
      <c r="P1680" s="1" t="s">
        <v>647</v>
      </c>
      <c r="Q1680" s="1" t="str">
        <f>IF(ISERROR(VLOOKUP(P1680,'unique fed agency names'!A:C,3,FALSE)),P1680,VLOOKUP(P1680,'unique fed agency names'!A:C,3,FALSE))
</f>
        <v>U.S. Department of Agriculture (USDA)</v>
      </c>
      <c r="R1680" s="1">
        <v>5.2874042E7</v>
      </c>
      <c r="S1680" s="1" t="s">
        <v>538</v>
      </c>
      <c r="T1680" s="1" t="str">
        <f>IF(ISERROR(VLOOKUP(S1680,'unique org names'!A:C,3,FALSE)),S1680,VLOOKUP(S1680,'unique org names'!A:C,3,FALSE))
</f>
        <v>CESAR CHAVEZ ACADEMY</v>
      </c>
      <c r="V1680" s="1" t="s">
        <v>539</v>
      </c>
      <c r="W1680" s="1" t="s">
        <v>44</v>
      </c>
      <c r="X1680" s="1" t="s">
        <v>45</v>
      </c>
      <c r="Y1680" s="1">
        <v>4.82091524E8</v>
      </c>
      <c r="AA1680" s="1" t="s">
        <v>44</v>
      </c>
      <c r="AB1680" s="1" t="s">
        <v>45</v>
      </c>
      <c r="AC1680" s="1">
        <v>4.82091524E8</v>
      </c>
      <c r="AF1680" s="1">
        <v>127471.44</v>
      </c>
      <c r="AG1680" s="2">
        <v>41564.0</v>
      </c>
      <c r="AH1680" s="1">
        <v>1200.0</v>
      </c>
      <c r="AI1680" s="1" t="s">
        <v>647</v>
      </c>
      <c r="AJ1680" s="1" t="s">
        <v>3180</v>
      </c>
      <c r="AK1680" s="1" t="s">
        <v>712</v>
      </c>
      <c r="AL1680" s="1">
        <v>1.0</v>
      </c>
      <c r="AM1680" s="1">
        <v>2015.0</v>
      </c>
      <c r="AN1680" s="1">
        <v>2014.0</v>
      </c>
      <c r="AO1680" s="1" t="s">
        <v>713</v>
      </c>
    </row>
    <row r="1681">
      <c r="A1681" s="5">
        <v>1.0</v>
      </c>
      <c r="B1681" s="1">
        <f t="shared" si="1"/>
        <v>1681</v>
      </c>
      <c r="C1681" s="1" t="s">
        <v>3048</v>
      </c>
      <c r="D1681" s="1" t="s">
        <v>3048</v>
      </c>
      <c r="E1681" s="1" t="s">
        <v>645</v>
      </c>
      <c r="G1681" s="1">
        <v>4.58254144E8</v>
      </c>
      <c r="H1681" s="2">
        <v>41557.0</v>
      </c>
      <c r="I1681" s="1" t="s">
        <v>710</v>
      </c>
      <c r="K1681" s="1" t="s">
        <v>710</v>
      </c>
      <c r="N1681" s="1" t="s">
        <v>647</v>
      </c>
      <c r="O1681" s="1">
        <v>1200.0</v>
      </c>
      <c r="P1681" s="1" t="s">
        <v>647</v>
      </c>
      <c r="Q1681" s="1" t="str">
        <f>IF(ISERROR(VLOOKUP(P1681,'unique fed agency names'!A:C,3,FALSE)),P1681,VLOOKUP(P1681,'unique fed agency names'!A:C,3,FALSE))
</f>
        <v>U.S. Department of Agriculture (USDA)</v>
      </c>
      <c r="R1681" s="1">
        <v>3537326.0</v>
      </c>
      <c r="S1681" s="1" t="s">
        <v>560</v>
      </c>
      <c r="T1681" s="1" t="str">
        <f>IF(ISERROR(VLOOKUP(S1681,'unique org names'!A:C,3,FALSE)),S1681,VLOOKUP(S1681,'unique org names'!A:C,3,FALSE))
</f>
        <v>COMMONWEALTH COMMUNITY DEVELOPMENT ACADEMY</v>
      </c>
      <c r="V1681" s="1" t="s">
        <v>561</v>
      </c>
      <c r="W1681" s="1" t="s">
        <v>44</v>
      </c>
      <c r="X1681" s="1" t="s">
        <v>45</v>
      </c>
      <c r="Y1681" s="1">
        <v>4.8212177E8</v>
      </c>
      <c r="AA1681" s="1" t="s">
        <v>498</v>
      </c>
      <c r="AB1681" s="1" t="s">
        <v>45</v>
      </c>
      <c r="AC1681" s="1">
        <v>4.82121754E8</v>
      </c>
      <c r="AD1681" s="1">
        <v>3537326.0</v>
      </c>
      <c r="AE1681" s="1" t="s">
        <v>560</v>
      </c>
      <c r="AF1681" s="1">
        <v>34595.68</v>
      </c>
      <c r="AG1681" s="2">
        <v>41557.0</v>
      </c>
      <c r="AH1681" s="1">
        <v>1200.0</v>
      </c>
      <c r="AI1681" s="1" t="s">
        <v>647</v>
      </c>
      <c r="AJ1681" s="1" t="s">
        <v>3181</v>
      </c>
      <c r="AK1681" s="1" t="s">
        <v>712</v>
      </c>
      <c r="AL1681" s="1">
        <v>1.0</v>
      </c>
      <c r="AM1681" s="1">
        <v>2015.0</v>
      </c>
      <c r="AN1681" s="1">
        <v>2014.0</v>
      </c>
      <c r="AO1681" s="1" t="s">
        <v>713</v>
      </c>
    </row>
    <row r="1682">
      <c r="A1682" s="5">
        <v>1.0</v>
      </c>
      <c r="B1682" s="1">
        <f t="shared" si="1"/>
        <v>1682</v>
      </c>
      <c r="C1682" s="1" t="s">
        <v>3048</v>
      </c>
      <c r="D1682" s="1" t="s">
        <v>3048</v>
      </c>
      <c r="E1682" s="1" t="s">
        <v>645</v>
      </c>
      <c r="G1682" s="1">
        <v>4.58254144E8</v>
      </c>
      <c r="H1682" s="2">
        <v>41592.0</v>
      </c>
      <c r="I1682" s="1" t="s">
        <v>710</v>
      </c>
      <c r="K1682" s="1" t="s">
        <v>710</v>
      </c>
      <c r="N1682" s="1" t="s">
        <v>647</v>
      </c>
      <c r="O1682" s="1">
        <v>1200.0</v>
      </c>
      <c r="P1682" s="1" t="s">
        <v>647</v>
      </c>
      <c r="Q1682" s="1" t="str">
        <f>IF(ISERROR(VLOOKUP(P1682,'unique fed agency names'!A:C,3,FALSE)),P1682,VLOOKUP(P1682,'unique fed agency names'!A:C,3,FALSE))
</f>
        <v>U.S. Department of Agriculture (USDA)</v>
      </c>
      <c r="R1682" s="1">
        <v>1.6338926E8</v>
      </c>
      <c r="S1682" s="1" t="s">
        <v>465</v>
      </c>
      <c r="T1682" s="1" t="str">
        <f>IF(ISERROR(VLOOKUP(S1682,'unique org names'!A:C,3,FALSE)),S1682,VLOOKUP(S1682,'unique org names'!A:C,3,FALSE))
</f>
        <v>Public School Academies of Detroit</v>
      </c>
      <c r="U1682" s="1" t="s">
        <v>598</v>
      </c>
      <c r="V1682" s="1" t="s">
        <v>599</v>
      </c>
      <c r="W1682" s="1" t="s">
        <v>44</v>
      </c>
      <c r="X1682" s="1" t="s">
        <v>45</v>
      </c>
      <c r="Y1682" s="1">
        <v>4.82023457E8</v>
      </c>
      <c r="AA1682" s="1" t="s">
        <v>44</v>
      </c>
      <c r="AB1682" s="1" t="s">
        <v>45</v>
      </c>
      <c r="AC1682" s="1">
        <v>4.82023457E8</v>
      </c>
      <c r="AD1682" s="1">
        <v>1.6338926E8</v>
      </c>
      <c r="AE1682" s="1" t="s">
        <v>465</v>
      </c>
      <c r="AF1682" s="1">
        <v>57868.7</v>
      </c>
      <c r="AG1682" s="2">
        <v>41592.0</v>
      </c>
      <c r="AH1682" s="1">
        <v>1200.0</v>
      </c>
      <c r="AI1682" s="1" t="s">
        <v>647</v>
      </c>
      <c r="AJ1682" s="1" t="s">
        <v>3182</v>
      </c>
      <c r="AK1682" s="1" t="s">
        <v>712</v>
      </c>
      <c r="AL1682" s="1">
        <v>1.0</v>
      </c>
      <c r="AM1682" s="1">
        <v>2015.0</v>
      </c>
      <c r="AN1682" s="1">
        <v>2014.0</v>
      </c>
      <c r="AO1682" s="1" t="s">
        <v>713</v>
      </c>
    </row>
    <row r="1683">
      <c r="A1683" s="5">
        <v>1.0</v>
      </c>
      <c r="B1683" s="1">
        <f t="shared" si="1"/>
        <v>1683</v>
      </c>
      <c r="C1683" s="1" t="s">
        <v>3048</v>
      </c>
      <c r="D1683" s="1" t="s">
        <v>3048</v>
      </c>
      <c r="E1683" s="1" t="s">
        <v>645</v>
      </c>
      <c r="G1683" s="1">
        <v>4.58254144E8</v>
      </c>
      <c r="H1683" s="2">
        <v>41557.0</v>
      </c>
      <c r="I1683" s="1" t="s">
        <v>710</v>
      </c>
      <c r="K1683" s="1" t="s">
        <v>710</v>
      </c>
      <c r="N1683" s="1" t="s">
        <v>647</v>
      </c>
      <c r="O1683" s="1">
        <v>1200.0</v>
      </c>
      <c r="P1683" s="1" t="s">
        <v>647</v>
      </c>
      <c r="Q1683" s="1" t="str">
        <f>IF(ISERROR(VLOOKUP(P1683,'unique fed agency names'!A:C,3,FALSE)),P1683,VLOOKUP(P1683,'unique fed agency names'!A:C,3,FALSE))
</f>
        <v>U.S. Department of Agriculture (USDA)</v>
      </c>
      <c r="R1683" s="1">
        <v>8.30792151E8</v>
      </c>
      <c r="S1683" s="1" t="s">
        <v>594</v>
      </c>
      <c r="T1683" s="1" t="str">
        <f>IF(ISERROR(VLOOKUP(S1683,'unique org names'!A:C,3,FALSE)),S1683,VLOOKUP(S1683,'unique org names'!A:C,3,FALSE))
</f>
        <v>FLAGSHIP CHARTER ACADEMY</v>
      </c>
      <c r="V1683" s="1" t="s">
        <v>596</v>
      </c>
      <c r="W1683" s="1" t="s">
        <v>44</v>
      </c>
      <c r="X1683" s="1" t="s">
        <v>45</v>
      </c>
      <c r="Y1683" s="1">
        <v>4.82382356E8</v>
      </c>
      <c r="AA1683" s="1" t="s">
        <v>44</v>
      </c>
      <c r="AB1683" s="1" t="s">
        <v>45</v>
      </c>
      <c r="AC1683" s="1">
        <v>4.82382356E8</v>
      </c>
      <c r="AD1683" s="1">
        <v>9.60742484E8</v>
      </c>
      <c r="AF1683" s="1">
        <v>45581.54</v>
      </c>
      <c r="AG1683" s="2">
        <v>41557.0</v>
      </c>
      <c r="AH1683" s="1">
        <v>1200.0</v>
      </c>
      <c r="AI1683" s="1" t="s">
        <v>647</v>
      </c>
      <c r="AJ1683" s="1" t="s">
        <v>3183</v>
      </c>
      <c r="AK1683" s="1" t="s">
        <v>712</v>
      </c>
      <c r="AL1683" s="1">
        <v>1.0</v>
      </c>
      <c r="AM1683" s="1">
        <v>2015.0</v>
      </c>
      <c r="AN1683" s="1">
        <v>2014.0</v>
      </c>
      <c r="AO1683" s="1" t="s">
        <v>713</v>
      </c>
    </row>
    <row r="1684">
      <c r="A1684" s="5">
        <v>1.0</v>
      </c>
      <c r="B1684" s="1">
        <f t="shared" si="1"/>
        <v>1684</v>
      </c>
      <c r="C1684" s="1" t="s">
        <v>3048</v>
      </c>
      <c r="D1684" s="1" t="s">
        <v>3048</v>
      </c>
      <c r="E1684" s="1" t="s">
        <v>645</v>
      </c>
      <c r="G1684" s="1">
        <v>4.58254144E8</v>
      </c>
      <c r="H1684" s="2">
        <v>41564.0</v>
      </c>
      <c r="I1684" s="1" t="s">
        <v>710</v>
      </c>
      <c r="K1684" s="1" t="s">
        <v>710</v>
      </c>
      <c r="N1684" s="1" t="s">
        <v>647</v>
      </c>
      <c r="O1684" s="1">
        <v>1200.0</v>
      </c>
      <c r="P1684" s="1" t="s">
        <v>647</v>
      </c>
      <c r="Q1684" s="1" t="str">
        <f>IF(ISERROR(VLOOKUP(P1684,'unique fed agency names'!A:C,3,FALSE)),P1684,VLOOKUP(P1684,'unique fed agency names'!A:C,3,FALSE))
</f>
        <v>U.S. Department of Agriculture (USDA)</v>
      </c>
      <c r="R1684" s="1">
        <v>1.56386349E8</v>
      </c>
      <c r="S1684" s="1" t="s">
        <v>766</v>
      </c>
      <c r="T1684" s="1" t="str">
        <f>IF(ISERROR(VLOOKUP(S1684,'unique org names'!A:C,3,FALSE)),S1684,VLOOKUP(S1684,'unique org names'!A:C,3,FALSE))
</f>
        <v>First Yogis Kiddie Kare I</v>
      </c>
      <c r="V1684" s="1" t="s">
        <v>767</v>
      </c>
      <c r="W1684" s="1" t="s">
        <v>44</v>
      </c>
      <c r="X1684" s="1" t="s">
        <v>45</v>
      </c>
      <c r="Y1684" s="1">
        <v>4.82273027E8</v>
      </c>
      <c r="AA1684" s="1" t="s">
        <v>44</v>
      </c>
      <c r="AB1684" s="1" t="s">
        <v>45</v>
      </c>
      <c r="AC1684" s="1">
        <v>4.82273027E8</v>
      </c>
      <c r="AF1684" s="1">
        <v>62419.94</v>
      </c>
      <c r="AG1684" s="2">
        <v>41564.0</v>
      </c>
      <c r="AH1684" s="1">
        <v>1200.0</v>
      </c>
      <c r="AI1684" s="1" t="s">
        <v>647</v>
      </c>
      <c r="AJ1684" s="1" t="s">
        <v>3184</v>
      </c>
      <c r="AK1684" s="1" t="s">
        <v>712</v>
      </c>
      <c r="AL1684" s="1">
        <v>1.0</v>
      </c>
      <c r="AM1684" s="1">
        <v>2015.0</v>
      </c>
      <c r="AN1684" s="1">
        <v>2014.0</v>
      </c>
      <c r="AO1684" s="1" t="s">
        <v>713</v>
      </c>
    </row>
    <row r="1685">
      <c r="A1685" s="5">
        <v>1.0</v>
      </c>
      <c r="B1685" s="1">
        <f t="shared" si="1"/>
        <v>1685</v>
      </c>
      <c r="C1685" s="1" t="s">
        <v>3048</v>
      </c>
      <c r="D1685" s="1" t="s">
        <v>3048</v>
      </c>
      <c r="E1685" s="1" t="s">
        <v>645</v>
      </c>
      <c r="G1685" s="1">
        <v>4.58254144E8</v>
      </c>
      <c r="H1685" s="2">
        <v>41557.0</v>
      </c>
      <c r="I1685" s="1" t="s">
        <v>710</v>
      </c>
      <c r="K1685" s="1" t="s">
        <v>710</v>
      </c>
      <c r="N1685" s="1" t="s">
        <v>647</v>
      </c>
      <c r="O1685" s="1">
        <v>1200.0</v>
      </c>
      <c r="P1685" s="1" t="s">
        <v>647</v>
      </c>
      <c r="Q1685" s="1" t="str">
        <f>IF(ISERROR(VLOOKUP(P1685,'unique fed agency names'!A:C,3,FALSE)),P1685,VLOOKUP(P1685,'unique fed agency names'!A:C,3,FALSE))
</f>
        <v>U.S. Department of Agriculture (USDA)</v>
      </c>
      <c r="R1685" s="1">
        <v>9.62378779E8</v>
      </c>
      <c r="S1685" s="1" t="s">
        <v>478</v>
      </c>
      <c r="T1685" s="1" t="str">
        <f>IF(ISERROR(VLOOKUP(S1685,'unique org names'!A:C,3,FALSE)),S1685,VLOOKUP(S1685,'unique org names'!A:C,3,FALSE))
</f>
        <v>LEGACY CHARTER ACADEMY</v>
      </c>
      <c r="V1685" s="1" t="s">
        <v>479</v>
      </c>
      <c r="W1685" s="1" t="s">
        <v>44</v>
      </c>
      <c r="X1685" s="1" t="s">
        <v>45</v>
      </c>
      <c r="Y1685" s="1">
        <v>4.82342225E8</v>
      </c>
      <c r="AA1685" s="1" t="s">
        <v>44</v>
      </c>
      <c r="AB1685" s="1" t="s">
        <v>45</v>
      </c>
      <c r="AC1685" s="1">
        <v>4.82342225E8</v>
      </c>
      <c r="AF1685" s="1">
        <v>81623.0</v>
      </c>
      <c r="AG1685" s="2">
        <v>41557.0</v>
      </c>
      <c r="AH1685" s="1">
        <v>1200.0</v>
      </c>
      <c r="AI1685" s="1" t="s">
        <v>647</v>
      </c>
      <c r="AJ1685" s="1" t="s">
        <v>3185</v>
      </c>
      <c r="AK1685" s="1" t="s">
        <v>712</v>
      </c>
      <c r="AL1685" s="1">
        <v>1.0</v>
      </c>
      <c r="AM1685" s="1">
        <v>2015.0</v>
      </c>
      <c r="AN1685" s="1">
        <v>2014.0</v>
      </c>
      <c r="AO1685" s="1" t="s">
        <v>713</v>
      </c>
    </row>
    <row r="1686">
      <c r="A1686" s="5">
        <v>1.0</v>
      </c>
      <c r="B1686" s="1">
        <f t="shared" si="1"/>
        <v>1686</v>
      </c>
      <c r="C1686" s="1" t="s">
        <v>3048</v>
      </c>
      <c r="D1686" s="1" t="s">
        <v>3048</v>
      </c>
      <c r="E1686" s="1" t="s">
        <v>645</v>
      </c>
      <c r="G1686" s="1">
        <v>4.58254144E8</v>
      </c>
      <c r="H1686" s="2">
        <v>41627.0</v>
      </c>
      <c r="I1686" s="1" t="s">
        <v>710</v>
      </c>
      <c r="K1686" s="1" t="s">
        <v>710</v>
      </c>
      <c r="N1686" s="1" t="s">
        <v>647</v>
      </c>
      <c r="O1686" s="1">
        <v>1200.0</v>
      </c>
      <c r="P1686" s="1" t="s">
        <v>647</v>
      </c>
      <c r="Q1686" s="1" t="str">
        <f>IF(ISERROR(VLOOKUP(P1686,'unique fed agency names'!A:C,3,FALSE)),P1686,VLOOKUP(P1686,'unique fed agency names'!A:C,3,FALSE))
</f>
        <v>U.S. Department of Agriculture (USDA)</v>
      </c>
      <c r="R1686" s="1">
        <v>7.6340843E7</v>
      </c>
      <c r="S1686" s="1" t="s">
        <v>461</v>
      </c>
      <c r="T1686" s="1" t="str">
        <f>IF(ISERROR(VLOOKUP(S1686,'unique org names'!A:C,3,FALSE)),S1686,VLOOKUP(S1686,'unique org names'!A:C,3,FALSE))
</f>
        <v>BOARD OF EDUCATION OF THE CITY OF DETROIT</v>
      </c>
      <c r="V1686" s="1" t="s">
        <v>1599</v>
      </c>
      <c r="W1686" s="1" t="s">
        <v>44</v>
      </c>
      <c r="X1686" s="1" t="s">
        <v>45</v>
      </c>
      <c r="Y1686" s="1">
        <v>4.8202301E8</v>
      </c>
      <c r="AA1686" s="1" t="s">
        <v>44</v>
      </c>
      <c r="AB1686" s="1" t="s">
        <v>45</v>
      </c>
      <c r="AC1686" s="1">
        <v>4.82023096E8</v>
      </c>
      <c r="AD1686" s="1">
        <v>7.6340843E7</v>
      </c>
      <c r="AE1686" s="1" t="s">
        <v>461</v>
      </c>
      <c r="AF1686" s="3">
        <v>1.133100653E7</v>
      </c>
      <c r="AG1686" s="2">
        <v>41627.0</v>
      </c>
      <c r="AH1686" s="1">
        <v>1200.0</v>
      </c>
      <c r="AI1686" s="1" t="s">
        <v>647</v>
      </c>
      <c r="AJ1686" s="1" t="s">
        <v>3186</v>
      </c>
      <c r="AK1686" s="1" t="s">
        <v>712</v>
      </c>
      <c r="AL1686" s="1">
        <v>1.0</v>
      </c>
      <c r="AM1686" s="1">
        <v>2015.0</v>
      </c>
      <c r="AN1686" s="1">
        <v>2014.0</v>
      </c>
      <c r="AO1686" s="1" t="s">
        <v>713</v>
      </c>
    </row>
    <row r="1687">
      <c r="A1687" s="5">
        <v>1.0</v>
      </c>
      <c r="B1687" s="1">
        <f t="shared" si="1"/>
        <v>1687</v>
      </c>
      <c r="C1687" s="1" t="s">
        <v>3048</v>
      </c>
      <c r="D1687" s="1" t="s">
        <v>3048</v>
      </c>
      <c r="E1687" s="1" t="s">
        <v>645</v>
      </c>
      <c r="G1687" s="1">
        <v>4.58254144E8</v>
      </c>
      <c r="H1687" s="2">
        <v>41571.0</v>
      </c>
      <c r="I1687" s="1" t="s">
        <v>710</v>
      </c>
      <c r="K1687" s="1" t="s">
        <v>710</v>
      </c>
      <c r="N1687" s="1" t="s">
        <v>647</v>
      </c>
      <c r="O1687" s="1">
        <v>1200.0</v>
      </c>
      <c r="P1687" s="1" t="s">
        <v>647</v>
      </c>
      <c r="Q1687" s="1" t="str">
        <f>IF(ISERROR(VLOOKUP(P1687,'unique fed agency names'!A:C,3,FALSE)),P1687,VLOOKUP(P1687,'unique fed agency names'!A:C,3,FALSE))
</f>
        <v>U.S. Department of Agriculture (USDA)</v>
      </c>
      <c r="R1687" s="1">
        <v>8.38496842E8</v>
      </c>
      <c r="S1687" s="1" t="s">
        <v>810</v>
      </c>
      <c r="T1687" s="1" t="str">
        <f>IF(ISERROR(VLOOKUP(S1687,'unique org names'!A:C,3,FALSE)),S1687,VLOOKUP(S1687,'unique org names'!A:C,3,FALSE))
</f>
        <v>NEW ST PAUL TABERNACLE HEAD START AGENCY INC</v>
      </c>
      <c r="V1687" s="1" t="s">
        <v>811</v>
      </c>
      <c r="W1687" s="1" t="s">
        <v>44</v>
      </c>
      <c r="X1687" s="1" t="s">
        <v>45</v>
      </c>
      <c r="Y1687" s="1">
        <v>4.82231359E8</v>
      </c>
      <c r="AA1687" s="1" t="s">
        <v>44</v>
      </c>
      <c r="AB1687" s="1" t="s">
        <v>45</v>
      </c>
      <c r="AC1687" s="1">
        <v>4.82231359E8</v>
      </c>
      <c r="AD1687" s="1">
        <v>8.38496842E8</v>
      </c>
      <c r="AE1687" s="1" t="s">
        <v>810</v>
      </c>
      <c r="AF1687" s="1">
        <v>304256.78</v>
      </c>
      <c r="AG1687" s="2">
        <v>41571.0</v>
      </c>
      <c r="AH1687" s="1">
        <v>1200.0</v>
      </c>
      <c r="AI1687" s="1" t="s">
        <v>647</v>
      </c>
      <c r="AJ1687" s="1" t="s">
        <v>3187</v>
      </c>
      <c r="AK1687" s="1" t="s">
        <v>712</v>
      </c>
      <c r="AL1687" s="1">
        <v>1.0</v>
      </c>
      <c r="AM1687" s="1">
        <v>2015.0</v>
      </c>
      <c r="AN1687" s="1">
        <v>2014.0</v>
      </c>
      <c r="AO1687" s="1" t="s">
        <v>713</v>
      </c>
    </row>
    <row r="1688">
      <c r="A1688" s="5">
        <v>1.0</v>
      </c>
      <c r="B1688" s="1">
        <f t="shared" si="1"/>
        <v>1688</v>
      </c>
      <c r="C1688" s="1" t="s">
        <v>3048</v>
      </c>
      <c r="D1688" s="1" t="s">
        <v>3048</v>
      </c>
      <c r="E1688" s="1" t="s">
        <v>645</v>
      </c>
      <c r="G1688" s="1">
        <v>4.58254144E8</v>
      </c>
      <c r="H1688" s="2">
        <v>41564.0</v>
      </c>
      <c r="I1688" s="1" t="s">
        <v>710</v>
      </c>
      <c r="K1688" s="1" t="s">
        <v>710</v>
      </c>
      <c r="N1688" s="1" t="s">
        <v>647</v>
      </c>
      <c r="O1688" s="1">
        <v>1200.0</v>
      </c>
      <c r="P1688" s="1" t="s">
        <v>647</v>
      </c>
      <c r="Q1688" s="1" t="str">
        <f>IF(ISERROR(VLOOKUP(P1688,'unique fed agency names'!A:C,3,FALSE)),P1688,VLOOKUP(P1688,'unique fed agency names'!A:C,3,FALSE))
</f>
        <v>U.S. Department of Agriculture (USDA)</v>
      </c>
      <c r="R1688" s="1">
        <v>1.52892667E8</v>
      </c>
      <c r="S1688" s="1" t="s">
        <v>638</v>
      </c>
      <c r="T1688" s="1" t="str">
        <f>IF(ISERROR(VLOOKUP(S1688,'unique org names'!A:C,3,FALSE)),S1688,VLOOKUP(S1688,'unique org names'!A:C,3,FALSE))
</f>
        <v>DOVE ACADEMY OF DETROIT</v>
      </c>
      <c r="V1688" s="1" t="s">
        <v>639</v>
      </c>
      <c r="W1688" s="1" t="s">
        <v>44</v>
      </c>
      <c r="X1688" s="1" t="s">
        <v>45</v>
      </c>
      <c r="Y1688" s="1">
        <v>4.82343358E8</v>
      </c>
      <c r="AA1688" s="1" t="s">
        <v>46</v>
      </c>
      <c r="AB1688" s="1" t="s">
        <v>45</v>
      </c>
      <c r="AC1688" s="1">
        <v>4.82343358E8</v>
      </c>
      <c r="AF1688" s="1">
        <v>160458.99</v>
      </c>
      <c r="AG1688" s="2">
        <v>41564.0</v>
      </c>
      <c r="AH1688" s="1">
        <v>1200.0</v>
      </c>
      <c r="AI1688" s="1" t="s">
        <v>647</v>
      </c>
      <c r="AJ1688" s="1" t="s">
        <v>3188</v>
      </c>
      <c r="AK1688" s="1" t="s">
        <v>712</v>
      </c>
      <c r="AL1688" s="1">
        <v>1.0</v>
      </c>
      <c r="AM1688" s="1">
        <v>2015.0</v>
      </c>
      <c r="AN1688" s="1">
        <v>2014.0</v>
      </c>
      <c r="AO1688" s="1" t="s">
        <v>713</v>
      </c>
    </row>
    <row r="1689">
      <c r="A1689" s="5">
        <v>1.0</v>
      </c>
      <c r="B1689" s="1">
        <f t="shared" si="1"/>
        <v>1689</v>
      </c>
      <c r="C1689" s="1" t="s">
        <v>3048</v>
      </c>
      <c r="D1689" s="1" t="s">
        <v>3048</v>
      </c>
      <c r="E1689" s="1" t="s">
        <v>645</v>
      </c>
      <c r="G1689" s="1">
        <v>4.58254144E8</v>
      </c>
      <c r="H1689" s="2">
        <v>41571.0</v>
      </c>
      <c r="I1689" s="1" t="s">
        <v>710</v>
      </c>
      <c r="K1689" s="1" t="s">
        <v>710</v>
      </c>
      <c r="N1689" s="1" t="s">
        <v>647</v>
      </c>
      <c r="O1689" s="1">
        <v>1200.0</v>
      </c>
      <c r="P1689" s="1" t="s">
        <v>647</v>
      </c>
      <c r="Q1689" s="1" t="str">
        <f>IF(ISERROR(VLOOKUP(P1689,'unique fed agency names'!A:C,3,FALSE)),P1689,VLOOKUP(P1689,'unique fed agency names'!A:C,3,FALSE))
</f>
        <v>U.S. Department of Agriculture (USDA)</v>
      </c>
      <c r="R1689" s="1">
        <v>8.37565279E8</v>
      </c>
      <c r="S1689" s="1" t="s">
        <v>3189</v>
      </c>
      <c r="T1689" s="1" t="str">
        <f>IF(ISERROR(VLOOKUP(S1689,'unique org names'!A:C,3,FALSE)),S1689,VLOOKUP(S1689,'unique org names'!A:C,3,FALSE))
</f>
        <v>Harvest Temple Church Of God In Christ, Inc</v>
      </c>
      <c r="V1689" s="1" t="s">
        <v>3190</v>
      </c>
      <c r="W1689" s="1" t="s">
        <v>44</v>
      </c>
      <c r="X1689" s="1" t="s">
        <v>45</v>
      </c>
      <c r="Y1689" s="1">
        <v>4.82041457E8</v>
      </c>
      <c r="AA1689" s="1" t="s">
        <v>44</v>
      </c>
      <c r="AB1689" s="1" t="s">
        <v>45</v>
      </c>
      <c r="AC1689" s="1">
        <v>4.82041457E8</v>
      </c>
      <c r="AF1689" s="1">
        <v>41069.87</v>
      </c>
      <c r="AG1689" s="2">
        <v>41571.0</v>
      </c>
      <c r="AH1689" s="1">
        <v>1200.0</v>
      </c>
      <c r="AI1689" s="1" t="s">
        <v>647</v>
      </c>
      <c r="AJ1689" s="1" t="s">
        <v>3191</v>
      </c>
      <c r="AK1689" s="1" t="s">
        <v>712</v>
      </c>
      <c r="AL1689" s="1">
        <v>1.0</v>
      </c>
      <c r="AM1689" s="1">
        <v>2015.0</v>
      </c>
      <c r="AN1689" s="1">
        <v>2014.0</v>
      </c>
      <c r="AO1689" s="1" t="s">
        <v>713</v>
      </c>
    </row>
    <row r="1690">
      <c r="A1690" s="5">
        <v>1.0</v>
      </c>
      <c r="B1690" s="1">
        <f t="shared" si="1"/>
        <v>1690</v>
      </c>
      <c r="C1690" s="1" t="s">
        <v>3048</v>
      </c>
      <c r="D1690" s="1" t="s">
        <v>3048</v>
      </c>
      <c r="E1690" s="1" t="s">
        <v>645</v>
      </c>
      <c r="G1690" s="1">
        <v>4.58254144E8</v>
      </c>
      <c r="H1690" s="2">
        <v>41564.0</v>
      </c>
      <c r="I1690" s="1" t="s">
        <v>710</v>
      </c>
      <c r="K1690" s="1" t="s">
        <v>710</v>
      </c>
      <c r="N1690" s="1" t="s">
        <v>647</v>
      </c>
      <c r="O1690" s="1">
        <v>1200.0</v>
      </c>
      <c r="P1690" s="1" t="s">
        <v>647</v>
      </c>
      <c r="Q1690" s="1" t="str">
        <f>IF(ISERROR(VLOOKUP(P1690,'unique fed agency names'!A:C,3,FALSE)),P1690,VLOOKUP(P1690,'unique fed agency names'!A:C,3,FALSE))
</f>
        <v>U.S. Department of Agriculture (USDA)</v>
      </c>
      <c r="R1690" s="1">
        <v>4.2136734E7</v>
      </c>
      <c r="S1690" s="1" t="s">
        <v>557</v>
      </c>
      <c r="T1690" s="1" t="str">
        <f>IF(ISERROR(VLOOKUP(S1690,'unique org names'!A:C,3,FALSE)),S1690,VLOOKUP(S1690,'unique org names'!A:C,3,FALSE))
</f>
        <v>GEORGE CROCKETT ACADEMY</v>
      </c>
      <c r="V1690" s="1" t="s">
        <v>558</v>
      </c>
      <c r="W1690" s="1" t="s">
        <v>44</v>
      </c>
      <c r="X1690" s="1" t="s">
        <v>45</v>
      </c>
      <c r="Y1690" s="1">
        <v>4.82082204E8</v>
      </c>
      <c r="AA1690" s="1" t="s">
        <v>44</v>
      </c>
      <c r="AB1690" s="1" t="s">
        <v>45</v>
      </c>
      <c r="AC1690" s="1">
        <v>4.82082204E8</v>
      </c>
      <c r="AF1690" s="1">
        <v>173440.61</v>
      </c>
      <c r="AG1690" s="2">
        <v>41564.0</v>
      </c>
      <c r="AH1690" s="1">
        <v>1200.0</v>
      </c>
      <c r="AI1690" s="1" t="s">
        <v>647</v>
      </c>
      <c r="AJ1690" s="1" t="s">
        <v>3192</v>
      </c>
      <c r="AK1690" s="1" t="s">
        <v>712</v>
      </c>
      <c r="AL1690" s="1">
        <v>1.0</v>
      </c>
      <c r="AM1690" s="1">
        <v>2015.0</v>
      </c>
      <c r="AN1690" s="1">
        <v>2014.0</v>
      </c>
      <c r="AO1690" s="1" t="s">
        <v>713</v>
      </c>
    </row>
    <row r="1691">
      <c r="A1691" s="5">
        <v>1.0</v>
      </c>
      <c r="B1691" s="1">
        <f t="shared" si="1"/>
        <v>1691</v>
      </c>
      <c r="C1691" s="1" t="s">
        <v>3048</v>
      </c>
      <c r="D1691" s="1" t="s">
        <v>3048</v>
      </c>
      <c r="E1691" s="1" t="s">
        <v>645</v>
      </c>
      <c r="G1691" s="1">
        <v>4.58254144E8</v>
      </c>
      <c r="H1691" s="2">
        <v>41564.0</v>
      </c>
      <c r="I1691" s="1" t="s">
        <v>710</v>
      </c>
      <c r="K1691" s="1" t="s">
        <v>710</v>
      </c>
      <c r="N1691" s="1" t="s">
        <v>647</v>
      </c>
      <c r="O1691" s="1">
        <v>1200.0</v>
      </c>
      <c r="P1691" s="1" t="s">
        <v>647</v>
      </c>
      <c r="Q1691" s="1" t="str">
        <f>IF(ISERROR(VLOOKUP(P1691,'unique fed agency names'!A:C,3,FALSE)),P1691,VLOOKUP(P1691,'unique fed agency names'!A:C,3,FALSE))
</f>
        <v>U.S. Department of Agriculture (USDA)</v>
      </c>
      <c r="R1691" s="1">
        <v>6.6707493E7</v>
      </c>
      <c r="S1691" s="1" t="s">
        <v>541</v>
      </c>
      <c r="T1691" s="1" t="str">
        <f>IF(ISERROR(VLOOKUP(S1691,'unique org names'!A:C,3,FALSE)),S1691,VLOOKUP(S1691,'unique org names'!A:C,3,FALSE))
</f>
        <v>HOPE OF DETROIT ACADEMY</v>
      </c>
      <c r="V1691" s="1" t="s">
        <v>542</v>
      </c>
      <c r="W1691" s="1" t="s">
        <v>44</v>
      </c>
      <c r="X1691" s="1" t="s">
        <v>45</v>
      </c>
      <c r="Y1691" s="1">
        <v>4.8210252E8</v>
      </c>
      <c r="AA1691" s="1" t="s">
        <v>44</v>
      </c>
      <c r="AB1691" s="1" t="s">
        <v>45</v>
      </c>
      <c r="AC1691" s="1">
        <v>4.8210252E8</v>
      </c>
      <c r="AF1691" s="1">
        <v>217555.64</v>
      </c>
      <c r="AG1691" s="2">
        <v>41564.0</v>
      </c>
      <c r="AH1691" s="1">
        <v>1200.0</v>
      </c>
      <c r="AI1691" s="1" t="s">
        <v>647</v>
      </c>
      <c r="AJ1691" s="1" t="s">
        <v>3193</v>
      </c>
      <c r="AK1691" s="1" t="s">
        <v>712</v>
      </c>
      <c r="AL1691" s="1">
        <v>1.0</v>
      </c>
      <c r="AM1691" s="1">
        <v>2015.0</v>
      </c>
      <c r="AN1691" s="1">
        <v>2014.0</v>
      </c>
      <c r="AO1691" s="1" t="s">
        <v>713</v>
      </c>
    </row>
    <row r="1692">
      <c r="A1692" s="5">
        <v>1.0</v>
      </c>
      <c r="B1692" s="1">
        <f t="shared" si="1"/>
        <v>1692</v>
      </c>
      <c r="C1692" s="1" t="s">
        <v>1280</v>
      </c>
      <c r="D1692" s="1" t="s">
        <v>1280</v>
      </c>
      <c r="E1692" s="1" t="s">
        <v>1281</v>
      </c>
      <c r="G1692" s="1">
        <v>6000000.0</v>
      </c>
      <c r="H1692" s="2">
        <v>41883.0</v>
      </c>
      <c r="I1692" s="1" t="s">
        <v>1282</v>
      </c>
      <c r="K1692" s="1" t="s">
        <v>1282</v>
      </c>
      <c r="N1692" s="1" t="s">
        <v>1281</v>
      </c>
      <c r="O1692" s="1">
        <v>9577.0</v>
      </c>
      <c r="P1692" s="1" t="s">
        <v>1281</v>
      </c>
      <c r="Q1692" s="1" t="str">
        <f>IF(ISERROR(VLOOKUP(P1692,'unique fed agency names'!A:C,3,FALSE)),P1692,VLOOKUP(P1692,'unique fed agency names'!A:C,3,FALSE))
</f>
        <v>Corporation for National and Community Service</v>
      </c>
      <c r="R1692" s="1">
        <v>1.5900083E8</v>
      </c>
      <c r="S1692" s="1" t="s">
        <v>1292</v>
      </c>
      <c r="T1692" s="1" t="str">
        <f>IF(ISERROR(VLOOKUP(S1692,'unique org names'!A:C,3,FALSE)),S1692,VLOOKUP(S1692,'unique org names'!A:C,3,FALSE))
</f>
        <v>DETROIT PARENT NETWORK</v>
      </c>
      <c r="V1692" s="1" t="s">
        <v>1293</v>
      </c>
      <c r="W1692" s="1" t="s">
        <v>44</v>
      </c>
      <c r="X1692" s="1" t="s">
        <v>45</v>
      </c>
      <c r="Y1692" s="1">
        <v>4.82022715E8</v>
      </c>
      <c r="AA1692" s="1" t="s">
        <v>46</v>
      </c>
      <c r="AB1692" s="1" t="s">
        <v>45</v>
      </c>
      <c r="AC1692" s="1">
        <v>4.82022715E8</v>
      </c>
      <c r="AF1692" s="1">
        <v>168707.0</v>
      </c>
      <c r="AG1692" s="2">
        <v>41883.0</v>
      </c>
      <c r="AH1692" s="1">
        <v>9577.0</v>
      </c>
      <c r="AI1692" s="1" t="s">
        <v>1281</v>
      </c>
      <c r="AJ1692" s="1">
        <v>2.0</v>
      </c>
      <c r="AK1692" s="1" t="s">
        <v>1294</v>
      </c>
      <c r="AL1692" s="1">
        <v>12.0</v>
      </c>
      <c r="AM1692" s="1">
        <v>2014.0</v>
      </c>
      <c r="AN1692" s="1">
        <v>2014.0</v>
      </c>
      <c r="AO1692" s="1" t="s">
        <v>1284</v>
      </c>
    </row>
    <row r="1693">
      <c r="A1693" s="5">
        <v>1.0</v>
      </c>
      <c r="B1693" s="1">
        <f t="shared" si="1"/>
        <v>1693</v>
      </c>
      <c r="C1693" s="1" t="s">
        <v>3048</v>
      </c>
      <c r="D1693" s="1" t="s">
        <v>3048</v>
      </c>
      <c r="E1693" s="1" t="s">
        <v>645</v>
      </c>
      <c r="G1693" s="1">
        <v>4.58254144E8</v>
      </c>
      <c r="H1693" s="2">
        <v>41585.0</v>
      </c>
      <c r="I1693" s="1" t="s">
        <v>710</v>
      </c>
      <c r="K1693" s="1" t="s">
        <v>710</v>
      </c>
      <c r="N1693" s="1" t="s">
        <v>647</v>
      </c>
      <c r="O1693" s="1">
        <v>1200.0</v>
      </c>
      <c r="P1693" s="1" t="s">
        <v>647</v>
      </c>
      <c r="Q1693" s="1" t="str">
        <f>IF(ISERROR(VLOOKUP(P1693,'unique fed agency names'!A:C,3,FALSE)),P1693,VLOOKUP(P1693,'unique fed agency names'!A:C,3,FALSE))
</f>
        <v>U.S. Department of Agriculture (USDA)</v>
      </c>
      <c r="R1693" s="1">
        <v>6533863.0</v>
      </c>
      <c r="S1693" s="1" t="s">
        <v>3194</v>
      </c>
      <c r="T1693" s="1" t="str">
        <f>IF(ISERROR(VLOOKUP(S1693,'unique org names'!A:C,3,FALSE)),S1693,VLOOKUP(S1693,'unique org names'!A:C,3,FALSE))
</f>
        <v>Roman Catholic Archdiocese of Detroit</v>
      </c>
      <c r="U1693" s="1" t="s">
        <v>3195</v>
      </c>
      <c r="V1693" s="1" t="s">
        <v>3196</v>
      </c>
      <c r="W1693" s="1" t="s">
        <v>44</v>
      </c>
      <c r="X1693" s="1" t="s">
        <v>45</v>
      </c>
      <c r="Y1693" s="1">
        <v>4.82261894E8</v>
      </c>
      <c r="AA1693" s="1" t="s">
        <v>3197</v>
      </c>
      <c r="AB1693" s="1" t="s">
        <v>45</v>
      </c>
      <c r="AC1693" s="1">
        <v>4.81339647E8</v>
      </c>
      <c r="AD1693" s="1">
        <v>6533863.0</v>
      </c>
      <c r="AF1693" s="1">
        <v>94549.99</v>
      </c>
      <c r="AG1693" s="2">
        <v>41585.0</v>
      </c>
      <c r="AH1693" s="1">
        <v>1200.0</v>
      </c>
      <c r="AI1693" s="1" t="s">
        <v>647</v>
      </c>
      <c r="AJ1693" s="1" t="s">
        <v>3198</v>
      </c>
      <c r="AK1693" s="1" t="s">
        <v>712</v>
      </c>
      <c r="AL1693" s="1">
        <v>1.0</v>
      </c>
      <c r="AM1693" s="1">
        <v>2015.0</v>
      </c>
      <c r="AN1693" s="1">
        <v>2014.0</v>
      </c>
      <c r="AO1693" s="1" t="s">
        <v>713</v>
      </c>
    </row>
    <row r="1694">
      <c r="A1694" s="5">
        <v>1.0</v>
      </c>
      <c r="B1694" s="1">
        <f t="shared" si="1"/>
        <v>1694</v>
      </c>
      <c r="C1694" s="1" t="s">
        <v>3048</v>
      </c>
      <c r="D1694" s="1" t="s">
        <v>3048</v>
      </c>
      <c r="E1694" s="1" t="s">
        <v>645</v>
      </c>
      <c r="G1694" s="1">
        <v>4.58254144E8</v>
      </c>
      <c r="H1694" s="2">
        <v>41592.0</v>
      </c>
      <c r="I1694" s="1" t="s">
        <v>710</v>
      </c>
      <c r="K1694" s="1" t="s">
        <v>710</v>
      </c>
      <c r="N1694" s="1" t="s">
        <v>647</v>
      </c>
      <c r="O1694" s="1">
        <v>1200.0</v>
      </c>
      <c r="P1694" s="1" t="s">
        <v>647</v>
      </c>
      <c r="Q1694" s="1" t="str">
        <f>IF(ISERROR(VLOOKUP(P1694,'unique fed agency names'!A:C,3,FALSE)),P1694,VLOOKUP(P1694,'unique fed agency names'!A:C,3,FALSE))
</f>
        <v>U.S. Department of Agriculture (USDA)</v>
      </c>
      <c r="R1694" s="1">
        <v>1.6338926E8</v>
      </c>
      <c r="S1694" s="1" t="s">
        <v>465</v>
      </c>
      <c r="T1694" s="1" t="str">
        <f>IF(ISERROR(VLOOKUP(S1694,'unique org names'!A:C,3,FALSE)),S1694,VLOOKUP(S1694,'unique org names'!A:C,3,FALSE))
</f>
        <v>Public School Academies of Detroit</v>
      </c>
      <c r="U1694" s="1" t="s">
        <v>598</v>
      </c>
      <c r="V1694" s="1" t="s">
        <v>599</v>
      </c>
      <c r="W1694" s="1" t="s">
        <v>44</v>
      </c>
      <c r="X1694" s="1" t="s">
        <v>45</v>
      </c>
      <c r="Y1694" s="1">
        <v>4.82023457E8</v>
      </c>
      <c r="AA1694" s="1" t="s">
        <v>44</v>
      </c>
      <c r="AB1694" s="1" t="s">
        <v>45</v>
      </c>
      <c r="AC1694" s="1">
        <v>4.82023457E8</v>
      </c>
      <c r="AD1694" s="1">
        <v>1.6338926E8</v>
      </c>
      <c r="AE1694" s="1" t="s">
        <v>465</v>
      </c>
      <c r="AF1694" s="1">
        <v>461523.1</v>
      </c>
      <c r="AG1694" s="2">
        <v>41592.0</v>
      </c>
      <c r="AH1694" s="1">
        <v>1200.0</v>
      </c>
      <c r="AI1694" s="1" t="s">
        <v>647</v>
      </c>
      <c r="AJ1694" s="1" t="s">
        <v>3199</v>
      </c>
      <c r="AK1694" s="1" t="s">
        <v>712</v>
      </c>
      <c r="AL1694" s="1">
        <v>1.0</v>
      </c>
      <c r="AM1694" s="1">
        <v>2015.0</v>
      </c>
      <c r="AN1694" s="1">
        <v>2014.0</v>
      </c>
      <c r="AO1694" s="1" t="s">
        <v>713</v>
      </c>
    </row>
    <row r="1695">
      <c r="A1695" s="5">
        <v>1.0</v>
      </c>
      <c r="B1695" s="1">
        <f t="shared" si="1"/>
        <v>1695</v>
      </c>
      <c r="C1695" s="1" t="s">
        <v>3048</v>
      </c>
      <c r="D1695" s="1" t="s">
        <v>3048</v>
      </c>
      <c r="E1695" s="1" t="s">
        <v>645</v>
      </c>
      <c r="G1695" s="1">
        <v>4.58254144E8</v>
      </c>
      <c r="H1695" s="2">
        <v>41585.0</v>
      </c>
      <c r="I1695" s="1" t="s">
        <v>710</v>
      </c>
      <c r="K1695" s="1" t="s">
        <v>710</v>
      </c>
      <c r="N1695" s="1" t="s">
        <v>647</v>
      </c>
      <c r="O1695" s="1">
        <v>1200.0</v>
      </c>
      <c r="P1695" s="1" t="s">
        <v>647</v>
      </c>
      <c r="Q1695" s="1" t="str">
        <f>IF(ISERROR(VLOOKUP(P1695,'unique fed agency names'!A:C,3,FALSE)),P1695,VLOOKUP(P1695,'unique fed agency names'!A:C,3,FALSE))
</f>
        <v>U.S. Department of Agriculture (USDA)</v>
      </c>
      <c r="R1695" s="1">
        <v>9.62949843E8</v>
      </c>
      <c r="S1695" s="1" t="s">
        <v>619</v>
      </c>
      <c r="T1695" s="1" t="str">
        <f>IF(ISERROR(VLOOKUP(S1695,'unique org names'!A:C,3,FALSE)),S1695,VLOOKUP(S1695,'unique org names'!A:C,3,FALSE))
</f>
        <v>ALLEN ACADEMY</v>
      </c>
      <c r="V1695" s="1" t="s">
        <v>620</v>
      </c>
      <c r="W1695" s="1" t="s">
        <v>44</v>
      </c>
      <c r="X1695" s="1" t="s">
        <v>45</v>
      </c>
      <c r="Y1695" s="1">
        <v>4.82042306E8</v>
      </c>
      <c r="AA1695" s="1" t="s">
        <v>44</v>
      </c>
      <c r="AB1695" s="1" t="s">
        <v>45</v>
      </c>
      <c r="AC1695" s="1">
        <v>4.82042306E8</v>
      </c>
      <c r="AF1695" s="1">
        <v>46214.06</v>
      </c>
      <c r="AG1695" s="2">
        <v>41585.0</v>
      </c>
      <c r="AH1695" s="1">
        <v>1200.0</v>
      </c>
      <c r="AI1695" s="1" t="s">
        <v>647</v>
      </c>
      <c r="AJ1695" s="1" t="s">
        <v>3200</v>
      </c>
      <c r="AK1695" s="1" t="s">
        <v>712</v>
      </c>
      <c r="AL1695" s="1">
        <v>1.0</v>
      </c>
      <c r="AM1695" s="1">
        <v>2015.0</v>
      </c>
      <c r="AN1695" s="1">
        <v>2014.0</v>
      </c>
      <c r="AO1695" s="1" t="s">
        <v>713</v>
      </c>
    </row>
    <row r="1696">
      <c r="A1696" s="5">
        <v>1.0</v>
      </c>
      <c r="B1696" s="1">
        <f t="shared" si="1"/>
        <v>1696</v>
      </c>
      <c r="C1696" s="1" t="s">
        <v>3048</v>
      </c>
      <c r="D1696" s="1" t="s">
        <v>3048</v>
      </c>
      <c r="E1696" s="1" t="s">
        <v>645</v>
      </c>
      <c r="G1696" s="1">
        <v>4.58254144E8</v>
      </c>
      <c r="H1696" s="2">
        <v>41564.0</v>
      </c>
      <c r="I1696" s="1" t="s">
        <v>710</v>
      </c>
      <c r="K1696" s="1" t="s">
        <v>710</v>
      </c>
      <c r="N1696" s="1" t="s">
        <v>647</v>
      </c>
      <c r="O1696" s="1">
        <v>1200.0</v>
      </c>
      <c r="P1696" s="1" t="s">
        <v>647</v>
      </c>
      <c r="Q1696" s="1" t="str">
        <f>IF(ISERROR(VLOOKUP(P1696,'unique fed agency names'!A:C,3,FALSE)),P1696,VLOOKUP(P1696,'unique fed agency names'!A:C,3,FALSE))
</f>
        <v>U.S. Department of Agriculture (USDA)</v>
      </c>
      <c r="R1696" s="1">
        <v>6.6707493E7</v>
      </c>
      <c r="S1696" s="1" t="s">
        <v>541</v>
      </c>
      <c r="T1696" s="1" t="str">
        <f>IF(ISERROR(VLOOKUP(S1696,'unique org names'!A:C,3,FALSE)),S1696,VLOOKUP(S1696,'unique org names'!A:C,3,FALSE))
</f>
        <v>HOPE OF DETROIT ACADEMY</v>
      </c>
      <c r="V1696" s="1" t="s">
        <v>542</v>
      </c>
      <c r="W1696" s="1" t="s">
        <v>44</v>
      </c>
      <c r="X1696" s="1" t="s">
        <v>45</v>
      </c>
      <c r="Y1696" s="1">
        <v>4.8210252E8</v>
      </c>
      <c r="AA1696" s="1" t="s">
        <v>44</v>
      </c>
      <c r="AB1696" s="1" t="s">
        <v>45</v>
      </c>
      <c r="AC1696" s="1">
        <v>4.8210252E8</v>
      </c>
      <c r="AF1696" s="1">
        <v>29996.32</v>
      </c>
      <c r="AG1696" s="2">
        <v>41564.0</v>
      </c>
      <c r="AH1696" s="1">
        <v>1200.0</v>
      </c>
      <c r="AI1696" s="1" t="s">
        <v>647</v>
      </c>
      <c r="AJ1696" s="1" t="s">
        <v>3201</v>
      </c>
      <c r="AK1696" s="1" t="s">
        <v>712</v>
      </c>
      <c r="AL1696" s="1">
        <v>1.0</v>
      </c>
      <c r="AM1696" s="1">
        <v>2015.0</v>
      </c>
      <c r="AN1696" s="1">
        <v>2014.0</v>
      </c>
      <c r="AO1696" s="1" t="s">
        <v>713</v>
      </c>
    </row>
    <row r="1697">
      <c r="A1697" s="5">
        <v>1.0</v>
      </c>
      <c r="B1697" s="1">
        <f t="shared" si="1"/>
        <v>1697</v>
      </c>
      <c r="C1697" s="1" t="s">
        <v>3048</v>
      </c>
      <c r="D1697" s="1" t="s">
        <v>3048</v>
      </c>
      <c r="E1697" s="1" t="s">
        <v>645</v>
      </c>
      <c r="G1697" s="1">
        <v>4.58254144E8</v>
      </c>
      <c r="H1697" s="2">
        <v>41550.0</v>
      </c>
      <c r="I1697" s="1" t="s">
        <v>710</v>
      </c>
      <c r="K1697" s="1" t="s">
        <v>710</v>
      </c>
      <c r="N1697" s="1" t="s">
        <v>647</v>
      </c>
      <c r="O1697" s="1">
        <v>1200.0</v>
      </c>
      <c r="P1697" s="1" t="s">
        <v>647</v>
      </c>
      <c r="Q1697" s="1" t="str">
        <f>IF(ISERROR(VLOOKUP(P1697,'unique fed agency names'!A:C,3,FALSE)),P1697,VLOOKUP(P1697,'unique fed agency names'!A:C,3,FALSE))
</f>
        <v>U.S. Department of Agriculture (USDA)</v>
      </c>
      <c r="R1697" s="1">
        <v>7.0381949E7</v>
      </c>
      <c r="S1697" s="1" t="s">
        <v>605</v>
      </c>
      <c r="T1697" s="1" t="str">
        <f>IF(ISERROR(VLOOKUP(S1697,'unique org names'!A:C,3,FALSE)),S1697,VLOOKUP(S1697,'unique org names'!A:C,3,FALSE))
</f>
        <v>Liberty Caniff Academy</v>
      </c>
      <c r="V1697" s="1" t="s">
        <v>606</v>
      </c>
      <c r="W1697" s="1" t="s">
        <v>44</v>
      </c>
      <c r="X1697" s="1" t="s">
        <v>45</v>
      </c>
      <c r="Y1697" s="1">
        <v>4.82123033E8</v>
      </c>
      <c r="AA1697" s="1" t="s">
        <v>607</v>
      </c>
      <c r="AB1697" s="1" t="s">
        <v>45</v>
      </c>
      <c r="AC1697" s="1">
        <v>4.82123033E8</v>
      </c>
      <c r="AF1697" s="1">
        <v>121087.84</v>
      </c>
      <c r="AG1697" s="2">
        <v>41550.0</v>
      </c>
      <c r="AH1697" s="1">
        <v>1200.0</v>
      </c>
      <c r="AI1697" s="1" t="s">
        <v>647</v>
      </c>
      <c r="AJ1697" s="1" t="s">
        <v>3202</v>
      </c>
      <c r="AK1697" s="1" t="s">
        <v>712</v>
      </c>
      <c r="AL1697" s="1">
        <v>1.0</v>
      </c>
      <c r="AM1697" s="1">
        <v>2015.0</v>
      </c>
      <c r="AN1697" s="1">
        <v>2014.0</v>
      </c>
      <c r="AO1697" s="1" t="s">
        <v>713</v>
      </c>
    </row>
    <row r="1698">
      <c r="A1698" s="5">
        <v>1.0</v>
      </c>
      <c r="B1698" s="1">
        <f t="shared" si="1"/>
        <v>1698</v>
      </c>
      <c r="C1698" s="1" t="s">
        <v>3048</v>
      </c>
      <c r="D1698" s="1" t="s">
        <v>3048</v>
      </c>
      <c r="E1698" s="1" t="s">
        <v>645</v>
      </c>
      <c r="G1698" s="1">
        <v>4.58254144E8</v>
      </c>
      <c r="H1698" s="2">
        <v>41571.0</v>
      </c>
      <c r="I1698" s="1" t="s">
        <v>710</v>
      </c>
      <c r="K1698" s="1" t="s">
        <v>710</v>
      </c>
      <c r="N1698" s="1" t="s">
        <v>647</v>
      </c>
      <c r="O1698" s="1">
        <v>1200.0</v>
      </c>
      <c r="P1698" s="1" t="s">
        <v>647</v>
      </c>
      <c r="Q1698" s="1" t="str">
        <f>IF(ISERROR(VLOOKUP(P1698,'unique fed agency names'!A:C,3,FALSE)),P1698,VLOOKUP(P1698,'unique fed agency names'!A:C,3,FALSE))
</f>
        <v>U.S. Department of Agriculture (USDA)</v>
      </c>
      <c r="R1698" s="1">
        <v>1.01550176E8</v>
      </c>
      <c r="S1698" s="1" t="s">
        <v>719</v>
      </c>
      <c r="T1698" s="1" t="str">
        <f>IF(ISERROR(VLOOKUP(S1698,'unique org names'!A:C,3,FALSE)),S1698,VLOOKUP(S1698,'unique org names'!A:C,3,FALSE))
</f>
        <v>METROPOLITAN CHILDREN AND YOUTH INC UNITED CHILDREN AND FAMILY HEAD START</v>
      </c>
      <c r="V1698" s="1" t="s">
        <v>720</v>
      </c>
      <c r="W1698" s="1" t="s">
        <v>44</v>
      </c>
      <c r="X1698" s="1" t="s">
        <v>45</v>
      </c>
      <c r="Y1698" s="1">
        <v>4.82132731E8</v>
      </c>
      <c r="AA1698" s="1" t="s">
        <v>44</v>
      </c>
      <c r="AB1698" s="1" t="s">
        <v>45</v>
      </c>
      <c r="AC1698" s="1">
        <v>4.82132731E8</v>
      </c>
      <c r="AD1698" s="1">
        <v>1.01550176E8</v>
      </c>
      <c r="AE1698" s="1" t="s">
        <v>719</v>
      </c>
      <c r="AF1698" s="1">
        <v>277256.57</v>
      </c>
      <c r="AG1698" s="2">
        <v>41571.0</v>
      </c>
      <c r="AH1698" s="1">
        <v>1200.0</v>
      </c>
      <c r="AI1698" s="1" t="s">
        <v>647</v>
      </c>
      <c r="AJ1698" s="1" t="s">
        <v>3203</v>
      </c>
      <c r="AK1698" s="1" t="s">
        <v>712</v>
      </c>
      <c r="AL1698" s="1">
        <v>1.0</v>
      </c>
      <c r="AM1698" s="1">
        <v>2015.0</v>
      </c>
      <c r="AN1698" s="1">
        <v>2014.0</v>
      </c>
      <c r="AO1698" s="1" t="s">
        <v>713</v>
      </c>
    </row>
    <row r="1699">
      <c r="A1699" s="5">
        <v>1.0</v>
      </c>
      <c r="B1699" s="1">
        <f t="shared" si="1"/>
        <v>1699</v>
      </c>
      <c r="C1699" s="1" t="s">
        <v>3048</v>
      </c>
      <c r="D1699" s="1" t="s">
        <v>3048</v>
      </c>
      <c r="E1699" s="1" t="s">
        <v>645</v>
      </c>
      <c r="G1699" s="1">
        <v>4.58254144E8</v>
      </c>
      <c r="H1699" s="2">
        <v>41585.0</v>
      </c>
      <c r="I1699" s="1" t="s">
        <v>710</v>
      </c>
      <c r="K1699" s="1" t="s">
        <v>710</v>
      </c>
      <c r="N1699" s="1" t="s">
        <v>647</v>
      </c>
      <c r="O1699" s="1">
        <v>1200.0</v>
      </c>
      <c r="P1699" s="1" t="s">
        <v>647</v>
      </c>
      <c r="Q1699" s="1" t="str">
        <f>IF(ISERROR(VLOOKUP(P1699,'unique fed agency names'!A:C,3,FALSE)),P1699,VLOOKUP(P1699,'unique fed agency names'!A:C,3,FALSE))
</f>
        <v>U.S. Department of Agriculture (USDA)</v>
      </c>
      <c r="R1699" s="1">
        <v>9.26909602E8</v>
      </c>
      <c r="S1699" s="1" t="s">
        <v>897</v>
      </c>
      <c r="T1699" s="1" t="str">
        <f>IF(ISERROR(VLOOKUP(S1699,'unique org names'!A:C,3,FALSE)),S1699,VLOOKUP(S1699,'unique org names'!A:C,3,FALSE))
</f>
        <v>Brightminds Childcare Center</v>
      </c>
      <c r="V1699" s="1" t="s">
        <v>898</v>
      </c>
      <c r="W1699" s="1" t="s">
        <v>44</v>
      </c>
      <c r="X1699" s="1" t="s">
        <v>45</v>
      </c>
      <c r="Y1699" s="1">
        <v>4.82283509E8</v>
      </c>
      <c r="AA1699" s="1" t="s">
        <v>44</v>
      </c>
      <c r="AB1699" s="1" t="s">
        <v>45</v>
      </c>
      <c r="AC1699" s="1">
        <v>4.82283509E8</v>
      </c>
      <c r="AF1699" s="1">
        <v>38007.32</v>
      </c>
      <c r="AG1699" s="2">
        <v>41585.0</v>
      </c>
      <c r="AH1699" s="1">
        <v>1200.0</v>
      </c>
      <c r="AI1699" s="1" t="s">
        <v>647</v>
      </c>
      <c r="AJ1699" s="1" t="s">
        <v>3204</v>
      </c>
      <c r="AK1699" s="1" t="s">
        <v>712</v>
      </c>
      <c r="AL1699" s="1">
        <v>1.0</v>
      </c>
      <c r="AM1699" s="1">
        <v>2015.0</v>
      </c>
      <c r="AN1699" s="1">
        <v>2014.0</v>
      </c>
      <c r="AO1699" s="1" t="s">
        <v>713</v>
      </c>
    </row>
    <row r="1700">
      <c r="A1700" s="5">
        <v>1.0</v>
      </c>
      <c r="B1700" s="1">
        <f t="shared" si="1"/>
        <v>1700</v>
      </c>
      <c r="C1700" s="1" t="s">
        <v>3048</v>
      </c>
      <c r="D1700" s="1" t="s">
        <v>3048</v>
      </c>
      <c r="E1700" s="1" t="s">
        <v>645</v>
      </c>
      <c r="G1700" s="1">
        <v>4.58254144E8</v>
      </c>
      <c r="H1700" s="2">
        <v>41564.0</v>
      </c>
      <c r="I1700" s="1" t="s">
        <v>710</v>
      </c>
      <c r="K1700" s="1" t="s">
        <v>710</v>
      </c>
      <c r="N1700" s="1" t="s">
        <v>647</v>
      </c>
      <c r="O1700" s="1">
        <v>1200.0</v>
      </c>
      <c r="P1700" s="1" t="s">
        <v>647</v>
      </c>
      <c r="Q1700" s="1" t="str">
        <f>IF(ISERROR(VLOOKUP(P1700,'unique fed agency names'!A:C,3,FALSE)),P1700,VLOOKUP(P1700,'unique fed agency names'!A:C,3,FALSE))
</f>
        <v>U.S. Department of Agriculture (USDA)</v>
      </c>
      <c r="R1700" s="1">
        <v>1.6388758E7</v>
      </c>
      <c r="S1700" s="1" t="s">
        <v>3139</v>
      </c>
      <c r="T1700" s="1" t="str">
        <f>IF(ISERROR(VLOOKUP(S1700,'unique org names'!A:C,3,FALSE)),S1700,VLOOKUP(S1700,'unique org names'!A:C,3,FALSE))
</f>
        <v>CALUMET CENTER</v>
      </c>
      <c r="U1700" s="1" t="s">
        <v>3140</v>
      </c>
      <c r="V1700" s="1" t="s">
        <v>281</v>
      </c>
      <c r="W1700" s="1" t="s">
        <v>44</v>
      </c>
      <c r="X1700" s="1" t="s">
        <v>45</v>
      </c>
      <c r="Y1700" s="1">
        <v>4.82033277E8</v>
      </c>
      <c r="AA1700" s="1" t="s">
        <v>603</v>
      </c>
      <c r="AB1700" s="1" t="s">
        <v>45</v>
      </c>
      <c r="AC1700" s="1">
        <v>4.82033277E8</v>
      </c>
      <c r="AF1700" s="1">
        <v>95443.11</v>
      </c>
      <c r="AG1700" s="2">
        <v>41564.0</v>
      </c>
      <c r="AH1700" s="1">
        <v>1200.0</v>
      </c>
      <c r="AI1700" s="1" t="s">
        <v>647</v>
      </c>
      <c r="AJ1700" s="1" t="s">
        <v>3205</v>
      </c>
      <c r="AK1700" s="1" t="s">
        <v>712</v>
      </c>
      <c r="AL1700" s="1">
        <v>1.0</v>
      </c>
      <c r="AM1700" s="1">
        <v>2015.0</v>
      </c>
      <c r="AN1700" s="1">
        <v>2014.0</v>
      </c>
      <c r="AO1700" s="1" t="s">
        <v>713</v>
      </c>
    </row>
    <row r="1701">
      <c r="A1701" s="5">
        <v>1.0</v>
      </c>
      <c r="B1701" s="1">
        <f t="shared" si="1"/>
        <v>1701</v>
      </c>
      <c r="C1701" s="1" t="s">
        <v>3048</v>
      </c>
      <c r="D1701" s="1" t="s">
        <v>3048</v>
      </c>
      <c r="E1701" s="1" t="s">
        <v>645</v>
      </c>
      <c r="G1701" s="1">
        <v>4.58254144E8</v>
      </c>
      <c r="H1701" s="2">
        <v>41592.0</v>
      </c>
      <c r="I1701" s="1" t="s">
        <v>710</v>
      </c>
      <c r="K1701" s="1" t="s">
        <v>710</v>
      </c>
      <c r="N1701" s="1" t="s">
        <v>647</v>
      </c>
      <c r="O1701" s="1">
        <v>1200.0</v>
      </c>
      <c r="P1701" s="1" t="s">
        <v>647</v>
      </c>
      <c r="Q1701" s="1" t="str">
        <f>IF(ISERROR(VLOOKUP(P1701,'unique fed agency names'!A:C,3,FALSE)),P1701,VLOOKUP(P1701,'unique fed agency names'!A:C,3,FALSE))
</f>
        <v>U.S. Department of Agriculture (USDA)</v>
      </c>
      <c r="R1701" s="1">
        <v>7.8634042E7</v>
      </c>
      <c r="S1701" s="1" t="s">
        <v>2998</v>
      </c>
      <c r="T1701" s="1" t="str">
        <f>IF(ISERROR(VLOOKUP(S1701,'unique org names'!A:C,3,FALSE)),S1701,VLOOKUP(S1701,'unique org names'!A:C,3,FALSE))
</f>
        <v>Hamilton Academy</v>
      </c>
      <c r="V1701" s="1" t="s">
        <v>475</v>
      </c>
      <c r="W1701" s="1" t="s">
        <v>44</v>
      </c>
      <c r="X1701" s="1" t="s">
        <v>45</v>
      </c>
      <c r="Y1701" s="1">
        <v>4.82133744E8</v>
      </c>
      <c r="AA1701" s="1" t="s">
        <v>46</v>
      </c>
      <c r="AB1701" s="1" t="s">
        <v>45</v>
      </c>
      <c r="AC1701" s="1">
        <v>4.82133744E8</v>
      </c>
      <c r="AF1701" s="1">
        <v>162168.61</v>
      </c>
      <c r="AG1701" s="2">
        <v>41592.0</v>
      </c>
      <c r="AH1701" s="1">
        <v>1200.0</v>
      </c>
      <c r="AI1701" s="1" t="s">
        <v>647</v>
      </c>
      <c r="AJ1701" s="1" t="s">
        <v>3206</v>
      </c>
      <c r="AK1701" s="1" t="s">
        <v>712</v>
      </c>
      <c r="AL1701" s="1">
        <v>1.0</v>
      </c>
      <c r="AM1701" s="1">
        <v>2015.0</v>
      </c>
      <c r="AN1701" s="1">
        <v>2014.0</v>
      </c>
      <c r="AO1701" s="1" t="s">
        <v>713</v>
      </c>
    </row>
    <row r="1702">
      <c r="A1702" s="5">
        <v>1.0</v>
      </c>
      <c r="B1702" s="1">
        <f t="shared" si="1"/>
        <v>1702</v>
      </c>
      <c r="C1702" s="1" t="s">
        <v>3048</v>
      </c>
      <c r="D1702" s="1" t="s">
        <v>3048</v>
      </c>
      <c r="E1702" s="1" t="s">
        <v>645</v>
      </c>
      <c r="G1702" s="1">
        <v>4.58254144E8</v>
      </c>
      <c r="H1702" s="2">
        <v>41592.0</v>
      </c>
      <c r="I1702" s="1" t="s">
        <v>710</v>
      </c>
      <c r="K1702" s="1" t="s">
        <v>710</v>
      </c>
      <c r="N1702" s="1" t="s">
        <v>647</v>
      </c>
      <c r="O1702" s="1">
        <v>1200.0</v>
      </c>
      <c r="P1702" s="1" t="s">
        <v>647</v>
      </c>
      <c r="Q1702" s="1" t="str">
        <f>IF(ISERROR(VLOOKUP(P1702,'unique fed agency names'!A:C,3,FALSE)),P1702,VLOOKUP(P1702,'unique fed agency names'!A:C,3,FALSE))
</f>
        <v>U.S. Department of Agriculture (USDA)</v>
      </c>
      <c r="R1702" s="1">
        <v>8.3082572E8</v>
      </c>
      <c r="S1702" s="1" t="s">
        <v>465</v>
      </c>
      <c r="T1702" s="1" t="str">
        <f>IF(ISERROR(VLOOKUP(S1702,'unique org names'!A:C,3,FALSE)),S1702,VLOOKUP(S1702,'unique org names'!A:C,3,FALSE))
</f>
        <v>Public School Academies of Detroit</v>
      </c>
      <c r="U1702" s="1" t="s">
        <v>554</v>
      </c>
      <c r="V1702" s="1" t="s">
        <v>555</v>
      </c>
      <c r="W1702" s="1" t="s">
        <v>44</v>
      </c>
      <c r="X1702" s="1" t="s">
        <v>45</v>
      </c>
      <c r="Y1702" s="1">
        <v>4.82024061E8</v>
      </c>
      <c r="AA1702" s="1" t="s">
        <v>44</v>
      </c>
      <c r="AB1702" s="1" t="s">
        <v>45</v>
      </c>
      <c r="AC1702" s="1">
        <v>4.82023457E8</v>
      </c>
      <c r="AD1702" s="1">
        <v>1.6338926E8</v>
      </c>
      <c r="AE1702" s="1" t="s">
        <v>465</v>
      </c>
      <c r="AF1702" s="1">
        <v>133692.1</v>
      </c>
      <c r="AG1702" s="2">
        <v>41592.0</v>
      </c>
      <c r="AH1702" s="1">
        <v>1200.0</v>
      </c>
      <c r="AI1702" s="1" t="s">
        <v>647</v>
      </c>
      <c r="AJ1702" s="1" t="s">
        <v>3207</v>
      </c>
      <c r="AK1702" s="1" t="s">
        <v>712</v>
      </c>
      <c r="AL1702" s="1">
        <v>1.0</v>
      </c>
      <c r="AM1702" s="1">
        <v>2015.0</v>
      </c>
      <c r="AN1702" s="1">
        <v>2014.0</v>
      </c>
      <c r="AO1702" s="1" t="s">
        <v>713</v>
      </c>
    </row>
    <row r="1703">
      <c r="A1703" s="5">
        <v>1.0</v>
      </c>
      <c r="B1703" s="1">
        <f t="shared" si="1"/>
        <v>1703</v>
      </c>
      <c r="C1703" s="1" t="s">
        <v>3048</v>
      </c>
      <c r="D1703" s="1" t="s">
        <v>3048</v>
      </c>
      <c r="E1703" s="1" t="s">
        <v>645</v>
      </c>
      <c r="G1703" s="1">
        <v>4.58254144E8</v>
      </c>
      <c r="H1703" s="2">
        <v>41564.0</v>
      </c>
      <c r="I1703" s="1" t="s">
        <v>710</v>
      </c>
      <c r="K1703" s="1" t="s">
        <v>710</v>
      </c>
      <c r="N1703" s="1" t="s">
        <v>647</v>
      </c>
      <c r="O1703" s="1">
        <v>1200.0</v>
      </c>
      <c r="P1703" s="1" t="s">
        <v>647</v>
      </c>
      <c r="Q1703" s="1" t="str">
        <f>IF(ISERROR(VLOOKUP(P1703,'unique fed agency names'!A:C,3,FALSE)),P1703,VLOOKUP(P1703,'unique fed agency names'!A:C,3,FALSE))
</f>
        <v>U.S. Department of Agriculture (USDA)</v>
      </c>
      <c r="R1703" s="1">
        <v>4.2136734E7</v>
      </c>
      <c r="S1703" s="1" t="s">
        <v>557</v>
      </c>
      <c r="T1703" s="1" t="str">
        <f>IF(ISERROR(VLOOKUP(S1703,'unique org names'!A:C,3,FALSE)),S1703,VLOOKUP(S1703,'unique org names'!A:C,3,FALSE))
</f>
        <v>GEORGE CROCKETT ACADEMY</v>
      </c>
      <c r="V1703" s="1" t="s">
        <v>558</v>
      </c>
      <c r="W1703" s="1" t="s">
        <v>44</v>
      </c>
      <c r="X1703" s="1" t="s">
        <v>45</v>
      </c>
      <c r="Y1703" s="1">
        <v>4.82082204E8</v>
      </c>
      <c r="AA1703" s="1" t="s">
        <v>44</v>
      </c>
      <c r="AB1703" s="1" t="s">
        <v>45</v>
      </c>
      <c r="AC1703" s="1">
        <v>4.82082204E8</v>
      </c>
      <c r="AF1703" s="1">
        <v>56220.28</v>
      </c>
      <c r="AG1703" s="2">
        <v>41564.0</v>
      </c>
      <c r="AH1703" s="1">
        <v>1200.0</v>
      </c>
      <c r="AI1703" s="1" t="s">
        <v>647</v>
      </c>
      <c r="AJ1703" s="1" t="s">
        <v>3208</v>
      </c>
      <c r="AK1703" s="1" t="s">
        <v>712</v>
      </c>
      <c r="AL1703" s="1">
        <v>1.0</v>
      </c>
      <c r="AM1703" s="1">
        <v>2015.0</v>
      </c>
      <c r="AN1703" s="1">
        <v>2014.0</v>
      </c>
      <c r="AO1703" s="1" t="s">
        <v>713</v>
      </c>
    </row>
    <row r="1704">
      <c r="A1704" s="5">
        <v>1.0</v>
      </c>
      <c r="B1704" s="1">
        <f t="shared" si="1"/>
        <v>1704</v>
      </c>
      <c r="C1704" s="1" t="s">
        <v>3048</v>
      </c>
      <c r="D1704" s="1" t="s">
        <v>3048</v>
      </c>
      <c r="E1704" s="1" t="s">
        <v>645</v>
      </c>
      <c r="G1704" s="1">
        <v>4.58254144E8</v>
      </c>
      <c r="H1704" s="2">
        <v>41557.0</v>
      </c>
      <c r="I1704" s="1" t="s">
        <v>710</v>
      </c>
      <c r="K1704" s="1" t="s">
        <v>710</v>
      </c>
      <c r="N1704" s="1" t="s">
        <v>647</v>
      </c>
      <c r="O1704" s="1">
        <v>1200.0</v>
      </c>
      <c r="P1704" s="1" t="s">
        <v>647</v>
      </c>
      <c r="Q1704" s="1" t="str">
        <f>IF(ISERROR(VLOOKUP(P1704,'unique fed agency names'!A:C,3,FALSE)),P1704,VLOOKUP(P1704,'unique fed agency names'!A:C,3,FALSE))
</f>
        <v>U.S. Department of Agriculture (USDA)</v>
      </c>
      <c r="R1704" s="1">
        <v>3.7602699E7</v>
      </c>
      <c r="S1704" s="1" t="s">
        <v>535</v>
      </c>
      <c r="T1704" s="1" t="str">
        <f>IF(ISERROR(VLOOKUP(S1704,'unique org names'!A:C,3,FALSE)),S1704,VLOOKUP(S1704,'unique org names'!A:C,3,FALSE))
</f>
        <v>REGENT PARK SCHOLARS CHARTER ACADEMY</v>
      </c>
      <c r="V1704" s="1" t="s">
        <v>536</v>
      </c>
      <c r="W1704" s="1" t="s">
        <v>44</v>
      </c>
      <c r="X1704" s="1" t="s">
        <v>45</v>
      </c>
      <c r="Y1704" s="1">
        <v>4.82052545E8</v>
      </c>
      <c r="AA1704" s="1" t="s">
        <v>46</v>
      </c>
      <c r="AB1704" s="1" t="s">
        <v>45</v>
      </c>
      <c r="AC1704" s="1">
        <v>4.82052545E8</v>
      </c>
      <c r="AF1704" s="1">
        <v>219230.19</v>
      </c>
      <c r="AG1704" s="2">
        <v>41557.0</v>
      </c>
      <c r="AH1704" s="1">
        <v>1200.0</v>
      </c>
      <c r="AI1704" s="1" t="s">
        <v>647</v>
      </c>
      <c r="AJ1704" s="1" t="s">
        <v>3209</v>
      </c>
      <c r="AK1704" s="1" t="s">
        <v>712</v>
      </c>
      <c r="AL1704" s="1">
        <v>1.0</v>
      </c>
      <c r="AM1704" s="1">
        <v>2015.0</v>
      </c>
      <c r="AN1704" s="1">
        <v>2014.0</v>
      </c>
      <c r="AO1704" s="1" t="s">
        <v>713</v>
      </c>
    </row>
    <row r="1705">
      <c r="A1705" s="5">
        <v>1.0</v>
      </c>
      <c r="B1705" s="1">
        <f t="shared" si="1"/>
        <v>1705</v>
      </c>
      <c r="C1705" s="1" t="s">
        <v>3048</v>
      </c>
      <c r="D1705" s="1" t="s">
        <v>3048</v>
      </c>
      <c r="E1705" s="1" t="s">
        <v>645</v>
      </c>
      <c r="G1705" s="1">
        <v>4.58254144E8</v>
      </c>
      <c r="H1705" s="2">
        <v>41557.0</v>
      </c>
      <c r="I1705" s="1" t="s">
        <v>710</v>
      </c>
      <c r="K1705" s="1" t="s">
        <v>710</v>
      </c>
      <c r="N1705" s="1" t="s">
        <v>647</v>
      </c>
      <c r="O1705" s="1">
        <v>1200.0</v>
      </c>
      <c r="P1705" s="1" t="s">
        <v>647</v>
      </c>
      <c r="Q1705" s="1" t="str">
        <f>IF(ISERROR(VLOOKUP(P1705,'unique fed agency names'!A:C,3,FALSE)),P1705,VLOOKUP(P1705,'unique fed agency names'!A:C,3,FALSE))
</f>
        <v>U.S. Department of Agriculture (USDA)</v>
      </c>
      <c r="R1705" s="1">
        <v>1.23577707E8</v>
      </c>
      <c r="S1705" s="1" t="s">
        <v>563</v>
      </c>
      <c r="T1705" s="1" t="str">
        <f>IF(ISERROR(VLOOKUP(S1705,'unique org names'!A:C,3,FALSE)),S1705,VLOOKUP(S1705,'unique org names'!A:C,3,FALSE))
</f>
        <v>WARRENDALE CHARTER ACADEMY</v>
      </c>
      <c r="V1705" s="1" t="s">
        <v>565</v>
      </c>
      <c r="W1705" s="1" t="s">
        <v>44</v>
      </c>
      <c r="X1705" s="1" t="s">
        <v>45</v>
      </c>
      <c r="Y1705" s="1">
        <v>4.8228333E8</v>
      </c>
      <c r="AA1705" s="1" t="s">
        <v>44</v>
      </c>
      <c r="AB1705" s="1" t="s">
        <v>45</v>
      </c>
      <c r="AC1705" s="1">
        <v>4.82283396E8</v>
      </c>
      <c r="AD1705" s="1">
        <v>9.60742484E8</v>
      </c>
      <c r="AF1705" s="1">
        <v>272006.24</v>
      </c>
      <c r="AG1705" s="2">
        <v>41557.0</v>
      </c>
      <c r="AH1705" s="1">
        <v>1200.0</v>
      </c>
      <c r="AI1705" s="1" t="s">
        <v>647</v>
      </c>
      <c r="AJ1705" s="1" t="s">
        <v>3210</v>
      </c>
      <c r="AK1705" s="1" t="s">
        <v>712</v>
      </c>
      <c r="AL1705" s="1">
        <v>1.0</v>
      </c>
      <c r="AM1705" s="1">
        <v>2015.0</v>
      </c>
      <c r="AN1705" s="1">
        <v>2014.0</v>
      </c>
      <c r="AO1705" s="1" t="s">
        <v>713</v>
      </c>
    </row>
    <row r="1706">
      <c r="A1706" s="5">
        <v>1.0</v>
      </c>
      <c r="B1706" s="1">
        <f t="shared" si="1"/>
        <v>1706</v>
      </c>
      <c r="C1706" s="1" t="s">
        <v>3048</v>
      </c>
      <c r="D1706" s="1" t="s">
        <v>3048</v>
      </c>
      <c r="E1706" s="1" t="s">
        <v>645</v>
      </c>
      <c r="G1706" s="1">
        <v>4.58254144E8</v>
      </c>
      <c r="H1706" s="2">
        <v>41557.0</v>
      </c>
      <c r="I1706" s="1" t="s">
        <v>710</v>
      </c>
      <c r="K1706" s="1" t="s">
        <v>710</v>
      </c>
      <c r="N1706" s="1" t="s">
        <v>647</v>
      </c>
      <c r="O1706" s="1">
        <v>1200.0</v>
      </c>
      <c r="P1706" s="1" t="s">
        <v>647</v>
      </c>
      <c r="Q1706" s="1" t="str">
        <f>IF(ISERROR(VLOOKUP(P1706,'unique fed agency names'!A:C,3,FALSE)),P1706,VLOOKUP(P1706,'unique fed agency names'!A:C,3,FALSE))
</f>
        <v>U.S. Department of Agriculture (USDA)</v>
      </c>
      <c r="R1706" s="1">
        <v>3.7602699E7</v>
      </c>
      <c r="S1706" s="1" t="s">
        <v>535</v>
      </c>
      <c r="T1706" s="1" t="str">
        <f>IF(ISERROR(VLOOKUP(S1706,'unique org names'!A:C,3,FALSE)),S1706,VLOOKUP(S1706,'unique org names'!A:C,3,FALSE))
</f>
        <v>REGENT PARK SCHOLARS CHARTER ACADEMY</v>
      </c>
      <c r="V1706" s="1" t="s">
        <v>536</v>
      </c>
      <c r="W1706" s="1" t="s">
        <v>44</v>
      </c>
      <c r="X1706" s="1" t="s">
        <v>45</v>
      </c>
      <c r="Y1706" s="1">
        <v>4.82052545E8</v>
      </c>
      <c r="AA1706" s="1" t="s">
        <v>46</v>
      </c>
      <c r="AB1706" s="1" t="s">
        <v>45</v>
      </c>
      <c r="AC1706" s="1">
        <v>4.82052545E8</v>
      </c>
      <c r="AF1706" s="1">
        <v>108283.48</v>
      </c>
      <c r="AG1706" s="2">
        <v>41557.0</v>
      </c>
      <c r="AH1706" s="1">
        <v>1200.0</v>
      </c>
      <c r="AI1706" s="1" t="s">
        <v>647</v>
      </c>
      <c r="AJ1706" s="1" t="s">
        <v>3211</v>
      </c>
      <c r="AK1706" s="1" t="s">
        <v>712</v>
      </c>
      <c r="AL1706" s="1">
        <v>1.0</v>
      </c>
      <c r="AM1706" s="1">
        <v>2015.0</v>
      </c>
      <c r="AN1706" s="1">
        <v>2014.0</v>
      </c>
      <c r="AO1706" s="1" t="s">
        <v>713</v>
      </c>
    </row>
    <row r="1707">
      <c r="A1707" s="5">
        <v>1.0</v>
      </c>
      <c r="B1707" s="1">
        <f t="shared" si="1"/>
        <v>1707</v>
      </c>
      <c r="C1707" s="1" t="s">
        <v>3048</v>
      </c>
      <c r="D1707" s="1" t="s">
        <v>3048</v>
      </c>
      <c r="E1707" s="1" t="s">
        <v>645</v>
      </c>
      <c r="G1707" s="1">
        <v>4.58254144E8</v>
      </c>
      <c r="H1707" s="2">
        <v>41564.0</v>
      </c>
      <c r="I1707" s="1" t="s">
        <v>710</v>
      </c>
      <c r="K1707" s="1" t="s">
        <v>710</v>
      </c>
      <c r="N1707" s="1" t="s">
        <v>647</v>
      </c>
      <c r="O1707" s="1">
        <v>1200.0</v>
      </c>
      <c r="P1707" s="1" t="s">
        <v>647</v>
      </c>
      <c r="Q1707" s="1" t="str">
        <f>IF(ISERROR(VLOOKUP(P1707,'unique fed agency names'!A:C,3,FALSE)),P1707,VLOOKUP(P1707,'unique fed agency names'!A:C,3,FALSE))
</f>
        <v>U.S. Department of Agriculture (USDA)</v>
      </c>
      <c r="R1707" s="1">
        <v>9.62949843E8</v>
      </c>
      <c r="S1707" s="1" t="s">
        <v>619</v>
      </c>
      <c r="T1707" s="1" t="str">
        <f>IF(ISERROR(VLOOKUP(S1707,'unique org names'!A:C,3,FALSE)),S1707,VLOOKUP(S1707,'unique org names'!A:C,3,FALSE))
</f>
        <v>ALLEN ACADEMY</v>
      </c>
      <c r="V1707" s="1" t="s">
        <v>620</v>
      </c>
      <c r="W1707" s="1" t="s">
        <v>44</v>
      </c>
      <c r="X1707" s="1" t="s">
        <v>45</v>
      </c>
      <c r="Y1707" s="1">
        <v>4.82042306E8</v>
      </c>
      <c r="AA1707" s="1" t="s">
        <v>44</v>
      </c>
      <c r="AB1707" s="1" t="s">
        <v>45</v>
      </c>
      <c r="AC1707" s="1">
        <v>4.82042306E8</v>
      </c>
      <c r="AF1707" s="1">
        <v>27980.47</v>
      </c>
      <c r="AG1707" s="2">
        <v>41564.0</v>
      </c>
      <c r="AH1707" s="1">
        <v>1200.0</v>
      </c>
      <c r="AI1707" s="1" t="s">
        <v>647</v>
      </c>
      <c r="AJ1707" s="1" t="s">
        <v>3212</v>
      </c>
      <c r="AK1707" s="1" t="s">
        <v>712</v>
      </c>
      <c r="AL1707" s="1">
        <v>1.0</v>
      </c>
      <c r="AM1707" s="1">
        <v>2015.0</v>
      </c>
      <c r="AN1707" s="1">
        <v>2014.0</v>
      </c>
      <c r="AO1707" s="1" t="s">
        <v>713</v>
      </c>
    </row>
    <row r="1708">
      <c r="A1708" s="5">
        <v>1.0</v>
      </c>
      <c r="B1708" s="1">
        <f t="shared" si="1"/>
        <v>1708</v>
      </c>
      <c r="C1708" s="1" t="s">
        <v>3048</v>
      </c>
      <c r="D1708" s="1" t="s">
        <v>3048</v>
      </c>
      <c r="E1708" s="1" t="s">
        <v>645</v>
      </c>
      <c r="G1708" s="1">
        <v>4.58254144E8</v>
      </c>
      <c r="H1708" s="2">
        <v>41550.0</v>
      </c>
      <c r="I1708" s="1" t="s">
        <v>710</v>
      </c>
      <c r="K1708" s="1" t="s">
        <v>710</v>
      </c>
      <c r="N1708" s="1" t="s">
        <v>647</v>
      </c>
      <c r="O1708" s="1">
        <v>1200.0</v>
      </c>
      <c r="P1708" s="1" t="s">
        <v>647</v>
      </c>
      <c r="Q1708" s="1" t="str">
        <f>IF(ISERROR(VLOOKUP(P1708,'unique fed agency names'!A:C,3,FALSE)),P1708,VLOOKUP(P1708,'unique fed agency names'!A:C,3,FALSE))
</f>
        <v>U.S. Department of Agriculture (USDA)</v>
      </c>
      <c r="R1708" s="1">
        <v>6.07448487E8</v>
      </c>
      <c r="S1708" s="1" t="s">
        <v>938</v>
      </c>
      <c r="T1708" s="1" t="str">
        <f>IF(ISERROR(VLOOKUP(S1708,'unique org names'!A:C,3,FALSE)),S1708,VLOOKUP(S1708,'unique org names'!A:C,3,FALSE))
</f>
        <v>Greater Mt Zion Baptist Church</v>
      </c>
      <c r="V1708" s="1" t="s">
        <v>939</v>
      </c>
      <c r="W1708" s="1" t="s">
        <v>44</v>
      </c>
      <c r="X1708" s="1" t="s">
        <v>45</v>
      </c>
      <c r="Y1708" s="1">
        <v>4.82242829E8</v>
      </c>
      <c r="AA1708" s="1" t="s">
        <v>44</v>
      </c>
      <c r="AB1708" s="1" t="s">
        <v>45</v>
      </c>
      <c r="AC1708" s="1">
        <v>4.82242829E8</v>
      </c>
      <c r="AD1708" s="1">
        <v>6.07448487E8</v>
      </c>
      <c r="AF1708" s="1">
        <v>48263.78</v>
      </c>
      <c r="AG1708" s="2">
        <v>41550.0</v>
      </c>
      <c r="AH1708" s="1">
        <v>1200.0</v>
      </c>
      <c r="AI1708" s="1" t="s">
        <v>647</v>
      </c>
      <c r="AJ1708" s="1" t="s">
        <v>3213</v>
      </c>
      <c r="AK1708" s="1" t="s">
        <v>712</v>
      </c>
      <c r="AL1708" s="1">
        <v>1.0</v>
      </c>
      <c r="AM1708" s="1">
        <v>2015.0</v>
      </c>
      <c r="AN1708" s="1">
        <v>2014.0</v>
      </c>
      <c r="AO1708" s="1" t="s">
        <v>713</v>
      </c>
    </row>
    <row r="1709">
      <c r="A1709" s="5">
        <v>1.0</v>
      </c>
      <c r="B1709" s="1">
        <f t="shared" si="1"/>
        <v>1709</v>
      </c>
      <c r="C1709" s="1" t="s">
        <v>3048</v>
      </c>
      <c r="D1709" s="1" t="s">
        <v>3048</v>
      </c>
      <c r="E1709" s="1" t="s">
        <v>645</v>
      </c>
      <c r="G1709" s="1">
        <v>4.58254144E8</v>
      </c>
      <c r="H1709" s="2">
        <v>41473.0</v>
      </c>
      <c r="I1709" s="1" t="s">
        <v>710</v>
      </c>
      <c r="K1709" s="1" t="s">
        <v>710</v>
      </c>
      <c r="N1709" s="1" t="s">
        <v>647</v>
      </c>
      <c r="O1709" s="1">
        <v>1200.0</v>
      </c>
      <c r="P1709" s="1" t="s">
        <v>647</v>
      </c>
      <c r="Q1709" s="1" t="str">
        <f>IF(ISERROR(VLOOKUP(P1709,'unique fed agency names'!A:C,3,FALSE)),P1709,VLOOKUP(P1709,'unique fed agency names'!A:C,3,FALSE))
</f>
        <v>U.S. Department of Agriculture (USDA)</v>
      </c>
      <c r="R1709" s="1">
        <v>1.47552186E8</v>
      </c>
      <c r="S1709" s="1" t="s">
        <v>822</v>
      </c>
      <c r="T1709" s="1" t="str">
        <f>IF(ISERROR(VLOOKUP(S1709,'unique org names'!A:C,3,FALSE)),S1709,VLOOKUP(S1709,'unique org names'!A:C,3,FALSE))
</f>
        <v>NATAKI TALIBAH SCHOOLHOUSE OF DETROIT</v>
      </c>
      <c r="V1709" s="1" t="s">
        <v>823</v>
      </c>
      <c r="W1709" s="1" t="s">
        <v>44</v>
      </c>
      <c r="X1709" s="1" t="s">
        <v>45</v>
      </c>
      <c r="Y1709" s="1">
        <v>4.82191857E8</v>
      </c>
      <c r="AA1709" s="1" t="s">
        <v>44</v>
      </c>
      <c r="AB1709" s="1" t="s">
        <v>45</v>
      </c>
      <c r="AC1709" s="1">
        <v>4.82191857E8</v>
      </c>
      <c r="AF1709" s="1">
        <v>67608.11</v>
      </c>
      <c r="AG1709" s="2">
        <v>41473.0</v>
      </c>
      <c r="AH1709" s="1">
        <v>1200.0</v>
      </c>
      <c r="AI1709" s="1" t="s">
        <v>647</v>
      </c>
      <c r="AJ1709" s="1" t="s">
        <v>3214</v>
      </c>
      <c r="AK1709" s="1" t="s">
        <v>712</v>
      </c>
      <c r="AL1709" s="1">
        <v>1.0</v>
      </c>
      <c r="AM1709" s="1">
        <v>2015.0</v>
      </c>
      <c r="AN1709" s="1">
        <v>2013.0</v>
      </c>
      <c r="AO1709" s="1" t="s">
        <v>713</v>
      </c>
    </row>
    <row r="1710">
      <c r="A1710" s="5">
        <v>1.0</v>
      </c>
      <c r="B1710" s="1">
        <f t="shared" si="1"/>
        <v>1710</v>
      </c>
      <c r="C1710" s="1" t="s">
        <v>3048</v>
      </c>
      <c r="D1710" s="1" t="s">
        <v>3048</v>
      </c>
      <c r="E1710" s="1" t="s">
        <v>645</v>
      </c>
      <c r="G1710" s="1">
        <v>4.58254144E8</v>
      </c>
      <c r="H1710" s="2">
        <v>41571.0</v>
      </c>
      <c r="I1710" s="1" t="s">
        <v>710</v>
      </c>
      <c r="K1710" s="1" t="s">
        <v>710</v>
      </c>
      <c r="N1710" s="1" t="s">
        <v>647</v>
      </c>
      <c r="O1710" s="1">
        <v>1200.0</v>
      </c>
      <c r="P1710" s="1" t="s">
        <v>647</v>
      </c>
      <c r="Q1710" s="1" t="str">
        <f>IF(ISERROR(VLOOKUP(P1710,'unique fed agency names'!A:C,3,FALSE)),P1710,VLOOKUP(P1710,'unique fed agency names'!A:C,3,FALSE))
</f>
        <v>U.S. Department of Agriculture (USDA)</v>
      </c>
      <c r="R1710" s="1">
        <v>7.6340843E7</v>
      </c>
      <c r="S1710" s="1" t="s">
        <v>461</v>
      </c>
      <c r="T1710" s="1" t="str">
        <f>IF(ISERROR(VLOOKUP(S1710,'unique org names'!A:C,3,FALSE)),S1710,VLOOKUP(S1710,'unique org names'!A:C,3,FALSE))
</f>
        <v>BOARD OF EDUCATION OF THE CITY OF DETROIT</v>
      </c>
      <c r="V1710" s="1" t="s">
        <v>1599</v>
      </c>
      <c r="W1710" s="1" t="s">
        <v>44</v>
      </c>
      <c r="X1710" s="1" t="s">
        <v>45</v>
      </c>
      <c r="Y1710" s="1">
        <v>4.8202301E8</v>
      </c>
      <c r="AA1710" s="1" t="s">
        <v>44</v>
      </c>
      <c r="AB1710" s="1" t="s">
        <v>45</v>
      </c>
      <c r="AC1710" s="1">
        <v>4.82023096E8</v>
      </c>
      <c r="AD1710" s="1">
        <v>7.6340843E7</v>
      </c>
      <c r="AE1710" s="1" t="s">
        <v>461</v>
      </c>
      <c r="AF1710" s="3">
        <v>2.313128377E7</v>
      </c>
      <c r="AG1710" s="2">
        <v>41571.0</v>
      </c>
      <c r="AH1710" s="1">
        <v>1200.0</v>
      </c>
      <c r="AI1710" s="1" t="s">
        <v>647</v>
      </c>
      <c r="AJ1710" s="1" t="s">
        <v>3215</v>
      </c>
      <c r="AK1710" s="1" t="s">
        <v>712</v>
      </c>
      <c r="AL1710" s="1">
        <v>1.0</v>
      </c>
      <c r="AM1710" s="1">
        <v>2015.0</v>
      </c>
      <c r="AN1710" s="1">
        <v>2014.0</v>
      </c>
      <c r="AO1710" s="1" t="s">
        <v>713</v>
      </c>
    </row>
    <row r="1711">
      <c r="A1711" s="5">
        <v>1.0</v>
      </c>
      <c r="B1711" s="1">
        <f t="shared" si="1"/>
        <v>1711</v>
      </c>
      <c r="C1711" s="1" t="s">
        <v>3048</v>
      </c>
      <c r="D1711" s="1" t="s">
        <v>3048</v>
      </c>
      <c r="E1711" s="1" t="s">
        <v>645</v>
      </c>
      <c r="G1711" s="1">
        <v>4.58254144E8</v>
      </c>
      <c r="H1711" s="2">
        <v>41550.0</v>
      </c>
      <c r="I1711" s="1" t="s">
        <v>710</v>
      </c>
      <c r="K1711" s="1" t="s">
        <v>710</v>
      </c>
      <c r="N1711" s="1" t="s">
        <v>647</v>
      </c>
      <c r="O1711" s="1">
        <v>1200.0</v>
      </c>
      <c r="P1711" s="1" t="s">
        <v>647</v>
      </c>
      <c r="Q1711" s="1" t="str">
        <f>IF(ISERROR(VLOOKUP(P1711,'unique fed agency names'!A:C,3,FALSE)),P1711,VLOOKUP(P1711,'unique fed agency names'!A:C,3,FALSE))
</f>
        <v>U.S. Department of Agriculture (USDA)</v>
      </c>
      <c r="R1711" s="1">
        <v>2.7504143E7</v>
      </c>
      <c r="S1711" s="1" t="s">
        <v>723</v>
      </c>
      <c r="T1711" s="1" t="str">
        <f>IF(ISERROR(VLOOKUP(S1711,'unique org names'!A:C,3,FALSE)),S1711,VLOOKUP(S1711,'unique org names'!A:C,3,FALSE))
</f>
        <v>Child Star Development Center</v>
      </c>
      <c r="V1711" s="1" t="s">
        <v>724</v>
      </c>
      <c r="W1711" s="1" t="s">
        <v>44</v>
      </c>
      <c r="X1711" s="1" t="s">
        <v>45</v>
      </c>
      <c r="Y1711" s="1">
        <v>4.82211963E8</v>
      </c>
      <c r="AA1711" s="1" t="s">
        <v>44</v>
      </c>
      <c r="AB1711" s="1" t="s">
        <v>45</v>
      </c>
      <c r="AC1711" s="1">
        <v>4.82211963E8</v>
      </c>
      <c r="AF1711" s="1">
        <v>90261.32</v>
      </c>
      <c r="AG1711" s="2">
        <v>41550.0</v>
      </c>
      <c r="AH1711" s="1">
        <v>1200.0</v>
      </c>
      <c r="AI1711" s="1" t="s">
        <v>647</v>
      </c>
      <c r="AJ1711" s="1" t="s">
        <v>3216</v>
      </c>
      <c r="AK1711" s="1" t="s">
        <v>712</v>
      </c>
      <c r="AL1711" s="1">
        <v>1.0</v>
      </c>
      <c r="AM1711" s="1">
        <v>2015.0</v>
      </c>
      <c r="AN1711" s="1">
        <v>2014.0</v>
      </c>
      <c r="AO1711" s="1" t="s">
        <v>713</v>
      </c>
    </row>
    <row r="1712">
      <c r="A1712" s="5">
        <v>1.0</v>
      </c>
      <c r="B1712" s="1">
        <f t="shared" si="1"/>
        <v>1712</v>
      </c>
      <c r="C1712" s="1" t="s">
        <v>3048</v>
      </c>
      <c r="D1712" s="1" t="s">
        <v>3048</v>
      </c>
      <c r="E1712" s="1" t="s">
        <v>645</v>
      </c>
      <c r="G1712" s="1">
        <v>4.58254144E8</v>
      </c>
      <c r="H1712" s="2">
        <v>41564.0</v>
      </c>
      <c r="I1712" s="1" t="s">
        <v>710</v>
      </c>
      <c r="K1712" s="1" t="s">
        <v>710</v>
      </c>
      <c r="N1712" s="1" t="s">
        <v>647</v>
      </c>
      <c r="O1712" s="1">
        <v>1200.0</v>
      </c>
      <c r="P1712" s="1" t="s">
        <v>647</v>
      </c>
      <c r="Q1712" s="1" t="str">
        <f>IF(ISERROR(VLOOKUP(P1712,'unique fed agency names'!A:C,3,FALSE)),P1712,VLOOKUP(P1712,'unique fed agency names'!A:C,3,FALSE))
</f>
        <v>U.S. Department of Agriculture (USDA)</v>
      </c>
      <c r="R1712" s="1">
        <v>5.2874042E7</v>
      </c>
      <c r="S1712" s="1" t="s">
        <v>538</v>
      </c>
      <c r="T1712" s="1" t="str">
        <f>IF(ISERROR(VLOOKUP(S1712,'unique org names'!A:C,3,FALSE)),S1712,VLOOKUP(S1712,'unique org names'!A:C,3,FALSE))
</f>
        <v>CESAR CHAVEZ ACADEMY</v>
      </c>
      <c r="V1712" s="1" t="s">
        <v>539</v>
      </c>
      <c r="W1712" s="1" t="s">
        <v>44</v>
      </c>
      <c r="X1712" s="1" t="s">
        <v>45</v>
      </c>
      <c r="Y1712" s="1">
        <v>4.82091524E8</v>
      </c>
      <c r="AA1712" s="1" t="s">
        <v>44</v>
      </c>
      <c r="AB1712" s="1" t="s">
        <v>45</v>
      </c>
      <c r="AC1712" s="1">
        <v>4.82091524E8</v>
      </c>
      <c r="AF1712" s="1">
        <v>718980.4</v>
      </c>
      <c r="AG1712" s="2">
        <v>41564.0</v>
      </c>
      <c r="AH1712" s="1">
        <v>1200.0</v>
      </c>
      <c r="AI1712" s="1" t="s">
        <v>647</v>
      </c>
      <c r="AJ1712" s="1" t="s">
        <v>3217</v>
      </c>
      <c r="AK1712" s="1" t="s">
        <v>712</v>
      </c>
      <c r="AL1712" s="1">
        <v>1.0</v>
      </c>
      <c r="AM1712" s="1">
        <v>2015.0</v>
      </c>
      <c r="AN1712" s="1">
        <v>2014.0</v>
      </c>
      <c r="AO1712" s="1" t="s">
        <v>713</v>
      </c>
    </row>
    <row r="1713">
      <c r="A1713" s="5">
        <v>1.0</v>
      </c>
      <c r="B1713" s="1">
        <f t="shared" si="1"/>
        <v>1713</v>
      </c>
      <c r="C1713" s="1" t="s">
        <v>3048</v>
      </c>
      <c r="D1713" s="1" t="s">
        <v>3048</v>
      </c>
      <c r="E1713" s="1" t="s">
        <v>645</v>
      </c>
      <c r="G1713" s="1">
        <v>4.58254144E8</v>
      </c>
      <c r="H1713" s="2">
        <v>41571.0</v>
      </c>
      <c r="I1713" s="1" t="s">
        <v>710</v>
      </c>
      <c r="K1713" s="1" t="s">
        <v>710</v>
      </c>
      <c r="N1713" s="1" t="s">
        <v>647</v>
      </c>
      <c r="O1713" s="1">
        <v>1200.0</v>
      </c>
      <c r="P1713" s="1" t="s">
        <v>647</v>
      </c>
      <c r="Q1713" s="1" t="str">
        <f>IF(ISERROR(VLOOKUP(P1713,'unique fed agency names'!A:C,3,FALSE)),P1713,VLOOKUP(P1713,'unique fed agency names'!A:C,3,FALSE))
</f>
        <v>U.S. Department of Agriculture (USDA)</v>
      </c>
      <c r="R1713" s="1">
        <v>1.52807538E8</v>
      </c>
      <c r="S1713" s="1" t="s">
        <v>591</v>
      </c>
      <c r="T1713" s="1" t="str">
        <f>IF(ISERROR(VLOOKUP(S1713,'unique org names'!A:C,3,FALSE)),S1713,VLOOKUP(S1713,'unique org names'!A:C,3,FALSE))
</f>
        <v>WESTON TECHNICAL ACADEMY</v>
      </c>
      <c r="V1713" s="1" t="s">
        <v>592</v>
      </c>
      <c r="W1713" s="1" t="s">
        <v>44</v>
      </c>
      <c r="X1713" s="1" t="s">
        <v>45</v>
      </c>
      <c r="Y1713" s="1">
        <v>4.82191161E8</v>
      </c>
      <c r="AA1713" s="1" t="s">
        <v>44</v>
      </c>
      <c r="AB1713" s="1" t="s">
        <v>45</v>
      </c>
      <c r="AC1713" s="1">
        <v>4.82191161E8</v>
      </c>
      <c r="AF1713" s="1">
        <v>26561.89</v>
      </c>
      <c r="AG1713" s="2">
        <v>41571.0</v>
      </c>
      <c r="AH1713" s="1">
        <v>1200.0</v>
      </c>
      <c r="AI1713" s="1" t="s">
        <v>647</v>
      </c>
      <c r="AJ1713" s="1" t="s">
        <v>3218</v>
      </c>
      <c r="AK1713" s="1" t="s">
        <v>712</v>
      </c>
      <c r="AL1713" s="1">
        <v>1.0</v>
      </c>
      <c r="AM1713" s="1">
        <v>2015.0</v>
      </c>
      <c r="AN1713" s="1">
        <v>2014.0</v>
      </c>
      <c r="AO1713" s="1" t="s">
        <v>713</v>
      </c>
    </row>
    <row r="1714">
      <c r="A1714" s="5">
        <v>1.0</v>
      </c>
      <c r="B1714" s="1">
        <f t="shared" si="1"/>
        <v>1714</v>
      </c>
      <c r="C1714" s="1" t="s">
        <v>3048</v>
      </c>
      <c r="D1714" s="1" t="s">
        <v>3048</v>
      </c>
      <c r="E1714" s="1" t="s">
        <v>645</v>
      </c>
      <c r="G1714" s="1">
        <v>4.58254144E8</v>
      </c>
      <c r="H1714" s="2">
        <v>41683.0</v>
      </c>
      <c r="I1714" s="1" t="s">
        <v>710</v>
      </c>
      <c r="K1714" s="1" t="s">
        <v>710</v>
      </c>
      <c r="N1714" s="1" t="s">
        <v>647</v>
      </c>
      <c r="O1714" s="1">
        <v>1200.0</v>
      </c>
      <c r="P1714" s="1" t="s">
        <v>647</v>
      </c>
      <c r="Q1714" s="1" t="str">
        <f>IF(ISERROR(VLOOKUP(P1714,'unique fed agency names'!A:C,3,FALSE)),P1714,VLOOKUP(P1714,'unique fed agency names'!A:C,3,FALSE))
</f>
        <v>U.S. Department of Agriculture (USDA)</v>
      </c>
      <c r="R1714" s="1">
        <v>7.6340843E7</v>
      </c>
      <c r="S1714" s="1" t="s">
        <v>461</v>
      </c>
      <c r="T1714" s="1" t="str">
        <f>IF(ISERROR(VLOOKUP(S1714,'unique org names'!A:C,3,FALSE)),S1714,VLOOKUP(S1714,'unique org names'!A:C,3,FALSE))
</f>
        <v>BOARD OF EDUCATION OF THE CITY OF DETROIT</v>
      </c>
      <c r="V1714" s="1" t="s">
        <v>1599</v>
      </c>
      <c r="W1714" s="1" t="s">
        <v>44</v>
      </c>
      <c r="X1714" s="1" t="s">
        <v>45</v>
      </c>
      <c r="Y1714" s="1">
        <v>4.8202301E8</v>
      </c>
      <c r="AA1714" s="1" t="s">
        <v>44</v>
      </c>
      <c r="AB1714" s="1" t="s">
        <v>45</v>
      </c>
      <c r="AC1714" s="1">
        <v>4.82023096E8</v>
      </c>
      <c r="AD1714" s="1">
        <v>7.6340843E7</v>
      </c>
      <c r="AE1714" s="1" t="s">
        <v>461</v>
      </c>
      <c r="AF1714" s="1">
        <v>135852.99</v>
      </c>
      <c r="AG1714" s="2">
        <v>41683.0</v>
      </c>
      <c r="AH1714" s="1">
        <v>1200.0</v>
      </c>
      <c r="AI1714" s="1" t="s">
        <v>647</v>
      </c>
      <c r="AJ1714" s="1" t="s">
        <v>3219</v>
      </c>
      <c r="AK1714" s="1" t="s">
        <v>712</v>
      </c>
      <c r="AL1714" s="1">
        <v>1.0</v>
      </c>
      <c r="AM1714" s="1">
        <v>2015.0</v>
      </c>
      <c r="AN1714" s="1">
        <v>2014.0</v>
      </c>
      <c r="AO1714" s="1" t="s">
        <v>713</v>
      </c>
    </row>
    <row r="1715">
      <c r="A1715" s="5">
        <v>1.0</v>
      </c>
      <c r="B1715" s="1">
        <f t="shared" si="1"/>
        <v>1715</v>
      </c>
      <c r="C1715" s="1" t="s">
        <v>3048</v>
      </c>
      <c r="D1715" s="1" t="s">
        <v>3048</v>
      </c>
      <c r="E1715" s="1" t="s">
        <v>645</v>
      </c>
      <c r="G1715" s="1">
        <v>4.58254144E8</v>
      </c>
      <c r="H1715" s="2">
        <v>41557.0</v>
      </c>
      <c r="I1715" s="1" t="s">
        <v>710</v>
      </c>
      <c r="K1715" s="1" t="s">
        <v>710</v>
      </c>
      <c r="N1715" s="1" t="s">
        <v>647</v>
      </c>
      <c r="O1715" s="1">
        <v>1200.0</v>
      </c>
      <c r="P1715" s="1" t="s">
        <v>647</v>
      </c>
      <c r="Q1715" s="1" t="str">
        <f>IF(ISERROR(VLOOKUP(P1715,'unique fed agency names'!A:C,3,FALSE)),P1715,VLOOKUP(P1715,'unique fed agency names'!A:C,3,FALSE))
</f>
        <v>U.S. Department of Agriculture (USDA)</v>
      </c>
      <c r="R1715" s="1">
        <v>2.5773859E7</v>
      </c>
      <c r="S1715" s="1" t="s">
        <v>872</v>
      </c>
      <c r="T1715" s="1" t="str">
        <f>IF(ISERROR(VLOOKUP(S1715,'unique org names'!A:C,3,FALSE)),S1715,VLOOKUP(S1715,'unique org names'!A:C,3,FALSE))
</f>
        <v>HOPE ACADEMY</v>
      </c>
      <c r="V1715" s="1" t="s">
        <v>873</v>
      </c>
      <c r="W1715" s="1" t="s">
        <v>44</v>
      </c>
      <c r="X1715" s="1" t="s">
        <v>45</v>
      </c>
      <c r="Y1715" s="1">
        <v>4.82042042E8</v>
      </c>
      <c r="AA1715" s="1" t="s">
        <v>44</v>
      </c>
      <c r="AB1715" s="1" t="s">
        <v>45</v>
      </c>
      <c r="AC1715" s="1">
        <v>4.82042042E8</v>
      </c>
      <c r="AF1715" s="1">
        <v>174191.2</v>
      </c>
      <c r="AG1715" s="2">
        <v>41557.0</v>
      </c>
      <c r="AH1715" s="1">
        <v>1200.0</v>
      </c>
      <c r="AI1715" s="1" t="s">
        <v>647</v>
      </c>
      <c r="AJ1715" s="1" t="s">
        <v>3220</v>
      </c>
      <c r="AK1715" s="1" t="s">
        <v>712</v>
      </c>
      <c r="AL1715" s="1">
        <v>1.0</v>
      </c>
      <c r="AM1715" s="1">
        <v>2015.0</v>
      </c>
      <c r="AN1715" s="1">
        <v>2014.0</v>
      </c>
      <c r="AO1715" s="1" t="s">
        <v>713</v>
      </c>
    </row>
    <row r="1716">
      <c r="A1716" s="5">
        <v>1.0</v>
      </c>
      <c r="B1716" s="1">
        <f t="shared" si="1"/>
        <v>1716</v>
      </c>
      <c r="C1716" s="1" t="s">
        <v>3221</v>
      </c>
      <c r="D1716" s="1" t="s">
        <v>3221</v>
      </c>
      <c r="E1716" s="1" t="s">
        <v>100</v>
      </c>
      <c r="G1716" s="1">
        <v>1.3294903E7</v>
      </c>
      <c r="H1716" s="2">
        <v>41764.0</v>
      </c>
      <c r="I1716" s="1" t="s">
        <v>332</v>
      </c>
      <c r="K1716" s="1" t="s">
        <v>332</v>
      </c>
      <c r="N1716" s="1" t="s">
        <v>102</v>
      </c>
      <c r="O1716" s="1">
        <v>8600.0</v>
      </c>
      <c r="P1716" s="1" t="s">
        <v>102</v>
      </c>
      <c r="Q1716" s="1" t="str">
        <f>IF(ISERROR(VLOOKUP(P1716,'unique fed agency names'!A:C,3,FALSE)),P1716,VLOOKUP(P1716,'unique fed agency names'!A:C,3,FALSE))
</f>
        <v>U.S. Department of Housing and Urban Development (HUD)</v>
      </c>
      <c r="R1716" s="1">
        <v>9.64523815E8</v>
      </c>
      <c r="S1716" s="1" t="s">
        <v>123</v>
      </c>
      <c r="T1716" s="1" t="str">
        <f>IF(ISERROR(VLOOKUP(S1716,'unique org names'!A:C,3,FALSE)),S1716,VLOOKUP(S1716,'unique org names'!A:C,3,FALSE))
</f>
        <v>GRANDMONT ROSEDALE DEVELOPMENT CORPORATION</v>
      </c>
      <c r="U1716" s="1" t="s">
        <v>124</v>
      </c>
      <c r="V1716" s="1" t="s">
        <v>125</v>
      </c>
      <c r="W1716" s="1" t="s">
        <v>44</v>
      </c>
      <c r="X1716" s="1" t="s">
        <v>45</v>
      </c>
      <c r="Y1716" s="1">
        <v>4.82231227E8</v>
      </c>
      <c r="AA1716" s="1" t="s">
        <v>46</v>
      </c>
      <c r="AB1716" s="1" t="s">
        <v>45</v>
      </c>
      <c r="AC1716" s="1">
        <v>4.82231227E8</v>
      </c>
      <c r="AF1716" s="1">
        <v>736800.0</v>
      </c>
      <c r="AG1716" s="2">
        <v>41764.0</v>
      </c>
      <c r="AH1716" s="1">
        <v>8600.0</v>
      </c>
      <c r="AI1716" s="1" t="s">
        <v>102</v>
      </c>
      <c r="AJ1716" s="1" t="s">
        <v>3222</v>
      </c>
      <c r="AK1716" s="1" t="s">
        <v>3223</v>
      </c>
      <c r="AL1716" s="1">
        <v>5.0</v>
      </c>
      <c r="AM1716" s="1">
        <v>2014.0</v>
      </c>
      <c r="AN1716" s="1">
        <v>2014.0</v>
      </c>
      <c r="AO1716" s="1" t="s">
        <v>334</v>
      </c>
    </row>
    <row r="1717">
      <c r="A1717" s="5">
        <v>1.0</v>
      </c>
      <c r="B1717" s="1">
        <f t="shared" si="1"/>
        <v>1717</v>
      </c>
      <c r="C1717" s="1" t="s">
        <v>3048</v>
      </c>
      <c r="D1717" s="1" t="s">
        <v>3048</v>
      </c>
      <c r="E1717" s="1" t="s">
        <v>645</v>
      </c>
      <c r="G1717" s="1">
        <v>4.58254144E8</v>
      </c>
      <c r="H1717" s="2">
        <v>41557.0</v>
      </c>
      <c r="I1717" s="1" t="s">
        <v>710</v>
      </c>
      <c r="K1717" s="1" t="s">
        <v>710</v>
      </c>
      <c r="N1717" s="1" t="s">
        <v>647</v>
      </c>
      <c r="O1717" s="1">
        <v>1200.0</v>
      </c>
      <c r="P1717" s="1" t="s">
        <v>647</v>
      </c>
      <c r="Q1717" s="1" t="str">
        <f>IF(ISERROR(VLOOKUP(P1717,'unique fed agency names'!A:C,3,FALSE)),P1717,VLOOKUP(P1717,'unique fed agency names'!A:C,3,FALSE))
</f>
        <v>U.S. Department of Agriculture (USDA)</v>
      </c>
      <c r="R1717" s="1">
        <v>9.62378779E8</v>
      </c>
      <c r="S1717" s="1" t="s">
        <v>478</v>
      </c>
      <c r="T1717" s="1" t="str">
        <f>IF(ISERROR(VLOOKUP(S1717,'unique org names'!A:C,3,FALSE)),S1717,VLOOKUP(S1717,'unique org names'!A:C,3,FALSE))
</f>
        <v>LEGACY CHARTER ACADEMY</v>
      </c>
      <c r="V1717" s="1" t="s">
        <v>479</v>
      </c>
      <c r="W1717" s="1" t="s">
        <v>44</v>
      </c>
      <c r="X1717" s="1" t="s">
        <v>45</v>
      </c>
      <c r="Y1717" s="1">
        <v>4.82342225E8</v>
      </c>
      <c r="AA1717" s="1" t="s">
        <v>44</v>
      </c>
      <c r="AB1717" s="1" t="s">
        <v>45</v>
      </c>
      <c r="AC1717" s="1">
        <v>4.82342225E8</v>
      </c>
      <c r="AF1717" s="1">
        <v>262280.37</v>
      </c>
      <c r="AG1717" s="2">
        <v>41557.0</v>
      </c>
      <c r="AH1717" s="1">
        <v>1200.0</v>
      </c>
      <c r="AI1717" s="1" t="s">
        <v>647</v>
      </c>
      <c r="AJ1717" s="1" t="s">
        <v>3224</v>
      </c>
      <c r="AK1717" s="1" t="s">
        <v>712</v>
      </c>
      <c r="AL1717" s="1">
        <v>1.0</v>
      </c>
      <c r="AM1717" s="1">
        <v>2015.0</v>
      </c>
      <c r="AN1717" s="1">
        <v>2014.0</v>
      </c>
      <c r="AO1717" s="1" t="s">
        <v>713</v>
      </c>
    </row>
    <row r="1718">
      <c r="A1718" s="5">
        <v>1.0</v>
      </c>
      <c r="B1718" s="1">
        <f t="shared" si="1"/>
        <v>1718</v>
      </c>
      <c r="C1718" s="1" t="s">
        <v>3048</v>
      </c>
      <c r="D1718" s="1" t="s">
        <v>3048</v>
      </c>
      <c r="E1718" s="1" t="s">
        <v>645</v>
      </c>
      <c r="G1718" s="1">
        <v>4.58254144E8</v>
      </c>
      <c r="H1718" s="2">
        <v>41578.0</v>
      </c>
      <c r="I1718" s="1" t="s">
        <v>710</v>
      </c>
      <c r="K1718" s="1" t="s">
        <v>710</v>
      </c>
      <c r="N1718" s="1" t="s">
        <v>647</v>
      </c>
      <c r="O1718" s="1">
        <v>1200.0</v>
      </c>
      <c r="P1718" s="1" t="s">
        <v>647</v>
      </c>
      <c r="Q1718" s="1" t="str">
        <f>IF(ISERROR(VLOOKUP(P1718,'unique fed agency names'!A:C,3,FALSE)),P1718,VLOOKUP(P1718,'unique fed agency names'!A:C,3,FALSE))
</f>
        <v>U.S. Department of Agriculture (USDA)</v>
      </c>
      <c r="R1718" s="1">
        <v>9.69821029E8</v>
      </c>
      <c r="S1718" s="1" t="s">
        <v>862</v>
      </c>
      <c r="T1718" s="1" t="str">
        <f>IF(ISERROR(VLOOKUP(S1718,'unique org names'!A:C,3,FALSE)),S1718,VLOOKUP(S1718,'unique org names'!A:C,3,FALSE))
</f>
        <v>ORDER OF THE FISHERMEN MINISTRY HEAD START PROGRAM, INC., THE</v>
      </c>
      <c r="V1718" s="1" t="s">
        <v>863</v>
      </c>
      <c r="W1718" s="1" t="s">
        <v>44</v>
      </c>
      <c r="X1718" s="1" t="s">
        <v>45</v>
      </c>
      <c r="Y1718" s="1">
        <v>4.82042039E8</v>
      </c>
      <c r="AA1718" s="1" t="s">
        <v>44</v>
      </c>
      <c r="AB1718" s="1" t="s">
        <v>45</v>
      </c>
      <c r="AC1718" s="1">
        <v>4.82042039E8</v>
      </c>
      <c r="AF1718" s="1">
        <v>207657.45</v>
      </c>
      <c r="AG1718" s="2">
        <v>41578.0</v>
      </c>
      <c r="AH1718" s="1">
        <v>1200.0</v>
      </c>
      <c r="AI1718" s="1" t="s">
        <v>647</v>
      </c>
      <c r="AJ1718" s="1" t="s">
        <v>3225</v>
      </c>
      <c r="AK1718" s="1" t="s">
        <v>712</v>
      </c>
      <c r="AL1718" s="1">
        <v>1.0</v>
      </c>
      <c r="AM1718" s="1">
        <v>2015.0</v>
      </c>
      <c r="AN1718" s="1">
        <v>2014.0</v>
      </c>
      <c r="AO1718" s="1" t="s">
        <v>713</v>
      </c>
    </row>
    <row r="1719">
      <c r="A1719" s="5">
        <v>1.0</v>
      </c>
      <c r="B1719" s="1">
        <f t="shared" si="1"/>
        <v>1719</v>
      </c>
      <c r="C1719" s="1" t="s">
        <v>3048</v>
      </c>
      <c r="D1719" s="1" t="s">
        <v>3048</v>
      </c>
      <c r="E1719" s="1" t="s">
        <v>645</v>
      </c>
      <c r="G1719" s="1">
        <v>4.58254144E8</v>
      </c>
      <c r="H1719" s="2">
        <v>41550.0</v>
      </c>
      <c r="I1719" s="1" t="s">
        <v>710</v>
      </c>
      <c r="K1719" s="1" t="s">
        <v>710</v>
      </c>
      <c r="N1719" s="1" t="s">
        <v>647</v>
      </c>
      <c r="O1719" s="1">
        <v>1200.0</v>
      </c>
      <c r="P1719" s="1" t="s">
        <v>647</v>
      </c>
      <c r="Q1719" s="1" t="str">
        <f>IF(ISERROR(VLOOKUP(P1719,'unique fed agency names'!A:C,3,FALSE)),P1719,VLOOKUP(P1719,'unique fed agency names'!A:C,3,FALSE))
</f>
        <v>U.S. Department of Agriculture (USDA)</v>
      </c>
      <c r="R1719" s="1">
        <v>1.10601841E8</v>
      </c>
      <c r="S1719" s="1" t="s">
        <v>915</v>
      </c>
      <c r="T1719" s="1" t="str">
        <f>IF(ISERROR(VLOOKUP(S1719,'unique org names'!A:C,3,FALSE)),S1719,VLOOKUP(S1719,'unique org names'!A:C,3,FALSE))
</f>
        <v>A&amp;W DAY CARE ,INC</v>
      </c>
      <c r="U1719" s="1" t="s">
        <v>916</v>
      </c>
      <c r="V1719" s="1" t="s">
        <v>917</v>
      </c>
      <c r="W1719" s="1" t="s">
        <v>44</v>
      </c>
      <c r="X1719" s="1" t="s">
        <v>45</v>
      </c>
      <c r="Y1719" s="1">
        <v>4.82283719E8</v>
      </c>
      <c r="AA1719" s="1" t="s">
        <v>44</v>
      </c>
      <c r="AB1719" s="1" t="s">
        <v>45</v>
      </c>
      <c r="AC1719" s="1">
        <v>4.82283719E8</v>
      </c>
      <c r="AF1719" s="1">
        <v>78093.35</v>
      </c>
      <c r="AG1719" s="2">
        <v>41550.0</v>
      </c>
      <c r="AH1719" s="1">
        <v>1200.0</v>
      </c>
      <c r="AI1719" s="1" t="s">
        <v>647</v>
      </c>
      <c r="AJ1719" s="1" t="s">
        <v>3226</v>
      </c>
      <c r="AK1719" s="1" t="s">
        <v>712</v>
      </c>
      <c r="AL1719" s="1">
        <v>1.0</v>
      </c>
      <c r="AM1719" s="1">
        <v>2015.0</v>
      </c>
      <c r="AN1719" s="1">
        <v>2014.0</v>
      </c>
      <c r="AO1719" s="1" t="s">
        <v>713</v>
      </c>
    </row>
    <row r="1720">
      <c r="A1720" s="5">
        <v>1.0</v>
      </c>
      <c r="B1720" s="1">
        <f t="shared" si="1"/>
        <v>1720</v>
      </c>
      <c r="C1720" s="1" t="s">
        <v>3048</v>
      </c>
      <c r="D1720" s="1" t="s">
        <v>3048</v>
      </c>
      <c r="E1720" s="1" t="s">
        <v>645</v>
      </c>
      <c r="G1720" s="1">
        <v>4.58254144E8</v>
      </c>
      <c r="H1720" s="2">
        <v>41557.0</v>
      </c>
      <c r="I1720" s="1" t="s">
        <v>710</v>
      </c>
      <c r="K1720" s="1" t="s">
        <v>710</v>
      </c>
      <c r="N1720" s="1" t="s">
        <v>647</v>
      </c>
      <c r="O1720" s="1">
        <v>1200.0</v>
      </c>
      <c r="P1720" s="1" t="s">
        <v>647</v>
      </c>
      <c r="Q1720" s="1" t="str">
        <f>IF(ISERROR(VLOOKUP(P1720,'unique fed agency names'!A:C,3,FALSE)),P1720,VLOOKUP(P1720,'unique fed agency names'!A:C,3,FALSE))
</f>
        <v>U.S. Department of Agriculture (USDA)</v>
      </c>
      <c r="R1720" s="1">
        <v>1.17726252E8</v>
      </c>
      <c r="S1720" s="1" t="s">
        <v>512</v>
      </c>
      <c r="T1720" s="1" t="str">
        <f>IF(ISERROR(VLOOKUP(S1720,'unique org names'!A:C,3,FALSE)),S1720,VLOOKUP(S1720,'unique org names'!A:C,3,FALSE))
</f>
        <v>OLD REDFORD ACADEMY</v>
      </c>
      <c r="V1720" s="1" t="s">
        <v>513</v>
      </c>
      <c r="W1720" s="1" t="s">
        <v>44</v>
      </c>
      <c r="X1720" s="1" t="s">
        <v>45</v>
      </c>
      <c r="Y1720" s="1">
        <v>4.82193259E8</v>
      </c>
      <c r="AA1720" s="1" t="s">
        <v>44</v>
      </c>
      <c r="AB1720" s="1" t="s">
        <v>45</v>
      </c>
      <c r="AC1720" s="1">
        <v>4.82193259E8</v>
      </c>
      <c r="AF1720" s="1">
        <v>225752.92</v>
      </c>
      <c r="AG1720" s="2">
        <v>41557.0</v>
      </c>
      <c r="AH1720" s="1">
        <v>1200.0</v>
      </c>
      <c r="AI1720" s="1" t="s">
        <v>647</v>
      </c>
      <c r="AJ1720" s="1" t="s">
        <v>3227</v>
      </c>
      <c r="AK1720" s="1" t="s">
        <v>712</v>
      </c>
      <c r="AL1720" s="1">
        <v>1.0</v>
      </c>
      <c r="AM1720" s="1">
        <v>2015.0</v>
      </c>
      <c r="AN1720" s="1">
        <v>2014.0</v>
      </c>
      <c r="AO1720" s="1" t="s">
        <v>713</v>
      </c>
    </row>
    <row r="1721">
      <c r="A1721" s="5">
        <v>1.0</v>
      </c>
      <c r="B1721" s="1">
        <f t="shared" si="1"/>
        <v>1721</v>
      </c>
      <c r="C1721" s="1" t="s">
        <v>3048</v>
      </c>
      <c r="D1721" s="1" t="s">
        <v>3048</v>
      </c>
      <c r="E1721" s="1" t="s">
        <v>645</v>
      </c>
      <c r="G1721" s="1">
        <v>4.58254144E8</v>
      </c>
      <c r="H1721" s="2">
        <v>41557.0</v>
      </c>
      <c r="I1721" s="1" t="s">
        <v>710</v>
      </c>
      <c r="K1721" s="1" t="s">
        <v>710</v>
      </c>
      <c r="N1721" s="1" t="s">
        <v>647</v>
      </c>
      <c r="O1721" s="1">
        <v>1200.0</v>
      </c>
      <c r="P1721" s="1" t="s">
        <v>647</v>
      </c>
      <c r="Q1721" s="1" t="str">
        <f>IF(ISERROR(VLOOKUP(P1721,'unique fed agency names'!A:C,3,FALSE)),P1721,VLOOKUP(P1721,'unique fed agency names'!A:C,3,FALSE))
</f>
        <v>U.S. Department of Agriculture (USDA)</v>
      </c>
      <c r="R1721" s="1">
        <v>1.9366103E8</v>
      </c>
      <c r="S1721" s="1" t="s">
        <v>943</v>
      </c>
      <c r="T1721" s="1" t="str">
        <f>IF(ISERROR(VLOOKUP(S1721,'unique org names'!A:C,3,FALSE)),S1721,VLOOKUP(S1721,'unique org names'!A:C,3,FALSE))
</f>
        <v>H &amp; G CHAPMAN INC</v>
      </c>
      <c r="U1721" s="1" t="s">
        <v>944</v>
      </c>
      <c r="V1721" s="1" t="s">
        <v>945</v>
      </c>
      <c r="W1721" s="1" t="s">
        <v>44</v>
      </c>
      <c r="X1721" s="1" t="s">
        <v>45</v>
      </c>
      <c r="Y1721" s="1">
        <v>4.82282283E8</v>
      </c>
      <c r="AA1721" s="1" t="s">
        <v>44</v>
      </c>
      <c r="AB1721" s="1" t="s">
        <v>45</v>
      </c>
      <c r="AC1721" s="1">
        <v>4.82282283E8</v>
      </c>
      <c r="AF1721" s="1">
        <v>31999.68</v>
      </c>
      <c r="AG1721" s="2">
        <v>41557.0</v>
      </c>
      <c r="AH1721" s="1">
        <v>1200.0</v>
      </c>
      <c r="AI1721" s="1" t="s">
        <v>647</v>
      </c>
      <c r="AJ1721" s="1" t="s">
        <v>3228</v>
      </c>
      <c r="AK1721" s="1" t="s">
        <v>712</v>
      </c>
      <c r="AL1721" s="1">
        <v>1.0</v>
      </c>
      <c r="AM1721" s="1">
        <v>2015.0</v>
      </c>
      <c r="AN1721" s="1">
        <v>2014.0</v>
      </c>
      <c r="AO1721" s="1" t="s">
        <v>713</v>
      </c>
    </row>
    <row r="1722">
      <c r="A1722" s="5">
        <v>1.0</v>
      </c>
      <c r="B1722" s="1">
        <f t="shared" si="1"/>
        <v>1722</v>
      </c>
      <c r="C1722" s="1" t="s">
        <v>3229</v>
      </c>
      <c r="D1722" s="1" t="s">
        <v>3229</v>
      </c>
      <c r="E1722" s="1" t="s">
        <v>188</v>
      </c>
      <c r="G1722" s="1">
        <v>1.3044689E7</v>
      </c>
      <c r="H1722" s="2">
        <v>42018.0</v>
      </c>
      <c r="I1722" s="1" t="s">
        <v>3230</v>
      </c>
      <c r="K1722" s="1" t="s">
        <v>3230</v>
      </c>
      <c r="N1722" s="1" t="s">
        <v>188</v>
      </c>
      <c r="O1722" s="1">
        <v>1900.0</v>
      </c>
      <c r="P1722" s="1" t="s">
        <v>188</v>
      </c>
      <c r="Q1722" s="1" t="str">
        <f>IF(ISERROR(VLOOKUP(P1722,'unique fed agency names'!A:C,3,FALSE)),P1722,VLOOKUP(P1722,'unique fed agency names'!A:C,3,FALSE))
</f>
        <v>U.S. Department of State</v>
      </c>
      <c r="R1722" s="1">
        <v>6.9840817E7</v>
      </c>
      <c r="S1722" s="1" t="s">
        <v>131</v>
      </c>
      <c r="T1722" s="1" t="str">
        <f>IF(ISERROR(VLOOKUP(S1722,'unique org names'!A:C,3,FALSE)),S1722,VLOOKUP(S1722,'unique org names'!A:C,3,FALSE))
</f>
        <v>LUTHERAN SOCIAL SERVICES OF MICHIGAN</v>
      </c>
      <c r="V1722" s="1" t="s">
        <v>132</v>
      </c>
      <c r="W1722" s="1" t="s">
        <v>44</v>
      </c>
      <c r="X1722" s="1" t="s">
        <v>45</v>
      </c>
      <c r="Y1722" s="1">
        <v>4.8214261E8</v>
      </c>
      <c r="AA1722" s="1" t="s">
        <v>46</v>
      </c>
      <c r="AB1722" s="1" t="s">
        <v>45</v>
      </c>
      <c r="AC1722" s="1">
        <v>4.8214261E8</v>
      </c>
      <c r="AD1722" s="1">
        <v>6.9840817E7</v>
      </c>
      <c r="AE1722" s="1" t="s">
        <v>131</v>
      </c>
      <c r="AF1722" s="1">
        <v>406850.0</v>
      </c>
      <c r="AG1722" s="2">
        <v>42018.0</v>
      </c>
      <c r="AH1722" s="1">
        <v>1900.0</v>
      </c>
      <c r="AI1722" s="1" t="s">
        <v>188</v>
      </c>
      <c r="AJ1722" s="1" t="s">
        <v>3231</v>
      </c>
      <c r="AK1722" s="1" t="s">
        <v>3232</v>
      </c>
      <c r="AL1722" s="1">
        <v>1.0</v>
      </c>
      <c r="AM1722" s="1">
        <v>2015.0</v>
      </c>
      <c r="AN1722" s="1">
        <v>2015.0</v>
      </c>
      <c r="AO1722" s="1" t="s">
        <v>192</v>
      </c>
    </row>
    <row r="1723">
      <c r="A1723" s="5">
        <v>1.0</v>
      </c>
      <c r="B1723" s="1">
        <f t="shared" si="1"/>
        <v>1723</v>
      </c>
      <c r="C1723" s="1" t="s">
        <v>1280</v>
      </c>
      <c r="D1723" s="1" t="s">
        <v>1280</v>
      </c>
      <c r="E1723" s="1" t="s">
        <v>1281</v>
      </c>
      <c r="G1723" s="1">
        <v>6000000.0</v>
      </c>
      <c r="H1723" s="2">
        <v>41883.0</v>
      </c>
      <c r="I1723" s="1" t="s">
        <v>1282</v>
      </c>
      <c r="K1723" s="1" t="s">
        <v>1282</v>
      </c>
      <c r="N1723" s="1" t="s">
        <v>1281</v>
      </c>
      <c r="O1723" s="1">
        <v>9577.0</v>
      </c>
      <c r="P1723" s="1" t="s">
        <v>1281</v>
      </c>
      <c r="Q1723" s="1" t="str">
        <f>IF(ISERROR(VLOOKUP(P1723,'unique fed agency names'!A:C,3,FALSE)),P1723,VLOOKUP(P1723,'unique fed agency names'!A:C,3,FALSE))
</f>
        <v>Corporation for National and Community Service</v>
      </c>
      <c r="R1723" s="1">
        <v>7.6385699E7</v>
      </c>
      <c r="S1723" s="1" t="s">
        <v>106</v>
      </c>
      <c r="T1723" s="1" t="str">
        <f>IF(ISERROR(VLOOKUP(S1723,'unique org names'!A:C,3,FALSE)),S1723,VLOOKUP(S1723,'unique org names'!A:C,3,FALSE))
</f>
        <v>Southwest Counseling Solutions, Inc</v>
      </c>
      <c r="U1723" s="1" t="s">
        <v>1005</v>
      </c>
      <c r="V1723" s="1" t="s">
        <v>1006</v>
      </c>
      <c r="W1723" s="1" t="s">
        <v>44</v>
      </c>
      <c r="X1723" s="1" t="s">
        <v>45</v>
      </c>
      <c r="Y1723" s="1">
        <v>4.82092022E8</v>
      </c>
      <c r="AA1723" s="1" t="s">
        <v>46</v>
      </c>
      <c r="AB1723" s="1" t="s">
        <v>45</v>
      </c>
      <c r="AC1723" s="1">
        <v>4.82092022E8</v>
      </c>
      <c r="AD1723" s="1">
        <v>7.6385699E7</v>
      </c>
      <c r="AE1723" s="1" t="s">
        <v>106</v>
      </c>
      <c r="AF1723" s="1">
        <v>163335.0</v>
      </c>
      <c r="AG1723" s="2">
        <v>41883.0</v>
      </c>
      <c r="AH1723" s="1">
        <v>9577.0</v>
      </c>
      <c r="AI1723" s="1" t="s">
        <v>1281</v>
      </c>
      <c r="AJ1723" s="1">
        <v>9.0</v>
      </c>
      <c r="AK1723" s="1" t="s">
        <v>1296</v>
      </c>
      <c r="AL1723" s="1">
        <v>12.0</v>
      </c>
      <c r="AM1723" s="1">
        <v>2014.0</v>
      </c>
      <c r="AN1723" s="1">
        <v>2014.0</v>
      </c>
      <c r="AO1723" s="1" t="s">
        <v>1284</v>
      </c>
    </row>
    <row r="1724">
      <c r="A1724" s="5">
        <v>1.0</v>
      </c>
      <c r="B1724" s="1">
        <f t="shared" si="1"/>
        <v>1724</v>
      </c>
      <c r="C1724" s="1" t="s">
        <v>1280</v>
      </c>
      <c r="D1724" s="1" t="s">
        <v>1280</v>
      </c>
      <c r="E1724" s="1" t="s">
        <v>1281</v>
      </c>
      <c r="G1724" s="1">
        <v>6000000.0</v>
      </c>
      <c r="H1724" s="2">
        <v>41883.0</v>
      </c>
      <c r="I1724" s="1" t="s">
        <v>1282</v>
      </c>
      <c r="K1724" s="1" t="s">
        <v>1282</v>
      </c>
      <c r="N1724" s="1" t="s">
        <v>1281</v>
      </c>
      <c r="O1724" s="1">
        <v>9577.0</v>
      </c>
      <c r="P1724" s="1" t="s">
        <v>1281</v>
      </c>
      <c r="Q1724" s="1" t="str">
        <f>IF(ISERROR(VLOOKUP(P1724,'unique fed agency names'!A:C,3,FALSE)),P1724,VLOOKUP(P1724,'unique fed agency names'!A:C,3,FALSE))
</f>
        <v>Corporation for National and Community Service</v>
      </c>
      <c r="R1724" s="1">
        <v>1.49048154E8</v>
      </c>
      <c r="S1724" s="1" t="s">
        <v>1288</v>
      </c>
      <c r="T1724" s="1" t="str">
        <f>IF(ISERROR(VLOOKUP(S1724,'unique org names'!A:C,3,FALSE)),S1724,VLOOKUP(S1724,'unique org names'!A:C,3,FALSE))
</f>
        <v>LIVING ARTS</v>
      </c>
      <c r="V1724" s="1" t="s">
        <v>1289</v>
      </c>
      <c r="W1724" s="1" t="s">
        <v>44</v>
      </c>
      <c r="X1724" s="1" t="s">
        <v>45</v>
      </c>
      <c r="Y1724" s="1">
        <v>4.82091434E8</v>
      </c>
      <c r="AA1724" s="1" t="s">
        <v>46</v>
      </c>
      <c r="AB1724" s="1" t="s">
        <v>45</v>
      </c>
      <c r="AC1724" s="1">
        <v>4.82091434E8</v>
      </c>
      <c r="AF1724" s="1">
        <v>112671.67</v>
      </c>
      <c r="AG1724" s="2">
        <v>41883.0</v>
      </c>
      <c r="AH1724" s="1">
        <v>9577.0</v>
      </c>
      <c r="AI1724" s="1" t="s">
        <v>1281</v>
      </c>
      <c r="AJ1724" s="1">
        <v>5.0</v>
      </c>
      <c r="AK1724" s="1" t="s">
        <v>1290</v>
      </c>
      <c r="AL1724" s="1">
        <v>12.0</v>
      </c>
      <c r="AM1724" s="1">
        <v>2014.0</v>
      </c>
      <c r="AN1724" s="1">
        <v>2014.0</v>
      </c>
      <c r="AO1724" s="1" t="s">
        <v>1284</v>
      </c>
    </row>
    <row r="1725">
      <c r="A1725" s="5">
        <v>1.0</v>
      </c>
      <c r="B1725" s="1">
        <f t="shared" si="1"/>
        <v>1725</v>
      </c>
      <c r="C1725" s="1" t="s">
        <v>3233</v>
      </c>
      <c r="D1725" s="1" t="s">
        <v>3233</v>
      </c>
      <c r="E1725" s="1" t="s">
        <v>38</v>
      </c>
      <c r="G1725" s="1">
        <v>785520.0</v>
      </c>
      <c r="H1725" s="2">
        <v>42020.0</v>
      </c>
      <c r="I1725" s="1" t="s">
        <v>3234</v>
      </c>
      <c r="K1725" s="1" t="s">
        <v>3234</v>
      </c>
      <c r="N1725" s="1" t="s">
        <v>40</v>
      </c>
      <c r="O1725" s="1">
        <v>7500.0</v>
      </c>
      <c r="P1725" s="1" t="s">
        <v>40</v>
      </c>
      <c r="Q1725" s="1" t="str">
        <f>IF(ISERROR(VLOOKUP(P1725,'unique fed agency names'!A:C,3,FALSE)),P1725,VLOOKUP(P1725,'unique fed agency names'!A:C,3,FALSE))
</f>
        <v>U.S. Department of Health and Human Services (DHHS)</v>
      </c>
      <c r="R1725" s="1">
        <v>1962224.0</v>
      </c>
      <c r="S1725" s="1" t="s">
        <v>52</v>
      </c>
      <c r="T1725" s="1" t="str">
        <f>IF(ISERROR(VLOOKUP(S1725,'unique org names'!A:C,3,FALSE)),S1725,VLOOKUP(S1725,'unique org names'!A:C,3,FALSE))
</f>
        <v>WAYNE STATE UNIVERSITY</v>
      </c>
      <c r="V1725" s="1" t="s">
        <v>1885</v>
      </c>
      <c r="W1725" s="1" t="s">
        <v>44</v>
      </c>
      <c r="X1725" s="1" t="s">
        <v>45</v>
      </c>
      <c r="Y1725" s="1">
        <v>4.82021347E8</v>
      </c>
      <c r="AA1725" s="1" t="s">
        <v>46</v>
      </c>
      <c r="AB1725" s="1" t="s">
        <v>45</v>
      </c>
      <c r="AC1725" s="1">
        <v>4.8202405E8</v>
      </c>
      <c r="AD1725" s="1">
        <v>1962224.0</v>
      </c>
      <c r="AE1725" s="1" t="s">
        <v>52</v>
      </c>
      <c r="AF1725" s="1">
        <v>34515.0</v>
      </c>
      <c r="AG1725" s="2">
        <v>42020.0</v>
      </c>
      <c r="AH1725" s="1">
        <v>7500.0</v>
      </c>
      <c r="AI1725" s="1" t="s">
        <v>40</v>
      </c>
      <c r="AJ1725" s="1" t="s">
        <v>3235</v>
      </c>
      <c r="AK1725" s="1" t="s">
        <v>3234</v>
      </c>
      <c r="AL1725" s="1">
        <v>1.0</v>
      </c>
      <c r="AM1725" s="1">
        <v>2015.0</v>
      </c>
      <c r="AN1725" s="1">
        <v>2015.0</v>
      </c>
      <c r="AO1725" s="1" t="s">
        <v>973</v>
      </c>
    </row>
    <row r="1726">
      <c r="A1726" s="5">
        <v>1.0</v>
      </c>
      <c r="B1726" s="1">
        <f t="shared" si="1"/>
        <v>1726</v>
      </c>
      <c r="C1726" s="1" t="s">
        <v>2995</v>
      </c>
      <c r="D1726" s="1" t="s">
        <v>2995</v>
      </c>
      <c r="E1726" s="1" t="s">
        <v>194</v>
      </c>
      <c r="G1726" s="1">
        <v>5.11731456E8</v>
      </c>
      <c r="H1726" s="2">
        <v>41871.0</v>
      </c>
      <c r="I1726" s="1" t="s">
        <v>1168</v>
      </c>
      <c r="K1726" s="1" t="s">
        <v>1168</v>
      </c>
      <c r="N1726" s="1" t="s">
        <v>194</v>
      </c>
      <c r="O1726" s="1">
        <v>9100.0</v>
      </c>
      <c r="P1726" s="1" t="s">
        <v>194</v>
      </c>
      <c r="Q1726" s="1" t="str">
        <f>IF(ISERROR(VLOOKUP(P1726,'unique fed agency names'!A:C,3,FALSE)),P1726,VLOOKUP(P1726,'unique fed agency names'!A:C,3,FALSE))
</f>
        <v>U.S. Department of Education (ED)</v>
      </c>
      <c r="R1726" s="1">
        <v>1.47777952E8</v>
      </c>
      <c r="S1726" s="1" t="s">
        <v>459</v>
      </c>
      <c r="T1726" s="1" t="str">
        <f>IF(ISERROR(VLOOKUP(S1726,'unique org names'!A:C,3,FALSE)),S1726,VLOOKUP(S1726,'unique org names'!A:C,3,FALSE))
</f>
        <v>DETROIT PUBLIC SCHOOLS</v>
      </c>
      <c r="U1726" s="1" t="s">
        <v>626</v>
      </c>
      <c r="V1726" s="1" t="s">
        <v>627</v>
      </c>
      <c r="W1726" s="1" t="s">
        <v>44</v>
      </c>
      <c r="X1726" s="1" t="s">
        <v>45</v>
      </c>
      <c r="Y1726" s="1">
        <v>4.82072112E8</v>
      </c>
      <c r="AA1726" s="1" t="s">
        <v>44</v>
      </c>
      <c r="AB1726" s="1" t="s">
        <v>45</v>
      </c>
      <c r="AC1726" s="1">
        <v>4.82072112E8</v>
      </c>
      <c r="AD1726" s="1">
        <v>7.6340843E7</v>
      </c>
      <c r="AE1726" s="1" t="s">
        <v>461</v>
      </c>
      <c r="AF1726" s="1">
        <v>429740.0</v>
      </c>
      <c r="AG1726" s="2">
        <v>41871.0</v>
      </c>
      <c r="AH1726" s="1">
        <v>9100.0</v>
      </c>
      <c r="AI1726" s="1" t="s">
        <v>194</v>
      </c>
      <c r="AJ1726" s="1" t="s">
        <v>3236</v>
      </c>
      <c r="AK1726" s="1" t="s">
        <v>1170</v>
      </c>
      <c r="AL1726" s="1">
        <v>1.0</v>
      </c>
      <c r="AM1726" s="1">
        <v>2015.0</v>
      </c>
      <c r="AN1726" s="1">
        <v>2014.0</v>
      </c>
      <c r="AO1726" s="1" t="s">
        <v>1171</v>
      </c>
    </row>
    <row r="1727">
      <c r="A1727" s="5">
        <v>1.0</v>
      </c>
      <c r="B1727" s="1">
        <f t="shared" si="1"/>
        <v>1727</v>
      </c>
      <c r="C1727" s="1" t="s">
        <v>2995</v>
      </c>
      <c r="D1727" s="1" t="s">
        <v>2995</v>
      </c>
      <c r="E1727" s="1" t="s">
        <v>194</v>
      </c>
      <c r="G1727" s="1">
        <v>5.11731456E8</v>
      </c>
      <c r="H1727" s="2">
        <v>41683.0</v>
      </c>
      <c r="I1727" s="1" t="s">
        <v>1168</v>
      </c>
      <c r="K1727" s="1" t="s">
        <v>1168</v>
      </c>
      <c r="N1727" s="1" t="s">
        <v>194</v>
      </c>
      <c r="O1727" s="1">
        <v>9100.0</v>
      </c>
      <c r="P1727" s="1" t="s">
        <v>194</v>
      </c>
      <c r="Q1727" s="1" t="str">
        <f>IF(ISERROR(VLOOKUP(P1727,'unique fed agency names'!A:C,3,FALSE)),P1727,VLOOKUP(P1727,'unique fed agency names'!A:C,3,FALSE))
</f>
        <v>U.S. Department of Education (ED)</v>
      </c>
      <c r="R1727" s="1">
        <v>1.98438892E8</v>
      </c>
      <c r="S1727" s="1" t="s">
        <v>505</v>
      </c>
      <c r="T1727" s="1" t="str">
        <f>IF(ISERROR(VLOOKUP(S1727,'unique org names'!A:C,3,FALSE)),S1727,VLOOKUP(S1727,'unique org names'!A:C,3,FALSE))
</f>
        <v>HANLEY INTERNATIONAL ACADEMY, INC</v>
      </c>
      <c r="V1727" s="1" t="s">
        <v>506</v>
      </c>
      <c r="W1727" s="1" t="s">
        <v>44</v>
      </c>
      <c r="X1727" s="1" t="s">
        <v>45</v>
      </c>
      <c r="Y1727" s="1">
        <v>4.82123572E8</v>
      </c>
      <c r="AA1727" s="1" t="s">
        <v>498</v>
      </c>
      <c r="AB1727" s="1" t="s">
        <v>45</v>
      </c>
      <c r="AC1727" s="1">
        <v>4.82123572E8</v>
      </c>
      <c r="AD1727" s="1">
        <v>1.98438892E8</v>
      </c>
      <c r="AE1727" s="1" t="s">
        <v>505</v>
      </c>
      <c r="AF1727" s="1">
        <v>446083.0</v>
      </c>
      <c r="AG1727" s="2">
        <v>41683.0</v>
      </c>
      <c r="AH1727" s="1">
        <v>9100.0</v>
      </c>
      <c r="AI1727" s="1" t="s">
        <v>194</v>
      </c>
      <c r="AJ1727" s="1" t="s">
        <v>3237</v>
      </c>
      <c r="AK1727" s="1" t="s">
        <v>1170</v>
      </c>
      <c r="AL1727" s="1">
        <v>1.0</v>
      </c>
      <c r="AM1727" s="1">
        <v>2015.0</v>
      </c>
      <c r="AN1727" s="1">
        <v>2014.0</v>
      </c>
      <c r="AO1727" s="1" t="s">
        <v>1171</v>
      </c>
    </row>
    <row r="1728">
      <c r="A1728" s="5">
        <v>1.0</v>
      </c>
      <c r="B1728" s="1">
        <f t="shared" si="1"/>
        <v>1728</v>
      </c>
      <c r="C1728" s="1" t="s">
        <v>2995</v>
      </c>
      <c r="D1728" s="1" t="s">
        <v>2995</v>
      </c>
      <c r="E1728" s="1" t="s">
        <v>194</v>
      </c>
      <c r="G1728" s="1">
        <v>5.11731456E8</v>
      </c>
      <c r="H1728" s="2">
        <v>41752.0</v>
      </c>
      <c r="I1728" s="1" t="s">
        <v>1168</v>
      </c>
      <c r="K1728" s="1" t="s">
        <v>1168</v>
      </c>
      <c r="N1728" s="1" t="s">
        <v>194</v>
      </c>
      <c r="O1728" s="1">
        <v>9100.0</v>
      </c>
      <c r="P1728" s="1" t="s">
        <v>194</v>
      </c>
      <c r="Q1728" s="1" t="str">
        <f>IF(ISERROR(VLOOKUP(P1728,'unique fed agency names'!A:C,3,FALSE)),P1728,VLOOKUP(P1728,'unique fed agency names'!A:C,3,FALSE))
</f>
        <v>U.S. Department of Education (ED)</v>
      </c>
      <c r="R1728" s="1">
        <v>7.93697355E8</v>
      </c>
      <c r="S1728" s="1" t="s">
        <v>691</v>
      </c>
      <c r="T1728" s="1" t="str">
        <f>IF(ISERROR(VLOOKUP(S1728,'unique org names'!A:C,3,FALSE)),S1728,VLOOKUP(S1728,'unique org names'!A:C,3,FALSE))
</f>
        <v>OAKLAND INTERNATIONAL ACADEMY</v>
      </c>
      <c r="U1728" s="1" t="s">
        <v>1194</v>
      </c>
      <c r="V1728" s="1" t="s">
        <v>692</v>
      </c>
      <c r="W1728" s="1" t="s">
        <v>44</v>
      </c>
      <c r="X1728" s="1" t="s">
        <v>45</v>
      </c>
      <c r="Y1728" s="1">
        <v>4.82111554E8</v>
      </c>
      <c r="AA1728" s="1" t="s">
        <v>44</v>
      </c>
      <c r="AB1728" s="1" t="s">
        <v>45</v>
      </c>
      <c r="AC1728" s="1">
        <v>4.82111552E8</v>
      </c>
      <c r="AF1728" s="1">
        <v>589225.0</v>
      </c>
      <c r="AG1728" s="2">
        <v>41752.0</v>
      </c>
      <c r="AH1728" s="1">
        <v>9100.0</v>
      </c>
      <c r="AI1728" s="1" t="s">
        <v>194</v>
      </c>
      <c r="AJ1728" s="1" t="s">
        <v>3238</v>
      </c>
      <c r="AK1728" s="1" t="s">
        <v>1170</v>
      </c>
      <c r="AL1728" s="1">
        <v>1.0</v>
      </c>
      <c r="AM1728" s="1">
        <v>2015.0</v>
      </c>
      <c r="AN1728" s="1">
        <v>2014.0</v>
      </c>
      <c r="AO1728" s="1" t="s">
        <v>1171</v>
      </c>
    </row>
    <row r="1729">
      <c r="A1729" s="5">
        <v>1.0</v>
      </c>
      <c r="B1729" s="1">
        <f t="shared" si="1"/>
        <v>1729</v>
      </c>
      <c r="C1729" s="1" t="s">
        <v>2995</v>
      </c>
      <c r="D1729" s="1" t="s">
        <v>2995</v>
      </c>
      <c r="E1729" s="1" t="s">
        <v>194</v>
      </c>
      <c r="G1729" s="1">
        <v>5.11731456E8</v>
      </c>
      <c r="H1729" s="2">
        <v>41542.0</v>
      </c>
      <c r="I1729" s="1" t="s">
        <v>1168</v>
      </c>
      <c r="K1729" s="1" t="s">
        <v>1168</v>
      </c>
      <c r="N1729" s="1" t="s">
        <v>194</v>
      </c>
      <c r="O1729" s="1">
        <v>9100.0</v>
      </c>
      <c r="P1729" s="1" t="s">
        <v>194</v>
      </c>
      <c r="Q1729" s="1" t="str">
        <f>IF(ISERROR(VLOOKUP(P1729,'unique fed agency names'!A:C,3,FALSE)),P1729,VLOOKUP(P1729,'unique fed agency names'!A:C,3,FALSE))
</f>
        <v>U.S. Department of Education (ED)</v>
      </c>
      <c r="R1729" s="1">
        <v>7.8498569E7</v>
      </c>
      <c r="S1729" s="1" t="s">
        <v>1184</v>
      </c>
      <c r="T1729" s="1" t="str">
        <f>IF(ISERROR(VLOOKUP(S1729,'unique org names'!A:C,3,FALSE)),S1729,VLOOKUP(S1729,'unique org names'!A:C,3,FALSE))
</f>
        <v>Academy Of International Studies</v>
      </c>
      <c r="V1729" s="1" t="s">
        <v>506</v>
      </c>
      <c r="W1729" s="1" t="s">
        <v>44</v>
      </c>
      <c r="X1729" s="1" t="s">
        <v>45</v>
      </c>
      <c r="Y1729" s="1">
        <v>4.82123572E8</v>
      </c>
      <c r="AA1729" s="1" t="s">
        <v>498</v>
      </c>
      <c r="AB1729" s="1" t="s">
        <v>45</v>
      </c>
      <c r="AC1729" s="1">
        <v>4.82123572E8</v>
      </c>
      <c r="AF1729" s="1">
        <v>52384.0</v>
      </c>
      <c r="AG1729" s="2">
        <v>41542.0</v>
      </c>
      <c r="AH1729" s="1">
        <v>9100.0</v>
      </c>
      <c r="AI1729" s="1" t="s">
        <v>194</v>
      </c>
      <c r="AJ1729" s="1" t="s">
        <v>3239</v>
      </c>
      <c r="AK1729" s="1" t="s">
        <v>1170</v>
      </c>
      <c r="AL1729" s="1">
        <v>1.0</v>
      </c>
      <c r="AM1729" s="1">
        <v>2015.0</v>
      </c>
      <c r="AN1729" s="1">
        <v>2013.0</v>
      </c>
      <c r="AO1729" s="1" t="s">
        <v>1171</v>
      </c>
    </row>
    <row r="1730">
      <c r="A1730" s="5">
        <v>1.0</v>
      </c>
      <c r="B1730" s="1">
        <f t="shared" si="1"/>
        <v>1730</v>
      </c>
      <c r="C1730" s="1" t="s">
        <v>3048</v>
      </c>
      <c r="D1730" s="1" t="s">
        <v>3048</v>
      </c>
      <c r="E1730" s="1" t="s">
        <v>645</v>
      </c>
      <c r="G1730" s="1">
        <v>4.58254144E8</v>
      </c>
      <c r="H1730" s="2">
        <v>41564.0</v>
      </c>
      <c r="I1730" s="1" t="s">
        <v>710</v>
      </c>
      <c r="K1730" s="1" t="s">
        <v>710</v>
      </c>
      <c r="N1730" s="1" t="s">
        <v>647</v>
      </c>
      <c r="O1730" s="1">
        <v>1200.0</v>
      </c>
      <c r="P1730" s="1" t="s">
        <v>647</v>
      </c>
      <c r="Q1730" s="1" t="str">
        <f>IF(ISERROR(VLOOKUP(P1730,'unique fed agency names'!A:C,3,FALSE)),P1730,VLOOKUP(P1730,'unique fed agency names'!A:C,3,FALSE))
</f>
        <v>U.S. Department of Agriculture (USDA)</v>
      </c>
      <c r="R1730" s="1">
        <v>7.3832607E7</v>
      </c>
      <c r="S1730" s="1" t="s">
        <v>482</v>
      </c>
      <c r="T1730" s="1" t="str">
        <f>IF(ISERROR(VLOOKUP(S1730,'unique org names'!A:C,3,FALSE)),S1730,VLOOKUP(S1730,'unique org names'!A:C,3,FALSE))
</f>
        <v>DETROIT ACADEMY OF ARTS AND SCIENCES</v>
      </c>
      <c r="V1730" s="1" t="s">
        <v>483</v>
      </c>
      <c r="W1730" s="1" t="s">
        <v>44</v>
      </c>
      <c r="X1730" s="1" t="s">
        <v>45</v>
      </c>
      <c r="Y1730" s="1">
        <v>4.82074288E8</v>
      </c>
      <c r="AA1730" s="1" t="s">
        <v>44</v>
      </c>
      <c r="AB1730" s="1" t="s">
        <v>45</v>
      </c>
      <c r="AC1730" s="1">
        <v>4.82074288E8</v>
      </c>
      <c r="AF1730" s="1">
        <v>245523.95</v>
      </c>
      <c r="AG1730" s="2">
        <v>41564.0</v>
      </c>
      <c r="AH1730" s="1">
        <v>1200.0</v>
      </c>
      <c r="AI1730" s="1" t="s">
        <v>647</v>
      </c>
      <c r="AJ1730" s="1" t="s">
        <v>3240</v>
      </c>
      <c r="AK1730" s="1" t="s">
        <v>712</v>
      </c>
      <c r="AL1730" s="1">
        <v>1.0</v>
      </c>
      <c r="AM1730" s="1">
        <v>2015.0</v>
      </c>
      <c r="AN1730" s="1">
        <v>2014.0</v>
      </c>
      <c r="AO1730" s="1" t="s">
        <v>713</v>
      </c>
    </row>
    <row r="1731">
      <c r="A1731" s="5">
        <v>1.0</v>
      </c>
      <c r="B1731" s="1">
        <f t="shared" si="1"/>
        <v>1731</v>
      </c>
      <c r="C1731" s="1" t="s">
        <v>3048</v>
      </c>
      <c r="D1731" s="1" t="s">
        <v>3048</v>
      </c>
      <c r="E1731" s="1" t="s">
        <v>645</v>
      </c>
      <c r="G1731" s="1">
        <v>4.58254144E8</v>
      </c>
      <c r="H1731" s="2">
        <v>41893.0</v>
      </c>
      <c r="I1731" s="1" t="s">
        <v>710</v>
      </c>
      <c r="K1731" s="1" t="s">
        <v>710</v>
      </c>
      <c r="N1731" s="1" t="s">
        <v>647</v>
      </c>
      <c r="O1731" s="1">
        <v>1200.0</v>
      </c>
      <c r="P1731" s="1" t="s">
        <v>647</v>
      </c>
      <c r="Q1731" s="1" t="str">
        <f>IF(ISERROR(VLOOKUP(P1731,'unique fed agency names'!A:C,3,FALSE)),P1731,VLOOKUP(P1731,'unique fed agency names'!A:C,3,FALSE))
</f>
        <v>U.S. Department of Agriculture (USDA)</v>
      </c>
      <c r="R1731" s="1">
        <v>1.78318531E8</v>
      </c>
      <c r="S1731" s="1" t="s">
        <v>906</v>
      </c>
      <c r="T1731" s="1" t="str">
        <f>IF(ISERROR(VLOOKUP(S1731,'unique org names'!A:C,3,FALSE)),S1731,VLOOKUP(S1731,'unique org names'!A:C,3,FALSE))
</f>
        <v>HARTFORD HEAD START AGENCY INC</v>
      </c>
      <c r="V1731" s="1" t="s">
        <v>907</v>
      </c>
      <c r="W1731" s="1" t="s">
        <v>44</v>
      </c>
      <c r="X1731" s="1" t="s">
        <v>45</v>
      </c>
      <c r="Y1731" s="1">
        <v>4.82351717E8</v>
      </c>
      <c r="AA1731" s="1" t="s">
        <v>44</v>
      </c>
      <c r="AB1731" s="1" t="s">
        <v>45</v>
      </c>
      <c r="AC1731" s="1">
        <v>4.82351717E8</v>
      </c>
      <c r="AD1731" s="1">
        <v>1.78318531E8</v>
      </c>
      <c r="AE1731" s="1" t="s">
        <v>906</v>
      </c>
      <c r="AF1731" s="1">
        <v>419044.54</v>
      </c>
      <c r="AG1731" s="2">
        <v>41893.0</v>
      </c>
      <c r="AH1731" s="1">
        <v>1200.0</v>
      </c>
      <c r="AI1731" s="1" t="s">
        <v>647</v>
      </c>
      <c r="AJ1731" s="1" t="s">
        <v>3241</v>
      </c>
      <c r="AK1731" s="1" t="s">
        <v>712</v>
      </c>
      <c r="AL1731" s="1">
        <v>1.0</v>
      </c>
      <c r="AM1731" s="1">
        <v>2015.0</v>
      </c>
      <c r="AN1731" s="1">
        <v>2014.0</v>
      </c>
      <c r="AO1731" s="1" t="s">
        <v>713</v>
      </c>
    </row>
    <row r="1732">
      <c r="A1732" s="5">
        <v>1.0</v>
      </c>
      <c r="B1732" s="1">
        <f t="shared" si="1"/>
        <v>1732</v>
      </c>
      <c r="C1732" s="1" t="s">
        <v>3048</v>
      </c>
      <c r="D1732" s="1" t="s">
        <v>3048</v>
      </c>
      <c r="E1732" s="1" t="s">
        <v>645</v>
      </c>
      <c r="G1732" s="1">
        <v>4.58254144E8</v>
      </c>
      <c r="H1732" s="2">
        <v>41585.0</v>
      </c>
      <c r="I1732" s="1" t="s">
        <v>710</v>
      </c>
      <c r="K1732" s="1" t="s">
        <v>710</v>
      </c>
      <c r="N1732" s="1" t="s">
        <v>647</v>
      </c>
      <c r="O1732" s="1">
        <v>1200.0</v>
      </c>
      <c r="P1732" s="1" t="s">
        <v>647</v>
      </c>
      <c r="Q1732" s="1" t="str">
        <f>IF(ISERROR(VLOOKUP(P1732,'unique fed agency names'!A:C,3,FALSE)),P1732,VLOOKUP(P1732,'unique fed agency names'!A:C,3,FALSE))
</f>
        <v>U.S. Department of Agriculture (USDA)</v>
      </c>
      <c r="R1732" s="1">
        <v>6533863.0</v>
      </c>
      <c r="S1732" s="1" t="s">
        <v>3194</v>
      </c>
      <c r="T1732" s="1" t="str">
        <f>IF(ISERROR(VLOOKUP(S1732,'unique org names'!A:C,3,FALSE)),S1732,VLOOKUP(S1732,'unique org names'!A:C,3,FALSE))
</f>
        <v>Roman Catholic Archdiocese of Detroit</v>
      </c>
      <c r="U1732" s="1" t="s">
        <v>3195</v>
      </c>
      <c r="V1732" s="1" t="s">
        <v>3196</v>
      </c>
      <c r="W1732" s="1" t="s">
        <v>44</v>
      </c>
      <c r="X1732" s="1" t="s">
        <v>45</v>
      </c>
      <c r="Y1732" s="1">
        <v>4.82261894E8</v>
      </c>
      <c r="AA1732" s="1" t="s">
        <v>3197</v>
      </c>
      <c r="AB1732" s="1" t="s">
        <v>45</v>
      </c>
      <c r="AC1732" s="1">
        <v>4.81339647E8</v>
      </c>
      <c r="AD1732" s="1">
        <v>6533863.0</v>
      </c>
      <c r="AF1732" s="1">
        <v>512250.38</v>
      </c>
      <c r="AG1732" s="2">
        <v>41585.0</v>
      </c>
      <c r="AH1732" s="1">
        <v>1200.0</v>
      </c>
      <c r="AI1732" s="1" t="s">
        <v>647</v>
      </c>
      <c r="AJ1732" s="1" t="s">
        <v>3242</v>
      </c>
      <c r="AK1732" s="1" t="s">
        <v>712</v>
      </c>
      <c r="AL1732" s="1">
        <v>1.0</v>
      </c>
      <c r="AM1732" s="1">
        <v>2015.0</v>
      </c>
      <c r="AN1732" s="1">
        <v>2014.0</v>
      </c>
      <c r="AO1732" s="1" t="s">
        <v>713</v>
      </c>
    </row>
    <row r="1733">
      <c r="A1733" s="5">
        <v>1.0</v>
      </c>
      <c r="B1733" s="1">
        <f t="shared" si="1"/>
        <v>1733</v>
      </c>
      <c r="C1733" s="1" t="s">
        <v>3048</v>
      </c>
      <c r="D1733" s="1" t="s">
        <v>3048</v>
      </c>
      <c r="E1733" s="1" t="s">
        <v>645</v>
      </c>
      <c r="G1733" s="1">
        <v>4.58254144E8</v>
      </c>
      <c r="H1733" s="2">
        <v>41592.0</v>
      </c>
      <c r="I1733" s="1" t="s">
        <v>710</v>
      </c>
      <c r="K1733" s="1" t="s">
        <v>710</v>
      </c>
      <c r="N1733" s="1" t="s">
        <v>647</v>
      </c>
      <c r="O1733" s="1">
        <v>1200.0</v>
      </c>
      <c r="P1733" s="1" t="s">
        <v>647</v>
      </c>
      <c r="Q1733" s="1" t="str">
        <f>IF(ISERROR(VLOOKUP(P1733,'unique fed agency names'!A:C,3,FALSE)),P1733,VLOOKUP(P1733,'unique fed agency names'!A:C,3,FALSE))
</f>
        <v>U.S. Department of Agriculture (USDA)</v>
      </c>
      <c r="R1733" s="1">
        <v>7.8634042E7</v>
      </c>
      <c r="S1733" s="1" t="s">
        <v>2998</v>
      </c>
      <c r="T1733" s="1" t="str">
        <f>IF(ISERROR(VLOOKUP(S1733,'unique org names'!A:C,3,FALSE)),S1733,VLOOKUP(S1733,'unique org names'!A:C,3,FALSE))
</f>
        <v>Hamilton Academy</v>
      </c>
      <c r="V1733" s="1" t="s">
        <v>475</v>
      </c>
      <c r="W1733" s="1" t="s">
        <v>44</v>
      </c>
      <c r="X1733" s="1" t="s">
        <v>45</v>
      </c>
      <c r="Y1733" s="1">
        <v>4.82133744E8</v>
      </c>
      <c r="AA1733" s="1" t="s">
        <v>46</v>
      </c>
      <c r="AB1733" s="1" t="s">
        <v>45</v>
      </c>
      <c r="AC1733" s="1">
        <v>4.82133744E8</v>
      </c>
      <c r="AF1733" s="1">
        <v>63237.85</v>
      </c>
      <c r="AG1733" s="2">
        <v>41592.0</v>
      </c>
      <c r="AH1733" s="1">
        <v>1200.0</v>
      </c>
      <c r="AI1733" s="1" t="s">
        <v>647</v>
      </c>
      <c r="AJ1733" s="1" t="s">
        <v>3243</v>
      </c>
      <c r="AK1733" s="1" t="s">
        <v>712</v>
      </c>
      <c r="AL1733" s="1">
        <v>1.0</v>
      </c>
      <c r="AM1733" s="1">
        <v>2015.0</v>
      </c>
      <c r="AN1733" s="1">
        <v>2014.0</v>
      </c>
      <c r="AO1733" s="1" t="s">
        <v>713</v>
      </c>
    </row>
    <row r="1734">
      <c r="A1734" s="5">
        <v>1.0</v>
      </c>
      <c r="B1734" s="1">
        <f t="shared" si="1"/>
        <v>1734</v>
      </c>
      <c r="C1734" s="1" t="s">
        <v>3048</v>
      </c>
      <c r="D1734" s="1" t="s">
        <v>3048</v>
      </c>
      <c r="E1734" s="1" t="s">
        <v>645</v>
      </c>
      <c r="G1734" s="1">
        <v>4.58254144E8</v>
      </c>
      <c r="H1734" s="2">
        <v>41620.0</v>
      </c>
      <c r="I1734" s="1" t="s">
        <v>710</v>
      </c>
      <c r="K1734" s="1" t="s">
        <v>710</v>
      </c>
      <c r="N1734" s="1" t="s">
        <v>647</v>
      </c>
      <c r="O1734" s="1">
        <v>1200.0</v>
      </c>
      <c r="P1734" s="1" t="s">
        <v>647</v>
      </c>
      <c r="Q1734" s="1" t="str">
        <f>IF(ISERROR(VLOOKUP(P1734,'unique fed agency names'!A:C,3,FALSE)),P1734,VLOOKUP(P1734,'unique fed agency names'!A:C,3,FALSE))
</f>
        <v>U.S. Department of Agriculture (USDA)</v>
      </c>
      <c r="R1734" s="1">
        <v>7.3948895E7</v>
      </c>
      <c r="S1734" s="1" t="s">
        <v>847</v>
      </c>
      <c r="T1734" s="1" t="str">
        <f>IF(ISERROR(VLOOKUP(S1734,'unique org names'!A:C,3,FALSE)),S1734,VLOOKUP(S1734,'unique org names'!A:C,3,FALSE))
</f>
        <v>Peter Rabbit Day Care Ctr Inc</v>
      </c>
      <c r="V1734" s="1" t="s">
        <v>848</v>
      </c>
      <c r="W1734" s="1" t="s">
        <v>44</v>
      </c>
      <c r="X1734" s="1" t="s">
        <v>45</v>
      </c>
      <c r="Y1734" s="1">
        <v>4.82242003E8</v>
      </c>
      <c r="AA1734" s="1" t="s">
        <v>44</v>
      </c>
      <c r="AB1734" s="1" t="s">
        <v>45</v>
      </c>
      <c r="AC1734" s="1">
        <v>4.82242003E8</v>
      </c>
      <c r="AF1734" s="1">
        <v>33692.58</v>
      </c>
      <c r="AG1734" s="2">
        <v>41620.0</v>
      </c>
      <c r="AH1734" s="1">
        <v>1200.0</v>
      </c>
      <c r="AI1734" s="1" t="s">
        <v>647</v>
      </c>
      <c r="AJ1734" s="1" t="s">
        <v>3244</v>
      </c>
      <c r="AK1734" s="1" t="s">
        <v>712</v>
      </c>
      <c r="AL1734" s="1">
        <v>1.0</v>
      </c>
      <c r="AM1734" s="1">
        <v>2015.0</v>
      </c>
      <c r="AN1734" s="1">
        <v>2014.0</v>
      </c>
      <c r="AO1734" s="1" t="s">
        <v>713</v>
      </c>
    </row>
    <row r="1735">
      <c r="A1735" s="5">
        <v>1.0</v>
      </c>
      <c r="B1735" s="1">
        <f t="shared" si="1"/>
        <v>1735</v>
      </c>
      <c r="C1735" s="1" t="s">
        <v>3048</v>
      </c>
      <c r="D1735" s="1" t="s">
        <v>3048</v>
      </c>
      <c r="E1735" s="1" t="s">
        <v>645</v>
      </c>
      <c r="G1735" s="1">
        <v>4.58254144E8</v>
      </c>
      <c r="H1735" s="2">
        <v>41557.0</v>
      </c>
      <c r="I1735" s="1" t="s">
        <v>710</v>
      </c>
      <c r="K1735" s="1" t="s">
        <v>710</v>
      </c>
      <c r="N1735" s="1" t="s">
        <v>647</v>
      </c>
      <c r="O1735" s="1">
        <v>1200.0</v>
      </c>
      <c r="P1735" s="1" t="s">
        <v>647</v>
      </c>
      <c r="Q1735" s="1" t="str">
        <f>IF(ISERROR(VLOOKUP(P1735,'unique fed agency names'!A:C,3,FALSE)),P1735,VLOOKUP(P1735,'unique fed agency names'!A:C,3,FALSE))
</f>
        <v>U.S. Department of Agriculture (USDA)</v>
      </c>
      <c r="R1735" s="1">
        <v>3537326.0</v>
      </c>
      <c r="S1735" s="1" t="s">
        <v>560</v>
      </c>
      <c r="T1735" s="1" t="str">
        <f>IF(ISERROR(VLOOKUP(S1735,'unique org names'!A:C,3,FALSE)),S1735,VLOOKUP(S1735,'unique org names'!A:C,3,FALSE))
</f>
        <v>COMMONWEALTH COMMUNITY DEVELOPMENT ACADEMY</v>
      </c>
      <c r="V1735" s="1" t="s">
        <v>561</v>
      </c>
      <c r="W1735" s="1" t="s">
        <v>44</v>
      </c>
      <c r="X1735" s="1" t="s">
        <v>45</v>
      </c>
      <c r="Y1735" s="1">
        <v>4.8212177E8</v>
      </c>
      <c r="AA1735" s="1" t="s">
        <v>498</v>
      </c>
      <c r="AB1735" s="1" t="s">
        <v>45</v>
      </c>
      <c r="AC1735" s="1">
        <v>4.82121754E8</v>
      </c>
      <c r="AD1735" s="1">
        <v>3537326.0</v>
      </c>
      <c r="AE1735" s="1" t="s">
        <v>560</v>
      </c>
      <c r="AF1735" s="1">
        <v>99020.2</v>
      </c>
      <c r="AG1735" s="2">
        <v>41557.0</v>
      </c>
      <c r="AH1735" s="1">
        <v>1200.0</v>
      </c>
      <c r="AI1735" s="1" t="s">
        <v>647</v>
      </c>
      <c r="AJ1735" s="1" t="s">
        <v>3245</v>
      </c>
      <c r="AK1735" s="1" t="s">
        <v>712</v>
      </c>
      <c r="AL1735" s="1">
        <v>1.0</v>
      </c>
      <c r="AM1735" s="1">
        <v>2015.0</v>
      </c>
      <c r="AN1735" s="1">
        <v>2014.0</v>
      </c>
      <c r="AO1735" s="1" t="s">
        <v>713</v>
      </c>
    </row>
    <row r="1736">
      <c r="A1736" s="5">
        <v>1.0</v>
      </c>
      <c r="B1736" s="1">
        <f t="shared" si="1"/>
        <v>1736</v>
      </c>
      <c r="C1736" s="1" t="s">
        <v>3048</v>
      </c>
      <c r="D1736" s="1" t="s">
        <v>3048</v>
      </c>
      <c r="E1736" s="1" t="s">
        <v>645</v>
      </c>
      <c r="G1736" s="1">
        <v>4.58254144E8</v>
      </c>
      <c r="H1736" s="2">
        <v>41578.0</v>
      </c>
      <c r="I1736" s="1" t="s">
        <v>710</v>
      </c>
      <c r="K1736" s="1" t="s">
        <v>710</v>
      </c>
      <c r="N1736" s="1" t="s">
        <v>647</v>
      </c>
      <c r="O1736" s="1">
        <v>1200.0</v>
      </c>
      <c r="P1736" s="1" t="s">
        <v>647</v>
      </c>
      <c r="Q1736" s="1" t="str">
        <f>IF(ISERROR(VLOOKUP(P1736,'unique fed agency names'!A:C,3,FALSE)),P1736,VLOOKUP(P1736,'unique fed agency names'!A:C,3,FALSE))
</f>
        <v>U.S. Department of Agriculture (USDA)</v>
      </c>
      <c r="R1736" s="1">
        <v>7.97531279E8</v>
      </c>
      <c r="S1736" s="1" t="s">
        <v>496</v>
      </c>
      <c r="T1736" s="1" t="str">
        <f>IF(ISERROR(VLOOKUP(S1736,'unique org names'!A:C,3,FALSE)),S1736,VLOOKUP(S1736,'unique org names'!A:C,3,FALSE))
</f>
        <v>BRIDGE ACADEMY</v>
      </c>
      <c r="V1736" s="1" t="s">
        <v>497</v>
      </c>
      <c r="W1736" s="1" t="s">
        <v>44</v>
      </c>
      <c r="X1736" s="1" t="s">
        <v>45</v>
      </c>
      <c r="Y1736" s="1">
        <v>4.82123323E8</v>
      </c>
      <c r="AA1736" s="1" t="s">
        <v>498</v>
      </c>
      <c r="AB1736" s="1" t="s">
        <v>45</v>
      </c>
      <c r="AC1736" s="1">
        <v>4.82123323E8</v>
      </c>
      <c r="AF1736" s="1">
        <v>322768.31</v>
      </c>
      <c r="AG1736" s="2">
        <v>41578.0</v>
      </c>
      <c r="AH1736" s="1">
        <v>1200.0</v>
      </c>
      <c r="AI1736" s="1" t="s">
        <v>647</v>
      </c>
      <c r="AJ1736" s="1" t="s">
        <v>3246</v>
      </c>
      <c r="AK1736" s="1" t="s">
        <v>712</v>
      </c>
      <c r="AL1736" s="1">
        <v>1.0</v>
      </c>
      <c r="AM1736" s="1">
        <v>2015.0</v>
      </c>
      <c r="AN1736" s="1">
        <v>2014.0</v>
      </c>
      <c r="AO1736" s="1" t="s">
        <v>713</v>
      </c>
    </row>
    <row r="1737">
      <c r="A1737" s="5">
        <v>1.0</v>
      </c>
      <c r="B1737" s="1">
        <f t="shared" si="1"/>
        <v>1737</v>
      </c>
      <c r="C1737" s="1" t="s">
        <v>3048</v>
      </c>
      <c r="D1737" s="1" t="s">
        <v>3048</v>
      </c>
      <c r="E1737" s="1" t="s">
        <v>645</v>
      </c>
      <c r="G1737" s="1">
        <v>4.58254144E8</v>
      </c>
      <c r="H1737" s="2">
        <v>41557.0</v>
      </c>
      <c r="I1737" s="1" t="s">
        <v>710</v>
      </c>
      <c r="K1737" s="1" t="s">
        <v>710</v>
      </c>
      <c r="N1737" s="1" t="s">
        <v>647</v>
      </c>
      <c r="O1737" s="1">
        <v>1200.0</v>
      </c>
      <c r="P1737" s="1" t="s">
        <v>647</v>
      </c>
      <c r="Q1737" s="1" t="str">
        <f>IF(ISERROR(VLOOKUP(P1737,'unique fed agency names'!A:C,3,FALSE)),P1737,VLOOKUP(P1737,'unique fed agency names'!A:C,3,FALSE))
</f>
        <v>U.S. Department of Agriculture (USDA)</v>
      </c>
      <c r="R1737" s="1">
        <v>8.31014068E8</v>
      </c>
      <c r="S1737" s="1" t="s">
        <v>515</v>
      </c>
      <c r="T1737" s="1" t="str">
        <f>IF(ISERROR(VLOOKUP(S1737,'unique org names'!A:C,3,FALSE)),S1737,VLOOKUP(S1737,'unique org names'!A:C,3,FALSE))
</f>
        <v>DETROIT PREMIER ACADEMY</v>
      </c>
      <c r="V1737" s="1" t="s">
        <v>516</v>
      </c>
      <c r="W1737" s="1" t="s">
        <v>44</v>
      </c>
      <c r="X1737" s="1" t="s">
        <v>45</v>
      </c>
      <c r="Y1737" s="1">
        <v>4.82283685E8</v>
      </c>
      <c r="AA1737" s="1" t="s">
        <v>46</v>
      </c>
      <c r="AB1737" s="1" t="s">
        <v>45</v>
      </c>
      <c r="AC1737" s="1">
        <v>4.82283685E8</v>
      </c>
      <c r="AD1737" s="1">
        <v>9.60742484E8</v>
      </c>
      <c r="AF1737" s="1">
        <v>154355.39</v>
      </c>
      <c r="AG1737" s="2">
        <v>41557.0</v>
      </c>
      <c r="AH1737" s="1">
        <v>1200.0</v>
      </c>
      <c r="AI1737" s="1" t="s">
        <v>647</v>
      </c>
      <c r="AJ1737" s="1" t="s">
        <v>3247</v>
      </c>
      <c r="AK1737" s="1" t="s">
        <v>712</v>
      </c>
      <c r="AL1737" s="1">
        <v>1.0</v>
      </c>
      <c r="AM1737" s="1">
        <v>2015.0</v>
      </c>
      <c r="AN1737" s="1">
        <v>2014.0</v>
      </c>
      <c r="AO1737" s="1" t="s">
        <v>713</v>
      </c>
    </row>
    <row r="1738">
      <c r="A1738" s="5">
        <v>1.0</v>
      </c>
      <c r="B1738" s="1">
        <f t="shared" si="1"/>
        <v>1738</v>
      </c>
      <c r="C1738" s="1" t="s">
        <v>3048</v>
      </c>
      <c r="D1738" s="1" t="s">
        <v>3048</v>
      </c>
      <c r="E1738" s="1" t="s">
        <v>645</v>
      </c>
      <c r="G1738" s="1">
        <v>4.58254144E8</v>
      </c>
      <c r="H1738" s="2">
        <v>41557.0</v>
      </c>
      <c r="I1738" s="1" t="s">
        <v>710</v>
      </c>
      <c r="K1738" s="1" t="s">
        <v>710</v>
      </c>
      <c r="N1738" s="1" t="s">
        <v>647</v>
      </c>
      <c r="O1738" s="1">
        <v>1200.0</v>
      </c>
      <c r="P1738" s="1" t="s">
        <v>647</v>
      </c>
      <c r="Q1738" s="1" t="str">
        <f>IF(ISERROR(VLOOKUP(P1738,'unique fed agency names'!A:C,3,FALSE)),P1738,VLOOKUP(P1738,'unique fed agency names'!A:C,3,FALSE))
</f>
        <v>U.S. Department of Agriculture (USDA)</v>
      </c>
      <c r="R1738" s="1">
        <v>7.8515458E7</v>
      </c>
      <c r="S1738" s="1" t="s">
        <v>3248</v>
      </c>
      <c r="T1738" s="1" t="str">
        <f>IF(ISERROR(VLOOKUP(S1738,'unique org names'!A:C,3,FALSE)),S1738,VLOOKUP(S1738,'unique org names'!A:C,3,FALSE))
</f>
        <v>ANGEL FULLER</v>
      </c>
      <c r="U1738" s="1" t="s">
        <v>3249</v>
      </c>
      <c r="V1738" s="1" t="s">
        <v>3250</v>
      </c>
      <c r="W1738" s="1" t="s">
        <v>44</v>
      </c>
      <c r="X1738" s="1" t="s">
        <v>45</v>
      </c>
      <c r="Y1738" s="1">
        <v>4.82351933E8</v>
      </c>
      <c r="AA1738" s="1" t="s">
        <v>44</v>
      </c>
      <c r="AB1738" s="1" t="s">
        <v>45</v>
      </c>
      <c r="AC1738" s="1">
        <v>4.82351933E8</v>
      </c>
      <c r="AF1738" s="1">
        <v>28225.72</v>
      </c>
      <c r="AG1738" s="2">
        <v>41557.0</v>
      </c>
      <c r="AH1738" s="1">
        <v>1200.0</v>
      </c>
      <c r="AI1738" s="1" t="s">
        <v>647</v>
      </c>
      <c r="AJ1738" s="1" t="s">
        <v>3251</v>
      </c>
      <c r="AK1738" s="1" t="s">
        <v>712</v>
      </c>
      <c r="AL1738" s="1">
        <v>1.0</v>
      </c>
      <c r="AM1738" s="1">
        <v>2015.0</v>
      </c>
      <c r="AN1738" s="1">
        <v>2014.0</v>
      </c>
      <c r="AO1738" s="1" t="s">
        <v>713</v>
      </c>
    </row>
    <row r="1739">
      <c r="A1739" s="5">
        <v>1.0</v>
      </c>
      <c r="B1739" s="1">
        <f t="shared" si="1"/>
        <v>1739</v>
      </c>
      <c r="C1739" s="1" t="s">
        <v>3048</v>
      </c>
      <c r="D1739" s="1" t="s">
        <v>3048</v>
      </c>
      <c r="E1739" s="1" t="s">
        <v>645</v>
      </c>
      <c r="G1739" s="1">
        <v>4.58254144E8</v>
      </c>
      <c r="H1739" s="2">
        <v>41564.0</v>
      </c>
      <c r="I1739" s="1" t="s">
        <v>710</v>
      </c>
      <c r="K1739" s="1" t="s">
        <v>710</v>
      </c>
      <c r="N1739" s="1" t="s">
        <v>647</v>
      </c>
      <c r="O1739" s="1">
        <v>1200.0</v>
      </c>
      <c r="P1739" s="1" t="s">
        <v>647</v>
      </c>
      <c r="Q1739" s="1" t="str">
        <f>IF(ISERROR(VLOOKUP(P1739,'unique fed agency names'!A:C,3,FALSE)),P1739,VLOOKUP(P1739,'unique fed agency names'!A:C,3,FALSE))
</f>
        <v>U.S. Department of Agriculture (USDA)</v>
      </c>
      <c r="R1739" s="1">
        <v>1.6388758E7</v>
      </c>
      <c r="S1739" s="1" t="s">
        <v>3139</v>
      </c>
      <c r="T1739" s="1" t="str">
        <f>IF(ISERROR(VLOOKUP(S1739,'unique org names'!A:C,3,FALSE)),S1739,VLOOKUP(S1739,'unique org names'!A:C,3,FALSE))
</f>
        <v>CALUMET CENTER</v>
      </c>
      <c r="U1739" s="1" t="s">
        <v>3140</v>
      </c>
      <c r="V1739" s="1" t="s">
        <v>281</v>
      </c>
      <c r="W1739" s="1" t="s">
        <v>44</v>
      </c>
      <c r="X1739" s="1" t="s">
        <v>45</v>
      </c>
      <c r="Y1739" s="1">
        <v>4.82033277E8</v>
      </c>
      <c r="AA1739" s="1" t="s">
        <v>603</v>
      </c>
      <c r="AB1739" s="1" t="s">
        <v>45</v>
      </c>
      <c r="AC1739" s="1">
        <v>4.82033277E8</v>
      </c>
      <c r="AF1739" s="1">
        <v>148957.55</v>
      </c>
      <c r="AG1739" s="2">
        <v>41564.0</v>
      </c>
      <c r="AH1739" s="1">
        <v>1200.0</v>
      </c>
      <c r="AI1739" s="1" t="s">
        <v>647</v>
      </c>
      <c r="AJ1739" s="1" t="s">
        <v>3252</v>
      </c>
      <c r="AK1739" s="1" t="s">
        <v>712</v>
      </c>
      <c r="AL1739" s="1">
        <v>1.0</v>
      </c>
      <c r="AM1739" s="1">
        <v>2015.0</v>
      </c>
      <c r="AN1739" s="1">
        <v>2014.0</v>
      </c>
      <c r="AO1739" s="1" t="s">
        <v>713</v>
      </c>
    </row>
    <row r="1740">
      <c r="A1740" s="5">
        <v>1.0</v>
      </c>
      <c r="B1740" s="1">
        <f t="shared" si="1"/>
        <v>1740</v>
      </c>
      <c r="C1740" s="1" t="s">
        <v>3048</v>
      </c>
      <c r="D1740" s="1" t="s">
        <v>3048</v>
      </c>
      <c r="E1740" s="1" t="s">
        <v>645</v>
      </c>
      <c r="G1740" s="1">
        <v>4.58254144E8</v>
      </c>
      <c r="H1740" s="2">
        <v>41683.0</v>
      </c>
      <c r="I1740" s="1" t="s">
        <v>710</v>
      </c>
      <c r="K1740" s="1" t="s">
        <v>710</v>
      </c>
      <c r="N1740" s="1" t="s">
        <v>647</v>
      </c>
      <c r="O1740" s="1">
        <v>1200.0</v>
      </c>
      <c r="P1740" s="1" t="s">
        <v>647</v>
      </c>
      <c r="Q1740" s="1" t="str">
        <f>IF(ISERROR(VLOOKUP(P1740,'unique fed agency names'!A:C,3,FALSE)),P1740,VLOOKUP(P1740,'unique fed agency names'!A:C,3,FALSE))
</f>
        <v>U.S. Department of Agriculture (USDA)</v>
      </c>
      <c r="R1740" s="1">
        <v>8.4297738E7</v>
      </c>
      <c r="S1740" s="1" t="s">
        <v>3091</v>
      </c>
      <c r="T1740" s="1" t="str">
        <f>IF(ISERROR(VLOOKUP(S1740,'unique org names'!A:C,3,FALSE)),S1740,VLOOKUP(S1740,'unique org names'!A:C,3,FALSE))
</f>
        <v>Gleaners Community Food Bank, Inc</v>
      </c>
      <c r="U1740" s="1" t="s">
        <v>3092</v>
      </c>
      <c r="V1740" s="1" t="s">
        <v>3093</v>
      </c>
      <c r="W1740" s="1" t="s">
        <v>44</v>
      </c>
      <c r="X1740" s="1" t="s">
        <v>45</v>
      </c>
      <c r="Y1740" s="1">
        <v>4.8207341E8</v>
      </c>
      <c r="AA1740" s="1" t="s">
        <v>44</v>
      </c>
      <c r="AB1740" s="1" t="s">
        <v>45</v>
      </c>
      <c r="AC1740" s="1">
        <v>4.8207341E8</v>
      </c>
      <c r="AD1740" s="1">
        <v>8.4297738E7</v>
      </c>
      <c r="AE1740" s="1" t="s">
        <v>3091</v>
      </c>
      <c r="AF1740" s="1">
        <v>41489.93</v>
      </c>
      <c r="AG1740" s="2">
        <v>41683.0</v>
      </c>
      <c r="AH1740" s="1">
        <v>1200.0</v>
      </c>
      <c r="AI1740" s="1" t="s">
        <v>647</v>
      </c>
      <c r="AJ1740" s="1" t="s">
        <v>3253</v>
      </c>
      <c r="AK1740" s="1" t="s">
        <v>712</v>
      </c>
      <c r="AL1740" s="1">
        <v>1.0</v>
      </c>
      <c r="AM1740" s="1">
        <v>2015.0</v>
      </c>
      <c r="AN1740" s="1">
        <v>2014.0</v>
      </c>
      <c r="AO1740" s="1" t="s">
        <v>713</v>
      </c>
    </row>
    <row r="1741">
      <c r="A1741" s="5">
        <v>1.0</v>
      </c>
      <c r="B1741" s="1">
        <f t="shared" si="1"/>
        <v>1741</v>
      </c>
      <c r="C1741" s="1" t="s">
        <v>3048</v>
      </c>
      <c r="D1741" s="1" t="s">
        <v>3048</v>
      </c>
      <c r="E1741" s="1" t="s">
        <v>645</v>
      </c>
      <c r="G1741" s="1">
        <v>4.58254144E8</v>
      </c>
      <c r="H1741" s="2">
        <v>41571.0</v>
      </c>
      <c r="I1741" s="1" t="s">
        <v>710</v>
      </c>
      <c r="K1741" s="1" t="s">
        <v>710</v>
      </c>
      <c r="N1741" s="1" t="s">
        <v>647</v>
      </c>
      <c r="O1741" s="1">
        <v>1200.0</v>
      </c>
      <c r="P1741" s="1" t="s">
        <v>647</v>
      </c>
      <c r="Q1741" s="1" t="str">
        <f>IF(ISERROR(VLOOKUP(P1741,'unique fed agency names'!A:C,3,FALSE)),P1741,VLOOKUP(P1741,'unique fed agency names'!A:C,3,FALSE))
</f>
        <v>U.S. Department of Agriculture (USDA)</v>
      </c>
      <c r="R1741" s="1">
        <v>1.98438892E8</v>
      </c>
      <c r="S1741" s="1" t="s">
        <v>505</v>
      </c>
      <c r="T1741" s="1" t="str">
        <f>IF(ISERROR(VLOOKUP(S1741,'unique org names'!A:C,3,FALSE)),S1741,VLOOKUP(S1741,'unique org names'!A:C,3,FALSE))
</f>
        <v>HANLEY INTERNATIONAL ACADEMY, INC</v>
      </c>
      <c r="V1741" s="1" t="s">
        <v>506</v>
      </c>
      <c r="W1741" s="1" t="s">
        <v>44</v>
      </c>
      <c r="X1741" s="1" t="s">
        <v>45</v>
      </c>
      <c r="Y1741" s="1">
        <v>4.82123572E8</v>
      </c>
      <c r="AA1741" s="1" t="s">
        <v>498</v>
      </c>
      <c r="AB1741" s="1" t="s">
        <v>45</v>
      </c>
      <c r="AC1741" s="1">
        <v>4.82123572E8</v>
      </c>
      <c r="AD1741" s="1">
        <v>1.98438892E8</v>
      </c>
      <c r="AE1741" s="1" t="s">
        <v>505</v>
      </c>
      <c r="AF1741" s="1">
        <v>291055.87</v>
      </c>
      <c r="AG1741" s="2">
        <v>41571.0</v>
      </c>
      <c r="AH1741" s="1">
        <v>1200.0</v>
      </c>
      <c r="AI1741" s="1" t="s">
        <v>647</v>
      </c>
      <c r="AJ1741" s="1" t="s">
        <v>3254</v>
      </c>
      <c r="AK1741" s="1" t="s">
        <v>712</v>
      </c>
      <c r="AL1741" s="1">
        <v>1.0</v>
      </c>
      <c r="AM1741" s="1">
        <v>2015.0</v>
      </c>
      <c r="AN1741" s="1">
        <v>2014.0</v>
      </c>
      <c r="AO1741" s="1" t="s">
        <v>713</v>
      </c>
    </row>
    <row r="1742">
      <c r="A1742" s="5">
        <v>1.0</v>
      </c>
      <c r="B1742" s="1">
        <f t="shared" si="1"/>
        <v>1742</v>
      </c>
      <c r="C1742" s="1" t="s">
        <v>3048</v>
      </c>
      <c r="D1742" s="1" t="s">
        <v>3048</v>
      </c>
      <c r="E1742" s="1" t="s">
        <v>645</v>
      </c>
      <c r="G1742" s="1">
        <v>4.58254144E8</v>
      </c>
      <c r="H1742" s="2">
        <v>41557.0</v>
      </c>
      <c r="I1742" s="1" t="s">
        <v>710</v>
      </c>
      <c r="K1742" s="1" t="s">
        <v>710</v>
      </c>
      <c r="N1742" s="1" t="s">
        <v>647</v>
      </c>
      <c r="O1742" s="1">
        <v>1200.0</v>
      </c>
      <c r="P1742" s="1" t="s">
        <v>647</v>
      </c>
      <c r="Q1742" s="1" t="str">
        <f>IF(ISERROR(VLOOKUP(P1742,'unique fed agency names'!A:C,3,FALSE)),P1742,VLOOKUP(P1742,'unique fed agency names'!A:C,3,FALSE))
</f>
        <v>U.S. Department of Agriculture (USDA)</v>
      </c>
      <c r="R1742" s="1">
        <v>1.38064923E8</v>
      </c>
      <c r="S1742" s="1" t="s">
        <v>585</v>
      </c>
      <c r="T1742" s="1" t="str">
        <f>IF(ISERROR(VLOOKUP(S1742,'unique org names'!A:C,3,FALSE)),S1742,VLOOKUP(S1742,'unique org names'!A:C,3,FALSE))
</f>
        <v>DETROIT MERIT CHARTER ACADEMY</v>
      </c>
      <c r="V1742" s="1" t="s">
        <v>586</v>
      </c>
      <c r="W1742" s="1" t="s">
        <v>44</v>
      </c>
      <c r="X1742" s="1" t="s">
        <v>45</v>
      </c>
      <c r="Y1742" s="1">
        <v>4.82152861E8</v>
      </c>
      <c r="AA1742" s="1" t="s">
        <v>44</v>
      </c>
      <c r="AB1742" s="1" t="s">
        <v>45</v>
      </c>
      <c r="AC1742" s="1">
        <v>4.82152861E8</v>
      </c>
      <c r="AD1742" s="1">
        <v>9.60742484E8</v>
      </c>
      <c r="AF1742" s="1">
        <v>225448.35</v>
      </c>
      <c r="AG1742" s="2">
        <v>41557.0</v>
      </c>
      <c r="AH1742" s="1">
        <v>1200.0</v>
      </c>
      <c r="AI1742" s="1" t="s">
        <v>647</v>
      </c>
      <c r="AJ1742" s="1" t="s">
        <v>3255</v>
      </c>
      <c r="AK1742" s="1" t="s">
        <v>712</v>
      </c>
      <c r="AL1742" s="1">
        <v>1.0</v>
      </c>
      <c r="AM1742" s="1">
        <v>2015.0</v>
      </c>
      <c r="AN1742" s="1">
        <v>2014.0</v>
      </c>
      <c r="AO1742" s="1" t="s">
        <v>713</v>
      </c>
    </row>
    <row r="1743">
      <c r="A1743" s="5">
        <v>1.0</v>
      </c>
      <c r="B1743" s="1">
        <f t="shared" si="1"/>
        <v>1743</v>
      </c>
      <c r="C1743" s="1" t="s">
        <v>3048</v>
      </c>
      <c r="D1743" s="1" t="s">
        <v>3048</v>
      </c>
      <c r="E1743" s="1" t="s">
        <v>645</v>
      </c>
      <c r="G1743" s="1">
        <v>4.58254144E8</v>
      </c>
      <c r="H1743" s="2">
        <v>41487.0</v>
      </c>
      <c r="I1743" s="1" t="s">
        <v>710</v>
      </c>
      <c r="K1743" s="1" t="s">
        <v>710</v>
      </c>
      <c r="N1743" s="1" t="s">
        <v>647</v>
      </c>
      <c r="O1743" s="1">
        <v>1200.0</v>
      </c>
      <c r="P1743" s="1" t="s">
        <v>647</v>
      </c>
      <c r="Q1743" s="1" t="str">
        <f>IF(ISERROR(VLOOKUP(P1743,'unique fed agency names'!A:C,3,FALSE)),P1743,VLOOKUP(P1743,'unique fed agency names'!A:C,3,FALSE))
</f>
        <v>U.S. Department of Agriculture (USDA)</v>
      </c>
      <c r="R1743" s="1">
        <v>3790107.0</v>
      </c>
      <c r="S1743" s="1" t="s">
        <v>576</v>
      </c>
      <c r="T1743" s="1" t="str">
        <f>IF(ISERROR(VLOOKUP(S1743,'unique org names'!A:C,3,FALSE)),S1743,VLOOKUP(S1743,'unique org names'!A:C,3,FALSE))
</f>
        <v>MARVIN L. WINANS ACADEMY OF PERFORMING ARTS</v>
      </c>
      <c r="V1743" s="1" t="s">
        <v>577</v>
      </c>
      <c r="W1743" s="1" t="s">
        <v>44</v>
      </c>
      <c r="X1743" s="1" t="s">
        <v>45</v>
      </c>
      <c r="Y1743" s="1">
        <v>4.82343284E8</v>
      </c>
      <c r="AA1743" s="1" t="s">
        <v>44</v>
      </c>
      <c r="AB1743" s="1" t="s">
        <v>45</v>
      </c>
      <c r="AC1743" s="1">
        <v>4.82343284E8</v>
      </c>
      <c r="AF1743" s="1">
        <v>313229.02</v>
      </c>
      <c r="AG1743" s="2">
        <v>41487.0</v>
      </c>
      <c r="AH1743" s="1">
        <v>1200.0</v>
      </c>
      <c r="AI1743" s="1" t="s">
        <v>647</v>
      </c>
      <c r="AJ1743" s="1" t="s">
        <v>3256</v>
      </c>
      <c r="AK1743" s="1" t="s">
        <v>712</v>
      </c>
      <c r="AL1743" s="1">
        <v>1.0</v>
      </c>
      <c r="AM1743" s="1">
        <v>2015.0</v>
      </c>
      <c r="AN1743" s="1">
        <v>2013.0</v>
      </c>
      <c r="AO1743" s="1" t="s">
        <v>713</v>
      </c>
    </row>
    <row r="1744">
      <c r="A1744" s="5">
        <v>1.0</v>
      </c>
      <c r="B1744" s="1">
        <f t="shared" si="1"/>
        <v>1744</v>
      </c>
      <c r="C1744" s="1" t="s">
        <v>3048</v>
      </c>
      <c r="D1744" s="1" t="s">
        <v>3048</v>
      </c>
      <c r="E1744" s="1" t="s">
        <v>645</v>
      </c>
      <c r="G1744" s="1">
        <v>4.58254144E8</v>
      </c>
      <c r="H1744" s="2">
        <v>41571.0</v>
      </c>
      <c r="I1744" s="1" t="s">
        <v>710</v>
      </c>
      <c r="K1744" s="1" t="s">
        <v>710</v>
      </c>
      <c r="N1744" s="1" t="s">
        <v>647</v>
      </c>
      <c r="O1744" s="1">
        <v>1200.0</v>
      </c>
      <c r="P1744" s="1" t="s">
        <v>647</v>
      </c>
      <c r="Q1744" s="1" t="str">
        <f>IF(ISERROR(VLOOKUP(P1744,'unique fed agency names'!A:C,3,FALSE)),P1744,VLOOKUP(P1744,'unique fed agency names'!A:C,3,FALSE))
</f>
        <v>U.S. Department of Agriculture (USDA)</v>
      </c>
      <c r="R1744" s="1">
        <v>1.6752507E8</v>
      </c>
      <c r="S1744" s="1" t="s">
        <v>2352</v>
      </c>
      <c r="T1744" s="1" t="str">
        <f>IF(ISERROR(VLOOKUP(S1744,'unique org names'!A:C,3,FALSE)),S1744,VLOOKUP(S1744,'unique org names'!A:C,3,FALSE))
</f>
        <v>Cass Community Social Services, Inc</v>
      </c>
      <c r="V1744" s="1" t="s">
        <v>2353</v>
      </c>
      <c r="W1744" s="1" t="s">
        <v>44</v>
      </c>
      <c r="X1744" s="1" t="s">
        <v>45</v>
      </c>
      <c r="Y1744" s="1">
        <v>4.82061351E8</v>
      </c>
      <c r="AA1744" s="1" t="s">
        <v>46</v>
      </c>
      <c r="AB1744" s="1" t="s">
        <v>45</v>
      </c>
      <c r="AC1744" s="1">
        <v>4.82061351E8</v>
      </c>
      <c r="AD1744" s="1">
        <v>1.6752507E8</v>
      </c>
      <c r="AE1744" s="1" t="s">
        <v>2352</v>
      </c>
      <c r="AF1744" s="1">
        <v>30066.54</v>
      </c>
      <c r="AG1744" s="2">
        <v>41571.0</v>
      </c>
      <c r="AH1744" s="1">
        <v>1200.0</v>
      </c>
      <c r="AI1744" s="1" t="s">
        <v>647</v>
      </c>
      <c r="AJ1744" s="1" t="s">
        <v>3257</v>
      </c>
      <c r="AK1744" s="1" t="s">
        <v>712</v>
      </c>
      <c r="AL1744" s="1">
        <v>1.0</v>
      </c>
      <c r="AM1744" s="1">
        <v>2015.0</v>
      </c>
      <c r="AN1744" s="1">
        <v>2014.0</v>
      </c>
      <c r="AO1744" s="1" t="s">
        <v>713</v>
      </c>
    </row>
    <row r="1745">
      <c r="A1745" s="5">
        <v>1.0</v>
      </c>
      <c r="B1745" s="1">
        <f t="shared" si="1"/>
        <v>1745</v>
      </c>
      <c r="C1745" s="1" t="s">
        <v>3048</v>
      </c>
      <c r="D1745" s="1" t="s">
        <v>3048</v>
      </c>
      <c r="E1745" s="1" t="s">
        <v>645</v>
      </c>
      <c r="G1745" s="1">
        <v>4.58254144E8</v>
      </c>
      <c r="H1745" s="2">
        <v>41564.0</v>
      </c>
      <c r="I1745" s="1" t="s">
        <v>710</v>
      </c>
      <c r="K1745" s="1" t="s">
        <v>710</v>
      </c>
      <c r="N1745" s="1" t="s">
        <v>647</v>
      </c>
      <c r="O1745" s="1">
        <v>1200.0</v>
      </c>
      <c r="P1745" s="1" t="s">
        <v>647</v>
      </c>
      <c r="Q1745" s="1" t="str">
        <f>IF(ISERROR(VLOOKUP(P1745,'unique fed agency names'!A:C,3,FALSE)),P1745,VLOOKUP(P1745,'unique fed agency names'!A:C,3,FALSE))
</f>
        <v>U.S. Department of Agriculture (USDA)</v>
      </c>
      <c r="R1745" s="1">
        <v>5.1205881E7</v>
      </c>
      <c r="S1745" s="1" t="s">
        <v>3258</v>
      </c>
      <c r="T1745" s="1" t="str">
        <f>IF(ISERROR(VLOOKUP(S1745,'unique org names'!A:C,3,FALSE)),S1745,VLOOKUP(S1745,'unique org names'!A:C,3,FALSE))
</f>
        <v>Angels Praying Child Cre</v>
      </c>
      <c r="V1745" s="1" t="s">
        <v>3259</v>
      </c>
      <c r="W1745" s="1" t="s">
        <v>44</v>
      </c>
      <c r="X1745" s="1" t="s">
        <v>45</v>
      </c>
      <c r="Y1745" s="1">
        <v>4.82193265E8</v>
      </c>
      <c r="AA1745" s="1" t="s">
        <v>44</v>
      </c>
      <c r="AB1745" s="1" t="s">
        <v>45</v>
      </c>
      <c r="AC1745" s="1">
        <v>4.82193265E8</v>
      </c>
      <c r="AF1745" s="1">
        <v>39787.54</v>
      </c>
      <c r="AG1745" s="2">
        <v>41564.0</v>
      </c>
      <c r="AH1745" s="1">
        <v>1200.0</v>
      </c>
      <c r="AI1745" s="1" t="s">
        <v>647</v>
      </c>
      <c r="AJ1745" s="1" t="s">
        <v>3260</v>
      </c>
      <c r="AK1745" s="1" t="s">
        <v>712</v>
      </c>
      <c r="AL1745" s="1">
        <v>1.0</v>
      </c>
      <c r="AM1745" s="1">
        <v>2015.0</v>
      </c>
      <c r="AN1745" s="1">
        <v>2014.0</v>
      </c>
      <c r="AO1745" s="1" t="s">
        <v>713</v>
      </c>
    </row>
    <row r="1746">
      <c r="A1746" s="5">
        <v>1.0</v>
      </c>
      <c r="B1746" s="1">
        <f t="shared" si="1"/>
        <v>1746</v>
      </c>
      <c r="C1746" s="1" t="s">
        <v>3048</v>
      </c>
      <c r="D1746" s="1" t="s">
        <v>3048</v>
      </c>
      <c r="E1746" s="1" t="s">
        <v>645</v>
      </c>
      <c r="G1746" s="1">
        <v>4.58254144E8</v>
      </c>
      <c r="H1746" s="2">
        <v>41564.0</v>
      </c>
      <c r="I1746" s="1" t="s">
        <v>710</v>
      </c>
      <c r="K1746" s="1" t="s">
        <v>710</v>
      </c>
      <c r="N1746" s="1" t="s">
        <v>647</v>
      </c>
      <c r="O1746" s="1">
        <v>1200.0</v>
      </c>
      <c r="P1746" s="1" t="s">
        <v>647</v>
      </c>
      <c r="Q1746" s="1" t="str">
        <f>IF(ISERROR(VLOOKUP(P1746,'unique fed agency names'!A:C,3,FALSE)),P1746,VLOOKUP(P1746,'unique fed agency names'!A:C,3,FALSE))
</f>
        <v>U.S. Department of Agriculture (USDA)</v>
      </c>
      <c r="R1746" s="1">
        <v>9.0912429E7</v>
      </c>
      <c r="S1746" s="1" t="s">
        <v>521</v>
      </c>
      <c r="T1746" s="1" t="str">
        <f>IF(ISERROR(VLOOKUP(S1746,'unique org names'!A:C,3,FALSE)),S1746,VLOOKUP(S1746,'unique org names'!A:C,3,FALSE))
</f>
        <v>DETROIT COMMUNITY SCHOOLS</v>
      </c>
      <c r="V1746" s="1" t="s">
        <v>522</v>
      </c>
      <c r="W1746" s="1" t="s">
        <v>44</v>
      </c>
      <c r="X1746" s="1" t="s">
        <v>45</v>
      </c>
      <c r="Y1746" s="1">
        <v>4.82233314E8</v>
      </c>
      <c r="AA1746" s="1" t="s">
        <v>44</v>
      </c>
      <c r="AB1746" s="1" t="s">
        <v>45</v>
      </c>
      <c r="AC1746" s="1">
        <v>4.82233314E8</v>
      </c>
      <c r="AF1746" s="1">
        <v>88662.95</v>
      </c>
      <c r="AG1746" s="2">
        <v>41564.0</v>
      </c>
      <c r="AH1746" s="1">
        <v>1200.0</v>
      </c>
      <c r="AI1746" s="1" t="s">
        <v>647</v>
      </c>
      <c r="AJ1746" s="1" t="s">
        <v>3261</v>
      </c>
      <c r="AK1746" s="1" t="s">
        <v>712</v>
      </c>
      <c r="AL1746" s="1">
        <v>1.0</v>
      </c>
      <c r="AM1746" s="1">
        <v>2015.0</v>
      </c>
      <c r="AN1746" s="1">
        <v>2014.0</v>
      </c>
      <c r="AO1746" s="1" t="s">
        <v>713</v>
      </c>
    </row>
    <row r="1747">
      <c r="A1747" s="5">
        <v>1.0</v>
      </c>
      <c r="B1747" s="1">
        <f t="shared" si="1"/>
        <v>1747</v>
      </c>
      <c r="C1747" s="1" t="s">
        <v>3048</v>
      </c>
      <c r="D1747" s="1" t="s">
        <v>3048</v>
      </c>
      <c r="E1747" s="1" t="s">
        <v>645</v>
      </c>
      <c r="G1747" s="1">
        <v>4.58254144E8</v>
      </c>
      <c r="H1747" s="2">
        <v>41585.0</v>
      </c>
      <c r="I1747" s="1" t="s">
        <v>710</v>
      </c>
      <c r="K1747" s="1" t="s">
        <v>710</v>
      </c>
      <c r="N1747" s="1" t="s">
        <v>647</v>
      </c>
      <c r="O1747" s="1">
        <v>1200.0</v>
      </c>
      <c r="P1747" s="1" t="s">
        <v>647</v>
      </c>
      <c r="Q1747" s="1" t="str">
        <f>IF(ISERROR(VLOOKUP(P1747,'unique fed agency names'!A:C,3,FALSE)),P1747,VLOOKUP(P1747,'unique fed agency names'!A:C,3,FALSE))
</f>
        <v>U.S. Department of Agriculture (USDA)</v>
      </c>
      <c r="R1747" s="1">
        <v>9.63121426E8</v>
      </c>
      <c r="S1747" s="1" t="s">
        <v>490</v>
      </c>
      <c r="T1747" s="1" t="str">
        <f>IF(ISERROR(VLOOKUP(S1747,'unique org names'!A:C,3,FALSE)),S1747,VLOOKUP(S1747,'unique org names'!A:C,3,FALSE))
</f>
        <v>DETROIT LEADERSHIP ACADEMY</v>
      </c>
      <c r="V1747" s="1" t="s">
        <v>491</v>
      </c>
      <c r="W1747" s="1" t="s">
        <v>44</v>
      </c>
      <c r="X1747" s="1" t="s">
        <v>45</v>
      </c>
      <c r="Y1747" s="1">
        <v>4.82233051E8</v>
      </c>
      <c r="AA1747" s="1" t="s">
        <v>46</v>
      </c>
      <c r="AB1747" s="1" t="s">
        <v>45</v>
      </c>
      <c r="AC1747" s="1">
        <v>4.82233051E8</v>
      </c>
      <c r="AF1747" s="1">
        <v>106320.4</v>
      </c>
      <c r="AG1747" s="2">
        <v>41585.0</v>
      </c>
      <c r="AH1747" s="1">
        <v>1200.0</v>
      </c>
      <c r="AI1747" s="1" t="s">
        <v>647</v>
      </c>
      <c r="AJ1747" s="1" t="s">
        <v>3262</v>
      </c>
      <c r="AK1747" s="1" t="s">
        <v>712</v>
      </c>
      <c r="AL1747" s="1">
        <v>1.0</v>
      </c>
      <c r="AM1747" s="1">
        <v>2015.0</v>
      </c>
      <c r="AN1747" s="1">
        <v>2014.0</v>
      </c>
      <c r="AO1747" s="1" t="s">
        <v>713</v>
      </c>
    </row>
    <row r="1748">
      <c r="A1748" s="5">
        <v>1.0</v>
      </c>
      <c r="B1748" s="1">
        <f t="shared" si="1"/>
        <v>1748</v>
      </c>
      <c r="C1748" s="1" t="s">
        <v>3048</v>
      </c>
      <c r="D1748" s="1" t="s">
        <v>3048</v>
      </c>
      <c r="E1748" s="1" t="s">
        <v>645</v>
      </c>
      <c r="G1748" s="1">
        <v>4.58254144E8</v>
      </c>
      <c r="H1748" s="2">
        <v>41564.0</v>
      </c>
      <c r="I1748" s="1" t="s">
        <v>710</v>
      </c>
      <c r="K1748" s="1" t="s">
        <v>710</v>
      </c>
      <c r="N1748" s="1" t="s">
        <v>647</v>
      </c>
      <c r="O1748" s="1">
        <v>1200.0</v>
      </c>
      <c r="P1748" s="1" t="s">
        <v>647</v>
      </c>
      <c r="Q1748" s="1" t="str">
        <f>IF(ISERROR(VLOOKUP(P1748,'unique fed agency names'!A:C,3,FALSE)),P1748,VLOOKUP(P1748,'unique fed agency names'!A:C,3,FALSE))
</f>
        <v>U.S. Department of Agriculture (USDA)</v>
      </c>
      <c r="R1748" s="1">
        <v>8.29630537E8</v>
      </c>
      <c r="S1748" s="1" t="s">
        <v>531</v>
      </c>
      <c r="T1748" s="1" t="str">
        <f>IF(ISERROR(VLOOKUP(S1748,'unique org names'!A:C,3,FALSE)),S1748,VLOOKUP(S1748,'unique org names'!A:C,3,FALSE))
</f>
        <v>DETROIT SERVICE LEARNING ACADEMY</v>
      </c>
      <c r="U1748" s="1" t="s">
        <v>532</v>
      </c>
      <c r="V1748" s="1" t="s">
        <v>533</v>
      </c>
      <c r="W1748" s="1" t="s">
        <v>44</v>
      </c>
      <c r="X1748" s="1" t="s">
        <v>45</v>
      </c>
      <c r="Y1748" s="1">
        <v>4.8219181E8</v>
      </c>
      <c r="AA1748" s="1" t="s">
        <v>44</v>
      </c>
      <c r="AB1748" s="1" t="s">
        <v>45</v>
      </c>
      <c r="AC1748" s="1">
        <v>4.8219181E8</v>
      </c>
      <c r="AF1748" s="1">
        <v>347757.01</v>
      </c>
      <c r="AG1748" s="2">
        <v>41564.0</v>
      </c>
      <c r="AH1748" s="1">
        <v>1200.0</v>
      </c>
      <c r="AI1748" s="1" t="s">
        <v>647</v>
      </c>
      <c r="AJ1748" s="1" t="s">
        <v>3263</v>
      </c>
      <c r="AK1748" s="1" t="s">
        <v>712</v>
      </c>
      <c r="AL1748" s="1">
        <v>1.0</v>
      </c>
      <c r="AM1748" s="1">
        <v>2015.0</v>
      </c>
      <c r="AN1748" s="1">
        <v>2014.0</v>
      </c>
      <c r="AO1748" s="1" t="s">
        <v>713</v>
      </c>
    </row>
    <row r="1749">
      <c r="A1749" s="5">
        <v>1.0</v>
      </c>
      <c r="B1749" s="1">
        <f t="shared" si="1"/>
        <v>1749</v>
      </c>
      <c r="C1749" s="1" t="s">
        <v>3048</v>
      </c>
      <c r="D1749" s="1" t="s">
        <v>3048</v>
      </c>
      <c r="E1749" s="1" t="s">
        <v>645</v>
      </c>
      <c r="G1749" s="1">
        <v>4.58254144E8</v>
      </c>
      <c r="H1749" s="2">
        <v>41557.0</v>
      </c>
      <c r="I1749" s="1" t="s">
        <v>710</v>
      </c>
      <c r="K1749" s="1" t="s">
        <v>710</v>
      </c>
      <c r="N1749" s="1" t="s">
        <v>647</v>
      </c>
      <c r="O1749" s="1">
        <v>1200.0</v>
      </c>
      <c r="P1749" s="1" t="s">
        <v>647</v>
      </c>
      <c r="Q1749" s="1" t="str">
        <f>IF(ISERROR(VLOOKUP(P1749,'unique fed agency names'!A:C,3,FALSE)),P1749,VLOOKUP(P1749,'unique fed agency names'!A:C,3,FALSE))
</f>
        <v>U.S. Department of Agriculture (USDA)</v>
      </c>
      <c r="R1749" s="1">
        <v>8.0463354E7</v>
      </c>
      <c r="S1749" s="1" t="s">
        <v>518</v>
      </c>
      <c r="T1749" s="1" t="str">
        <f>IF(ISERROR(VLOOKUP(S1749,'unique org names'!A:C,3,FALSE)),S1749,VLOOKUP(S1749,'unique org names'!A:C,3,FALSE))
</f>
        <v>UNIVERSAL ACADEMY</v>
      </c>
      <c r="V1749" s="1" t="s">
        <v>519</v>
      </c>
      <c r="W1749" s="1" t="s">
        <v>44</v>
      </c>
      <c r="X1749" s="1" t="s">
        <v>45</v>
      </c>
      <c r="Y1749" s="1">
        <v>4.82102105E8</v>
      </c>
      <c r="AA1749" s="1" t="s">
        <v>44</v>
      </c>
      <c r="AB1749" s="1" t="s">
        <v>45</v>
      </c>
      <c r="AC1749" s="1">
        <v>4.82102105E8</v>
      </c>
      <c r="AD1749" s="1">
        <v>8.0463354E7</v>
      </c>
      <c r="AE1749" s="1" t="s">
        <v>518</v>
      </c>
      <c r="AF1749" s="1">
        <v>60293.28</v>
      </c>
      <c r="AG1749" s="2">
        <v>41557.0</v>
      </c>
      <c r="AH1749" s="1">
        <v>1200.0</v>
      </c>
      <c r="AI1749" s="1" t="s">
        <v>647</v>
      </c>
      <c r="AJ1749" s="1" t="s">
        <v>3264</v>
      </c>
      <c r="AK1749" s="1" t="s">
        <v>712</v>
      </c>
      <c r="AL1749" s="1">
        <v>1.0</v>
      </c>
      <c r="AM1749" s="1">
        <v>2015.0</v>
      </c>
      <c r="AN1749" s="1">
        <v>2014.0</v>
      </c>
      <c r="AO1749" s="1" t="s">
        <v>713</v>
      </c>
    </row>
    <row r="1750">
      <c r="A1750" s="5">
        <v>1.0</v>
      </c>
      <c r="B1750" s="1">
        <f t="shared" si="1"/>
        <v>1750</v>
      </c>
      <c r="C1750" s="1" t="s">
        <v>3048</v>
      </c>
      <c r="D1750" s="1" t="s">
        <v>3048</v>
      </c>
      <c r="E1750" s="1" t="s">
        <v>645</v>
      </c>
      <c r="G1750" s="1">
        <v>4.58254144E8</v>
      </c>
      <c r="H1750" s="2">
        <v>41578.0</v>
      </c>
      <c r="I1750" s="1" t="s">
        <v>710</v>
      </c>
      <c r="K1750" s="1" t="s">
        <v>710</v>
      </c>
      <c r="N1750" s="1" t="s">
        <v>647</v>
      </c>
      <c r="O1750" s="1">
        <v>1200.0</v>
      </c>
      <c r="P1750" s="1" t="s">
        <v>647</v>
      </c>
      <c r="Q1750" s="1" t="str">
        <f>IF(ISERROR(VLOOKUP(P1750,'unique fed agency names'!A:C,3,FALSE)),P1750,VLOOKUP(P1750,'unique fed agency names'!A:C,3,FALSE))
</f>
        <v>U.S. Department of Agriculture (USDA)</v>
      </c>
      <c r="R1750" s="1">
        <v>9.65349769E8</v>
      </c>
      <c r="S1750" s="1" t="s">
        <v>465</v>
      </c>
      <c r="T1750" s="1" t="str">
        <f>IF(ISERROR(VLOOKUP(S1750,'unique org names'!A:C,3,FALSE)),S1750,VLOOKUP(S1750,'unique org names'!A:C,3,FALSE))
</f>
        <v>Public School Academies of Detroit</v>
      </c>
      <c r="U1750" s="1" t="s">
        <v>466</v>
      </c>
      <c r="V1750" s="1" t="s">
        <v>467</v>
      </c>
      <c r="W1750" s="1" t="s">
        <v>44</v>
      </c>
      <c r="X1750" s="1" t="s">
        <v>45</v>
      </c>
      <c r="Y1750" s="1">
        <v>4.8202322E8</v>
      </c>
      <c r="AA1750" s="1" t="s">
        <v>44</v>
      </c>
      <c r="AB1750" s="1" t="s">
        <v>45</v>
      </c>
      <c r="AC1750" s="1">
        <v>4.8202322E8</v>
      </c>
      <c r="AD1750" s="1">
        <v>1.6338926E8</v>
      </c>
      <c r="AE1750" s="1" t="s">
        <v>465</v>
      </c>
      <c r="AF1750" s="1">
        <v>31305.88</v>
      </c>
      <c r="AG1750" s="2">
        <v>41578.0</v>
      </c>
      <c r="AH1750" s="1">
        <v>1200.0</v>
      </c>
      <c r="AI1750" s="1" t="s">
        <v>647</v>
      </c>
      <c r="AJ1750" s="1" t="s">
        <v>3265</v>
      </c>
      <c r="AK1750" s="1" t="s">
        <v>712</v>
      </c>
      <c r="AL1750" s="1">
        <v>1.0</v>
      </c>
      <c r="AM1750" s="1">
        <v>2015.0</v>
      </c>
      <c r="AN1750" s="1">
        <v>2014.0</v>
      </c>
      <c r="AO1750" s="1" t="s">
        <v>713</v>
      </c>
    </row>
    <row r="1751">
      <c r="A1751" s="5">
        <v>1.0</v>
      </c>
      <c r="B1751" s="1">
        <f t="shared" si="1"/>
        <v>1751</v>
      </c>
      <c r="C1751" s="1" t="s">
        <v>3048</v>
      </c>
      <c r="D1751" s="1" t="s">
        <v>3048</v>
      </c>
      <c r="E1751" s="1" t="s">
        <v>645</v>
      </c>
      <c r="G1751" s="1">
        <v>4.58254144E8</v>
      </c>
      <c r="H1751" s="2">
        <v>41578.0</v>
      </c>
      <c r="I1751" s="1" t="s">
        <v>710</v>
      </c>
      <c r="K1751" s="1" t="s">
        <v>710</v>
      </c>
      <c r="N1751" s="1" t="s">
        <v>647</v>
      </c>
      <c r="O1751" s="1">
        <v>1200.0</v>
      </c>
      <c r="P1751" s="1" t="s">
        <v>647</v>
      </c>
      <c r="Q1751" s="1" t="str">
        <f>IF(ISERROR(VLOOKUP(P1751,'unique fed agency names'!A:C,3,FALSE)),P1751,VLOOKUP(P1751,'unique fed agency names'!A:C,3,FALSE))
</f>
        <v>U.S. Department of Agriculture (USDA)</v>
      </c>
      <c r="R1751" s="1">
        <v>8.29503312E8</v>
      </c>
      <c r="S1751" s="1" t="s">
        <v>622</v>
      </c>
      <c r="T1751" s="1" t="str">
        <f>IF(ISERROR(VLOOKUP(S1751,'unique org names'!A:C,3,FALSE)),S1751,VLOOKUP(S1751,'unique org names'!A:C,3,FALSE))
</f>
        <v>GEORGE WASHINGTON CARVER ACADEMY</v>
      </c>
      <c r="V1751" s="1" t="s">
        <v>623</v>
      </c>
      <c r="W1751" s="1" t="s">
        <v>44</v>
      </c>
      <c r="X1751" s="1" t="s">
        <v>45</v>
      </c>
      <c r="Y1751" s="1">
        <v>4.82035715E8</v>
      </c>
      <c r="AA1751" s="1" t="s">
        <v>603</v>
      </c>
      <c r="AB1751" s="1" t="s">
        <v>45</v>
      </c>
      <c r="AC1751" s="1">
        <v>4.82035715E8</v>
      </c>
      <c r="AF1751" s="1">
        <v>101729.51</v>
      </c>
      <c r="AG1751" s="2">
        <v>41578.0</v>
      </c>
      <c r="AH1751" s="1">
        <v>1200.0</v>
      </c>
      <c r="AI1751" s="1" t="s">
        <v>647</v>
      </c>
      <c r="AJ1751" s="1" t="s">
        <v>3266</v>
      </c>
      <c r="AK1751" s="1" t="s">
        <v>712</v>
      </c>
      <c r="AL1751" s="1">
        <v>1.0</v>
      </c>
      <c r="AM1751" s="1">
        <v>2015.0</v>
      </c>
      <c r="AN1751" s="1">
        <v>2014.0</v>
      </c>
      <c r="AO1751" s="1" t="s">
        <v>713</v>
      </c>
    </row>
    <row r="1752">
      <c r="A1752" s="5">
        <v>1.0</v>
      </c>
      <c r="B1752" s="1">
        <f t="shared" si="1"/>
        <v>1752</v>
      </c>
      <c r="C1752" s="1" t="s">
        <v>3048</v>
      </c>
      <c r="D1752" s="1" t="s">
        <v>3048</v>
      </c>
      <c r="E1752" s="1" t="s">
        <v>645</v>
      </c>
      <c r="G1752" s="1">
        <v>4.58254144E8</v>
      </c>
      <c r="H1752" s="2">
        <v>41557.0</v>
      </c>
      <c r="I1752" s="1" t="s">
        <v>710</v>
      </c>
      <c r="K1752" s="1" t="s">
        <v>710</v>
      </c>
      <c r="N1752" s="1" t="s">
        <v>647</v>
      </c>
      <c r="O1752" s="1">
        <v>1200.0</v>
      </c>
      <c r="P1752" s="1" t="s">
        <v>647</v>
      </c>
      <c r="Q1752" s="1" t="str">
        <f>IF(ISERROR(VLOOKUP(P1752,'unique fed agency names'!A:C,3,FALSE)),P1752,VLOOKUP(P1752,'unique fed agency names'!A:C,3,FALSE))
</f>
        <v>U.S. Department of Agriculture (USDA)</v>
      </c>
      <c r="R1752" s="1">
        <v>8.30792151E8</v>
      </c>
      <c r="S1752" s="1" t="s">
        <v>594</v>
      </c>
      <c r="T1752" s="1" t="str">
        <f>IF(ISERROR(VLOOKUP(S1752,'unique org names'!A:C,3,FALSE)),S1752,VLOOKUP(S1752,'unique org names'!A:C,3,FALSE))
</f>
        <v>FLAGSHIP CHARTER ACADEMY</v>
      </c>
      <c r="V1752" s="1" t="s">
        <v>596</v>
      </c>
      <c r="W1752" s="1" t="s">
        <v>44</v>
      </c>
      <c r="X1752" s="1" t="s">
        <v>45</v>
      </c>
      <c r="Y1752" s="1">
        <v>4.82382356E8</v>
      </c>
      <c r="AA1752" s="1" t="s">
        <v>44</v>
      </c>
      <c r="AB1752" s="1" t="s">
        <v>45</v>
      </c>
      <c r="AC1752" s="1">
        <v>4.82382356E8</v>
      </c>
      <c r="AD1752" s="1">
        <v>9.60742484E8</v>
      </c>
      <c r="AF1752" s="1">
        <v>249470.12</v>
      </c>
      <c r="AG1752" s="2">
        <v>41557.0</v>
      </c>
      <c r="AH1752" s="1">
        <v>1200.0</v>
      </c>
      <c r="AI1752" s="1" t="s">
        <v>647</v>
      </c>
      <c r="AJ1752" s="1" t="s">
        <v>3267</v>
      </c>
      <c r="AK1752" s="1" t="s">
        <v>712</v>
      </c>
      <c r="AL1752" s="1">
        <v>1.0</v>
      </c>
      <c r="AM1752" s="1">
        <v>2015.0</v>
      </c>
      <c r="AN1752" s="1">
        <v>2014.0</v>
      </c>
      <c r="AO1752" s="1" t="s">
        <v>713</v>
      </c>
    </row>
    <row r="1753">
      <c r="A1753" s="5">
        <v>1.0</v>
      </c>
      <c r="B1753" s="1">
        <f t="shared" si="1"/>
        <v>1753</v>
      </c>
      <c r="C1753" s="1" t="s">
        <v>3048</v>
      </c>
      <c r="D1753" s="1" t="s">
        <v>3048</v>
      </c>
      <c r="E1753" s="1" t="s">
        <v>645</v>
      </c>
      <c r="G1753" s="1">
        <v>4.58254144E8</v>
      </c>
      <c r="H1753" s="2">
        <v>41613.0</v>
      </c>
      <c r="I1753" s="1" t="s">
        <v>710</v>
      </c>
      <c r="K1753" s="1" t="s">
        <v>710</v>
      </c>
      <c r="N1753" s="1" t="s">
        <v>647</v>
      </c>
      <c r="O1753" s="1">
        <v>1200.0</v>
      </c>
      <c r="P1753" s="1" t="s">
        <v>647</v>
      </c>
      <c r="Q1753" s="1" t="str">
        <f>IF(ISERROR(VLOOKUP(P1753,'unique fed agency names'!A:C,3,FALSE)),P1753,VLOOKUP(P1753,'unique fed agency names'!A:C,3,FALSE))
</f>
        <v>U.S. Department of Agriculture (USDA)</v>
      </c>
      <c r="R1753" s="1">
        <v>1.96740885E8</v>
      </c>
      <c r="S1753" s="1" t="s">
        <v>797</v>
      </c>
      <c r="T1753" s="1" t="str">
        <f>IF(ISERROR(VLOOKUP(S1753,'unique org names'!A:C,3,FALSE)),S1753,VLOOKUP(S1753,'unique org names'!A:C,3,FALSE))
</f>
        <v>Kids Avenue Christian Learning Center</v>
      </c>
      <c r="V1753" s="1" t="s">
        <v>798</v>
      </c>
      <c r="W1753" s="1" t="s">
        <v>44</v>
      </c>
      <c r="X1753" s="1" t="s">
        <v>45</v>
      </c>
      <c r="Y1753" s="1">
        <v>4.82343348E8</v>
      </c>
      <c r="AA1753" s="1" t="s">
        <v>44</v>
      </c>
      <c r="AB1753" s="1" t="s">
        <v>45</v>
      </c>
      <c r="AC1753" s="1">
        <v>4.82343348E8</v>
      </c>
      <c r="AF1753" s="1">
        <v>29750.77</v>
      </c>
      <c r="AG1753" s="2">
        <v>41613.0</v>
      </c>
      <c r="AH1753" s="1">
        <v>1200.0</v>
      </c>
      <c r="AI1753" s="1" t="s">
        <v>647</v>
      </c>
      <c r="AJ1753" s="1" t="s">
        <v>3268</v>
      </c>
      <c r="AK1753" s="1" t="s">
        <v>712</v>
      </c>
      <c r="AL1753" s="1">
        <v>1.0</v>
      </c>
      <c r="AM1753" s="1">
        <v>2015.0</v>
      </c>
      <c r="AN1753" s="1">
        <v>2014.0</v>
      </c>
      <c r="AO1753" s="1" t="s">
        <v>713</v>
      </c>
    </row>
    <row r="1754">
      <c r="A1754" s="5">
        <v>1.0</v>
      </c>
      <c r="B1754" s="1">
        <f t="shared" si="1"/>
        <v>1754</v>
      </c>
      <c r="C1754" s="1" t="s">
        <v>3048</v>
      </c>
      <c r="D1754" s="1" t="s">
        <v>3048</v>
      </c>
      <c r="E1754" s="1" t="s">
        <v>645</v>
      </c>
      <c r="G1754" s="1">
        <v>4.58254144E8</v>
      </c>
      <c r="H1754" s="2">
        <v>41557.0</v>
      </c>
      <c r="I1754" s="1" t="s">
        <v>710</v>
      </c>
      <c r="K1754" s="1" t="s">
        <v>710</v>
      </c>
      <c r="N1754" s="1" t="s">
        <v>647</v>
      </c>
      <c r="O1754" s="1">
        <v>1200.0</v>
      </c>
      <c r="P1754" s="1" t="s">
        <v>647</v>
      </c>
      <c r="Q1754" s="1" t="str">
        <f>IF(ISERROR(VLOOKUP(P1754,'unique fed agency names'!A:C,3,FALSE)),P1754,VLOOKUP(P1754,'unique fed agency names'!A:C,3,FALSE))
</f>
        <v>U.S. Department of Agriculture (USDA)</v>
      </c>
      <c r="R1754" s="1">
        <v>6.10593329E8</v>
      </c>
      <c r="S1754" s="1" t="s">
        <v>926</v>
      </c>
      <c r="T1754" s="1" t="str">
        <f>IF(ISERROR(VLOOKUP(S1754,'unique org names'!A:C,3,FALSE)),S1754,VLOOKUP(S1754,'unique org names'!A:C,3,FALSE))
</f>
        <v>Babes In The Woods Child Development Inc</v>
      </c>
      <c r="V1754" s="1" t="s">
        <v>927</v>
      </c>
      <c r="W1754" s="1" t="s">
        <v>44</v>
      </c>
      <c r="X1754" s="1" t="s">
        <v>45</v>
      </c>
      <c r="Y1754" s="1">
        <v>4.82353325E8</v>
      </c>
      <c r="AA1754" s="1" t="s">
        <v>928</v>
      </c>
      <c r="AB1754" s="1" t="s">
        <v>45</v>
      </c>
      <c r="AC1754" s="1">
        <v>4.80761694E8</v>
      </c>
      <c r="AF1754" s="1">
        <v>40953.33</v>
      </c>
      <c r="AG1754" s="2">
        <v>41557.0</v>
      </c>
      <c r="AH1754" s="1">
        <v>1200.0</v>
      </c>
      <c r="AI1754" s="1" t="s">
        <v>647</v>
      </c>
      <c r="AJ1754" s="1" t="s">
        <v>3269</v>
      </c>
      <c r="AK1754" s="1" t="s">
        <v>712</v>
      </c>
      <c r="AL1754" s="1">
        <v>1.0</v>
      </c>
      <c r="AM1754" s="1">
        <v>2015.0</v>
      </c>
      <c r="AN1754" s="1">
        <v>2014.0</v>
      </c>
      <c r="AO1754" s="1" t="s">
        <v>713</v>
      </c>
    </row>
    <row r="1755">
      <c r="A1755" s="5">
        <v>1.0</v>
      </c>
      <c r="B1755" s="1">
        <f t="shared" si="1"/>
        <v>1755</v>
      </c>
      <c r="C1755" s="1" t="s">
        <v>3048</v>
      </c>
      <c r="D1755" s="1" t="s">
        <v>3048</v>
      </c>
      <c r="E1755" s="1" t="s">
        <v>645</v>
      </c>
      <c r="G1755" s="1">
        <v>4.58254144E8</v>
      </c>
      <c r="H1755" s="2">
        <v>41599.0</v>
      </c>
      <c r="I1755" s="1" t="s">
        <v>710</v>
      </c>
      <c r="K1755" s="1" t="s">
        <v>710</v>
      </c>
      <c r="N1755" s="1" t="s">
        <v>647</v>
      </c>
      <c r="O1755" s="1">
        <v>1200.0</v>
      </c>
      <c r="P1755" s="1" t="s">
        <v>647</v>
      </c>
      <c r="Q1755" s="1" t="str">
        <f>IF(ISERROR(VLOOKUP(P1755,'unique fed agency names'!A:C,3,FALSE)),P1755,VLOOKUP(P1755,'unique fed agency names'!A:C,3,FALSE))
</f>
        <v>U.S. Department of Agriculture (USDA)</v>
      </c>
      <c r="R1755" s="1">
        <v>8.32093392E8</v>
      </c>
      <c r="S1755" s="1" t="s">
        <v>769</v>
      </c>
      <c r="T1755" s="1" t="str">
        <f>IF(ISERROR(VLOOKUP(S1755,'unique org names'!A:C,3,FALSE)),S1755,VLOOKUP(S1755,'unique org names'!A:C,3,FALSE))
</f>
        <v>MARTIN LUTHER KING, JR EDUCATION CENTER ACADEMY</v>
      </c>
      <c r="V1755" s="1" t="s">
        <v>770</v>
      </c>
      <c r="W1755" s="1" t="s">
        <v>44</v>
      </c>
      <c r="X1755" s="1" t="s">
        <v>45</v>
      </c>
      <c r="Y1755" s="1">
        <v>4.82354205E8</v>
      </c>
      <c r="AA1755" s="1" t="s">
        <v>44</v>
      </c>
      <c r="AB1755" s="1" t="s">
        <v>45</v>
      </c>
      <c r="AC1755" s="1">
        <v>4.82354205E8</v>
      </c>
      <c r="AF1755" s="1">
        <v>140763.57</v>
      </c>
      <c r="AG1755" s="2">
        <v>41599.0</v>
      </c>
      <c r="AH1755" s="1">
        <v>1200.0</v>
      </c>
      <c r="AI1755" s="1" t="s">
        <v>647</v>
      </c>
      <c r="AJ1755" s="1" t="s">
        <v>3270</v>
      </c>
      <c r="AK1755" s="1" t="s">
        <v>712</v>
      </c>
      <c r="AL1755" s="1">
        <v>1.0</v>
      </c>
      <c r="AM1755" s="1">
        <v>2015.0</v>
      </c>
      <c r="AN1755" s="1">
        <v>2014.0</v>
      </c>
      <c r="AO1755" s="1" t="s">
        <v>713</v>
      </c>
    </row>
    <row r="1756">
      <c r="A1756" s="5">
        <v>1.0</v>
      </c>
      <c r="B1756" s="1">
        <f t="shared" si="1"/>
        <v>1756</v>
      </c>
      <c r="C1756" s="1" t="s">
        <v>3048</v>
      </c>
      <c r="D1756" s="1" t="s">
        <v>3048</v>
      </c>
      <c r="E1756" s="1" t="s">
        <v>645</v>
      </c>
      <c r="G1756" s="1">
        <v>4.58254144E8</v>
      </c>
      <c r="H1756" s="2">
        <v>41564.0</v>
      </c>
      <c r="I1756" s="1" t="s">
        <v>710</v>
      </c>
      <c r="K1756" s="1" t="s">
        <v>710</v>
      </c>
      <c r="N1756" s="1" t="s">
        <v>647</v>
      </c>
      <c r="O1756" s="1">
        <v>1200.0</v>
      </c>
      <c r="P1756" s="1" t="s">
        <v>647</v>
      </c>
      <c r="Q1756" s="1" t="str">
        <f>IF(ISERROR(VLOOKUP(P1756,'unique fed agency names'!A:C,3,FALSE)),P1756,VLOOKUP(P1756,'unique fed agency names'!A:C,3,FALSE))
</f>
        <v>U.S. Department of Agriculture (USDA)</v>
      </c>
      <c r="R1756" s="1">
        <v>8.25304442E8</v>
      </c>
      <c r="S1756" s="1" t="s">
        <v>829</v>
      </c>
      <c r="T1756" s="1" t="str">
        <f>IF(ISERROR(VLOOKUP(S1756,'unique org names'!A:C,3,FALSE)),S1756,VLOOKUP(S1756,'unique org names'!A:C,3,FALSE))
</f>
        <v>DAVID ELLIS ACADEMY</v>
      </c>
      <c r="V1756" s="1" t="s">
        <v>830</v>
      </c>
      <c r="W1756" s="1" t="s">
        <v>44</v>
      </c>
      <c r="X1756" s="1" t="s">
        <v>45</v>
      </c>
      <c r="Y1756" s="1">
        <v>4.82351762E8</v>
      </c>
      <c r="AA1756" s="1" t="s">
        <v>44</v>
      </c>
      <c r="AB1756" s="1" t="s">
        <v>45</v>
      </c>
      <c r="AC1756" s="1">
        <v>4.82351762E8</v>
      </c>
      <c r="AF1756" s="1">
        <v>97856.43</v>
      </c>
      <c r="AG1756" s="2">
        <v>41564.0</v>
      </c>
      <c r="AH1756" s="1">
        <v>1200.0</v>
      </c>
      <c r="AI1756" s="1" t="s">
        <v>647</v>
      </c>
      <c r="AJ1756" s="1" t="s">
        <v>3271</v>
      </c>
      <c r="AK1756" s="1" t="s">
        <v>712</v>
      </c>
      <c r="AL1756" s="1">
        <v>1.0</v>
      </c>
      <c r="AM1756" s="1">
        <v>2015.0</v>
      </c>
      <c r="AN1756" s="1">
        <v>2014.0</v>
      </c>
      <c r="AO1756" s="1" t="s">
        <v>713</v>
      </c>
    </row>
    <row r="1757">
      <c r="A1757" s="5">
        <v>1.0</v>
      </c>
      <c r="B1757" s="1">
        <f t="shared" si="1"/>
        <v>1757</v>
      </c>
      <c r="C1757" s="1" t="s">
        <v>3048</v>
      </c>
      <c r="D1757" s="1" t="s">
        <v>3048</v>
      </c>
      <c r="E1757" s="1" t="s">
        <v>645</v>
      </c>
      <c r="G1757" s="1">
        <v>4.58254144E8</v>
      </c>
      <c r="H1757" s="2">
        <v>41557.0</v>
      </c>
      <c r="I1757" s="1" t="s">
        <v>710</v>
      </c>
      <c r="K1757" s="1" t="s">
        <v>710</v>
      </c>
      <c r="N1757" s="1" t="s">
        <v>647</v>
      </c>
      <c r="O1757" s="1">
        <v>1200.0</v>
      </c>
      <c r="P1757" s="1" t="s">
        <v>647</v>
      </c>
      <c r="Q1757" s="1" t="str">
        <f>IF(ISERROR(VLOOKUP(P1757,'unique fed agency names'!A:C,3,FALSE)),P1757,VLOOKUP(P1757,'unique fed agency names'!A:C,3,FALSE))
</f>
        <v>U.S. Department of Agriculture (USDA)</v>
      </c>
      <c r="R1757" s="1">
        <v>8.37388367E8</v>
      </c>
      <c r="S1757" s="1" t="s">
        <v>3272</v>
      </c>
      <c r="T1757" s="1" t="str">
        <f>IF(ISERROR(VLOOKUP(S1757,'unique org names'!A:C,3,FALSE)),S1757,VLOOKUP(S1757,'unique org names'!A:C,3,FALSE))
</f>
        <v>Quality Child Care &amp; Learning Center I</v>
      </c>
      <c r="V1757" s="1" t="s">
        <v>3273</v>
      </c>
      <c r="W1757" s="1" t="s">
        <v>44</v>
      </c>
      <c r="X1757" s="1" t="s">
        <v>45</v>
      </c>
      <c r="Y1757" s="1">
        <v>4.82342111E8</v>
      </c>
      <c r="AA1757" s="1" t="s">
        <v>46</v>
      </c>
      <c r="AB1757" s="1" t="s">
        <v>45</v>
      </c>
      <c r="AC1757" s="1">
        <v>4.82342111E8</v>
      </c>
      <c r="AF1757" s="1">
        <v>55223.47</v>
      </c>
      <c r="AG1757" s="2">
        <v>41557.0</v>
      </c>
      <c r="AH1757" s="1">
        <v>1200.0</v>
      </c>
      <c r="AI1757" s="1" t="s">
        <v>647</v>
      </c>
      <c r="AJ1757" s="1" t="s">
        <v>3274</v>
      </c>
      <c r="AK1757" s="1" t="s">
        <v>712</v>
      </c>
      <c r="AL1757" s="1">
        <v>1.0</v>
      </c>
      <c r="AM1757" s="1">
        <v>2015.0</v>
      </c>
      <c r="AN1757" s="1">
        <v>2014.0</v>
      </c>
      <c r="AO1757" s="1" t="s">
        <v>713</v>
      </c>
    </row>
    <row r="1758">
      <c r="A1758" s="5">
        <v>1.0</v>
      </c>
      <c r="B1758" s="1">
        <f t="shared" si="1"/>
        <v>1758</v>
      </c>
      <c r="C1758" s="1" t="s">
        <v>3048</v>
      </c>
      <c r="D1758" s="1" t="s">
        <v>3048</v>
      </c>
      <c r="E1758" s="1" t="s">
        <v>645</v>
      </c>
      <c r="G1758" s="1">
        <v>4.58254144E8</v>
      </c>
      <c r="H1758" s="2">
        <v>41557.0</v>
      </c>
      <c r="I1758" s="1" t="s">
        <v>710</v>
      </c>
      <c r="K1758" s="1" t="s">
        <v>710</v>
      </c>
      <c r="N1758" s="1" t="s">
        <v>647</v>
      </c>
      <c r="O1758" s="1">
        <v>1200.0</v>
      </c>
      <c r="P1758" s="1" t="s">
        <v>647</v>
      </c>
      <c r="Q1758" s="1" t="str">
        <f>IF(ISERROR(VLOOKUP(P1758,'unique fed agency names'!A:C,3,FALSE)),P1758,VLOOKUP(P1758,'unique fed agency names'!A:C,3,FALSE))
</f>
        <v>U.S. Department of Agriculture (USDA)</v>
      </c>
      <c r="R1758" s="1">
        <v>1.35155112E8</v>
      </c>
      <c r="S1758" s="1" t="s">
        <v>836</v>
      </c>
      <c r="T1758" s="1" t="str">
        <f>IF(ISERROR(VLOOKUP(S1758,'unique org names'!A:C,3,FALSE)),S1758,VLOOKUP(S1758,'unique org names'!A:C,3,FALSE))
</f>
        <v>Our Kidz World Learning Center</v>
      </c>
      <c r="V1758" s="1" t="s">
        <v>837</v>
      </c>
      <c r="W1758" s="1" t="s">
        <v>44</v>
      </c>
      <c r="X1758" s="1" t="s">
        <v>45</v>
      </c>
      <c r="Y1758" s="1">
        <v>4.82052542E8</v>
      </c>
      <c r="AA1758" s="1" t="s">
        <v>44</v>
      </c>
      <c r="AB1758" s="1" t="s">
        <v>45</v>
      </c>
      <c r="AC1758" s="1">
        <v>4.82052542E8</v>
      </c>
      <c r="AF1758" s="1">
        <v>36333.1</v>
      </c>
      <c r="AG1758" s="2">
        <v>41557.0</v>
      </c>
      <c r="AH1758" s="1">
        <v>1200.0</v>
      </c>
      <c r="AI1758" s="1" t="s">
        <v>647</v>
      </c>
      <c r="AJ1758" s="1" t="s">
        <v>3275</v>
      </c>
      <c r="AK1758" s="1" t="s">
        <v>712</v>
      </c>
      <c r="AL1758" s="1">
        <v>1.0</v>
      </c>
      <c r="AM1758" s="1">
        <v>2015.0</v>
      </c>
      <c r="AN1758" s="1">
        <v>2014.0</v>
      </c>
      <c r="AO1758" s="1" t="s">
        <v>713</v>
      </c>
    </row>
    <row r="1759">
      <c r="A1759" s="5">
        <v>1.0</v>
      </c>
      <c r="B1759" s="1">
        <f t="shared" si="1"/>
        <v>1759</v>
      </c>
      <c r="C1759" s="1" t="s">
        <v>3048</v>
      </c>
      <c r="D1759" s="1" t="s">
        <v>3048</v>
      </c>
      <c r="E1759" s="1" t="s">
        <v>645</v>
      </c>
      <c r="G1759" s="1">
        <v>4.58254144E8</v>
      </c>
      <c r="H1759" s="2">
        <v>41592.0</v>
      </c>
      <c r="I1759" s="1" t="s">
        <v>710</v>
      </c>
      <c r="K1759" s="1" t="s">
        <v>710</v>
      </c>
      <c r="N1759" s="1" t="s">
        <v>647</v>
      </c>
      <c r="O1759" s="1">
        <v>1200.0</v>
      </c>
      <c r="P1759" s="1" t="s">
        <v>647</v>
      </c>
      <c r="Q1759" s="1" t="str">
        <f>IF(ISERROR(VLOOKUP(P1759,'unique fed agency names'!A:C,3,FALSE)),P1759,VLOOKUP(P1759,'unique fed agency names'!A:C,3,FALSE))
</f>
        <v>U.S. Department of Agriculture (USDA)</v>
      </c>
      <c r="R1759" s="1">
        <v>1.6338926E8</v>
      </c>
      <c r="S1759" s="1" t="s">
        <v>465</v>
      </c>
      <c r="T1759" s="1" t="str">
        <f>IF(ISERROR(VLOOKUP(S1759,'unique org names'!A:C,3,FALSE)),S1759,VLOOKUP(S1759,'unique org names'!A:C,3,FALSE))
</f>
        <v>Public School Academies of Detroit</v>
      </c>
      <c r="U1759" s="1" t="s">
        <v>598</v>
      </c>
      <c r="V1759" s="1" t="s">
        <v>599</v>
      </c>
      <c r="W1759" s="1" t="s">
        <v>44</v>
      </c>
      <c r="X1759" s="1" t="s">
        <v>45</v>
      </c>
      <c r="Y1759" s="1">
        <v>4.82023457E8</v>
      </c>
      <c r="AA1759" s="1" t="s">
        <v>44</v>
      </c>
      <c r="AB1759" s="1" t="s">
        <v>45</v>
      </c>
      <c r="AC1759" s="1">
        <v>4.82023457E8</v>
      </c>
      <c r="AD1759" s="1">
        <v>1.6338926E8</v>
      </c>
      <c r="AE1759" s="1" t="s">
        <v>465</v>
      </c>
      <c r="AF1759" s="1">
        <v>61598.91</v>
      </c>
      <c r="AG1759" s="2">
        <v>41592.0</v>
      </c>
      <c r="AH1759" s="1">
        <v>1200.0</v>
      </c>
      <c r="AI1759" s="1" t="s">
        <v>647</v>
      </c>
      <c r="AJ1759" s="1" t="s">
        <v>3276</v>
      </c>
      <c r="AK1759" s="1" t="s">
        <v>712</v>
      </c>
      <c r="AL1759" s="1">
        <v>1.0</v>
      </c>
      <c r="AM1759" s="1">
        <v>2015.0</v>
      </c>
      <c r="AN1759" s="1">
        <v>2014.0</v>
      </c>
      <c r="AO1759" s="1" t="s">
        <v>713</v>
      </c>
    </row>
    <row r="1760">
      <c r="A1760" s="5">
        <v>1.0</v>
      </c>
      <c r="B1760" s="1">
        <f t="shared" si="1"/>
        <v>1760</v>
      </c>
      <c r="C1760" s="1" t="s">
        <v>3048</v>
      </c>
      <c r="D1760" s="1" t="s">
        <v>3048</v>
      </c>
      <c r="E1760" s="1" t="s">
        <v>645</v>
      </c>
      <c r="G1760" s="1">
        <v>4.58254144E8</v>
      </c>
      <c r="H1760" s="2">
        <v>41466.0</v>
      </c>
      <c r="I1760" s="1" t="s">
        <v>710</v>
      </c>
      <c r="K1760" s="1" t="s">
        <v>710</v>
      </c>
      <c r="N1760" s="1" t="s">
        <v>647</v>
      </c>
      <c r="O1760" s="1">
        <v>1200.0</v>
      </c>
      <c r="P1760" s="1" t="s">
        <v>647</v>
      </c>
      <c r="Q1760" s="1" t="str">
        <f>IF(ISERROR(VLOOKUP(P1760,'unique fed agency names'!A:C,3,FALSE)),P1760,VLOOKUP(P1760,'unique fed agency names'!A:C,3,FALSE))
</f>
        <v>U.S. Department of Agriculture (USDA)</v>
      </c>
      <c r="R1760" s="1">
        <v>2.496865E7</v>
      </c>
      <c r="S1760" s="1" t="s">
        <v>609</v>
      </c>
      <c r="T1760" s="1" t="str">
        <f>IF(ISERROR(VLOOKUP(S1760,'unique org names'!A:C,3,FALSE)),S1760,VLOOKUP(S1760,'unique org names'!A:C,3,FALSE))
</f>
        <v>Jalen Rose Leadership Academy</v>
      </c>
      <c r="V1760" s="1" t="s">
        <v>610</v>
      </c>
      <c r="W1760" s="1" t="s">
        <v>44</v>
      </c>
      <c r="X1760" s="1" t="s">
        <v>45</v>
      </c>
      <c r="Y1760" s="1">
        <v>4.8235168E8</v>
      </c>
      <c r="AA1760" s="1" t="s">
        <v>46</v>
      </c>
      <c r="AB1760" s="1" t="s">
        <v>45</v>
      </c>
      <c r="AC1760" s="1">
        <v>4.8235168E8</v>
      </c>
      <c r="AF1760" s="1">
        <v>63882.14</v>
      </c>
      <c r="AG1760" s="2">
        <v>41466.0</v>
      </c>
      <c r="AH1760" s="1">
        <v>1200.0</v>
      </c>
      <c r="AI1760" s="1" t="s">
        <v>647</v>
      </c>
      <c r="AJ1760" s="1" t="s">
        <v>3277</v>
      </c>
      <c r="AK1760" s="1" t="s">
        <v>712</v>
      </c>
      <c r="AL1760" s="1">
        <v>1.0</v>
      </c>
      <c r="AM1760" s="1">
        <v>2015.0</v>
      </c>
      <c r="AN1760" s="1">
        <v>2013.0</v>
      </c>
      <c r="AO1760" s="1" t="s">
        <v>713</v>
      </c>
    </row>
    <row r="1761">
      <c r="A1761" s="5">
        <v>1.0</v>
      </c>
      <c r="B1761" s="1">
        <f t="shared" si="1"/>
        <v>1761</v>
      </c>
      <c r="C1761" s="1" t="s">
        <v>3048</v>
      </c>
      <c r="D1761" s="1" t="s">
        <v>3048</v>
      </c>
      <c r="E1761" s="1" t="s">
        <v>645</v>
      </c>
      <c r="G1761" s="1">
        <v>4.58254144E8</v>
      </c>
      <c r="H1761" s="2">
        <v>41557.0</v>
      </c>
      <c r="I1761" s="1" t="s">
        <v>710</v>
      </c>
      <c r="K1761" s="1" t="s">
        <v>710</v>
      </c>
      <c r="N1761" s="1" t="s">
        <v>647</v>
      </c>
      <c r="O1761" s="1">
        <v>1200.0</v>
      </c>
      <c r="P1761" s="1" t="s">
        <v>647</v>
      </c>
      <c r="Q1761" s="1" t="str">
        <f>IF(ISERROR(VLOOKUP(P1761,'unique fed agency names'!A:C,3,FALSE)),P1761,VLOOKUP(P1761,'unique fed agency names'!A:C,3,FALSE))
</f>
        <v>U.S. Department of Agriculture (USDA)</v>
      </c>
      <c r="R1761" s="1">
        <v>8.31014068E8</v>
      </c>
      <c r="S1761" s="1" t="s">
        <v>515</v>
      </c>
      <c r="T1761" s="1" t="str">
        <f>IF(ISERROR(VLOOKUP(S1761,'unique org names'!A:C,3,FALSE)),S1761,VLOOKUP(S1761,'unique org names'!A:C,3,FALSE))
</f>
        <v>DETROIT PREMIER ACADEMY</v>
      </c>
      <c r="V1761" s="1" t="s">
        <v>516</v>
      </c>
      <c r="W1761" s="1" t="s">
        <v>44</v>
      </c>
      <c r="X1761" s="1" t="s">
        <v>45</v>
      </c>
      <c r="Y1761" s="1">
        <v>4.82283685E8</v>
      </c>
      <c r="AA1761" s="1" t="s">
        <v>46</v>
      </c>
      <c r="AB1761" s="1" t="s">
        <v>45</v>
      </c>
      <c r="AC1761" s="1">
        <v>4.82283685E8</v>
      </c>
      <c r="AD1761" s="1">
        <v>9.60742484E8</v>
      </c>
      <c r="AF1761" s="1">
        <v>286457.73</v>
      </c>
      <c r="AG1761" s="2">
        <v>41557.0</v>
      </c>
      <c r="AH1761" s="1">
        <v>1200.0</v>
      </c>
      <c r="AI1761" s="1" t="s">
        <v>647</v>
      </c>
      <c r="AJ1761" s="1" t="s">
        <v>3278</v>
      </c>
      <c r="AK1761" s="1" t="s">
        <v>712</v>
      </c>
      <c r="AL1761" s="1">
        <v>1.0</v>
      </c>
      <c r="AM1761" s="1">
        <v>2015.0</v>
      </c>
      <c r="AN1761" s="1">
        <v>2014.0</v>
      </c>
      <c r="AO1761" s="1" t="s">
        <v>713</v>
      </c>
    </row>
    <row r="1762">
      <c r="A1762" s="5">
        <v>1.0</v>
      </c>
      <c r="B1762" s="1">
        <f t="shared" si="1"/>
        <v>1762</v>
      </c>
      <c r="C1762" s="1" t="s">
        <v>3048</v>
      </c>
      <c r="D1762" s="1" t="s">
        <v>3048</v>
      </c>
      <c r="E1762" s="1" t="s">
        <v>645</v>
      </c>
      <c r="G1762" s="1">
        <v>4.58254144E8</v>
      </c>
      <c r="H1762" s="2">
        <v>41550.0</v>
      </c>
      <c r="I1762" s="1" t="s">
        <v>710</v>
      </c>
      <c r="K1762" s="1" t="s">
        <v>710</v>
      </c>
      <c r="N1762" s="1" t="s">
        <v>647</v>
      </c>
      <c r="O1762" s="1">
        <v>1200.0</v>
      </c>
      <c r="P1762" s="1" t="s">
        <v>647</v>
      </c>
      <c r="Q1762" s="1" t="str">
        <f>IF(ISERROR(VLOOKUP(P1762,'unique fed agency names'!A:C,3,FALSE)),P1762,VLOOKUP(P1762,'unique fed agency names'!A:C,3,FALSE))
</f>
        <v>U.S. Department of Agriculture (USDA)</v>
      </c>
      <c r="R1762" s="1">
        <v>7.1310154E7</v>
      </c>
      <c r="S1762" s="1" t="s">
        <v>3279</v>
      </c>
      <c r="T1762" s="1" t="str">
        <f>IF(ISERROR(VLOOKUP(S1762,'unique org names'!A:C,3,FALSE)),S1762,VLOOKUP(S1762,'unique org names'!A:C,3,FALSE))
</f>
        <v>The Nurturing Nest</v>
      </c>
      <c r="V1762" s="1" t="s">
        <v>3280</v>
      </c>
      <c r="W1762" s="1" t="s">
        <v>44</v>
      </c>
      <c r="X1762" s="1" t="s">
        <v>45</v>
      </c>
      <c r="Y1762" s="1">
        <v>4.82352953E8</v>
      </c>
      <c r="AA1762" s="1" t="s">
        <v>46</v>
      </c>
      <c r="AB1762" s="1" t="s">
        <v>45</v>
      </c>
      <c r="AC1762" s="1">
        <v>4.82352953E8</v>
      </c>
      <c r="AF1762" s="1">
        <v>31894.27</v>
      </c>
      <c r="AG1762" s="2">
        <v>41550.0</v>
      </c>
      <c r="AH1762" s="1">
        <v>1200.0</v>
      </c>
      <c r="AI1762" s="1" t="s">
        <v>647</v>
      </c>
      <c r="AJ1762" s="1" t="s">
        <v>3281</v>
      </c>
      <c r="AK1762" s="1" t="s">
        <v>712</v>
      </c>
      <c r="AL1762" s="1">
        <v>1.0</v>
      </c>
      <c r="AM1762" s="1">
        <v>2015.0</v>
      </c>
      <c r="AN1762" s="1">
        <v>2014.0</v>
      </c>
      <c r="AO1762" s="1" t="s">
        <v>713</v>
      </c>
    </row>
    <row r="1763">
      <c r="A1763" s="5">
        <v>1.0</v>
      </c>
      <c r="B1763" s="1">
        <f t="shared" si="1"/>
        <v>1763</v>
      </c>
      <c r="C1763" s="1" t="s">
        <v>3048</v>
      </c>
      <c r="D1763" s="1" t="s">
        <v>3048</v>
      </c>
      <c r="E1763" s="1" t="s">
        <v>645</v>
      </c>
      <c r="G1763" s="1">
        <v>4.58254144E8</v>
      </c>
      <c r="H1763" s="2">
        <v>41564.0</v>
      </c>
      <c r="I1763" s="1" t="s">
        <v>710</v>
      </c>
      <c r="K1763" s="1" t="s">
        <v>710</v>
      </c>
      <c r="N1763" s="1" t="s">
        <v>647</v>
      </c>
      <c r="O1763" s="1">
        <v>1200.0</v>
      </c>
      <c r="P1763" s="1" t="s">
        <v>647</v>
      </c>
      <c r="Q1763" s="1" t="str">
        <f>IF(ISERROR(VLOOKUP(P1763,'unique fed agency names'!A:C,3,FALSE)),P1763,VLOOKUP(P1763,'unique fed agency names'!A:C,3,FALSE))
</f>
        <v>U.S. Department of Agriculture (USDA)</v>
      </c>
      <c r="R1763" s="1">
        <v>9.0912429E7</v>
      </c>
      <c r="S1763" s="1" t="s">
        <v>521</v>
      </c>
      <c r="T1763" s="1" t="str">
        <f>IF(ISERROR(VLOOKUP(S1763,'unique org names'!A:C,3,FALSE)),S1763,VLOOKUP(S1763,'unique org names'!A:C,3,FALSE))
</f>
        <v>DETROIT COMMUNITY SCHOOLS</v>
      </c>
      <c r="V1763" s="1" t="s">
        <v>522</v>
      </c>
      <c r="W1763" s="1" t="s">
        <v>44</v>
      </c>
      <c r="X1763" s="1" t="s">
        <v>45</v>
      </c>
      <c r="Y1763" s="1">
        <v>4.82233314E8</v>
      </c>
      <c r="AA1763" s="1" t="s">
        <v>44</v>
      </c>
      <c r="AB1763" s="1" t="s">
        <v>45</v>
      </c>
      <c r="AC1763" s="1">
        <v>4.82233314E8</v>
      </c>
      <c r="AF1763" s="1">
        <v>240138.89</v>
      </c>
      <c r="AG1763" s="2">
        <v>41564.0</v>
      </c>
      <c r="AH1763" s="1">
        <v>1200.0</v>
      </c>
      <c r="AI1763" s="1" t="s">
        <v>647</v>
      </c>
      <c r="AJ1763" s="1" t="s">
        <v>3282</v>
      </c>
      <c r="AK1763" s="1" t="s">
        <v>712</v>
      </c>
      <c r="AL1763" s="1">
        <v>1.0</v>
      </c>
      <c r="AM1763" s="1">
        <v>2015.0</v>
      </c>
      <c r="AN1763" s="1">
        <v>2014.0</v>
      </c>
      <c r="AO1763" s="1" t="s">
        <v>713</v>
      </c>
    </row>
    <row r="1764">
      <c r="A1764" s="5">
        <v>1.0</v>
      </c>
      <c r="B1764" s="1">
        <f t="shared" si="1"/>
        <v>1764</v>
      </c>
      <c r="C1764" s="1" t="s">
        <v>3048</v>
      </c>
      <c r="D1764" s="1" t="s">
        <v>3048</v>
      </c>
      <c r="E1764" s="1" t="s">
        <v>645</v>
      </c>
      <c r="G1764" s="1">
        <v>4.58254144E8</v>
      </c>
      <c r="H1764" s="2">
        <v>41557.0</v>
      </c>
      <c r="I1764" s="1" t="s">
        <v>710</v>
      </c>
      <c r="K1764" s="1" t="s">
        <v>710</v>
      </c>
      <c r="N1764" s="1" t="s">
        <v>647</v>
      </c>
      <c r="O1764" s="1">
        <v>1200.0</v>
      </c>
      <c r="P1764" s="1" t="s">
        <v>647</v>
      </c>
      <c r="Q1764" s="1" t="str">
        <f>IF(ISERROR(VLOOKUP(P1764,'unique fed agency names'!A:C,3,FALSE)),P1764,VLOOKUP(P1764,'unique fed agency names'!A:C,3,FALSE))
</f>
        <v>U.S. Department of Agriculture (USDA)</v>
      </c>
      <c r="R1764" s="1">
        <v>1.23577707E8</v>
      </c>
      <c r="S1764" s="1" t="s">
        <v>563</v>
      </c>
      <c r="T1764" s="1" t="str">
        <f>IF(ISERROR(VLOOKUP(S1764,'unique org names'!A:C,3,FALSE)),S1764,VLOOKUP(S1764,'unique org names'!A:C,3,FALSE))
</f>
        <v>WARRENDALE CHARTER ACADEMY</v>
      </c>
      <c r="V1764" s="1" t="s">
        <v>565</v>
      </c>
      <c r="W1764" s="1" t="s">
        <v>44</v>
      </c>
      <c r="X1764" s="1" t="s">
        <v>45</v>
      </c>
      <c r="Y1764" s="1">
        <v>4.8228333E8</v>
      </c>
      <c r="AA1764" s="1" t="s">
        <v>44</v>
      </c>
      <c r="AB1764" s="1" t="s">
        <v>45</v>
      </c>
      <c r="AC1764" s="1">
        <v>4.82283396E8</v>
      </c>
      <c r="AD1764" s="1">
        <v>9.60742484E8</v>
      </c>
      <c r="AF1764" s="1">
        <v>92701.89</v>
      </c>
      <c r="AG1764" s="2">
        <v>41557.0</v>
      </c>
      <c r="AH1764" s="1">
        <v>1200.0</v>
      </c>
      <c r="AI1764" s="1" t="s">
        <v>647</v>
      </c>
      <c r="AJ1764" s="1" t="s">
        <v>3283</v>
      </c>
      <c r="AK1764" s="1" t="s">
        <v>712</v>
      </c>
      <c r="AL1764" s="1">
        <v>1.0</v>
      </c>
      <c r="AM1764" s="1">
        <v>2015.0</v>
      </c>
      <c r="AN1764" s="1">
        <v>2014.0</v>
      </c>
      <c r="AO1764" s="1" t="s">
        <v>713</v>
      </c>
    </row>
    <row r="1765">
      <c r="A1765" s="5">
        <v>1.0</v>
      </c>
      <c r="B1765" s="1">
        <f t="shared" si="1"/>
        <v>1765</v>
      </c>
      <c r="C1765" s="1" t="s">
        <v>3048</v>
      </c>
      <c r="D1765" s="1" t="s">
        <v>3048</v>
      </c>
      <c r="E1765" s="1" t="s">
        <v>645</v>
      </c>
      <c r="G1765" s="1">
        <v>4.58254144E8</v>
      </c>
      <c r="H1765" s="2">
        <v>41571.0</v>
      </c>
      <c r="I1765" s="1" t="s">
        <v>710</v>
      </c>
      <c r="K1765" s="1" t="s">
        <v>710</v>
      </c>
      <c r="N1765" s="1" t="s">
        <v>647</v>
      </c>
      <c r="O1765" s="1">
        <v>1200.0</v>
      </c>
      <c r="P1765" s="1" t="s">
        <v>647</v>
      </c>
      <c r="Q1765" s="1" t="str">
        <f>IF(ISERROR(VLOOKUP(P1765,'unique fed agency names'!A:C,3,FALSE)),P1765,VLOOKUP(P1765,'unique fed agency names'!A:C,3,FALSE))
</f>
        <v>U.S. Department of Agriculture (USDA)</v>
      </c>
      <c r="R1765" s="1">
        <v>1.3032514E8</v>
      </c>
      <c r="S1765" s="1" t="s">
        <v>819</v>
      </c>
      <c r="T1765" s="1" t="str">
        <f>IF(ISERROR(VLOOKUP(S1765,'unique org names'!A:C,3,FALSE)),S1765,VLOOKUP(S1765,'unique org names'!A:C,3,FALSE))
</f>
        <v>ROSS HILL ACADEMY SCHOOL DISTRICT</v>
      </c>
      <c r="V1765" s="1" t="s">
        <v>820</v>
      </c>
      <c r="W1765" s="1" t="s">
        <v>44</v>
      </c>
      <c r="X1765" s="1" t="s">
        <v>45</v>
      </c>
      <c r="Y1765" s="1">
        <v>4.82072418E8</v>
      </c>
      <c r="AA1765" s="1" t="s">
        <v>44</v>
      </c>
      <c r="AB1765" s="1" t="s">
        <v>45</v>
      </c>
      <c r="AC1765" s="1">
        <v>4.82072418E8</v>
      </c>
      <c r="AD1765" s="1">
        <v>1.3032514E8</v>
      </c>
      <c r="AE1765" s="1" t="s">
        <v>819</v>
      </c>
      <c r="AF1765" s="1">
        <v>46937.57</v>
      </c>
      <c r="AG1765" s="2">
        <v>41571.0</v>
      </c>
      <c r="AH1765" s="1">
        <v>1200.0</v>
      </c>
      <c r="AI1765" s="1" t="s">
        <v>647</v>
      </c>
      <c r="AJ1765" s="1" t="s">
        <v>3284</v>
      </c>
      <c r="AK1765" s="1" t="s">
        <v>712</v>
      </c>
      <c r="AL1765" s="1">
        <v>1.0</v>
      </c>
      <c r="AM1765" s="1">
        <v>2015.0</v>
      </c>
      <c r="AN1765" s="1">
        <v>2014.0</v>
      </c>
      <c r="AO1765" s="1" t="s">
        <v>713</v>
      </c>
    </row>
    <row r="1766">
      <c r="A1766" s="5">
        <v>1.0</v>
      </c>
      <c r="B1766" s="1">
        <f t="shared" si="1"/>
        <v>1766</v>
      </c>
      <c r="C1766" s="1" t="s">
        <v>3048</v>
      </c>
      <c r="D1766" s="1" t="s">
        <v>3048</v>
      </c>
      <c r="E1766" s="1" t="s">
        <v>645</v>
      </c>
      <c r="G1766" s="1">
        <v>4.58254144E8</v>
      </c>
      <c r="H1766" s="2">
        <v>41557.0</v>
      </c>
      <c r="I1766" s="1" t="s">
        <v>710</v>
      </c>
      <c r="K1766" s="1" t="s">
        <v>710</v>
      </c>
      <c r="N1766" s="1" t="s">
        <v>647</v>
      </c>
      <c r="O1766" s="1">
        <v>1200.0</v>
      </c>
      <c r="P1766" s="1" t="s">
        <v>647</v>
      </c>
      <c r="Q1766" s="1" t="str">
        <f>IF(ISERROR(VLOOKUP(P1766,'unique fed agency names'!A:C,3,FALSE)),P1766,VLOOKUP(P1766,'unique fed agency names'!A:C,3,FALSE))
</f>
        <v>U.S. Department of Agriculture (USDA)</v>
      </c>
      <c r="R1766" s="1">
        <v>1.69760451E8</v>
      </c>
      <c r="S1766" s="1" t="s">
        <v>772</v>
      </c>
      <c r="T1766" s="1" t="str">
        <f>IF(ISERROR(VLOOKUP(S1766,'unique org names'!A:C,3,FALSE)),S1766,VLOOKUP(S1766,'unique org names'!A:C,3,FALSE))
</f>
        <v>GREATER CONCORD MISSIONARY BAPTIST CHURCH</v>
      </c>
      <c r="V1766" s="1" t="s">
        <v>773</v>
      </c>
      <c r="W1766" s="1" t="s">
        <v>44</v>
      </c>
      <c r="X1766" s="1" t="s">
        <v>45</v>
      </c>
      <c r="Y1766" s="1">
        <v>4.82121788E8</v>
      </c>
      <c r="AA1766" s="1" t="s">
        <v>44</v>
      </c>
      <c r="AB1766" s="1" t="s">
        <v>45</v>
      </c>
      <c r="AC1766" s="1">
        <v>4.82121788E8</v>
      </c>
      <c r="AF1766" s="1">
        <v>38014.42</v>
      </c>
      <c r="AG1766" s="2">
        <v>41557.0</v>
      </c>
      <c r="AH1766" s="1">
        <v>1200.0</v>
      </c>
      <c r="AI1766" s="1" t="s">
        <v>647</v>
      </c>
      <c r="AJ1766" s="1" t="s">
        <v>3285</v>
      </c>
      <c r="AK1766" s="1" t="s">
        <v>712</v>
      </c>
      <c r="AL1766" s="1">
        <v>1.0</v>
      </c>
      <c r="AM1766" s="1">
        <v>2015.0</v>
      </c>
      <c r="AN1766" s="1">
        <v>2014.0</v>
      </c>
      <c r="AO1766" s="1" t="s">
        <v>713</v>
      </c>
    </row>
    <row r="1767">
      <c r="A1767" s="5">
        <v>1.0</v>
      </c>
      <c r="B1767" s="1">
        <f t="shared" si="1"/>
        <v>1767</v>
      </c>
      <c r="C1767" s="1" t="s">
        <v>3048</v>
      </c>
      <c r="D1767" s="1" t="s">
        <v>3048</v>
      </c>
      <c r="E1767" s="1" t="s">
        <v>645</v>
      </c>
      <c r="G1767" s="1">
        <v>4.58254144E8</v>
      </c>
      <c r="H1767" s="2">
        <v>41564.0</v>
      </c>
      <c r="I1767" s="1" t="s">
        <v>710</v>
      </c>
      <c r="K1767" s="1" t="s">
        <v>710</v>
      </c>
      <c r="N1767" s="1" t="s">
        <v>647</v>
      </c>
      <c r="O1767" s="1">
        <v>1200.0</v>
      </c>
      <c r="P1767" s="1" t="s">
        <v>647</v>
      </c>
      <c r="Q1767" s="1" t="str">
        <f>IF(ISERROR(VLOOKUP(P1767,'unique fed agency names'!A:C,3,FALSE)),P1767,VLOOKUP(P1767,'unique fed agency names'!A:C,3,FALSE))
</f>
        <v>U.S. Department of Agriculture (USDA)</v>
      </c>
      <c r="R1767" s="1">
        <v>8.8328984E7</v>
      </c>
      <c r="S1767" s="1" t="s">
        <v>933</v>
      </c>
      <c r="T1767" s="1" t="str">
        <f>IF(ISERROR(VLOOKUP(S1767,'unique org names'!A:C,3,FALSE)),S1767,VLOOKUP(S1767,'unique org names'!A:C,3,FALSE))
</f>
        <v>Childrens Village Intl Ctrs</v>
      </c>
      <c r="V1767" s="1" t="s">
        <v>934</v>
      </c>
      <c r="W1767" s="1" t="s">
        <v>44</v>
      </c>
      <c r="X1767" s="1" t="s">
        <v>45</v>
      </c>
      <c r="Y1767" s="1">
        <v>4.82274087E8</v>
      </c>
      <c r="AA1767" s="1" t="s">
        <v>44</v>
      </c>
      <c r="AB1767" s="1" t="s">
        <v>45</v>
      </c>
      <c r="AC1767" s="1">
        <v>4.82274087E8</v>
      </c>
      <c r="AF1767" s="1">
        <v>61507.2</v>
      </c>
      <c r="AG1767" s="2">
        <v>41564.0</v>
      </c>
      <c r="AH1767" s="1">
        <v>1200.0</v>
      </c>
      <c r="AI1767" s="1" t="s">
        <v>647</v>
      </c>
      <c r="AJ1767" s="1" t="s">
        <v>3286</v>
      </c>
      <c r="AK1767" s="1" t="s">
        <v>712</v>
      </c>
      <c r="AL1767" s="1">
        <v>1.0</v>
      </c>
      <c r="AM1767" s="1">
        <v>2015.0</v>
      </c>
      <c r="AN1767" s="1">
        <v>2014.0</v>
      </c>
      <c r="AO1767" s="1" t="s">
        <v>713</v>
      </c>
    </row>
    <row r="1768">
      <c r="A1768" s="5">
        <v>1.0</v>
      </c>
      <c r="B1768" s="1">
        <f t="shared" si="1"/>
        <v>1768</v>
      </c>
      <c r="C1768" s="1" t="s">
        <v>3048</v>
      </c>
      <c r="D1768" s="1" t="s">
        <v>3048</v>
      </c>
      <c r="E1768" s="1" t="s">
        <v>645</v>
      </c>
      <c r="G1768" s="1">
        <v>4.58254144E8</v>
      </c>
      <c r="H1768" s="2">
        <v>41564.0</v>
      </c>
      <c r="I1768" s="1" t="s">
        <v>710</v>
      </c>
      <c r="K1768" s="1" t="s">
        <v>710</v>
      </c>
      <c r="N1768" s="1" t="s">
        <v>647</v>
      </c>
      <c r="O1768" s="1">
        <v>1200.0</v>
      </c>
      <c r="P1768" s="1" t="s">
        <v>647</v>
      </c>
      <c r="Q1768" s="1" t="str">
        <f>IF(ISERROR(VLOOKUP(P1768,'unique fed agency names'!A:C,3,FALSE)),P1768,VLOOKUP(P1768,'unique fed agency names'!A:C,3,FALSE))
</f>
        <v>U.S. Department of Agriculture (USDA)</v>
      </c>
      <c r="R1768" s="1">
        <v>8.01337023E8</v>
      </c>
      <c r="S1768" s="1" t="s">
        <v>731</v>
      </c>
      <c r="T1768" s="1" t="str">
        <f>IF(ISERROR(VLOOKUP(S1768,'unique org names'!A:C,3,FALSE)),S1768,VLOOKUP(S1768,'unique org names'!A:C,3,FALSE))
</f>
        <v>Cornerstone Schools Association</v>
      </c>
      <c r="U1768" s="1" t="s">
        <v>732</v>
      </c>
      <c r="V1768" s="1" t="s">
        <v>733</v>
      </c>
      <c r="W1768" s="1" t="s">
        <v>44</v>
      </c>
      <c r="X1768" s="1" t="s">
        <v>45</v>
      </c>
      <c r="Y1768" s="1">
        <v>4.82342968E8</v>
      </c>
      <c r="AA1768" s="1" t="s">
        <v>44</v>
      </c>
      <c r="AB1768" s="1" t="s">
        <v>45</v>
      </c>
      <c r="AC1768" s="1">
        <v>4.82342968E8</v>
      </c>
      <c r="AD1768" s="1">
        <v>8.01337023E8</v>
      </c>
      <c r="AE1768" s="1" t="s">
        <v>731</v>
      </c>
      <c r="AF1768" s="1">
        <v>27390.47</v>
      </c>
      <c r="AG1768" s="2">
        <v>41564.0</v>
      </c>
      <c r="AH1768" s="1">
        <v>1200.0</v>
      </c>
      <c r="AI1768" s="1" t="s">
        <v>647</v>
      </c>
      <c r="AJ1768" s="1" t="s">
        <v>3287</v>
      </c>
      <c r="AK1768" s="1" t="s">
        <v>712</v>
      </c>
      <c r="AL1768" s="1">
        <v>1.0</v>
      </c>
      <c r="AM1768" s="1">
        <v>2015.0</v>
      </c>
      <c r="AN1768" s="1">
        <v>2014.0</v>
      </c>
      <c r="AO1768" s="1" t="s">
        <v>713</v>
      </c>
    </row>
    <row r="1769">
      <c r="A1769" s="5">
        <v>1.0</v>
      </c>
      <c r="B1769" s="1">
        <f t="shared" si="1"/>
        <v>1769</v>
      </c>
      <c r="C1769" s="1" t="s">
        <v>3048</v>
      </c>
      <c r="D1769" s="1" t="s">
        <v>3048</v>
      </c>
      <c r="E1769" s="1" t="s">
        <v>645</v>
      </c>
      <c r="G1769" s="1">
        <v>4.58254144E8</v>
      </c>
      <c r="H1769" s="2">
        <v>41571.0</v>
      </c>
      <c r="I1769" s="1" t="s">
        <v>710</v>
      </c>
      <c r="K1769" s="1" t="s">
        <v>710</v>
      </c>
      <c r="N1769" s="1" t="s">
        <v>647</v>
      </c>
      <c r="O1769" s="1">
        <v>1200.0</v>
      </c>
      <c r="P1769" s="1" t="s">
        <v>647</v>
      </c>
      <c r="Q1769" s="1" t="str">
        <f>IF(ISERROR(VLOOKUP(P1769,'unique fed agency names'!A:C,3,FALSE)),P1769,VLOOKUP(P1769,'unique fed agency names'!A:C,3,FALSE))
</f>
        <v>U.S. Department of Agriculture (USDA)</v>
      </c>
      <c r="R1769" s="1">
        <v>1.98438892E8</v>
      </c>
      <c r="S1769" s="1" t="s">
        <v>505</v>
      </c>
      <c r="T1769" s="1" t="str">
        <f>IF(ISERROR(VLOOKUP(S1769,'unique org names'!A:C,3,FALSE)),S1769,VLOOKUP(S1769,'unique org names'!A:C,3,FALSE))
</f>
        <v>HANLEY INTERNATIONAL ACADEMY, INC</v>
      </c>
      <c r="V1769" s="1" t="s">
        <v>506</v>
      </c>
      <c r="W1769" s="1" t="s">
        <v>44</v>
      </c>
      <c r="X1769" s="1" t="s">
        <v>45</v>
      </c>
      <c r="Y1769" s="1">
        <v>4.82123572E8</v>
      </c>
      <c r="AA1769" s="1" t="s">
        <v>498</v>
      </c>
      <c r="AB1769" s="1" t="s">
        <v>45</v>
      </c>
      <c r="AC1769" s="1">
        <v>4.82123572E8</v>
      </c>
      <c r="AD1769" s="1">
        <v>1.98438892E8</v>
      </c>
      <c r="AE1769" s="1" t="s">
        <v>505</v>
      </c>
      <c r="AF1769" s="1">
        <v>162751.29</v>
      </c>
      <c r="AG1769" s="2">
        <v>41571.0</v>
      </c>
      <c r="AH1769" s="1">
        <v>1200.0</v>
      </c>
      <c r="AI1769" s="1" t="s">
        <v>647</v>
      </c>
      <c r="AJ1769" s="1" t="s">
        <v>3288</v>
      </c>
      <c r="AK1769" s="1" t="s">
        <v>712</v>
      </c>
      <c r="AL1769" s="1">
        <v>1.0</v>
      </c>
      <c r="AM1769" s="1">
        <v>2015.0</v>
      </c>
      <c r="AN1769" s="1">
        <v>2014.0</v>
      </c>
      <c r="AO1769" s="1" t="s">
        <v>713</v>
      </c>
    </row>
    <row r="1770">
      <c r="A1770" s="5">
        <v>1.0</v>
      </c>
      <c r="B1770" s="1">
        <f t="shared" si="1"/>
        <v>1770</v>
      </c>
      <c r="C1770" s="1" t="s">
        <v>3289</v>
      </c>
      <c r="D1770" s="1" t="s">
        <v>3289</v>
      </c>
      <c r="E1770" s="1" t="s">
        <v>389</v>
      </c>
      <c r="G1770" s="1">
        <v>7.6262784E7</v>
      </c>
      <c r="H1770" s="2">
        <v>41655.0</v>
      </c>
      <c r="I1770" s="1" t="s">
        <v>3290</v>
      </c>
      <c r="K1770" s="1" t="s">
        <v>3290</v>
      </c>
      <c r="N1770" s="1" t="s">
        <v>391</v>
      </c>
      <c r="O1770" s="1">
        <v>1600.0</v>
      </c>
      <c r="P1770" s="1" t="s">
        <v>391</v>
      </c>
      <c r="Q1770" s="1" t="str">
        <f>IF(ISERROR(VLOOKUP(P1770,'unique fed agency names'!A:C,3,FALSE)),P1770,VLOOKUP(P1770,'unique fed agency names'!A:C,3,FALSE))
</f>
        <v>U.S. Department of Labor (DOL)</v>
      </c>
      <c r="R1770" s="1">
        <v>9.68755756E8</v>
      </c>
      <c r="S1770" s="1" t="s">
        <v>1806</v>
      </c>
      <c r="T1770" s="1" t="str">
        <f>IF(ISERROR(VLOOKUP(S1770,'unique org names'!A:C,3,FALSE)),S1770,VLOOKUP(S1770,'unique org names'!A:C,3,FALSE))
</f>
        <v>Detroit Employment Solutions Corporation</v>
      </c>
      <c r="V1770" s="1" t="s">
        <v>1807</v>
      </c>
      <c r="W1770" s="1" t="s">
        <v>44</v>
      </c>
      <c r="X1770" s="1" t="s">
        <v>45</v>
      </c>
      <c r="Y1770" s="1">
        <v>4.82262917E8</v>
      </c>
      <c r="AA1770" s="1" t="s">
        <v>46</v>
      </c>
      <c r="AB1770" s="1" t="s">
        <v>45</v>
      </c>
      <c r="AC1770" s="1">
        <v>4.82022943E8</v>
      </c>
      <c r="AF1770" s="1">
        <v>4890278.0</v>
      </c>
      <c r="AG1770" s="2">
        <v>41655.0</v>
      </c>
      <c r="AH1770" s="1">
        <v>1600.0</v>
      </c>
      <c r="AI1770" s="1" t="s">
        <v>391</v>
      </c>
      <c r="AJ1770" s="1" t="s">
        <v>3291</v>
      </c>
      <c r="AK1770" s="1" t="s">
        <v>3292</v>
      </c>
      <c r="AL1770" s="1">
        <v>1.0</v>
      </c>
      <c r="AM1770" s="1">
        <v>2015.0</v>
      </c>
      <c r="AN1770" s="1">
        <v>2014.0</v>
      </c>
      <c r="AO1770" s="1" t="s">
        <v>3293</v>
      </c>
    </row>
    <row r="1771">
      <c r="A1771" s="5">
        <v>1.0</v>
      </c>
      <c r="B1771" s="1">
        <f t="shared" si="1"/>
        <v>1771</v>
      </c>
      <c r="C1771" s="1" t="s">
        <v>3294</v>
      </c>
      <c r="D1771" s="1" t="s">
        <v>3294</v>
      </c>
      <c r="E1771" s="1" t="s">
        <v>389</v>
      </c>
      <c r="G1771" s="1">
        <v>9.5095376E7</v>
      </c>
      <c r="H1771" s="2">
        <v>41915.0</v>
      </c>
      <c r="I1771" s="1" t="s">
        <v>3290</v>
      </c>
      <c r="K1771" s="1" t="s">
        <v>3290</v>
      </c>
      <c r="N1771" s="1" t="s">
        <v>391</v>
      </c>
      <c r="O1771" s="1">
        <v>1600.0</v>
      </c>
      <c r="P1771" s="1" t="s">
        <v>391</v>
      </c>
      <c r="Q1771" s="1" t="str">
        <f>IF(ISERROR(VLOOKUP(P1771,'unique fed agency names'!A:C,3,FALSE)),P1771,VLOOKUP(P1771,'unique fed agency names'!A:C,3,FALSE))
</f>
        <v>U.S. Department of Labor (DOL)</v>
      </c>
      <c r="R1771" s="1">
        <v>9.68755756E8</v>
      </c>
      <c r="S1771" s="1" t="s">
        <v>1806</v>
      </c>
      <c r="T1771" s="1" t="str">
        <f>IF(ISERROR(VLOOKUP(S1771,'unique org names'!A:C,3,FALSE)),S1771,VLOOKUP(S1771,'unique org names'!A:C,3,FALSE))
</f>
        <v>Detroit Employment Solutions Corporation</v>
      </c>
      <c r="V1771" s="1" t="s">
        <v>1807</v>
      </c>
      <c r="W1771" s="1" t="s">
        <v>44</v>
      </c>
      <c r="X1771" s="1" t="s">
        <v>45</v>
      </c>
      <c r="Y1771" s="1">
        <v>4.82262917E8</v>
      </c>
      <c r="AA1771" s="1" t="s">
        <v>46</v>
      </c>
      <c r="AB1771" s="1" t="s">
        <v>45</v>
      </c>
      <c r="AC1771" s="1">
        <v>4.82022943E8</v>
      </c>
      <c r="AF1771" s="1">
        <v>3859659.0</v>
      </c>
      <c r="AG1771" s="2">
        <v>41915.0</v>
      </c>
      <c r="AH1771" s="1">
        <v>1600.0</v>
      </c>
      <c r="AI1771" s="1" t="s">
        <v>391</v>
      </c>
      <c r="AJ1771" s="1" t="s">
        <v>3295</v>
      </c>
      <c r="AK1771" s="1" t="s">
        <v>3296</v>
      </c>
      <c r="AL1771" s="1">
        <v>1.0</v>
      </c>
      <c r="AM1771" s="1">
        <v>2015.0</v>
      </c>
      <c r="AN1771" s="1">
        <v>2015.0</v>
      </c>
      <c r="AO1771" s="1" t="s">
        <v>3297</v>
      </c>
    </row>
    <row r="1772">
      <c r="A1772" s="5">
        <v>1.0</v>
      </c>
      <c r="B1772" s="1">
        <f t="shared" si="1"/>
        <v>1772</v>
      </c>
      <c r="C1772" s="1" t="s">
        <v>3298</v>
      </c>
      <c r="D1772" s="1" t="s">
        <v>3298</v>
      </c>
      <c r="E1772" s="1" t="s">
        <v>389</v>
      </c>
      <c r="G1772" s="1">
        <v>9.346816E7</v>
      </c>
      <c r="H1772" s="2">
        <v>41757.0</v>
      </c>
      <c r="I1772" s="1" t="s">
        <v>3290</v>
      </c>
      <c r="K1772" s="1" t="s">
        <v>3290</v>
      </c>
      <c r="N1772" s="1" t="s">
        <v>391</v>
      </c>
      <c r="O1772" s="1">
        <v>1600.0</v>
      </c>
      <c r="P1772" s="1" t="s">
        <v>391</v>
      </c>
      <c r="Q1772" s="1" t="str">
        <f>IF(ISERROR(VLOOKUP(P1772,'unique fed agency names'!A:C,3,FALSE)),P1772,VLOOKUP(P1772,'unique fed agency names'!A:C,3,FALSE))
</f>
        <v>U.S. Department of Labor (DOL)</v>
      </c>
      <c r="R1772" s="1">
        <v>9.68755756E8</v>
      </c>
      <c r="S1772" s="1" t="s">
        <v>1806</v>
      </c>
      <c r="T1772" s="1" t="str">
        <f>IF(ISERROR(VLOOKUP(S1772,'unique org names'!A:C,3,FALSE)),S1772,VLOOKUP(S1772,'unique org names'!A:C,3,FALSE))
</f>
        <v>Detroit Employment Solutions Corporation</v>
      </c>
      <c r="V1772" s="1" t="s">
        <v>1807</v>
      </c>
      <c r="W1772" s="1" t="s">
        <v>44</v>
      </c>
      <c r="X1772" s="1" t="s">
        <v>45</v>
      </c>
      <c r="Y1772" s="1">
        <v>4.82262917E8</v>
      </c>
      <c r="AA1772" s="1" t="s">
        <v>46</v>
      </c>
      <c r="AB1772" s="1" t="s">
        <v>45</v>
      </c>
      <c r="AC1772" s="1">
        <v>4.82022943E8</v>
      </c>
      <c r="AF1772" s="1">
        <v>3490858.0</v>
      </c>
      <c r="AG1772" s="2">
        <v>41757.0</v>
      </c>
      <c r="AH1772" s="1">
        <v>1600.0</v>
      </c>
      <c r="AI1772" s="1" t="s">
        <v>391</v>
      </c>
      <c r="AJ1772" s="1" t="s">
        <v>3299</v>
      </c>
      <c r="AK1772" s="1" t="s">
        <v>3296</v>
      </c>
      <c r="AL1772" s="1">
        <v>1.0</v>
      </c>
      <c r="AM1772" s="1">
        <v>2015.0</v>
      </c>
      <c r="AN1772" s="1">
        <v>2014.0</v>
      </c>
      <c r="AO1772" s="1" t="s">
        <v>3300</v>
      </c>
    </row>
    <row r="1773">
      <c r="A1773" s="5">
        <v>1.0</v>
      </c>
      <c r="B1773" s="1">
        <f t="shared" si="1"/>
        <v>1773</v>
      </c>
      <c r="C1773" s="1" t="s">
        <v>3298</v>
      </c>
      <c r="D1773" s="1" t="s">
        <v>3298</v>
      </c>
      <c r="E1773" s="1" t="s">
        <v>389</v>
      </c>
      <c r="G1773" s="1">
        <v>9.346816E7</v>
      </c>
      <c r="H1773" s="2">
        <v>41960.0</v>
      </c>
      <c r="I1773" s="1" t="s">
        <v>3290</v>
      </c>
      <c r="K1773" s="1" t="s">
        <v>3290</v>
      </c>
      <c r="N1773" s="1" t="s">
        <v>391</v>
      </c>
      <c r="O1773" s="1">
        <v>1600.0</v>
      </c>
      <c r="P1773" s="1" t="s">
        <v>391</v>
      </c>
      <c r="Q1773" s="1" t="str">
        <f>IF(ISERROR(VLOOKUP(P1773,'unique fed agency names'!A:C,3,FALSE)),P1773,VLOOKUP(P1773,'unique fed agency names'!A:C,3,FALSE))
</f>
        <v>U.S. Department of Labor (DOL)</v>
      </c>
      <c r="R1773" s="1">
        <v>9.68755756E8</v>
      </c>
      <c r="S1773" s="1" t="s">
        <v>1806</v>
      </c>
      <c r="T1773" s="1" t="str">
        <f>IF(ISERROR(VLOOKUP(S1773,'unique org names'!A:C,3,FALSE)),S1773,VLOOKUP(S1773,'unique org names'!A:C,3,FALSE))
</f>
        <v>Detroit Employment Solutions Corporation</v>
      </c>
      <c r="V1773" s="1" t="s">
        <v>1807</v>
      </c>
      <c r="W1773" s="1" t="s">
        <v>44</v>
      </c>
      <c r="X1773" s="1" t="s">
        <v>45</v>
      </c>
      <c r="Y1773" s="1">
        <v>4.82262917E8</v>
      </c>
      <c r="AA1773" s="1" t="s">
        <v>46</v>
      </c>
      <c r="AB1773" s="1" t="s">
        <v>45</v>
      </c>
      <c r="AC1773" s="1">
        <v>4.82022943E8</v>
      </c>
      <c r="AF1773" s="1">
        <v>70000.0</v>
      </c>
      <c r="AG1773" s="2">
        <v>41960.0</v>
      </c>
      <c r="AH1773" s="1">
        <v>1600.0</v>
      </c>
      <c r="AI1773" s="1" t="s">
        <v>391</v>
      </c>
      <c r="AJ1773" s="1" t="s">
        <v>3301</v>
      </c>
      <c r="AK1773" s="1" t="s">
        <v>3302</v>
      </c>
      <c r="AL1773" s="1">
        <v>1.0</v>
      </c>
      <c r="AM1773" s="1">
        <v>2015.0</v>
      </c>
      <c r="AN1773" s="1">
        <v>2015.0</v>
      </c>
      <c r="AO1773" s="1" t="s">
        <v>3300</v>
      </c>
    </row>
    <row r="1774">
      <c r="A1774" s="5">
        <v>1.0</v>
      </c>
      <c r="B1774" s="1">
        <f t="shared" si="1"/>
        <v>1774</v>
      </c>
      <c r="C1774" s="1" t="s">
        <v>3303</v>
      </c>
      <c r="D1774" s="1" t="s">
        <v>3303</v>
      </c>
      <c r="E1774" s="1" t="s">
        <v>129</v>
      </c>
      <c r="G1774" s="1">
        <v>1882650.0</v>
      </c>
      <c r="H1774" s="2">
        <v>42018.0</v>
      </c>
      <c r="I1774" s="1" t="s">
        <v>3304</v>
      </c>
      <c r="K1774" s="1" t="s">
        <v>3304</v>
      </c>
      <c r="N1774" s="1" t="s">
        <v>40</v>
      </c>
      <c r="O1774" s="1">
        <v>7500.0</v>
      </c>
      <c r="P1774" s="1" t="s">
        <v>40</v>
      </c>
      <c r="Q1774" s="1" t="str">
        <f>IF(ISERROR(VLOOKUP(P1774,'unique fed agency names'!A:C,3,FALSE)),P1774,VLOOKUP(P1774,'unique fed agency names'!A:C,3,FALSE))
</f>
        <v>U.S. Department of Health and Human Services (DHHS)</v>
      </c>
      <c r="R1774" s="1">
        <v>6.9840817E7</v>
      </c>
      <c r="S1774" s="1" t="s">
        <v>131</v>
      </c>
      <c r="T1774" s="1" t="str">
        <f>IF(ISERROR(VLOOKUP(S1774,'unique org names'!A:C,3,FALSE)),S1774,VLOOKUP(S1774,'unique org names'!A:C,3,FALSE))
</f>
        <v>LUTHERAN SOCIAL SERVICES OF MICHIGAN</v>
      </c>
      <c r="V1774" s="1" t="s">
        <v>132</v>
      </c>
      <c r="W1774" s="1" t="s">
        <v>44</v>
      </c>
      <c r="X1774" s="1" t="s">
        <v>45</v>
      </c>
      <c r="Y1774" s="1">
        <v>4.8214261E8</v>
      </c>
      <c r="AA1774" s="1" t="s">
        <v>46</v>
      </c>
      <c r="AB1774" s="1" t="s">
        <v>45</v>
      </c>
      <c r="AC1774" s="1">
        <v>4.8214261E8</v>
      </c>
      <c r="AD1774" s="1">
        <v>6.9840817E7</v>
      </c>
      <c r="AE1774" s="1" t="s">
        <v>131</v>
      </c>
      <c r="AF1774" s="1">
        <v>209000.0</v>
      </c>
      <c r="AG1774" s="2">
        <v>42018.0</v>
      </c>
      <c r="AH1774" s="1">
        <v>7500.0</v>
      </c>
      <c r="AI1774" s="1" t="s">
        <v>40</v>
      </c>
      <c r="AJ1774" s="1" t="s">
        <v>3305</v>
      </c>
      <c r="AK1774" s="1" t="s">
        <v>3306</v>
      </c>
      <c r="AL1774" s="1">
        <v>1.0</v>
      </c>
      <c r="AM1774" s="1">
        <v>2015.0</v>
      </c>
      <c r="AN1774" s="1">
        <v>2015.0</v>
      </c>
      <c r="AO1774" s="1" t="s">
        <v>136</v>
      </c>
    </row>
    <row r="1775">
      <c r="A1775" s="5">
        <v>1.0</v>
      </c>
      <c r="B1775" s="1">
        <f t="shared" si="1"/>
        <v>1775</v>
      </c>
      <c r="C1775" s="1" t="s">
        <v>3307</v>
      </c>
      <c r="D1775" s="1" t="s">
        <v>3307</v>
      </c>
      <c r="E1775" s="1" t="s">
        <v>389</v>
      </c>
      <c r="G1775" s="1">
        <v>2.3358788E7</v>
      </c>
      <c r="H1775" s="2">
        <v>41725.0</v>
      </c>
      <c r="I1775" s="1" t="s">
        <v>397</v>
      </c>
      <c r="K1775" s="1" t="s">
        <v>397</v>
      </c>
      <c r="N1775" s="1" t="s">
        <v>391</v>
      </c>
      <c r="O1775" s="1">
        <v>1600.0</v>
      </c>
      <c r="P1775" s="1" t="s">
        <v>391</v>
      </c>
      <c r="Q1775" s="1" t="str">
        <f>IF(ISERROR(VLOOKUP(P1775,'unique fed agency names'!A:C,3,FALSE)),P1775,VLOOKUP(P1775,'unique fed agency names'!A:C,3,FALSE))
</f>
        <v>U.S. Department of Labor (DOL)</v>
      </c>
      <c r="R1775" s="1">
        <v>9.68755756E8</v>
      </c>
      <c r="S1775" s="1" t="s">
        <v>1806</v>
      </c>
      <c r="T1775" s="1" t="str">
        <f>IF(ISERROR(VLOOKUP(S1775,'unique org names'!A:C,3,FALSE)),S1775,VLOOKUP(S1775,'unique org names'!A:C,3,FALSE))
</f>
        <v>Detroit Employment Solutions Corporation</v>
      </c>
      <c r="V1775" s="1" t="s">
        <v>1807</v>
      </c>
      <c r="W1775" s="1" t="s">
        <v>44</v>
      </c>
      <c r="X1775" s="1" t="s">
        <v>45</v>
      </c>
      <c r="Y1775" s="1">
        <v>4.82262917E8</v>
      </c>
      <c r="AA1775" s="1" t="s">
        <v>46</v>
      </c>
      <c r="AB1775" s="1" t="s">
        <v>45</v>
      </c>
      <c r="AC1775" s="1">
        <v>4.82022943E8</v>
      </c>
      <c r="AF1775" s="1">
        <v>109256.0</v>
      </c>
      <c r="AG1775" s="2">
        <v>41725.0</v>
      </c>
      <c r="AH1775" s="1">
        <v>1600.0</v>
      </c>
      <c r="AI1775" s="1" t="s">
        <v>391</v>
      </c>
      <c r="AJ1775" s="1" t="s">
        <v>3308</v>
      </c>
      <c r="AK1775" s="1" t="s">
        <v>1353</v>
      </c>
      <c r="AL1775" s="1">
        <v>1.0</v>
      </c>
      <c r="AM1775" s="1">
        <v>2015.0</v>
      </c>
      <c r="AN1775" s="1">
        <v>2014.0</v>
      </c>
      <c r="AO1775" s="1" t="s">
        <v>3309</v>
      </c>
    </row>
    <row r="1776">
      <c r="A1776" s="5">
        <v>1.0</v>
      </c>
      <c r="B1776" s="1">
        <f t="shared" si="1"/>
        <v>1776</v>
      </c>
      <c r="C1776" s="1" t="s">
        <v>3310</v>
      </c>
      <c r="D1776" s="1" t="s">
        <v>3310</v>
      </c>
      <c r="E1776" s="1" t="s">
        <v>389</v>
      </c>
      <c r="G1776" s="1">
        <v>5.1970484E7</v>
      </c>
      <c r="H1776" s="2">
        <v>41918.0</v>
      </c>
      <c r="I1776" s="1" t="s">
        <v>1875</v>
      </c>
      <c r="K1776" s="1" t="s">
        <v>1875</v>
      </c>
      <c r="N1776" s="1" t="s">
        <v>391</v>
      </c>
      <c r="O1776" s="1">
        <v>1600.0</v>
      </c>
      <c r="P1776" s="1" t="s">
        <v>391</v>
      </c>
      <c r="Q1776" s="1" t="str">
        <f>IF(ISERROR(VLOOKUP(P1776,'unique fed agency names'!A:C,3,FALSE)),P1776,VLOOKUP(P1776,'unique fed agency names'!A:C,3,FALSE))
</f>
        <v>U.S. Department of Labor (DOL)</v>
      </c>
      <c r="R1776" s="1">
        <v>9.68755756E8</v>
      </c>
      <c r="S1776" s="1" t="s">
        <v>1806</v>
      </c>
      <c r="T1776" s="1" t="str">
        <f>IF(ISERROR(VLOOKUP(S1776,'unique org names'!A:C,3,FALSE)),S1776,VLOOKUP(S1776,'unique org names'!A:C,3,FALSE))
</f>
        <v>Detroit Employment Solutions Corporation</v>
      </c>
      <c r="V1776" s="1" t="s">
        <v>1807</v>
      </c>
      <c r="W1776" s="1" t="s">
        <v>44</v>
      </c>
      <c r="X1776" s="1" t="s">
        <v>45</v>
      </c>
      <c r="Y1776" s="1">
        <v>4.82262917E8</v>
      </c>
      <c r="AA1776" s="1" t="s">
        <v>46</v>
      </c>
      <c r="AB1776" s="1" t="s">
        <v>45</v>
      </c>
      <c r="AC1776" s="1">
        <v>4.82022943E8</v>
      </c>
      <c r="AF1776" s="1">
        <v>225000.0</v>
      </c>
      <c r="AG1776" s="2">
        <v>41918.0</v>
      </c>
      <c r="AH1776" s="1">
        <v>1600.0</v>
      </c>
      <c r="AI1776" s="1" t="s">
        <v>391</v>
      </c>
      <c r="AJ1776" s="1" t="s">
        <v>3311</v>
      </c>
      <c r="AK1776" s="1" t="s">
        <v>3312</v>
      </c>
      <c r="AL1776" s="1">
        <v>1.0</v>
      </c>
      <c r="AM1776" s="1">
        <v>2015.0</v>
      </c>
      <c r="AN1776" s="1">
        <v>2015.0</v>
      </c>
      <c r="AO1776" s="1" t="s">
        <v>1878</v>
      </c>
    </row>
    <row r="1777">
      <c r="A1777" s="5">
        <v>1.0</v>
      </c>
      <c r="B1777" s="1">
        <f t="shared" si="1"/>
        <v>1777</v>
      </c>
      <c r="C1777" s="1" t="s">
        <v>3310</v>
      </c>
      <c r="D1777" s="1" t="s">
        <v>3310</v>
      </c>
      <c r="E1777" s="1" t="s">
        <v>389</v>
      </c>
      <c r="G1777" s="1">
        <v>5.1970484E7</v>
      </c>
      <c r="H1777" s="2">
        <v>42011.0</v>
      </c>
      <c r="I1777" s="1" t="s">
        <v>1875</v>
      </c>
      <c r="K1777" s="1" t="s">
        <v>1875</v>
      </c>
      <c r="N1777" s="1" t="s">
        <v>391</v>
      </c>
      <c r="O1777" s="1">
        <v>1600.0</v>
      </c>
      <c r="P1777" s="1" t="s">
        <v>391</v>
      </c>
      <c r="Q1777" s="1" t="str">
        <f>IF(ISERROR(VLOOKUP(P1777,'unique fed agency names'!A:C,3,FALSE)),P1777,VLOOKUP(P1777,'unique fed agency names'!A:C,3,FALSE))
</f>
        <v>U.S. Department of Labor (DOL)</v>
      </c>
      <c r="R1777" s="1">
        <v>9.68755756E8</v>
      </c>
      <c r="S1777" s="1" t="s">
        <v>1806</v>
      </c>
      <c r="T1777" s="1" t="str">
        <f>IF(ISERROR(VLOOKUP(S1777,'unique org names'!A:C,3,FALSE)),S1777,VLOOKUP(S1777,'unique org names'!A:C,3,FALSE))
</f>
        <v>Detroit Employment Solutions Corporation</v>
      </c>
      <c r="V1777" s="1" t="s">
        <v>1807</v>
      </c>
      <c r="W1777" s="1" t="s">
        <v>44</v>
      </c>
      <c r="X1777" s="1" t="s">
        <v>45</v>
      </c>
      <c r="Y1777" s="1">
        <v>4.82262917E8</v>
      </c>
      <c r="AA1777" s="1" t="s">
        <v>46</v>
      </c>
      <c r="AB1777" s="1" t="s">
        <v>45</v>
      </c>
      <c r="AC1777" s="1">
        <v>4.82022943E8</v>
      </c>
      <c r="AF1777" s="1">
        <v>0.0</v>
      </c>
      <c r="AG1777" s="2">
        <v>42011.0</v>
      </c>
      <c r="AH1777" s="1">
        <v>1600.0</v>
      </c>
      <c r="AI1777" s="1" t="s">
        <v>391</v>
      </c>
      <c r="AJ1777" s="1" t="s">
        <v>3313</v>
      </c>
      <c r="AK1777" s="1" t="s">
        <v>1884</v>
      </c>
      <c r="AL1777" s="1">
        <v>1.0</v>
      </c>
      <c r="AM1777" s="1">
        <v>2015.0</v>
      </c>
      <c r="AN1777" s="1">
        <v>2015.0</v>
      </c>
      <c r="AO1777" s="1" t="s">
        <v>1878</v>
      </c>
    </row>
    <row r="1778">
      <c r="A1778" s="5">
        <v>1.0</v>
      </c>
      <c r="B1778" s="1">
        <f t="shared" si="1"/>
        <v>1778</v>
      </c>
      <c r="C1778" s="1" t="s">
        <v>3289</v>
      </c>
      <c r="D1778" s="1" t="s">
        <v>3289</v>
      </c>
      <c r="E1778" s="1" t="s">
        <v>389</v>
      </c>
      <c r="G1778" s="1">
        <v>7.6262784E7</v>
      </c>
      <c r="H1778" s="2">
        <v>41407.0</v>
      </c>
      <c r="I1778" s="1" t="s">
        <v>3290</v>
      </c>
      <c r="K1778" s="1" t="s">
        <v>3290</v>
      </c>
      <c r="N1778" s="1" t="s">
        <v>391</v>
      </c>
      <c r="O1778" s="1">
        <v>1600.0</v>
      </c>
      <c r="P1778" s="1" t="s">
        <v>391</v>
      </c>
      <c r="Q1778" s="1" t="str">
        <f>IF(ISERROR(VLOOKUP(P1778,'unique fed agency names'!A:C,3,FALSE)),P1778,VLOOKUP(P1778,'unique fed agency names'!A:C,3,FALSE))
</f>
        <v>U.S. Department of Labor (DOL)</v>
      </c>
      <c r="R1778" s="1">
        <v>9.68755756E8</v>
      </c>
      <c r="S1778" s="1" t="s">
        <v>1806</v>
      </c>
      <c r="T1778" s="1" t="str">
        <f>IF(ISERROR(VLOOKUP(S1778,'unique org names'!A:C,3,FALSE)),S1778,VLOOKUP(S1778,'unique org names'!A:C,3,FALSE))
</f>
        <v>Detroit Employment Solutions Corporation</v>
      </c>
      <c r="V1778" s="1" t="s">
        <v>1807</v>
      </c>
      <c r="W1778" s="1" t="s">
        <v>44</v>
      </c>
      <c r="X1778" s="1" t="s">
        <v>45</v>
      </c>
      <c r="Y1778" s="1">
        <v>4.82262917E8</v>
      </c>
      <c r="AA1778" s="1" t="s">
        <v>46</v>
      </c>
      <c r="AB1778" s="1" t="s">
        <v>45</v>
      </c>
      <c r="AC1778" s="1">
        <v>4.82022943E8</v>
      </c>
      <c r="AF1778" s="1">
        <v>550000.0</v>
      </c>
      <c r="AG1778" s="2">
        <v>41407.0</v>
      </c>
      <c r="AH1778" s="1">
        <v>1600.0</v>
      </c>
      <c r="AI1778" s="1" t="s">
        <v>391</v>
      </c>
      <c r="AJ1778" s="1" t="s">
        <v>3314</v>
      </c>
      <c r="AK1778" s="1" t="s">
        <v>3315</v>
      </c>
      <c r="AL1778" s="1">
        <v>1.0</v>
      </c>
      <c r="AM1778" s="1">
        <v>2015.0</v>
      </c>
      <c r="AN1778" s="1">
        <v>2013.0</v>
      </c>
      <c r="AO1778" s="1" t="s">
        <v>3293</v>
      </c>
    </row>
    <row r="1779">
      <c r="A1779" s="5">
        <v>1.0</v>
      </c>
      <c r="B1779" s="1">
        <f t="shared" si="1"/>
        <v>1779</v>
      </c>
      <c r="C1779" s="1" t="s">
        <v>3316</v>
      </c>
      <c r="D1779" s="1" t="s">
        <v>3316</v>
      </c>
      <c r="E1779" s="1" t="s">
        <v>389</v>
      </c>
      <c r="G1779" s="1">
        <v>1.103906E8</v>
      </c>
      <c r="H1779" s="2">
        <v>41999.0</v>
      </c>
      <c r="I1779" s="1" t="s">
        <v>3290</v>
      </c>
      <c r="K1779" s="1" t="s">
        <v>3290</v>
      </c>
      <c r="N1779" s="1" t="s">
        <v>391</v>
      </c>
      <c r="O1779" s="1">
        <v>1600.0</v>
      </c>
      <c r="P1779" s="1" t="s">
        <v>391</v>
      </c>
      <c r="Q1779" s="1" t="str">
        <f>IF(ISERROR(VLOOKUP(P1779,'unique fed agency names'!A:C,3,FALSE)),P1779,VLOOKUP(P1779,'unique fed agency names'!A:C,3,FALSE))
</f>
        <v>U.S. Department of Labor (DOL)</v>
      </c>
      <c r="R1779" s="1">
        <v>9.68755756E8</v>
      </c>
      <c r="S1779" s="1" t="s">
        <v>1806</v>
      </c>
      <c r="T1779" s="1" t="str">
        <f>IF(ISERROR(VLOOKUP(S1779,'unique org names'!A:C,3,FALSE)),S1779,VLOOKUP(S1779,'unique org names'!A:C,3,FALSE))
</f>
        <v>Detroit Employment Solutions Corporation</v>
      </c>
      <c r="V1779" s="1" t="s">
        <v>1807</v>
      </c>
      <c r="W1779" s="1" t="s">
        <v>44</v>
      </c>
      <c r="X1779" s="1" t="s">
        <v>45</v>
      </c>
      <c r="Y1779" s="1">
        <v>4.82262917E8</v>
      </c>
      <c r="AA1779" s="1" t="s">
        <v>46</v>
      </c>
      <c r="AB1779" s="1" t="s">
        <v>45</v>
      </c>
      <c r="AC1779" s="1">
        <v>4.82022943E8</v>
      </c>
      <c r="AF1779" s="1">
        <v>2853095.0</v>
      </c>
      <c r="AG1779" s="2">
        <v>41999.0</v>
      </c>
      <c r="AH1779" s="1">
        <v>1600.0</v>
      </c>
      <c r="AI1779" s="1" t="s">
        <v>391</v>
      </c>
      <c r="AJ1779" s="1" t="s">
        <v>3317</v>
      </c>
      <c r="AK1779" s="1" t="s">
        <v>3292</v>
      </c>
      <c r="AL1779" s="1">
        <v>1.0</v>
      </c>
      <c r="AM1779" s="1">
        <v>2015.0</v>
      </c>
      <c r="AN1779" s="1">
        <v>2015.0</v>
      </c>
      <c r="AO1779" s="1" t="s">
        <v>3297</v>
      </c>
    </row>
    <row r="1780">
      <c r="A1780" s="5">
        <v>1.0</v>
      </c>
      <c r="B1780" s="1">
        <f t="shared" si="1"/>
        <v>1780</v>
      </c>
      <c r="C1780" s="1" t="s">
        <v>3294</v>
      </c>
      <c r="D1780" s="1" t="s">
        <v>3294</v>
      </c>
      <c r="E1780" s="1" t="s">
        <v>389</v>
      </c>
      <c r="G1780" s="1">
        <v>9.5095376E7</v>
      </c>
      <c r="H1780" s="2">
        <v>41866.0</v>
      </c>
      <c r="I1780" s="1" t="s">
        <v>3290</v>
      </c>
      <c r="K1780" s="1" t="s">
        <v>3290</v>
      </c>
      <c r="N1780" s="1" t="s">
        <v>391</v>
      </c>
      <c r="O1780" s="1">
        <v>1600.0</v>
      </c>
      <c r="P1780" s="1" t="s">
        <v>391</v>
      </c>
      <c r="Q1780" s="1" t="str">
        <f>IF(ISERROR(VLOOKUP(P1780,'unique fed agency names'!A:C,3,FALSE)),P1780,VLOOKUP(P1780,'unique fed agency names'!A:C,3,FALSE))
</f>
        <v>U.S. Department of Labor (DOL)</v>
      </c>
      <c r="R1780" s="1">
        <v>9.68755756E8</v>
      </c>
      <c r="S1780" s="1" t="s">
        <v>1806</v>
      </c>
      <c r="T1780" s="1" t="str">
        <f>IF(ISERROR(VLOOKUP(S1780,'unique org names'!A:C,3,FALSE)),S1780,VLOOKUP(S1780,'unique org names'!A:C,3,FALSE))
</f>
        <v>Detroit Employment Solutions Corporation</v>
      </c>
      <c r="V1780" s="1" t="s">
        <v>1807</v>
      </c>
      <c r="W1780" s="1" t="s">
        <v>44</v>
      </c>
      <c r="X1780" s="1" t="s">
        <v>45</v>
      </c>
      <c r="Y1780" s="1">
        <v>4.82262917E8</v>
      </c>
      <c r="AA1780" s="1" t="s">
        <v>46</v>
      </c>
      <c r="AB1780" s="1" t="s">
        <v>45</v>
      </c>
      <c r="AC1780" s="1">
        <v>4.82022943E8</v>
      </c>
      <c r="AF1780" s="1">
        <v>4364712.0</v>
      </c>
      <c r="AG1780" s="2">
        <v>41866.0</v>
      </c>
      <c r="AH1780" s="1">
        <v>1600.0</v>
      </c>
      <c r="AI1780" s="1" t="s">
        <v>391</v>
      </c>
      <c r="AJ1780" s="1" t="s">
        <v>3318</v>
      </c>
      <c r="AK1780" s="1" t="s">
        <v>3319</v>
      </c>
      <c r="AL1780" s="1">
        <v>1.0</v>
      </c>
      <c r="AM1780" s="1">
        <v>2015.0</v>
      </c>
      <c r="AN1780" s="1">
        <v>2014.0</v>
      </c>
      <c r="AO1780" s="1" t="s">
        <v>3297</v>
      </c>
    </row>
    <row r="1781">
      <c r="A1781" s="5">
        <v>1.0</v>
      </c>
      <c r="B1781" s="1">
        <f t="shared" si="1"/>
        <v>1781</v>
      </c>
      <c r="C1781" s="1" t="s">
        <v>3294</v>
      </c>
      <c r="D1781" s="1" t="s">
        <v>3294</v>
      </c>
      <c r="E1781" s="1" t="s">
        <v>389</v>
      </c>
      <c r="G1781" s="1">
        <v>9.5095376E7</v>
      </c>
      <c r="H1781" s="2">
        <v>41921.0</v>
      </c>
      <c r="I1781" s="1" t="s">
        <v>3290</v>
      </c>
      <c r="K1781" s="1" t="s">
        <v>3290</v>
      </c>
      <c r="N1781" s="1" t="s">
        <v>391</v>
      </c>
      <c r="O1781" s="1">
        <v>1600.0</v>
      </c>
      <c r="P1781" s="1" t="s">
        <v>391</v>
      </c>
      <c r="Q1781" s="1" t="str">
        <f>IF(ISERROR(VLOOKUP(P1781,'unique fed agency names'!A:C,3,FALSE)),P1781,VLOOKUP(P1781,'unique fed agency names'!A:C,3,FALSE))
</f>
        <v>U.S. Department of Labor (DOL)</v>
      </c>
      <c r="R1781" s="1">
        <v>9.68755756E8</v>
      </c>
      <c r="S1781" s="1" t="s">
        <v>1806</v>
      </c>
      <c r="T1781" s="1" t="str">
        <f>IF(ISERROR(VLOOKUP(S1781,'unique org names'!A:C,3,FALSE)),S1781,VLOOKUP(S1781,'unique org names'!A:C,3,FALSE))
</f>
        <v>Detroit Employment Solutions Corporation</v>
      </c>
      <c r="V1781" s="1" t="s">
        <v>1807</v>
      </c>
      <c r="W1781" s="1" t="s">
        <v>44</v>
      </c>
      <c r="X1781" s="1" t="s">
        <v>45</v>
      </c>
      <c r="Y1781" s="1">
        <v>4.82262917E8</v>
      </c>
      <c r="AA1781" s="1" t="s">
        <v>46</v>
      </c>
      <c r="AB1781" s="1" t="s">
        <v>45</v>
      </c>
      <c r="AC1781" s="1">
        <v>4.82022943E8</v>
      </c>
      <c r="AF1781" s="1">
        <v>4202946.0</v>
      </c>
      <c r="AG1781" s="2">
        <v>41921.0</v>
      </c>
      <c r="AH1781" s="1">
        <v>1600.0</v>
      </c>
      <c r="AI1781" s="1" t="s">
        <v>391</v>
      </c>
      <c r="AJ1781" s="1" t="s">
        <v>3320</v>
      </c>
      <c r="AK1781" s="1" t="s">
        <v>3321</v>
      </c>
      <c r="AL1781" s="1">
        <v>1.0</v>
      </c>
      <c r="AM1781" s="1">
        <v>2015.0</v>
      </c>
      <c r="AN1781" s="1">
        <v>2015.0</v>
      </c>
      <c r="AO1781" s="1" t="s">
        <v>3297</v>
      </c>
    </row>
    <row r="1782">
      <c r="A1782" s="5">
        <v>1.0</v>
      </c>
      <c r="B1782" s="1">
        <f t="shared" si="1"/>
        <v>1782</v>
      </c>
      <c r="C1782" s="1" t="s">
        <v>3298</v>
      </c>
      <c r="D1782" s="1" t="s">
        <v>3298</v>
      </c>
      <c r="E1782" s="1" t="s">
        <v>389</v>
      </c>
      <c r="G1782" s="1">
        <v>9.346816E7</v>
      </c>
      <c r="H1782" s="2">
        <v>41794.0</v>
      </c>
      <c r="I1782" s="1" t="s">
        <v>3290</v>
      </c>
      <c r="K1782" s="1" t="s">
        <v>3290</v>
      </c>
      <c r="N1782" s="1" t="s">
        <v>391</v>
      </c>
      <c r="O1782" s="1">
        <v>1600.0</v>
      </c>
      <c r="P1782" s="1" t="s">
        <v>391</v>
      </c>
      <c r="Q1782" s="1" t="str">
        <f>IF(ISERROR(VLOOKUP(P1782,'unique fed agency names'!A:C,3,FALSE)),P1782,VLOOKUP(P1782,'unique fed agency names'!A:C,3,FALSE))
</f>
        <v>U.S. Department of Labor (DOL)</v>
      </c>
      <c r="R1782" s="1">
        <v>9.68755756E8</v>
      </c>
      <c r="S1782" s="1" t="s">
        <v>1806</v>
      </c>
      <c r="T1782" s="1" t="str">
        <f>IF(ISERROR(VLOOKUP(S1782,'unique org names'!A:C,3,FALSE)),S1782,VLOOKUP(S1782,'unique org names'!A:C,3,FALSE))
</f>
        <v>Detroit Employment Solutions Corporation</v>
      </c>
      <c r="V1782" s="1" t="s">
        <v>1807</v>
      </c>
      <c r="W1782" s="1" t="s">
        <v>44</v>
      </c>
      <c r="X1782" s="1" t="s">
        <v>45</v>
      </c>
      <c r="Y1782" s="1">
        <v>4.82262917E8</v>
      </c>
      <c r="AA1782" s="1" t="s">
        <v>46</v>
      </c>
      <c r="AB1782" s="1" t="s">
        <v>45</v>
      </c>
      <c r="AC1782" s="1">
        <v>4.82022943E8</v>
      </c>
      <c r="AF1782" s="1">
        <v>60184.0</v>
      </c>
      <c r="AG1782" s="2">
        <v>41794.0</v>
      </c>
      <c r="AH1782" s="1">
        <v>1600.0</v>
      </c>
      <c r="AI1782" s="1" t="s">
        <v>391</v>
      </c>
      <c r="AJ1782" s="1" t="s">
        <v>3322</v>
      </c>
      <c r="AK1782" s="1" t="s">
        <v>3323</v>
      </c>
      <c r="AL1782" s="1">
        <v>1.0</v>
      </c>
      <c r="AM1782" s="1">
        <v>2015.0</v>
      </c>
      <c r="AN1782" s="1">
        <v>2014.0</v>
      </c>
      <c r="AO1782" s="1" t="s">
        <v>3300</v>
      </c>
    </row>
    <row r="1783">
      <c r="A1783" s="5">
        <v>1.0</v>
      </c>
      <c r="B1783" s="1">
        <f t="shared" si="1"/>
        <v>1783</v>
      </c>
      <c r="C1783" s="1" t="s">
        <v>3298</v>
      </c>
      <c r="D1783" s="1" t="s">
        <v>3298</v>
      </c>
      <c r="E1783" s="1" t="s">
        <v>389</v>
      </c>
      <c r="G1783" s="1">
        <v>9.346816E7</v>
      </c>
      <c r="H1783" s="2">
        <v>41506.0</v>
      </c>
      <c r="I1783" s="1" t="s">
        <v>3290</v>
      </c>
      <c r="K1783" s="1" t="s">
        <v>3290</v>
      </c>
      <c r="N1783" s="1" t="s">
        <v>391</v>
      </c>
      <c r="O1783" s="1">
        <v>1600.0</v>
      </c>
      <c r="P1783" s="1" t="s">
        <v>391</v>
      </c>
      <c r="Q1783" s="1" t="str">
        <f>IF(ISERROR(VLOOKUP(P1783,'unique fed agency names'!A:C,3,FALSE)),P1783,VLOOKUP(P1783,'unique fed agency names'!A:C,3,FALSE))
</f>
        <v>U.S. Department of Labor (DOL)</v>
      </c>
      <c r="R1783" s="1">
        <v>9.68755756E8</v>
      </c>
      <c r="S1783" s="1" t="s">
        <v>1806</v>
      </c>
      <c r="T1783" s="1" t="str">
        <f>IF(ISERROR(VLOOKUP(S1783,'unique org names'!A:C,3,FALSE)),S1783,VLOOKUP(S1783,'unique org names'!A:C,3,FALSE))
</f>
        <v>Detroit Employment Solutions Corporation</v>
      </c>
      <c r="V1783" s="1" t="s">
        <v>1807</v>
      </c>
      <c r="W1783" s="1" t="s">
        <v>44</v>
      </c>
      <c r="X1783" s="1" t="s">
        <v>45</v>
      </c>
      <c r="Y1783" s="1">
        <v>4.82262917E8</v>
      </c>
      <c r="AA1783" s="1" t="s">
        <v>46</v>
      </c>
      <c r="AB1783" s="1" t="s">
        <v>45</v>
      </c>
      <c r="AC1783" s="1">
        <v>4.82022943E8</v>
      </c>
      <c r="AF1783" s="1">
        <v>4604328.0</v>
      </c>
      <c r="AG1783" s="2">
        <v>41506.0</v>
      </c>
      <c r="AH1783" s="1">
        <v>1600.0</v>
      </c>
      <c r="AI1783" s="1" t="s">
        <v>391</v>
      </c>
      <c r="AJ1783" s="1" t="s">
        <v>3324</v>
      </c>
      <c r="AK1783" s="1" t="s">
        <v>3319</v>
      </c>
      <c r="AL1783" s="1">
        <v>1.0</v>
      </c>
      <c r="AM1783" s="1">
        <v>2015.0</v>
      </c>
      <c r="AN1783" s="1">
        <v>2013.0</v>
      </c>
      <c r="AO1783" s="1" t="s">
        <v>3300</v>
      </c>
    </row>
    <row r="1784">
      <c r="A1784" s="5">
        <v>1.0</v>
      </c>
      <c r="B1784" s="1">
        <f t="shared" si="1"/>
        <v>1784</v>
      </c>
      <c r="C1784" s="1" t="s">
        <v>3298</v>
      </c>
      <c r="D1784" s="1" t="s">
        <v>3298</v>
      </c>
      <c r="E1784" s="1" t="s">
        <v>389</v>
      </c>
      <c r="G1784" s="1">
        <v>9.346816E7</v>
      </c>
      <c r="H1784" s="2">
        <v>41572.0</v>
      </c>
      <c r="I1784" s="1" t="s">
        <v>3290</v>
      </c>
      <c r="K1784" s="1" t="s">
        <v>3290</v>
      </c>
      <c r="N1784" s="1" t="s">
        <v>391</v>
      </c>
      <c r="O1784" s="1">
        <v>1600.0</v>
      </c>
      <c r="P1784" s="1" t="s">
        <v>391</v>
      </c>
      <c r="Q1784" s="1" t="str">
        <f>IF(ISERROR(VLOOKUP(P1784,'unique fed agency names'!A:C,3,FALSE)),P1784,VLOOKUP(P1784,'unique fed agency names'!A:C,3,FALSE))
</f>
        <v>U.S. Department of Labor (DOL)</v>
      </c>
      <c r="R1784" s="1">
        <v>9.68755756E8</v>
      </c>
      <c r="S1784" s="1" t="s">
        <v>1806</v>
      </c>
      <c r="T1784" s="1" t="str">
        <f>IF(ISERROR(VLOOKUP(S1784,'unique org names'!A:C,3,FALSE)),S1784,VLOOKUP(S1784,'unique org names'!A:C,3,FALSE))
</f>
        <v>Detroit Employment Solutions Corporation</v>
      </c>
      <c r="V1784" s="1" t="s">
        <v>1807</v>
      </c>
      <c r="W1784" s="1" t="s">
        <v>44</v>
      </c>
      <c r="X1784" s="1" t="s">
        <v>45</v>
      </c>
      <c r="Y1784" s="1">
        <v>4.82262917E8</v>
      </c>
      <c r="AA1784" s="1" t="s">
        <v>46</v>
      </c>
      <c r="AB1784" s="1" t="s">
        <v>45</v>
      </c>
      <c r="AC1784" s="1">
        <v>4.82022943E8</v>
      </c>
      <c r="AF1784" s="1">
        <v>4429720.0</v>
      </c>
      <c r="AG1784" s="2">
        <v>41572.0</v>
      </c>
      <c r="AH1784" s="1">
        <v>1600.0</v>
      </c>
      <c r="AI1784" s="1" t="s">
        <v>391</v>
      </c>
      <c r="AJ1784" s="1" t="s">
        <v>3325</v>
      </c>
      <c r="AK1784" s="1" t="s">
        <v>3326</v>
      </c>
      <c r="AL1784" s="1">
        <v>1.0</v>
      </c>
      <c r="AM1784" s="1">
        <v>2015.0</v>
      </c>
      <c r="AN1784" s="1">
        <v>2014.0</v>
      </c>
      <c r="AO1784" s="1" t="s">
        <v>3300</v>
      </c>
    </row>
    <row r="1785">
      <c r="A1785" s="5">
        <v>1.0</v>
      </c>
      <c r="B1785" s="1">
        <f t="shared" si="1"/>
        <v>1785</v>
      </c>
      <c r="C1785" s="1" t="s">
        <v>3327</v>
      </c>
      <c r="D1785" s="1" t="s">
        <v>3327</v>
      </c>
      <c r="E1785" s="1" t="s">
        <v>389</v>
      </c>
      <c r="G1785" s="1">
        <v>3484453.0</v>
      </c>
      <c r="H1785" s="2">
        <v>41506.0</v>
      </c>
      <c r="I1785" s="1" t="s">
        <v>3328</v>
      </c>
      <c r="K1785" s="1" t="s">
        <v>3328</v>
      </c>
      <c r="N1785" s="1" t="s">
        <v>391</v>
      </c>
      <c r="O1785" s="1">
        <v>1600.0</v>
      </c>
      <c r="P1785" s="1" t="s">
        <v>391</v>
      </c>
      <c r="Q1785" s="1" t="str">
        <f>IF(ISERROR(VLOOKUP(P1785,'unique fed agency names'!A:C,3,FALSE)),P1785,VLOOKUP(P1785,'unique fed agency names'!A:C,3,FALSE))
</f>
        <v>U.S. Department of Labor (DOL)</v>
      </c>
      <c r="R1785" s="1">
        <v>9.68755756E8</v>
      </c>
      <c r="S1785" s="1" t="s">
        <v>1806</v>
      </c>
      <c r="T1785" s="1" t="str">
        <f>IF(ISERROR(VLOOKUP(S1785,'unique org names'!A:C,3,FALSE)),S1785,VLOOKUP(S1785,'unique org names'!A:C,3,FALSE))
</f>
        <v>Detroit Employment Solutions Corporation</v>
      </c>
      <c r="V1785" s="1" t="s">
        <v>1807</v>
      </c>
      <c r="W1785" s="1" t="s">
        <v>44</v>
      </c>
      <c r="X1785" s="1" t="s">
        <v>45</v>
      </c>
      <c r="Y1785" s="1">
        <v>4.82262917E8</v>
      </c>
      <c r="AA1785" s="1" t="s">
        <v>46</v>
      </c>
      <c r="AB1785" s="1" t="s">
        <v>45</v>
      </c>
      <c r="AC1785" s="1">
        <v>4.82022943E8</v>
      </c>
      <c r="AF1785" s="1">
        <v>533334.0</v>
      </c>
      <c r="AG1785" s="2">
        <v>41506.0</v>
      </c>
      <c r="AH1785" s="1">
        <v>1600.0</v>
      </c>
      <c r="AI1785" s="1" t="s">
        <v>391</v>
      </c>
      <c r="AJ1785" s="1" t="s">
        <v>3329</v>
      </c>
      <c r="AK1785" s="1" t="s">
        <v>3330</v>
      </c>
      <c r="AL1785" s="1">
        <v>1.0</v>
      </c>
      <c r="AM1785" s="1">
        <v>2015.0</v>
      </c>
      <c r="AN1785" s="1">
        <v>2013.0</v>
      </c>
      <c r="AO1785" s="1" t="s">
        <v>3331</v>
      </c>
    </row>
    <row r="1786">
      <c r="A1786" s="5">
        <v>1.0</v>
      </c>
      <c r="B1786" s="1">
        <f t="shared" si="1"/>
        <v>1786</v>
      </c>
      <c r="C1786" s="1" t="s">
        <v>3332</v>
      </c>
      <c r="D1786" s="1" t="s">
        <v>3332</v>
      </c>
      <c r="E1786" s="1" t="s">
        <v>389</v>
      </c>
      <c r="G1786" s="1">
        <v>2.1291774E7</v>
      </c>
      <c r="H1786" s="2">
        <v>41821.0</v>
      </c>
      <c r="I1786" s="1" t="s">
        <v>397</v>
      </c>
      <c r="K1786" s="1" t="s">
        <v>397</v>
      </c>
      <c r="N1786" s="1" t="s">
        <v>391</v>
      </c>
      <c r="O1786" s="1">
        <v>1600.0</v>
      </c>
      <c r="P1786" s="1" t="s">
        <v>391</v>
      </c>
      <c r="Q1786" s="1" t="str">
        <f>IF(ISERROR(VLOOKUP(P1786,'unique fed agency names'!A:C,3,FALSE)),P1786,VLOOKUP(P1786,'unique fed agency names'!A:C,3,FALSE))
</f>
        <v>U.S. Department of Labor (DOL)</v>
      </c>
      <c r="R1786" s="1">
        <v>9.68755756E8</v>
      </c>
      <c r="S1786" s="1" t="s">
        <v>1806</v>
      </c>
      <c r="T1786" s="1" t="str">
        <f>IF(ISERROR(VLOOKUP(S1786,'unique org names'!A:C,3,FALSE)),S1786,VLOOKUP(S1786,'unique org names'!A:C,3,FALSE))
</f>
        <v>Detroit Employment Solutions Corporation</v>
      </c>
      <c r="V1786" s="1" t="s">
        <v>1807</v>
      </c>
      <c r="W1786" s="1" t="s">
        <v>44</v>
      </c>
      <c r="X1786" s="1" t="s">
        <v>45</v>
      </c>
      <c r="Y1786" s="1">
        <v>4.82262917E8</v>
      </c>
      <c r="AA1786" s="1" t="s">
        <v>46</v>
      </c>
      <c r="AB1786" s="1" t="s">
        <v>45</v>
      </c>
      <c r="AC1786" s="1">
        <v>4.82022943E8</v>
      </c>
      <c r="AF1786" s="1">
        <v>1466326.0</v>
      </c>
      <c r="AG1786" s="2">
        <v>41821.0</v>
      </c>
      <c r="AH1786" s="1">
        <v>1600.0</v>
      </c>
      <c r="AI1786" s="1" t="s">
        <v>391</v>
      </c>
      <c r="AJ1786" s="1" t="s">
        <v>3333</v>
      </c>
      <c r="AK1786" s="1" t="s">
        <v>3334</v>
      </c>
      <c r="AL1786" s="1">
        <v>1.0</v>
      </c>
      <c r="AM1786" s="1">
        <v>2015.0</v>
      </c>
      <c r="AN1786" s="1">
        <v>2014.0</v>
      </c>
      <c r="AO1786" s="1" t="s">
        <v>3335</v>
      </c>
    </row>
    <row r="1787">
      <c r="A1787" s="5">
        <v>1.0</v>
      </c>
      <c r="B1787" s="1">
        <f t="shared" si="1"/>
        <v>1787</v>
      </c>
      <c r="C1787" s="1" t="s">
        <v>2755</v>
      </c>
      <c r="D1787" s="1" t="s">
        <v>2755</v>
      </c>
      <c r="E1787" s="1" t="s">
        <v>38</v>
      </c>
      <c r="G1787" s="1">
        <v>9625114.0</v>
      </c>
      <c r="H1787" s="2">
        <v>41879.0</v>
      </c>
      <c r="I1787" s="1" t="s">
        <v>2756</v>
      </c>
      <c r="K1787" s="1" t="s">
        <v>2756</v>
      </c>
      <c r="N1787" s="1" t="s">
        <v>40</v>
      </c>
      <c r="O1787" s="1">
        <v>7500.0</v>
      </c>
      <c r="P1787" s="1" t="s">
        <v>40</v>
      </c>
      <c r="Q1787" s="1" t="str">
        <f>IF(ISERROR(VLOOKUP(P1787,'unique fed agency names'!A:C,3,FALSE)),P1787,VLOOKUP(P1787,'unique fed agency names'!A:C,3,FALSE))
</f>
        <v>U.S. Department of Health and Human Services (DHHS)</v>
      </c>
      <c r="R1787" s="1">
        <v>1962224.0</v>
      </c>
      <c r="S1787" s="1" t="s">
        <v>52</v>
      </c>
      <c r="T1787" s="1" t="str">
        <f>IF(ISERROR(VLOOKUP(S1787,'unique org names'!A:C,3,FALSE)),S1787,VLOOKUP(S1787,'unique org names'!A:C,3,FALSE))
</f>
        <v>WAYNE STATE UNIVERSITY</v>
      </c>
      <c r="V1787" s="1" t="s">
        <v>1885</v>
      </c>
      <c r="W1787" s="1" t="s">
        <v>44</v>
      </c>
      <c r="X1787" s="1" t="s">
        <v>45</v>
      </c>
      <c r="Y1787" s="1">
        <v>4.82021347E8</v>
      </c>
      <c r="AA1787" s="1" t="s">
        <v>46</v>
      </c>
      <c r="AB1787" s="1" t="s">
        <v>45</v>
      </c>
      <c r="AC1787" s="1">
        <v>4.8202405E8</v>
      </c>
      <c r="AD1787" s="1">
        <v>1962224.0</v>
      </c>
      <c r="AE1787" s="1" t="s">
        <v>52</v>
      </c>
      <c r="AF1787" s="1">
        <v>1166373.0</v>
      </c>
      <c r="AG1787" s="2">
        <v>41879.0</v>
      </c>
      <c r="AH1787" s="1">
        <v>7500.0</v>
      </c>
      <c r="AI1787" s="1" t="s">
        <v>40</v>
      </c>
      <c r="AJ1787" s="1">
        <v>1.53405504E8</v>
      </c>
      <c r="AK1787" s="1" t="s">
        <v>2757</v>
      </c>
      <c r="AL1787" s="1">
        <v>1.0</v>
      </c>
      <c r="AM1787" s="1">
        <v>2015.0</v>
      </c>
      <c r="AN1787" s="1">
        <v>2014.0</v>
      </c>
      <c r="AO1787" s="1" t="s">
        <v>202</v>
      </c>
    </row>
    <row r="1788">
      <c r="A1788" s="5">
        <v>1.0</v>
      </c>
      <c r="B1788" s="1">
        <f t="shared" si="1"/>
        <v>1788</v>
      </c>
      <c r="C1788" s="1" t="s">
        <v>3310</v>
      </c>
      <c r="D1788" s="1" t="s">
        <v>3310</v>
      </c>
      <c r="E1788" s="1" t="s">
        <v>389</v>
      </c>
      <c r="G1788" s="1">
        <v>5.1970484E7</v>
      </c>
      <c r="H1788" s="2">
        <v>41918.0</v>
      </c>
      <c r="I1788" s="1" t="s">
        <v>1875</v>
      </c>
      <c r="K1788" s="1" t="s">
        <v>1875</v>
      </c>
      <c r="N1788" s="1" t="s">
        <v>391</v>
      </c>
      <c r="O1788" s="1">
        <v>1600.0</v>
      </c>
      <c r="P1788" s="1" t="s">
        <v>391</v>
      </c>
      <c r="Q1788" s="1" t="str">
        <f>IF(ISERROR(VLOOKUP(P1788,'unique fed agency names'!A:C,3,FALSE)),P1788,VLOOKUP(P1788,'unique fed agency names'!A:C,3,FALSE))
</f>
        <v>U.S. Department of Labor (DOL)</v>
      </c>
      <c r="R1788" s="1">
        <v>9.68755756E8</v>
      </c>
      <c r="S1788" s="1" t="s">
        <v>1806</v>
      </c>
      <c r="T1788" s="1" t="str">
        <f>IF(ISERROR(VLOOKUP(S1788,'unique org names'!A:C,3,FALSE)),S1788,VLOOKUP(S1788,'unique org names'!A:C,3,FALSE))
</f>
        <v>Detroit Employment Solutions Corporation</v>
      </c>
      <c r="V1788" s="1" t="s">
        <v>1807</v>
      </c>
      <c r="W1788" s="1" t="s">
        <v>44</v>
      </c>
      <c r="X1788" s="1" t="s">
        <v>45</v>
      </c>
      <c r="Y1788" s="1">
        <v>4.82262917E8</v>
      </c>
      <c r="AA1788" s="1" t="s">
        <v>46</v>
      </c>
      <c r="AB1788" s="1" t="s">
        <v>45</v>
      </c>
      <c r="AC1788" s="1">
        <v>4.82022943E8</v>
      </c>
      <c r="AF1788" s="1">
        <v>310989.0</v>
      </c>
      <c r="AG1788" s="2">
        <v>41918.0</v>
      </c>
      <c r="AH1788" s="1">
        <v>1600.0</v>
      </c>
      <c r="AI1788" s="1" t="s">
        <v>391</v>
      </c>
      <c r="AJ1788" s="1" t="s">
        <v>3336</v>
      </c>
      <c r="AK1788" s="1" t="s">
        <v>1882</v>
      </c>
      <c r="AL1788" s="1">
        <v>1.0</v>
      </c>
      <c r="AM1788" s="1">
        <v>2015.0</v>
      </c>
      <c r="AN1788" s="1">
        <v>2015.0</v>
      </c>
      <c r="AO1788" s="1" t="s">
        <v>1878</v>
      </c>
    </row>
    <row r="1789">
      <c r="A1789" s="5">
        <v>1.0</v>
      </c>
      <c r="B1789" s="1">
        <f t="shared" si="1"/>
        <v>1789</v>
      </c>
      <c r="C1789" s="1" t="s">
        <v>3310</v>
      </c>
      <c r="D1789" s="1" t="s">
        <v>3310</v>
      </c>
      <c r="E1789" s="1" t="s">
        <v>389</v>
      </c>
      <c r="G1789" s="1">
        <v>5.1970484E7</v>
      </c>
      <c r="H1789" s="2">
        <v>42011.0</v>
      </c>
      <c r="I1789" s="1" t="s">
        <v>1875</v>
      </c>
      <c r="K1789" s="1" t="s">
        <v>1875</v>
      </c>
      <c r="N1789" s="1" t="s">
        <v>391</v>
      </c>
      <c r="O1789" s="1">
        <v>1600.0</v>
      </c>
      <c r="P1789" s="1" t="s">
        <v>391</v>
      </c>
      <c r="Q1789" s="1" t="str">
        <f>IF(ISERROR(VLOOKUP(P1789,'unique fed agency names'!A:C,3,FALSE)),P1789,VLOOKUP(P1789,'unique fed agency names'!A:C,3,FALSE))
</f>
        <v>U.S. Department of Labor (DOL)</v>
      </c>
      <c r="R1789" s="1">
        <v>9.68755756E8</v>
      </c>
      <c r="S1789" s="1" t="s">
        <v>1806</v>
      </c>
      <c r="T1789" s="1" t="str">
        <f>IF(ISERROR(VLOOKUP(S1789,'unique org names'!A:C,3,FALSE)),S1789,VLOOKUP(S1789,'unique org names'!A:C,3,FALSE))
</f>
        <v>Detroit Employment Solutions Corporation</v>
      </c>
      <c r="V1789" s="1" t="s">
        <v>1807</v>
      </c>
      <c r="W1789" s="1" t="s">
        <v>44</v>
      </c>
      <c r="X1789" s="1" t="s">
        <v>45</v>
      </c>
      <c r="Y1789" s="1">
        <v>4.82262917E8</v>
      </c>
      <c r="AA1789" s="1" t="s">
        <v>46</v>
      </c>
      <c r="AB1789" s="1" t="s">
        <v>45</v>
      </c>
      <c r="AC1789" s="1">
        <v>4.82022943E8</v>
      </c>
      <c r="AF1789" s="1">
        <v>584000.0</v>
      </c>
      <c r="AG1789" s="2">
        <v>42011.0</v>
      </c>
      <c r="AH1789" s="1">
        <v>1600.0</v>
      </c>
      <c r="AI1789" s="1" t="s">
        <v>391</v>
      </c>
      <c r="AJ1789" s="1" t="s">
        <v>3313</v>
      </c>
      <c r="AK1789" s="1" t="s">
        <v>1884</v>
      </c>
      <c r="AL1789" s="1">
        <v>1.0</v>
      </c>
      <c r="AM1789" s="1">
        <v>2015.0</v>
      </c>
      <c r="AN1789" s="1">
        <v>2015.0</v>
      </c>
      <c r="AO1789" s="1" t="s">
        <v>1878</v>
      </c>
    </row>
    <row r="1790">
      <c r="A1790" s="5">
        <v>1.0</v>
      </c>
      <c r="B1790" s="1">
        <f t="shared" si="1"/>
        <v>1790</v>
      </c>
      <c r="C1790" s="1" t="s">
        <v>3337</v>
      </c>
      <c r="D1790" s="1" t="s">
        <v>3337</v>
      </c>
      <c r="E1790" s="1" t="s">
        <v>194</v>
      </c>
      <c r="G1790" s="1">
        <v>3.9049236E7</v>
      </c>
      <c r="H1790" s="2">
        <v>41897.0</v>
      </c>
      <c r="I1790" s="1" t="s">
        <v>279</v>
      </c>
      <c r="K1790" s="1" t="s">
        <v>279</v>
      </c>
      <c r="N1790" s="1" t="s">
        <v>194</v>
      </c>
      <c r="O1790" s="1">
        <v>9100.0</v>
      </c>
      <c r="P1790" s="1" t="s">
        <v>194</v>
      </c>
      <c r="Q1790" s="1" t="str">
        <f>IF(ISERROR(VLOOKUP(P1790,'unique fed agency names'!A:C,3,FALSE)),P1790,VLOOKUP(P1790,'unique fed agency names'!A:C,3,FALSE))
</f>
        <v>U.S. Department of Education (ED)</v>
      </c>
      <c r="R1790" s="1">
        <v>3.9866801E7</v>
      </c>
      <c r="S1790" s="1" t="s">
        <v>612</v>
      </c>
      <c r="T1790" s="1" t="str">
        <f>IF(ISERROR(VLOOKUP(S1790,'unique org names'!A:C,3,FALSE)),S1790,VLOOKUP(S1790,'unique org names'!A:C,3,FALSE))
</f>
        <v>HAMTRAMCK PUBLIC SCHOOLS</v>
      </c>
      <c r="V1790" s="1" t="s">
        <v>613</v>
      </c>
      <c r="W1790" s="1" t="s">
        <v>44</v>
      </c>
      <c r="X1790" s="1" t="s">
        <v>45</v>
      </c>
      <c r="Y1790" s="1">
        <v>4.8212E8</v>
      </c>
      <c r="AA1790" s="1" t="s">
        <v>607</v>
      </c>
      <c r="AB1790" s="1" t="s">
        <v>45</v>
      </c>
      <c r="AC1790" s="1">
        <v>4.82120012E8</v>
      </c>
      <c r="AD1790" s="1">
        <v>3.9866801E7</v>
      </c>
      <c r="AE1790" s="1" t="s">
        <v>612</v>
      </c>
      <c r="AF1790" s="1">
        <v>675000.0</v>
      </c>
      <c r="AG1790" s="2">
        <v>41897.0</v>
      </c>
      <c r="AH1790" s="1">
        <v>9100.0</v>
      </c>
      <c r="AI1790" s="1" t="s">
        <v>194</v>
      </c>
      <c r="AJ1790" s="1" t="s">
        <v>3338</v>
      </c>
      <c r="AK1790" s="1" t="s">
        <v>3339</v>
      </c>
      <c r="AL1790" s="1">
        <v>1.0</v>
      </c>
      <c r="AM1790" s="1">
        <v>2015.0</v>
      </c>
      <c r="AN1790" s="1">
        <v>2014.0</v>
      </c>
      <c r="AO1790" s="1" t="s">
        <v>285</v>
      </c>
    </row>
    <row r="1791">
      <c r="A1791" s="5">
        <v>1.0</v>
      </c>
      <c r="B1791" s="1">
        <f t="shared" si="1"/>
        <v>1791</v>
      </c>
      <c r="C1791" s="1" t="s">
        <v>3337</v>
      </c>
      <c r="D1791" s="1" t="s">
        <v>3337</v>
      </c>
      <c r="E1791" s="1" t="s">
        <v>194</v>
      </c>
      <c r="G1791" s="1">
        <v>3.9049236E7</v>
      </c>
      <c r="H1791" s="2">
        <v>41865.0</v>
      </c>
      <c r="I1791" s="1" t="s">
        <v>279</v>
      </c>
      <c r="K1791" s="1" t="s">
        <v>279</v>
      </c>
      <c r="N1791" s="1" t="s">
        <v>194</v>
      </c>
      <c r="O1791" s="1">
        <v>9100.0</v>
      </c>
      <c r="P1791" s="1" t="s">
        <v>194</v>
      </c>
      <c r="Q1791" s="1" t="str">
        <f>IF(ISERROR(VLOOKUP(P1791,'unique fed agency names'!A:C,3,FALSE)),P1791,VLOOKUP(P1791,'unique fed agency names'!A:C,3,FALSE))
</f>
        <v>U.S. Department of Education (ED)</v>
      </c>
      <c r="R1791" s="1">
        <v>1962224.0</v>
      </c>
      <c r="S1791" s="1" t="s">
        <v>52</v>
      </c>
      <c r="T1791" s="1" t="str">
        <f>IF(ISERROR(VLOOKUP(S1791,'unique org names'!A:C,3,FALSE)),S1791,VLOOKUP(S1791,'unique org names'!A:C,3,FALSE))
</f>
        <v>WAYNE STATE UNIVERSITY</v>
      </c>
      <c r="V1791" s="1" t="s">
        <v>1885</v>
      </c>
      <c r="W1791" s="1" t="s">
        <v>44</v>
      </c>
      <c r="X1791" s="1" t="s">
        <v>45</v>
      </c>
      <c r="Y1791" s="1">
        <v>4.82021347E8</v>
      </c>
      <c r="AA1791" s="1" t="s">
        <v>44</v>
      </c>
      <c r="AB1791" s="1" t="s">
        <v>45</v>
      </c>
      <c r="AC1791" s="1">
        <v>4.82023424E8</v>
      </c>
      <c r="AD1791" s="1">
        <v>1962224.0</v>
      </c>
      <c r="AE1791" s="1" t="s">
        <v>52</v>
      </c>
      <c r="AF1791" s="1">
        <v>2025000.0</v>
      </c>
      <c r="AG1791" s="2">
        <v>41865.0</v>
      </c>
      <c r="AH1791" s="1">
        <v>9100.0</v>
      </c>
      <c r="AI1791" s="1" t="s">
        <v>194</v>
      </c>
      <c r="AJ1791" s="1" t="s">
        <v>3340</v>
      </c>
      <c r="AK1791" s="1" t="s">
        <v>284</v>
      </c>
      <c r="AL1791" s="1">
        <v>1.0</v>
      </c>
      <c r="AM1791" s="1">
        <v>2015.0</v>
      </c>
      <c r="AN1791" s="1">
        <v>2014.0</v>
      </c>
      <c r="AO1791" s="1" t="s">
        <v>285</v>
      </c>
    </row>
    <row r="1792">
      <c r="A1792" s="5">
        <v>1.0</v>
      </c>
      <c r="B1792" s="1">
        <f t="shared" si="1"/>
        <v>1792</v>
      </c>
      <c r="C1792" s="1" t="s">
        <v>3341</v>
      </c>
      <c r="D1792" s="1" t="s">
        <v>3341</v>
      </c>
      <c r="E1792" s="1" t="s">
        <v>194</v>
      </c>
      <c r="G1792" s="1">
        <v>1.1225251E7</v>
      </c>
      <c r="H1792" s="2">
        <v>41968.0</v>
      </c>
      <c r="I1792" s="1" t="s">
        <v>685</v>
      </c>
      <c r="K1792" s="1" t="s">
        <v>685</v>
      </c>
      <c r="N1792" s="1" t="s">
        <v>194</v>
      </c>
      <c r="O1792" s="1">
        <v>9100.0</v>
      </c>
      <c r="P1792" s="1" t="s">
        <v>194</v>
      </c>
      <c r="Q1792" s="1" t="str">
        <f>IF(ISERROR(VLOOKUP(P1792,'unique fed agency names'!A:C,3,FALSE)),P1792,VLOOKUP(P1792,'unique fed agency names'!A:C,3,FALSE))
</f>
        <v>U.S. Department of Education (ED)</v>
      </c>
      <c r="R1792" s="1">
        <v>7.97531279E8</v>
      </c>
      <c r="S1792" s="1" t="s">
        <v>496</v>
      </c>
      <c r="T1792" s="1" t="str">
        <f>IF(ISERROR(VLOOKUP(S1792,'unique org names'!A:C,3,FALSE)),S1792,VLOOKUP(S1792,'unique org names'!A:C,3,FALSE))
</f>
        <v>BRIDGE ACADEMY</v>
      </c>
      <c r="V1792" s="1" t="s">
        <v>497</v>
      </c>
      <c r="W1792" s="1" t="s">
        <v>44</v>
      </c>
      <c r="X1792" s="1" t="s">
        <v>45</v>
      </c>
      <c r="Y1792" s="1">
        <v>4.82123323E8</v>
      </c>
      <c r="AA1792" s="1" t="s">
        <v>498</v>
      </c>
      <c r="AB1792" s="1" t="s">
        <v>45</v>
      </c>
      <c r="AC1792" s="1">
        <v>4.82123323E8</v>
      </c>
      <c r="AF1792" s="1">
        <v>50137.0</v>
      </c>
      <c r="AG1792" s="2">
        <v>41968.0</v>
      </c>
      <c r="AH1792" s="1">
        <v>9100.0</v>
      </c>
      <c r="AI1792" s="1" t="s">
        <v>194</v>
      </c>
      <c r="AJ1792" s="1" t="s">
        <v>3342</v>
      </c>
      <c r="AK1792" s="1" t="s">
        <v>3343</v>
      </c>
      <c r="AL1792" s="1">
        <v>1.0</v>
      </c>
      <c r="AM1792" s="1">
        <v>2015.0</v>
      </c>
      <c r="AN1792" s="1">
        <v>2015.0</v>
      </c>
      <c r="AO1792" s="1" t="s">
        <v>688</v>
      </c>
    </row>
    <row r="1793">
      <c r="A1793" s="5">
        <v>1.0</v>
      </c>
      <c r="B1793" s="1">
        <f t="shared" si="1"/>
        <v>1793</v>
      </c>
      <c r="C1793" s="1" t="s">
        <v>3344</v>
      </c>
      <c r="D1793" s="1" t="s">
        <v>3344</v>
      </c>
      <c r="E1793" s="1" t="s">
        <v>194</v>
      </c>
      <c r="G1793" s="1">
        <v>8.9228048E7</v>
      </c>
      <c r="H1793" s="2">
        <v>41733.0</v>
      </c>
      <c r="I1793" s="1" t="s">
        <v>458</v>
      </c>
      <c r="K1793" s="1" t="s">
        <v>458</v>
      </c>
      <c r="N1793" s="1" t="s">
        <v>194</v>
      </c>
      <c r="O1793" s="1">
        <v>9100.0</v>
      </c>
      <c r="P1793" s="1" t="s">
        <v>194</v>
      </c>
      <c r="Q1793" s="1" t="str">
        <f>IF(ISERROR(VLOOKUP(P1793,'unique fed agency names'!A:C,3,FALSE)),P1793,VLOOKUP(P1793,'unique fed agency names'!A:C,3,FALSE))
</f>
        <v>U.S. Department of Education (ED)</v>
      </c>
      <c r="R1793" s="1">
        <v>1.52807538E8</v>
      </c>
      <c r="S1793" s="1" t="s">
        <v>591</v>
      </c>
      <c r="T1793" s="1" t="str">
        <f>IF(ISERROR(VLOOKUP(S1793,'unique org names'!A:C,3,FALSE)),S1793,VLOOKUP(S1793,'unique org names'!A:C,3,FALSE))
</f>
        <v>WESTON TECHNICAL ACADEMY</v>
      </c>
      <c r="U1793" s="1" t="s">
        <v>3345</v>
      </c>
      <c r="V1793" s="1" t="s">
        <v>592</v>
      </c>
      <c r="W1793" s="1" t="s">
        <v>44</v>
      </c>
      <c r="X1793" s="1" t="s">
        <v>45</v>
      </c>
      <c r="Y1793" s="1">
        <v>4.82191161E8</v>
      </c>
      <c r="AA1793" s="1" t="s">
        <v>44</v>
      </c>
      <c r="AB1793" s="1" t="s">
        <v>45</v>
      </c>
      <c r="AC1793" s="1">
        <v>4.82191161E8</v>
      </c>
      <c r="AD1793" s="1">
        <v>1.93229721E8</v>
      </c>
      <c r="AE1793" s="1" t="s">
        <v>3346</v>
      </c>
      <c r="AF1793" s="1">
        <v>35224.0</v>
      </c>
      <c r="AG1793" s="2">
        <v>41733.0</v>
      </c>
      <c r="AH1793" s="1">
        <v>9100.0</v>
      </c>
      <c r="AI1793" s="1" t="s">
        <v>194</v>
      </c>
      <c r="AJ1793" s="1" t="s">
        <v>3347</v>
      </c>
      <c r="AK1793" s="1" t="s">
        <v>463</v>
      </c>
      <c r="AL1793" s="1">
        <v>1.0</v>
      </c>
      <c r="AM1793" s="1">
        <v>2015.0</v>
      </c>
      <c r="AN1793" s="1">
        <v>2014.0</v>
      </c>
      <c r="AO1793" s="1" t="s">
        <v>277</v>
      </c>
    </row>
    <row r="1794">
      <c r="A1794" s="5">
        <v>1.0</v>
      </c>
      <c r="B1794" s="1">
        <f t="shared" si="1"/>
        <v>1794</v>
      </c>
      <c r="C1794" s="1" t="s">
        <v>3344</v>
      </c>
      <c r="D1794" s="1" t="s">
        <v>3344</v>
      </c>
      <c r="E1794" s="1" t="s">
        <v>194</v>
      </c>
      <c r="G1794" s="1">
        <v>8.9228048E7</v>
      </c>
      <c r="H1794" s="2">
        <v>41740.0</v>
      </c>
      <c r="I1794" s="1" t="s">
        <v>458</v>
      </c>
      <c r="K1794" s="1" t="s">
        <v>458</v>
      </c>
      <c r="N1794" s="1" t="s">
        <v>194</v>
      </c>
      <c r="O1794" s="1">
        <v>9100.0</v>
      </c>
      <c r="P1794" s="1" t="s">
        <v>194</v>
      </c>
      <c r="Q1794" s="1" t="str">
        <f>IF(ISERROR(VLOOKUP(P1794,'unique fed agency names'!A:C,3,FALSE)),P1794,VLOOKUP(P1794,'unique fed agency names'!A:C,3,FALSE))
</f>
        <v>U.S. Department of Education (ED)</v>
      </c>
      <c r="R1794" s="1">
        <v>8.0463354E7</v>
      </c>
      <c r="S1794" s="1" t="s">
        <v>518</v>
      </c>
      <c r="T1794" s="1" t="str">
        <f>IF(ISERROR(VLOOKUP(S1794,'unique org names'!A:C,3,FALSE)),S1794,VLOOKUP(S1794,'unique org names'!A:C,3,FALSE))
</f>
        <v>UNIVERSAL ACADEMY</v>
      </c>
      <c r="V1794" s="1" t="s">
        <v>519</v>
      </c>
      <c r="W1794" s="1" t="s">
        <v>44</v>
      </c>
      <c r="X1794" s="1" t="s">
        <v>45</v>
      </c>
      <c r="Y1794" s="1">
        <v>4.82102105E8</v>
      </c>
      <c r="AA1794" s="1" t="s">
        <v>44</v>
      </c>
      <c r="AB1794" s="1" t="s">
        <v>45</v>
      </c>
      <c r="AC1794" s="1">
        <v>4.82102105E8</v>
      </c>
      <c r="AD1794" s="1">
        <v>8.0463354E7</v>
      </c>
      <c r="AE1794" s="1" t="s">
        <v>518</v>
      </c>
      <c r="AF1794" s="1">
        <v>30077.0</v>
      </c>
      <c r="AG1794" s="2">
        <v>41740.0</v>
      </c>
      <c r="AH1794" s="1">
        <v>9100.0</v>
      </c>
      <c r="AI1794" s="1" t="s">
        <v>194</v>
      </c>
      <c r="AJ1794" s="1" t="s">
        <v>3348</v>
      </c>
      <c r="AK1794" s="1" t="s">
        <v>463</v>
      </c>
      <c r="AL1794" s="1">
        <v>1.0</v>
      </c>
      <c r="AM1794" s="1">
        <v>2015.0</v>
      </c>
      <c r="AN1794" s="1">
        <v>2014.0</v>
      </c>
      <c r="AO1794" s="1" t="s">
        <v>277</v>
      </c>
    </row>
    <row r="1795">
      <c r="A1795" s="5">
        <v>1.0</v>
      </c>
      <c r="B1795" s="1">
        <f t="shared" si="1"/>
        <v>1795</v>
      </c>
      <c r="C1795" s="1" t="s">
        <v>3344</v>
      </c>
      <c r="D1795" s="1" t="s">
        <v>3344</v>
      </c>
      <c r="E1795" s="1" t="s">
        <v>194</v>
      </c>
      <c r="G1795" s="1">
        <v>8.9228048E7</v>
      </c>
      <c r="H1795" s="2">
        <v>41752.0</v>
      </c>
      <c r="I1795" s="1" t="s">
        <v>458</v>
      </c>
      <c r="K1795" s="1" t="s">
        <v>458</v>
      </c>
      <c r="N1795" s="1" t="s">
        <v>194</v>
      </c>
      <c r="O1795" s="1">
        <v>9100.0</v>
      </c>
      <c r="P1795" s="1" t="s">
        <v>194</v>
      </c>
      <c r="Q1795" s="1" t="str">
        <f>IF(ISERROR(VLOOKUP(P1795,'unique fed agency names'!A:C,3,FALSE)),P1795,VLOOKUP(P1795,'unique fed agency names'!A:C,3,FALSE))
</f>
        <v>U.S. Department of Education (ED)</v>
      </c>
      <c r="R1795" s="1">
        <v>8.3082572E8</v>
      </c>
      <c r="S1795" s="1" t="s">
        <v>465</v>
      </c>
      <c r="T1795" s="1" t="str">
        <f>IF(ISERROR(VLOOKUP(S1795,'unique org names'!A:C,3,FALSE)),S1795,VLOOKUP(S1795,'unique org names'!A:C,3,FALSE))
</f>
        <v>Public School Academies of Detroit</v>
      </c>
      <c r="U1795" s="1" t="s">
        <v>554</v>
      </c>
      <c r="V1795" s="1" t="s">
        <v>555</v>
      </c>
      <c r="W1795" s="1" t="s">
        <v>44</v>
      </c>
      <c r="X1795" s="1" t="s">
        <v>45</v>
      </c>
      <c r="Y1795" s="1">
        <v>4.82024061E8</v>
      </c>
      <c r="AA1795" s="1" t="s">
        <v>44</v>
      </c>
      <c r="AB1795" s="1" t="s">
        <v>45</v>
      </c>
      <c r="AC1795" s="1">
        <v>4.82023457E8</v>
      </c>
      <c r="AD1795" s="1">
        <v>1.6338926E8</v>
      </c>
      <c r="AE1795" s="1" t="s">
        <v>465</v>
      </c>
      <c r="AF1795" s="1">
        <v>114765.0</v>
      </c>
      <c r="AG1795" s="2">
        <v>41752.0</v>
      </c>
      <c r="AH1795" s="1">
        <v>9100.0</v>
      </c>
      <c r="AI1795" s="1" t="s">
        <v>194</v>
      </c>
      <c r="AJ1795" s="1" t="s">
        <v>3349</v>
      </c>
      <c r="AK1795" s="1" t="s">
        <v>463</v>
      </c>
      <c r="AL1795" s="1">
        <v>1.0</v>
      </c>
      <c r="AM1795" s="1">
        <v>2015.0</v>
      </c>
      <c r="AN1795" s="1">
        <v>2014.0</v>
      </c>
      <c r="AO1795" s="1" t="s">
        <v>277</v>
      </c>
    </row>
    <row r="1796">
      <c r="A1796" s="5">
        <v>1.0</v>
      </c>
      <c r="B1796" s="1">
        <f t="shared" si="1"/>
        <v>1796</v>
      </c>
      <c r="C1796" s="1" t="s">
        <v>3344</v>
      </c>
      <c r="D1796" s="1" t="s">
        <v>3344</v>
      </c>
      <c r="E1796" s="1" t="s">
        <v>194</v>
      </c>
      <c r="G1796" s="1">
        <v>8.9228048E7</v>
      </c>
      <c r="H1796" s="2">
        <v>41681.0</v>
      </c>
      <c r="I1796" s="1" t="s">
        <v>458</v>
      </c>
      <c r="K1796" s="1" t="s">
        <v>458</v>
      </c>
      <c r="N1796" s="1" t="s">
        <v>194</v>
      </c>
      <c r="O1796" s="1">
        <v>9100.0</v>
      </c>
      <c r="P1796" s="1" t="s">
        <v>194</v>
      </c>
      <c r="Q1796" s="1" t="str">
        <f>IF(ISERROR(VLOOKUP(P1796,'unique fed agency names'!A:C,3,FALSE)),P1796,VLOOKUP(P1796,'unique fed agency names'!A:C,3,FALSE))
</f>
        <v>U.S. Department of Education (ED)</v>
      </c>
      <c r="R1796" s="1">
        <v>1.80070547E8</v>
      </c>
      <c r="S1796" s="1" t="s">
        <v>508</v>
      </c>
      <c r="T1796" s="1" t="str">
        <f>IF(ISERROR(VLOOKUP(S1796,'unique org names'!A:C,3,FALSE)),S1796,VLOOKUP(S1796,'unique org names'!A:C,3,FALSE))
</f>
        <v>BLANCHE KELSO BRUCE ACADEMY</v>
      </c>
      <c r="U1796" s="1" t="s">
        <v>3350</v>
      </c>
      <c r="V1796" s="1" t="s">
        <v>509</v>
      </c>
      <c r="W1796" s="1" t="s">
        <v>44</v>
      </c>
      <c r="X1796" s="1" t="s">
        <v>45</v>
      </c>
      <c r="Y1796" s="1">
        <v>4.82133487E8</v>
      </c>
      <c r="AA1796" s="1" t="s">
        <v>44</v>
      </c>
      <c r="AB1796" s="1" t="s">
        <v>45</v>
      </c>
      <c r="AC1796" s="1">
        <v>4.82022403E8</v>
      </c>
      <c r="AD1796" s="1">
        <v>3.8620134E7</v>
      </c>
      <c r="AF1796" s="1">
        <v>45400.0</v>
      </c>
      <c r="AG1796" s="2">
        <v>41681.0</v>
      </c>
      <c r="AH1796" s="1">
        <v>9100.0</v>
      </c>
      <c r="AI1796" s="1" t="s">
        <v>194</v>
      </c>
      <c r="AJ1796" s="1" t="s">
        <v>3351</v>
      </c>
      <c r="AK1796" s="1" t="s">
        <v>463</v>
      </c>
      <c r="AL1796" s="1">
        <v>1.0</v>
      </c>
      <c r="AM1796" s="1">
        <v>2015.0</v>
      </c>
      <c r="AN1796" s="1">
        <v>2014.0</v>
      </c>
      <c r="AO1796" s="1" t="s">
        <v>277</v>
      </c>
    </row>
    <row r="1797">
      <c r="A1797" s="5">
        <v>1.0</v>
      </c>
      <c r="B1797" s="1">
        <f t="shared" si="1"/>
        <v>1797</v>
      </c>
      <c r="C1797" s="1" t="s">
        <v>3344</v>
      </c>
      <c r="D1797" s="1" t="s">
        <v>3344</v>
      </c>
      <c r="E1797" s="1" t="s">
        <v>194</v>
      </c>
      <c r="G1797" s="1">
        <v>8.9228048E7</v>
      </c>
      <c r="H1797" s="2">
        <v>41626.0</v>
      </c>
      <c r="I1797" s="1" t="s">
        <v>458</v>
      </c>
      <c r="K1797" s="1" t="s">
        <v>458</v>
      </c>
      <c r="N1797" s="1" t="s">
        <v>194</v>
      </c>
      <c r="O1797" s="1">
        <v>9100.0</v>
      </c>
      <c r="P1797" s="1" t="s">
        <v>194</v>
      </c>
      <c r="Q1797" s="1" t="str">
        <f>IF(ISERROR(VLOOKUP(P1797,'unique fed agency names'!A:C,3,FALSE)),P1797,VLOOKUP(P1797,'unique fed agency names'!A:C,3,FALSE))
</f>
        <v>U.S. Department of Education (ED)</v>
      </c>
      <c r="R1797" s="1">
        <v>9.62104118E8</v>
      </c>
      <c r="S1797" s="1" t="s">
        <v>634</v>
      </c>
      <c r="T1797" s="1" t="str">
        <f>IF(ISERROR(VLOOKUP(S1797,'unique org names'!A:C,3,FALSE)),S1797,VLOOKUP(S1797,'unique org names'!A:C,3,FALSE))
</f>
        <v>UNIVERSITY YES ACADEMY</v>
      </c>
      <c r="U1797" s="1" t="s">
        <v>3352</v>
      </c>
      <c r="V1797" s="1" t="s">
        <v>635</v>
      </c>
      <c r="W1797" s="1" t="s">
        <v>44</v>
      </c>
      <c r="X1797" s="1" t="s">
        <v>45</v>
      </c>
      <c r="Y1797" s="1">
        <v>4.82351111E8</v>
      </c>
      <c r="AA1797" s="1" t="s">
        <v>46</v>
      </c>
      <c r="AB1797" s="1" t="s">
        <v>45</v>
      </c>
      <c r="AC1797" s="1">
        <v>4.82351111E8</v>
      </c>
      <c r="AD1797" s="1">
        <v>3537326.0</v>
      </c>
      <c r="AE1797" s="1" t="s">
        <v>560</v>
      </c>
      <c r="AF1797" s="1">
        <v>43140.0</v>
      </c>
      <c r="AG1797" s="2">
        <v>41626.0</v>
      </c>
      <c r="AH1797" s="1">
        <v>9100.0</v>
      </c>
      <c r="AI1797" s="1" t="s">
        <v>194</v>
      </c>
      <c r="AJ1797" s="1" t="s">
        <v>3353</v>
      </c>
      <c r="AK1797" s="1" t="s">
        <v>463</v>
      </c>
      <c r="AL1797" s="1">
        <v>1.0</v>
      </c>
      <c r="AM1797" s="1">
        <v>2015.0</v>
      </c>
      <c r="AN1797" s="1">
        <v>2014.0</v>
      </c>
      <c r="AO1797" s="1" t="s">
        <v>277</v>
      </c>
    </row>
    <row r="1798">
      <c r="A1798" s="5">
        <v>1.0</v>
      </c>
      <c r="B1798" s="1">
        <f t="shared" si="1"/>
        <v>1798</v>
      </c>
      <c r="C1798" s="1" t="s">
        <v>3344</v>
      </c>
      <c r="D1798" s="1" t="s">
        <v>3344</v>
      </c>
      <c r="E1798" s="1" t="s">
        <v>194</v>
      </c>
      <c r="G1798" s="1">
        <v>8.9228048E7</v>
      </c>
      <c r="H1798" s="2">
        <v>41641.0</v>
      </c>
      <c r="I1798" s="1" t="s">
        <v>458</v>
      </c>
      <c r="K1798" s="1" t="s">
        <v>458</v>
      </c>
      <c r="N1798" s="1" t="s">
        <v>194</v>
      </c>
      <c r="O1798" s="1">
        <v>9100.0</v>
      </c>
      <c r="P1798" s="1" t="s">
        <v>194</v>
      </c>
      <c r="Q1798" s="1" t="str">
        <f>IF(ISERROR(VLOOKUP(P1798,'unique fed agency names'!A:C,3,FALSE)),P1798,VLOOKUP(P1798,'unique fed agency names'!A:C,3,FALSE))
</f>
        <v>U.S. Department of Education (ED)</v>
      </c>
      <c r="R1798" s="1">
        <v>7.94990296E8</v>
      </c>
      <c r="S1798" s="1" t="s">
        <v>601</v>
      </c>
      <c r="T1798" s="1" t="str">
        <f>IF(ISERROR(VLOOKUP(S1798,'unique org names'!A:C,3,FALSE)),S1798,VLOOKUP(S1798,'unique org names'!A:C,3,FALSE))
</f>
        <v>NORTHPOINTE ACADEMY</v>
      </c>
      <c r="U1798" s="1" t="s">
        <v>3354</v>
      </c>
      <c r="V1798" s="1" t="s">
        <v>602</v>
      </c>
      <c r="W1798" s="1" t="s">
        <v>44</v>
      </c>
      <c r="X1798" s="1" t="s">
        <v>45</v>
      </c>
      <c r="Y1798" s="1">
        <v>4.82032827E8</v>
      </c>
      <c r="AA1798" s="1" t="s">
        <v>603</v>
      </c>
      <c r="AB1798" s="1" t="s">
        <v>45</v>
      </c>
      <c r="AC1798" s="1">
        <v>4.82032827E8</v>
      </c>
      <c r="AD1798" s="1">
        <v>8.589906E7</v>
      </c>
      <c r="AE1798" s="1" t="s">
        <v>3355</v>
      </c>
      <c r="AF1798" s="1">
        <v>26978.0</v>
      </c>
      <c r="AG1798" s="2">
        <v>41641.0</v>
      </c>
      <c r="AH1798" s="1">
        <v>9100.0</v>
      </c>
      <c r="AI1798" s="1" t="s">
        <v>194</v>
      </c>
      <c r="AJ1798" s="1" t="s">
        <v>3356</v>
      </c>
      <c r="AK1798" s="1" t="s">
        <v>463</v>
      </c>
      <c r="AL1798" s="1">
        <v>1.0</v>
      </c>
      <c r="AM1798" s="1">
        <v>2015.0</v>
      </c>
      <c r="AN1798" s="1">
        <v>2014.0</v>
      </c>
      <c r="AO1798" s="1" t="s">
        <v>277</v>
      </c>
    </row>
    <row r="1799">
      <c r="A1799" s="5">
        <v>1.0</v>
      </c>
      <c r="B1799" s="1">
        <f t="shared" si="1"/>
        <v>1799</v>
      </c>
      <c r="C1799" s="1" t="s">
        <v>3344</v>
      </c>
      <c r="D1799" s="1" t="s">
        <v>3344</v>
      </c>
      <c r="E1799" s="1" t="s">
        <v>194</v>
      </c>
      <c r="G1799" s="1">
        <v>8.9228048E7</v>
      </c>
      <c r="H1799" s="2">
        <v>41691.0</v>
      </c>
      <c r="I1799" s="1" t="s">
        <v>458</v>
      </c>
      <c r="K1799" s="1" t="s">
        <v>458</v>
      </c>
      <c r="N1799" s="1" t="s">
        <v>194</v>
      </c>
      <c r="O1799" s="1">
        <v>9100.0</v>
      </c>
      <c r="P1799" s="1" t="s">
        <v>194</v>
      </c>
      <c r="Q1799" s="1" t="str">
        <f>IF(ISERROR(VLOOKUP(P1799,'unique fed agency names'!A:C,3,FALSE)),P1799,VLOOKUP(P1799,'unique fed agency names'!A:C,3,FALSE))
</f>
        <v>U.S. Department of Education (ED)</v>
      </c>
      <c r="R1799" s="1">
        <v>7.3832607E7</v>
      </c>
      <c r="S1799" s="1" t="s">
        <v>482</v>
      </c>
      <c r="T1799" s="1" t="str">
        <f>IF(ISERROR(VLOOKUP(S1799,'unique org names'!A:C,3,FALSE)),S1799,VLOOKUP(S1799,'unique org names'!A:C,3,FALSE))
</f>
        <v>DETROIT ACADEMY OF ARTS AND SCIENCES</v>
      </c>
      <c r="U1799" s="1" t="s">
        <v>3357</v>
      </c>
      <c r="V1799" s="1" t="s">
        <v>483</v>
      </c>
      <c r="W1799" s="1" t="s">
        <v>44</v>
      </c>
      <c r="X1799" s="1" t="s">
        <v>45</v>
      </c>
      <c r="Y1799" s="1">
        <v>4.82074288E8</v>
      </c>
      <c r="AA1799" s="1" t="s">
        <v>44</v>
      </c>
      <c r="AB1799" s="1" t="s">
        <v>45</v>
      </c>
      <c r="AC1799" s="1">
        <v>4.82074288E8</v>
      </c>
      <c r="AD1799" s="1">
        <v>1.00035849E8</v>
      </c>
      <c r="AF1799" s="1">
        <v>72054.0</v>
      </c>
      <c r="AG1799" s="2">
        <v>41691.0</v>
      </c>
      <c r="AH1799" s="1">
        <v>9100.0</v>
      </c>
      <c r="AI1799" s="1" t="s">
        <v>194</v>
      </c>
      <c r="AJ1799" s="1" t="s">
        <v>3358</v>
      </c>
      <c r="AK1799" s="1" t="s">
        <v>463</v>
      </c>
      <c r="AL1799" s="1">
        <v>1.0</v>
      </c>
      <c r="AM1799" s="1">
        <v>2015.0</v>
      </c>
      <c r="AN1799" s="1">
        <v>2014.0</v>
      </c>
      <c r="AO1799" s="1" t="s">
        <v>277</v>
      </c>
    </row>
    <row r="1800">
      <c r="A1800" s="5">
        <v>1.0</v>
      </c>
      <c r="B1800" s="1">
        <f t="shared" si="1"/>
        <v>1800</v>
      </c>
      <c r="C1800" s="1" t="s">
        <v>3344</v>
      </c>
      <c r="D1800" s="1" t="s">
        <v>3344</v>
      </c>
      <c r="E1800" s="1" t="s">
        <v>194</v>
      </c>
      <c r="G1800" s="1">
        <v>8.9228048E7</v>
      </c>
      <c r="H1800" s="2">
        <v>41688.0</v>
      </c>
      <c r="I1800" s="1" t="s">
        <v>458</v>
      </c>
      <c r="K1800" s="1" t="s">
        <v>458</v>
      </c>
      <c r="N1800" s="1" t="s">
        <v>194</v>
      </c>
      <c r="O1800" s="1">
        <v>9100.0</v>
      </c>
      <c r="P1800" s="1" t="s">
        <v>194</v>
      </c>
      <c r="Q1800" s="1" t="str">
        <f>IF(ISERROR(VLOOKUP(P1800,'unique fed agency names'!A:C,3,FALSE)),P1800,VLOOKUP(P1800,'unique fed agency names'!A:C,3,FALSE))
</f>
        <v>U.S. Department of Education (ED)</v>
      </c>
      <c r="R1800" s="1">
        <v>3.7602699E7</v>
      </c>
      <c r="S1800" s="1" t="s">
        <v>535</v>
      </c>
      <c r="T1800" s="1" t="str">
        <f>IF(ISERROR(VLOOKUP(S1800,'unique org names'!A:C,3,FALSE)),S1800,VLOOKUP(S1800,'unique org names'!A:C,3,FALSE))
</f>
        <v>REGENT PARK SCHOLARS CHARTER ACADEMY</v>
      </c>
      <c r="V1800" s="1" t="s">
        <v>536</v>
      </c>
      <c r="W1800" s="1" t="s">
        <v>44</v>
      </c>
      <c r="X1800" s="1" t="s">
        <v>45</v>
      </c>
      <c r="Y1800" s="1">
        <v>4.82052545E8</v>
      </c>
      <c r="AA1800" s="1" t="s">
        <v>46</v>
      </c>
      <c r="AB1800" s="1" t="s">
        <v>45</v>
      </c>
      <c r="AC1800" s="1">
        <v>4.82052545E8</v>
      </c>
      <c r="AD1800" s="1">
        <v>2.0284931E7</v>
      </c>
      <c r="AE1800" s="1" t="s">
        <v>3359</v>
      </c>
      <c r="AF1800" s="1">
        <v>68542.0</v>
      </c>
      <c r="AG1800" s="2">
        <v>41688.0</v>
      </c>
      <c r="AH1800" s="1">
        <v>9100.0</v>
      </c>
      <c r="AI1800" s="1" t="s">
        <v>194</v>
      </c>
      <c r="AJ1800" s="1" t="s">
        <v>3360</v>
      </c>
      <c r="AK1800" s="1" t="s">
        <v>463</v>
      </c>
      <c r="AL1800" s="1">
        <v>1.0</v>
      </c>
      <c r="AM1800" s="1">
        <v>2015.0</v>
      </c>
      <c r="AN1800" s="1">
        <v>2014.0</v>
      </c>
      <c r="AO1800" s="1" t="s">
        <v>277</v>
      </c>
    </row>
    <row r="1801">
      <c r="A1801" s="5">
        <v>1.0</v>
      </c>
      <c r="B1801" s="1">
        <f t="shared" si="1"/>
        <v>1801</v>
      </c>
      <c r="C1801" s="1" t="s">
        <v>3344</v>
      </c>
      <c r="D1801" s="1" t="s">
        <v>3344</v>
      </c>
      <c r="E1801" s="1" t="s">
        <v>194</v>
      </c>
      <c r="G1801" s="1">
        <v>8.9228048E7</v>
      </c>
      <c r="H1801" s="2">
        <v>41703.0</v>
      </c>
      <c r="I1801" s="1" t="s">
        <v>458</v>
      </c>
      <c r="K1801" s="1" t="s">
        <v>458</v>
      </c>
      <c r="N1801" s="1" t="s">
        <v>194</v>
      </c>
      <c r="O1801" s="1">
        <v>9100.0</v>
      </c>
      <c r="P1801" s="1" t="s">
        <v>194</v>
      </c>
      <c r="Q1801" s="1" t="str">
        <f>IF(ISERROR(VLOOKUP(P1801,'unique fed agency names'!A:C,3,FALSE)),P1801,VLOOKUP(P1801,'unique fed agency names'!A:C,3,FALSE))
</f>
        <v>U.S. Department of Education (ED)</v>
      </c>
      <c r="R1801" s="1">
        <v>9.65349769E8</v>
      </c>
      <c r="S1801" s="1" t="s">
        <v>465</v>
      </c>
      <c r="T1801" s="1" t="str">
        <f>IF(ISERROR(VLOOKUP(S1801,'unique org names'!A:C,3,FALSE)),S1801,VLOOKUP(S1801,'unique org names'!A:C,3,FALSE))
</f>
        <v>Public School Academies of Detroit</v>
      </c>
      <c r="U1801" s="1" t="s">
        <v>466</v>
      </c>
      <c r="V1801" s="1" t="s">
        <v>467</v>
      </c>
      <c r="W1801" s="1" t="s">
        <v>44</v>
      </c>
      <c r="X1801" s="1" t="s">
        <v>45</v>
      </c>
      <c r="Y1801" s="1">
        <v>4.8202322E8</v>
      </c>
      <c r="AA1801" s="1" t="s">
        <v>44</v>
      </c>
      <c r="AB1801" s="1" t="s">
        <v>45</v>
      </c>
      <c r="AC1801" s="1">
        <v>4.8202322E8</v>
      </c>
      <c r="AD1801" s="1">
        <v>1.6338926E8</v>
      </c>
      <c r="AE1801" s="1" t="s">
        <v>465</v>
      </c>
      <c r="AF1801" s="1">
        <v>155249.0</v>
      </c>
      <c r="AG1801" s="2">
        <v>41703.0</v>
      </c>
      <c r="AH1801" s="1">
        <v>9100.0</v>
      </c>
      <c r="AI1801" s="1" t="s">
        <v>194</v>
      </c>
      <c r="AJ1801" s="1" t="s">
        <v>3361</v>
      </c>
      <c r="AK1801" s="1" t="s">
        <v>463</v>
      </c>
      <c r="AL1801" s="1">
        <v>1.0</v>
      </c>
      <c r="AM1801" s="1">
        <v>2015.0</v>
      </c>
      <c r="AN1801" s="1">
        <v>2014.0</v>
      </c>
      <c r="AO1801" s="1" t="s">
        <v>277</v>
      </c>
    </row>
    <row r="1802">
      <c r="A1802" s="5">
        <v>1.0</v>
      </c>
      <c r="B1802" s="1">
        <f t="shared" si="1"/>
        <v>1802</v>
      </c>
      <c r="C1802" s="1" t="s">
        <v>3344</v>
      </c>
      <c r="D1802" s="1" t="s">
        <v>3344</v>
      </c>
      <c r="E1802" s="1" t="s">
        <v>194</v>
      </c>
      <c r="G1802" s="1">
        <v>8.9228048E7</v>
      </c>
      <c r="H1802" s="2">
        <v>41725.0</v>
      </c>
      <c r="I1802" s="1" t="s">
        <v>458</v>
      </c>
      <c r="K1802" s="1" t="s">
        <v>458</v>
      </c>
      <c r="N1802" s="1" t="s">
        <v>194</v>
      </c>
      <c r="O1802" s="1">
        <v>9100.0</v>
      </c>
      <c r="P1802" s="1" t="s">
        <v>194</v>
      </c>
      <c r="Q1802" s="1" t="str">
        <f>IF(ISERROR(VLOOKUP(P1802,'unique fed agency names'!A:C,3,FALSE)),P1802,VLOOKUP(P1802,'unique fed agency names'!A:C,3,FALSE))
</f>
        <v>U.S. Department of Education (ED)</v>
      </c>
      <c r="R1802" s="1">
        <v>9.62378779E8</v>
      </c>
      <c r="S1802" s="1" t="s">
        <v>478</v>
      </c>
      <c r="T1802" s="1" t="str">
        <f>IF(ISERROR(VLOOKUP(S1802,'unique org names'!A:C,3,FALSE)),S1802,VLOOKUP(S1802,'unique org names'!A:C,3,FALSE))
</f>
        <v>LEGACY CHARTER ACADEMY</v>
      </c>
      <c r="V1802" s="1" t="s">
        <v>479</v>
      </c>
      <c r="W1802" s="1" t="s">
        <v>44</v>
      </c>
      <c r="X1802" s="1" t="s">
        <v>45</v>
      </c>
      <c r="Y1802" s="1">
        <v>4.82342225E8</v>
      </c>
      <c r="AA1802" s="1" t="s">
        <v>44</v>
      </c>
      <c r="AB1802" s="1" t="s">
        <v>45</v>
      </c>
      <c r="AC1802" s="1">
        <v>4.82342225E8</v>
      </c>
      <c r="AD1802" s="1">
        <v>8.887307E7</v>
      </c>
      <c r="AE1802" s="1" t="s">
        <v>1666</v>
      </c>
      <c r="AF1802" s="1">
        <v>90533.0</v>
      </c>
      <c r="AG1802" s="2">
        <v>41725.0</v>
      </c>
      <c r="AH1802" s="1">
        <v>9100.0</v>
      </c>
      <c r="AI1802" s="1" t="s">
        <v>194</v>
      </c>
      <c r="AJ1802" s="1" t="s">
        <v>3362</v>
      </c>
      <c r="AK1802" s="1" t="s">
        <v>463</v>
      </c>
      <c r="AL1802" s="1">
        <v>1.0</v>
      </c>
      <c r="AM1802" s="1">
        <v>2015.0</v>
      </c>
      <c r="AN1802" s="1">
        <v>2014.0</v>
      </c>
      <c r="AO1802" s="1" t="s">
        <v>277</v>
      </c>
    </row>
    <row r="1803">
      <c r="A1803" s="5">
        <v>1.0</v>
      </c>
      <c r="B1803" s="1">
        <f t="shared" si="1"/>
        <v>1803</v>
      </c>
      <c r="C1803" s="1" t="s">
        <v>3344</v>
      </c>
      <c r="D1803" s="1" t="s">
        <v>3344</v>
      </c>
      <c r="E1803" s="1" t="s">
        <v>194</v>
      </c>
      <c r="G1803" s="1">
        <v>8.9228048E7</v>
      </c>
      <c r="H1803" s="2">
        <v>41733.0</v>
      </c>
      <c r="I1803" s="1" t="s">
        <v>458</v>
      </c>
      <c r="K1803" s="1" t="s">
        <v>458</v>
      </c>
      <c r="N1803" s="1" t="s">
        <v>194</v>
      </c>
      <c r="O1803" s="1">
        <v>9100.0</v>
      </c>
      <c r="P1803" s="1" t="s">
        <v>194</v>
      </c>
      <c r="Q1803" s="1" t="str">
        <f>IF(ISERROR(VLOOKUP(P1803,'unique fed agency names'!A:C,3,FALSE)),P1803,VLOOKUP(P1803,'unique fed agency names'!A:C,3,FALSE))
</f>
        <v>U.S. Department of Education (ED)</v>
      </c>
      <c r="R1803" s="1">
        <v>7.6340843E7</v>
      </c>
      <c r="S1803" s="1" t="s">
        <v>461</v>
      </c>
      <c r="T1803" s="1" t="str">
        <f>IF(ISERROR(VLOOKUP(S1803,'unique org names'!A:C,3,FALSE)),S1803,VLOOKUP(S1803,'unique org names'!A:C,3,FALSE))
</f>
        <v>BOARD OF EDUCATION OF THE CITY OF DETROIT</v>
      </c>
      <c r="U1803" s="1" t="s">
        <v>3363</v>
      </c>
      <c r="V1803" s="1" t="s">
        <v>1599</v>
      </c>
      <c r="W1803" s="1" t="s">
        <v>44</v>
      </c>
      <c r="X1803" s="1" t="s">
        <v>45</v>
      </c>
      <c r="Y1803" s="1">
        <v>4.8202301E8</v>
      </c>
      <c r="AA1803" s="1" t="s">
        <v>44</v>
      </c>
      <c r="AB1803" s="1" t="s">
        <v>45</v>
      </c>
      <c r="AC1803" s="1">
        <v>4.82023096E8</v>
      </c>
      <c r="AD1803" s="1">
        <v>7.6340843E7</v>
      </c>
      <c r="AE1803" s="1" t="s">
        <v>461</v>
      </c>
      <c r="AF1803" s="1">
        <v>3.0783309E7</v>
      </c>
      <c r="AG1803" s="2">
        <v>41733.0</v>
      </c>
      <c r="AH1803" s="1">
        <v>9100.0</v>
      </c>
      <c r="AI1803" s="1" t="s">
        <v>194</v>
      </c>
      <c r="AJ1803" s="1" t="s">
        <v>3364</v>
      </c>
      <c r="AK1803" s="1" t="s">
        <v>463</v>
      </c>
      <c r="AL1803" s="1">
        <v>1.0</v>
      </c>
      <c r="AM1803" s="1">
        <v>2015.0</v>
      </c>
      <c r="AN1803" s="1">
        <v>2014.0</v>
      </c>
      <c r="AO1803" s="1" t="s">
        <v>277</v>
      </c>
    </row>
    <row r="1804">
      <c r="A1804" s="5">
        <v>1.0</v>
      </c>
      <c r="B1804" s="1">
        <f t="shared" si="1"/>
        <v>1804</v>
      </c>
      <c r="C1804" s="1" t="s">
        <v>3344</v>
      </c>
      <c r="D1804" s="1" t="s">
        <v>3344</v>
      </c>
      <c r="E1804" s="1" t="s">
        <v>194</v>
      </c>
      <c r="G1804" s="1">
        <v>8.9228048E7</v>
      </c>
      <c r="H1804" s="2">
        <v>41739.0</v>
      </c>
      <c r="I1804" s="1" t="s">
        <v>458</v>
      </c>
      <c r="K1804" s="1" t="s">
        <v>458</v>
      </c>
      <c r="N1804" s="1" t="s">
        <v>194</v>
      </c>
      <c r="O1804" s="1">
        <v>9100.0</v>
      </c>
      <c r="P1804" s="1" t="s">
        <v>194</v>
      </c>
      <c r="Q1804" s="1" t="str">
        <f>IF(ISERROR(VLOOKUP(P1804,'unique fed agency names'!A:C,3,FALSE)),P1804,VLOOKUP(P1804,'unique fed agency names'!A:C,3,FALSE))
</f>
        <v>U.S. Department of Education (ED)</v>
      </c>
      <c r="R1804" s="1">
        <v>7.0381949E7</v>
      </c>
      <c r="S1804" s="1" t="s">
        <v>605</v>
      </c>
      <c r="T1804" s="1" t="str">
        <f>IF(ISERROR(VLOOKUP(S1804,'unique org names'!A:C,3,FALSE)),S1804,VLOOKUP(S1804,'unique org names'!A:C,3,FALSE))
</f>
        <v>Liberty Caniff Academy</v>
      </c>
      <c r="U1804" s="1" t="s">
        <v>3365</v>
      </c>
      <c r="V1804" s="1" t="s">
        <v>606</v>
      </c>
      <c r="W1804" s="1" t="s">
        <v>44</v>
      </c>
      <c r="X1804" s="1" t="s">
        <v>45</v>
      </c>
      <c r="Y1804" s="1">
        <v>4.82123033E8</v>
      </c>
      <c r="AA1804" s="1" t="s">
        <v>607</v>
      </c>
      <c r="AB1804" s="1" t="s">
        <v>45</v>
      </c>
      <c r="AC1804" s="1">
        <v>4.82123033E8</v>
      </c>
      <c r="AD1804" s="1">
        <v>6.09795869E8</v>
      </c>
      <c r="AE1804" s="1" t="s">
        <v>3366</v>
      </c>
      <c r="AF1804" s="1">
        <v>66831.0</v>
      </c>
      <c r="AG1804" s="2">
        <v>41739.0</v>
      </c>
      <c r="AH1804" s="1">
        <v>9100.0</v>
      </c>
      <c r="AI1804" s="1" t="s">
        <v>194</v>
      </c>
      <c r="AJ1804" s="1" t="s">
        <v>3367</v>
      </c>
      <c r="AK1804" s="1" t="s">
        <v>463</v>
      </c>
      <c r="AL1804" s="1">
        <v>1.0</v>
      </c>
      <c r="AM1804" s="1">
        <v>2015.0</v>
      </c>
      <c r="AN1804" s="1">
        <v>2014.0</v>
      </c>
      <c r="AO1804" s="1" t="s">
        <v>277</v>
      </c>
    </row>
    <row r="1805">
      <c r="A1805" s="5">
        <v>1.0</v>
      </c>
      <c r="B1805" s="1">
        <f t="shared" si="1"/>
        <v>1805</v>
      </c>
      <c r="C1805" s="1" t="s">
        <v>3337</v>
      </c>
      <c r="D1805" s="1" t="s">
        <v>3337</v>
      </c>
      <c r="E1805" s="1" t="s">
        <v>194</v>
      </c>
      <c r="G1805" s="1">
        <v>3.9049236E7</v>
      </c>
      <c r="H1805" s="2">
        <v>41884.0</v>
      </c>
      <c r="I1805" s="1" t="s">
        <v>279</v>
      </c>
      <c r="K1805" s="1" t="s">
        <v>279</v>
      </c>
      <c r="N1805" s="1" t="s">
        <v>194</v>
      </c>
      <c r="O1805" s="1">
        <v>9100.0</v>
      </c>
      <c r="P1805" s="1" t="s">
        <v>194</v>
      </c>
      <c r="Q1805" s="1" t="str">
        <f>IF(ISERROR(VLOOKUP(P1805,'unique fed agency names'!A:C,3,FALSE)),P1805,VLOOKUP(P1805,'unique fed agency names'!A:C,3,FALSE))
</f>
        <v>U.S. Department of Education (ED)</v>
      </c>
      <c r="R1805" s="1">
        <v>7.97531295E8</v>
      </c>
      <c r="S1805" s="1" t="s">
        <v>582</v>
      </c>
      <c r="T1805" s="1" t="str">
        <f>IF(ISERROR(VLOOKUP(S1805,'unique org names'!A:C,3,FALSE)),S1805,VLOOKUP(S1805,'unique org names'!A:C,3,FALSE))
</f>
        <v>FRONTIER INTERNATIONAL ACADEMY, THE</v>
      </c>
      <c r="V1805" s="1" t="s">
        <v>583</v>
      </c>
      <c r="W1805" s="1" t="s">
        <v>44</v>
      </c>
      <c r="X1805" s="1" t="s">
        <v>45</v>
      </c>
      <c r="Y1805" s="1">
        <v>4.82123452E8</v>
      </c>
      <c r="AA1805" s="1" t="s">
        <v>44</v>
      </c>
      <c r="AB1805" s="1" t="s">
        <v>45</v>
      </c>
      <c r="AC1805" s="1">
        <v>4.82123452E8</v>
      </c>
      <c r="AF1805" s="1">
        <v>135000.0</v>
      </c>
      <c r="AG1805" s="2">
        <v>41884.0</v>
      </c>
      <c r="AH1805" s="1">
        <v>9100.0</v>
      </c>
      <c r="AI1805" s="1" t="s">
        <v>194</v>
      </c>
      <c r="AJ1805" s="1" t="s">
        <v>3368</v>
      </c>
      <c r="AK1805" s="1" t="s">
        <v>284</v>
      </c>
      <c r="AL1805" s="1">
        <v>1.0</v>
      </c>
      <c r="AM1805" s="1">
        <v>2015.0</v>
      </c>
      <c r="AN1805" s="1">
        <v>2014.0</v>
      </c>
      <c r="AO1805" s="1" t="s">
        <v>285</v>
      </c>
    </row>
    <row r="1806">
      <c r="A1806" s="5">
        <v>1.0</v>
      </c>
      <c r="B1806" s="1">
        <f t="shared" si="1"/>
        <v>1806</v>
      </c>
      <c r="C1806" s="1" t="s">
        <v>3369</v>
      </c>
      <c r="D1806" s="1" t="s">
        <v>3369</v>
      </c>
      <c r="E1806" s="1" t="s">
        <v>194</v>
      </c>
      <c r="G1806" s="1">
        <v>1.0181861E7</v>
      </c>
      <c r="H1806" s="2">
        <v>41625.0</v>
      </c>
      <c r="I1806" s="1" t="s">
        <v>685</v>
      </c>
      <c r="K1806" s="1" t="s">
        <v>685</v>
      </c>
      <c r="N1806" s="1" t="s">
        <v>194</v>
      </c>
      <c r="O1806" s="1">
        <v>9100.0</v>
      </c>
      <c r="P1806" s="1" t="s">
        <v>194</v>
      </c>
      <c r="Q1806" s="1" t="str">
        <f>IF(ISERROR(VLOOKUP(P1806,'unique fed agency names'!A:C,3,FALSE)),P1806,VLOOKUP(P1806,'unique fed agency names'!A:C,3,FALSE))
</f>
        <v>U.S. Department of Education (ED)</v>
      </c>
      <c r="R1806" s="1">
        <v>7.97531279E8</v>
      </c>
      <c r="S1806" s="1" t="s">
        <v>496</v>
      </c>
      <c r="T1806" s="1" t="str">
        <f>IF(ISERROR(VLOOKUP(S1806,'unique org names'!A:C,3,FALSE)),S1806,VLOOKUP(S1806,'unique org names'!A:C,3,FALSE))
</f>
        <v>BRIDGE ACADEMY</v>
      </c>
      <c r="V1806" s="1" t="s">
        <v>497</v>
      </c>
      <c r="W1806" s="1" t="s">
        <v>44</v>
      </c>
      <c r="X1806" s="1" t="s">
        <v>45</v>
      </c>
      <c r="Y1806" s="1">
        <v>4.82123323E8</v>
      </c>
      <c r="AA1806" s="1" t="s">
        <v>498</v>
      </c>
      <c r="AB1806" s="1" t="s">
        <v>45</v>
      </c>
      <c r="AC1806" s="1">
        <v>4.82123323E8</v>
      </c>
      <c r="AF1806" s="1">
        <v>50676.0</v>
      </c>
      <c r="AG1806" s="2">
        <v>41625.0</v>
      </c>
      <c r="AH1806" s="1">
        <v>9100.0</v>
      </c>
      <c r="AI1806" s="1" t="s">
        <v>194</v>
      </c>
      <c r="AJ1806" s="1" t="s">
        <v>3370</v>
      </c>
      <c r="AK1806" s="1" t="s">
        <v>3343</v>
      </c>
      <c r="AL1806" s="1">
        <v>1.0</v>
      </c>
      <c r="AM1806" s="1">
        <v>2015.0</v>
      </c>
      <c r="AN1806" s="1">
        <v>2014.0</v>
      </c>
      <c r="AO1806" s="1" t="s">
        <v>688</v>
      </c>
    </row>
    <row r="1807">
      <c r="A1807" s="5">
        <v>1.0</v>
      </c>
      <c r="B1807" s="1">
        <f t="shared" si="1"/>
        <v>1807</v>
      </c>
      <c r="C1807" s="1" t="s">
        <v>3337</v>
      </c>
      <c r="D1807" s="1" t="s">
        <v>3337</v>
      </c>
      <c r="E1807" s="1" t="s">
        <v>194</v>
      </c>
      <c r="G1807" s="1">
        <v>3.9049236E7</v>
      </c>
      <c r="H1807" s="2">
        <v>41900.0</v>
      </c>
      <c r="I1807" s="1" t="s">
        <v>279</v>
      </c>
      <c r="K1807" s="1" t="s">
        <v>279</v>
      </c>
      <c r="N1807" s="1" t="s">
        <v>194</v>
      </c>
      <c r="O1807" s="1">
        <v>9100.0</v>
      </c>
      <c r="P1807" s="1" t="s">
        <v>194</v>
      </c>
      <c r="Q1807" s="1" t="str">
        <f>IF(ISERROR(VLOOKUP(P1807,'unique fed agency names'!A:C,3,FALSE)),P1807,VLOOKUP(P1807,'unique fed agency names'!A:C,3,FALSE))
</f>
        <v>U.S. Department of Education (ED)</v>
      </c>
      <c r="R1807" s="1">
        <v>8.01081899E8</v>
      </c>
      <c r="S1807" s="1" t="s">
        <v>280</v>
      </c>
      <c r="T1807" s="1" t="str">
        <f>IF(ISERROR(VLOOKUP(S1807,'unique org names'!A:C,3,FALSE)),S1807,VLOOKUP(S1807,'unique org names'!A:C,3,FALSE))
</f>
        <v>ACE ACADEMY</v>
      </c>
      <c r="V1807" s="1" t="s">
        <v>281</v>
      </c>
      <c r="W1807" s="1" t="s">
        <v>44</v>
      </c>
      <c r="X1807" s="1" t="s">
        <v>45</v>
      </c>
      <c r="Y1807" s="1">
        <v>4.82033277E8</v>
      </c>
      <c r="AA1807" s="1" t="s">
        <v>282</v>
      </c>
      <c r="AB1807" s="1" t="s">
        <v>45</v>
      </c>
      <c r="AC1807" s="1">
        <v>4.82202899E8</v>
      </c>
      <c r="AF1807" s="1">
        <v>675000.0</v>
      </c>
      <c r="AG1807" s="2">
        <v>41900.0</v>
      </c>
      <c r="AH1807" s="1">
        <v>9100.0</v>
      </c>
      <c r="AI1807" s="1" t="s">
        <v>194</v>
      </c>
      <c r="AJ1807" s="1" t="s">
        <v>3371</v>
      </c>
      <c r="AK1807" s="1" t="s">
        <v>284</v>
      </c>
      <c r="AL1807" s="1">
        <v>1.0</v>
      </c>
      <c r="AM1807" s="1">
        <v>2015.0</v>
      </c>
      <c r="AN1807" s="1">
        <v>2014.0</v>
      </c>
      <c r="AO1807" s="1" t="s">
        <v>285</v>
      </c>
    </row>
    <row r="1808">
      <c r="A1808" s="5">
        <v>1.0</v>
      </c>
      <c r="B1808" s="1">
        <f t="shared" si="1"/>
        <v>1808</v>
      </c>
      <c r="C1808" s="1" t="s">
        <v>3369</v>
      </c>
      <c r="D1808" s="1" t="s">
        <v>3369</v>
      </c>
      <c r="E1808" s="1" t="s">
        <v>194</v>
      </c>
      <c r="G1808" s="1">
        <v>1.0181861E7</v>
      </c>
      <c r="H1808" s="2">
        <v>41669.0</v>
      </c>
      <c r="I1808" s="1" t="s">
        <v>685</v>
      </c>
      <c r="K1808" s="1" t="s">
        <v>685</v>
      </c>
      <c r="N1808" s="1" t="s">
        <v>194</v>
      </c>
      <c r="O1808" s="1">
        <v>9100.0</v>
      </c>
      <c r="P1808" s="1" t="s">
        <v>194</v>
      </c>
      <c r="Q1808" s="1" t="str">
        <f>IF(ISERROR(VLOOKUP(P1808,'unique fed agency names'!A:C,3,FALSE)),P1808,VLOOKUP(P1808,'unique fed agency names'!A:C,3,FALSE))
</f>
        <v>U.S. Department of Education (ED)</v>
      </c>
      <c r="R1808" s="1">
        <v>1.98438892E8</v>
      </c>
      <c r="S1808" s="1" t="s">
        <v>505</v>
      </c>
      <c r="T1808" s="1" t="str">
        <f>IF(ISERROR(VLOOKUP(S1808,'unique org names'!A:C,3,FALSE)),S1808,VLOOKUP(S1808,'unique org names'!A:C,3,FALSE))
</f>
        <v>HANLEY INTERNATIONAL ACADEMY, INC</v>
      </c>
      <c r="V1808" s="1" t="s">
        <v>506</v>
      </c>
      <c r="W1808" s="1" t="s">
        <v>44</v>
      </c>
      <c r="X1808" s="1" t="s">
        <v>45</v>
      </c>
      <c r="Y1808" s="1">
        <v>4.82123572E8</v>
      </c>
      <c r="AA1808" s="1" t="s">
        <v>498</v>
      </c>
      <c r="AB1808" s="1" t="s">
        <v>45</v>
      </c>
      <c r="AC1808" s="1">
        <v>4.82123572E8</v>
      </c>
      <c r="AD1808" s="1">
        <v>1.98438892E8</v>
      </c>
      <c r="AE1808" s="1" t="s">
        <v>505</v>
      </c>
      <c r="AF1808" s="1">
        <v>36114.0</v>
      </c>
      <c r="AG1808" s="2">
        <v>41669.0</v>
      </c>
      <c r="AH1808" s="1">
        <v>9100.0</v>
      </c>
      <c r="AI1808" s="1" t="s">
        <v>194</v>
      </c>
      <c r="AJ1808" s="1" t="s">
        <v>3372</v>
      </c>
      <c r="AK1808" s="1" t="s">
        <v>3343</v>
      </c>
      <c r="AL1808" s="1">
        <v>1.0</v>
      </c>
      <c r="AM1808" s="1">
        <v>2015.0</v>
      </c>
      <c r="AN1808" s="1">
        <v>2014.0</v>
      </c>
      <c r="AO1808" s="1" t="s">
        <v>688</v>
      </c>
    </row>
    <row r="1809">
      <c r="A1809" s="5">
        <v>1.0</v>
      </c>
      <c r="B1809" s="1">
        <f t="shared" si="1"/>
        <v>1809</v>
      </c>
      <c r="C1809" s="1" t="s">
        <v>3341</v>
      </c>
      <c r="D1809" s="1" t="s">
        <v>3341</v>
      </c>
      <c r="E1809" s="1" t="s">
        <v>194</v>
      </c>
      <c r="G1809" s="1">
        <v>1.1225251E7</v>
      </c>
      <c r="H1809" s="2">
        <v>41948.0</v>
      </c>
      <c r="I1809" s="1" t="s">
        <v>685</v>
      </c>
      <c r="K1809" s="1" t="s">
        <v>685</v>
      </c>
      <c r="N1809" s="1" t="s">
        <v>194</v>
      </c>
      <c r="O1809" s="1">
        <v>9100.0</v>
      </c>
      <c r="P1809" s="1" t="s">
        <v>194</v>
      </c>
      <c r="Q1809" s="1" t="str">
        <f>IF(ISERROR(VLOOKUP(P1809,'unique fed agency names'!A:C,3,FALSE)),P1809,VLOOKUP(P1809,'unique fed agency names'!A:C,3,FALSE))
</f>
        <v>U.S. Department of Education (ED)</v>
      </c>
      <c r="R1809" s="1">
        <v>7.6340843E7</v>
      </c>
      <c r="S1809" s="1" t="s">
        <v>461</v>
      </c>
      <c r="T1809" s="1" t="str">
        <f>IF(ISERROR(VLOOKUP(S1809,'unique org names'!A:C,3,FALSE)),S1809,VLOOKUP(S1809,'unique org names'!A:C,3,FALSE))
</f>
        <v>BOARD OF EDUCATION OF THE CITY OF DETROIT</v>
      </c>
      <c r="V1809" s="1" t="s">
        <v>1599</v>
      </c>
      <c r="W1809" s="1" t="s">
        <v>44</v>
      </c>
      <c r="X1809" s="1" t="s">
        <v>45</v>
      </c>
      <c r="Y1809" s="1">
        <v>4.8202301E8</v>
      </c>
      <c r="AA1809" s="1" t="s">
        <v>44</v>
      </c>
      <c r="AB1809" s="1" t="s">
        <v>45</v>
      </c>
      <c r="AC1809" s="1">
        <v>4.82023096E8</v>
      </c>
      <c r="AD1809" s="1">
        <v>7.6340843E7</v>
      </c>
      <c r="AE1809" s="1" t="s">
        <v>461</v>
      </c>
      <c r="AF1809" s="1">
        <v>767355.0</v>
      </c>
      <c r="AG1809" s="2">
        <v>41948.0</v>
      </c>
      <c r="AH1809" s="1">
        <v>9100.0</v>
      </c>
      <c r="AI1809" s="1" t="s">
        <v>194</v>
      </c>
      <c r="AJ1809" s="1" t="s">
        <v>3373</v>
      </c>
      <c r="AK1809" s="1" t="s">
        <v>3343</v>
      </c>
      <c r="AL1809" s="1">
        <v>1.0</v>
      </c>
      <c r="AM1809" s="1">
        <v>2015.0</v>
      </c>
      <c r="AN1809" s="1">
        <v>2015.0</v>
      </c>
      <c r="AO1809" s="1" t="s">
        <v>688</v>
      </c>
    </row>
    <row r="1810">
      <c r="A1810" s="5">
        <v>1.0</v>
      </c>
      <c r="B1810" s="1">
        <f t="shared" si="1"/>
        <v>1810</v>
      </c>
      <c r="C1810" s="1" t="s">
        <v>3341</v>
      </c>
      <c r="D1810" s="1" t="s">
        <v>3341</v>
      </c>
      <c r="E1810" s="1" t="s">
        <v>194</v>
      </c>
      <c r="G1810" s="1">
        <v>1.1225251E7</v>
      </c>
      <c r="H1810" s="2">
        <v>41955.0</v>
      </c>
      <c r="I1810" s="1" t="s">
        <v>685</v>
      </c>
      <c r="K1810" s="1" t="s">
        <v>685</v>
      </c>
      <c r="N1810" s="1" t="s">
        <v>194</v>
      </c>
      <c r="O1810" s="1">
        <v>9100.0</v>
      </c>
      <c r="P1810" s="1" t="s">
        <v>194</v>
      </c>
      <c r="Q1810" s="1" t="str">
        <f>IF(ISERROR(VLOOKUP(P1810,'unique fed agency names'!A:C,3,FALSE)),P1810,VLOOKUP(P1810,'unique fed agency names'!A:C,3,FALSE))
</f>
        <v>U.S. Department of Education (ED)</v>
      </c>
      <c r="R1810" s="1">
        <v>5.2874042E7</v>
      </c>
      <c r="S1810" s="1" t="s">
        <v>538</v>
      </c>
      <c r="T1810" s="1" t="str">
        <f>IF(ISERROR(VLOOKUP(S1810,'unique org names'!A:C,3,FALSE)),S1810,VLOOKUP(S1810,'unique org names'!A:C,3,FALSE))
</f>
        <v>CESAR CHAVEZ ACADEMY</v>
      </c>
      <c r="V1810" s="1" t="s">
        <v>539</v>
      </c>
      <c r="W1810" s="1" t="s">
        <v>44</v>
      </c>
      <c r="X1810" s="1" t="s">
        <v>45</v>
      </c>
      <c r="Y1810" s="1">
        <v>4.82091524E8</v>
      </c>
      <c r="AA1810" s="1" t="s">
        <v>44</v>
      </c>
      <c r="AB1810" s="1" t="s">
        <v>45</v>
      </c>
      <c r="AC1810" s="1">
        <v>4.82091524E8</v>
      </c>
      <c r="AF1810" s="1">
        <v>126049.0</v>
      </c>
      <c r="AG1810" s="2">
        <v>41955.0</v>
      </c>
      <c r="AH1810" s="1">
        <v>9100.0</v>
      </c>
      <c r="AI1810" s="1" t="s">
        <v>194</v>
      </c>
      <c r="AJ1810" s="1" t="s">
        <v>3374</v>
      </c>
      <c r="AK1810" s="1" t="s">
        <v>3343</v>
      </c>
      <c r="AL1810" s="1">
        <v>1.0</v>
      </c>
      <c r="AM1810" s="1">
        <v>2015.0</v>
      </c>
      <c r="AN1810" s="1">
        <v>2015.0</v>
      </c>
      <c r="AO1810" s="1" t="s">
        <v>688</v>
      </c>
    </row>
    <row r="1811">
      <c r="A1811" s="5">
        <v>1.0</v>
      </c>
      <c r="B1811" s="1">
        <f t="shared" si="1"/>
        <v>1811</v>
      </c>
      <c r="C1811" s="1" t="s">
        <v>3341</v>
      </c>
      <c r="D1811" s="1" t="s">
        <v>3341</v>
      </c>
      <c r="E1811" s="1" t="s">
        <v>194</v>
      </c>
      <c r="G1811" s="1">
        <v>1.1225251E7</v>
      </c>
      <c r="H1811" s="2">
        <v>41905.0</v>
      </c>
      <c r="I1811" s="1" t="s">
        <v>685</v>
      </c>
      <c r="K1811" s="1" t="s">
        <v>685</v>
      </c>
      <c r="N1811" s="1" t="s">
        <v>194</v>
      </c>
      <c r="O1811" s="1">
        <v>9100.0</v>
      </c>
      <c r="P1811" s="1" t="s">
        <v>194</v>
      </c>
      <c r="Q1811" s="1" t="str">
        <f>IF(ISERROR(VLOOKUP(P1811,'unique fed agency names'!A:C,3,FALSE)),P1811,VLOOKUP(P1811,'unique fed agency names'!A:C,3,FALSE))
</f>
        <v>U.S. Department of Education (ED)</v>
      </c>
      <c r="R1811" s="1">
        <v>7.93697355E8</v>
      </c>
      <c r="S1811" s="1" t="s">
        <v>691</v>
      </c>
      <c r="T1811" s="1" t="str">
        <f>IF(ISERROR(VLOOKUP(S1811,'unique org names'!A:C,3,FALSE)),S1811,VLOOKUP(S1811,'unique org names'!A:C,3,FALSE))
</f>
        <v>OAKLAND INTERNATIONAL ACADEMY</v>
      </c>
      <c r="U1811" s="1" t="s">
        <v>1194</v>
      </c>
      <c r="V1811" s="1" t="s">
        <v>692</v>
      </c>
      <c r="W1811" s="1" t="s">
        <v>44</v>
      </c>
      <c r="X1811" s="1" t="s">
        <v>45</v>
      </c>
      <c r="Y1811" s="1">
        <v>4.82111554E8</v>
      </c>
      <c r="AA1811" s="1" t="s">
        <v>44</v>
      </c>
      <c r="AB1811" s="1" t="s">
        <v>45</v>
      </c>
      <c r="AC1811" s="1">
        <v>4.82111552E8</v>
      </c>
      <c r="AF1811" s="1">
        <v>50690.0</v>
      </c>
      <c r="AG1811" s="2">
        <v>41905.0</v>
      </c>
      <c r="AH1811" s="1">
        <v>9100.0</v>
      </c>
      <c r="AI1811" s="1" t="s">
        <v>194</v>
      </c>
      <c r="AJ1811" s="1" t="s">
        <v>3375</v>
      </c>
      <c r="AK1811" s="1" t="s">
        <v>3343</v>
      </c>
      <c r="AL1811" s="1">
        <v>1.0</v>
      </c>
      <c r="AM1811" s="1">
        <v>2015.0</v>
      </c>
      <c r="AN1811" s="1">
        <v>2014.0</v>
      </c>
      <c r="AO1811" s="1" t="s">
        <v>688</v>
      </c>
    </row>
    <row r="1812">
      <c r="A1812" s="5">
        <v>1.0</v>
      </c>
      <c r="B1812" s="1">
        <f t="shared" si="1"/>
        <v>1812</v>
      </c>
      <c r="C1812" s="1" t="s">
        <v>3344</v>
      </c>
      <c r="D1812" s="1" t="s">
        <v>3344</v>
      </c>
      <c r="E1812" s="1" t="s">
        <v>194</v>
      </c>
      <c r="G1812" s="1">
        <v>8.9228048E7</v>
      </c>
      <c r="H1812" s="2">
        <v>41793.0</v>
      </c>
      <c r="I1812" s="1" t="s">
        <v>458</v>
      </c>
      <c r="K1812" s="1" t="s">
        <v>458</v>
      </c>
      <c r="N1812" s="1" t="s">
        <v>194</v>
      </c>
      <c r="O1812" s="1">
        <v>9100.0</v>
      </c>
      <c r="P1812" s="1" t="s">
        <v>194</v>
      </c>
      <c r="Q1812" s="1" t="str">
        <f>IF(ISERROR(VLOOKUP(P1812,'unique fed agency names'!A:C,3,FALSE)),P1812,VLOOKUP(P1812,'unique fed agency names'!A:C,3,FALSE))
</f>
        <v>U.S. Department of Education (ED)</v>
      </c>
      <c r="R1812" s="1">
        <v>7.97531295E8</v>
      </c>
      <c r="S1812" s="1" t="s">
        <v>582</v>
      </c>
      <c r="T1812" s="1" t="str">
        <f>IF(ISERROR(VLOOKUP(S1812,'unique org names'!A:C,3,FALSE)),S1812,VLOOKUP(S1812,'unique org names'!A:C,3,FALSE))
</f>
        <v>FRONTIER INTERNATIONAL ACADEMY, THE</v>
      </c>
      <c r="U1812" s="1" t="s">
        <v>3376</v>
      </c>
      <c r="V1812" s="1" t="s">
        <v>583</v>
      </c>
      <c r="W1812" s="1" t="s">
        <v>44</v>
      </c>
      <c r="X1812" s="1" t="s">
        <v>45</v>
      </c>
      <c r="Y1812" s="1">
        <v>4.82123452E8</v>
      </c>
      <c r="AA1812" s="1" t="s">
        <v>46</v>
      </c>
      <c r="AB1812" s="1" t="s">
        <v>45</v>
      </c>
      <c r="AC1812" s="1">
        <v>4.82123452E8</v>
      </c>
      <c r="AD1812" s="1">
        <v>1.00035732E8</v>
      </c>
      <c r="AE1812" s="1" t="s">
        <v>1619</v>
      </c>
      <c r="AF1812" s="1">
        <v>31198.0</v>
      </c>
      <c r="AG1812" s="2">
        <v>41793.0</v>
      </c>
      <c r="AH1812" s="1">
        <v>9100.0</v>
      </c>
      <c r="AI1812" s="1" t="s">
        <v>194</v>
      </c>
      <c r="AJ1812" s="1" t="s">
        <v>3377</v>
      </c>
      <c r="AK1812" s="1" t="s">
        <v>463</v>
      </c>
      <c r="AL1812" s="1">
        <v>1.0</v>
      </c>
      <c r="AM1812" s="1">
        <v>2015.0</v>
      </c>
      <c r="AN1812" s="1">
        <v>2014.0</v>
      </c>
      <c r="AO1812" s="1" t="s">
        <v>277</v>
      </c>
    </row>
    <row r="1813">
      <c r="A1813" s="5">
        <v>1.0</v>
      </c>
      <c r="B1813" s="1">
        <f t="shared" si="1"/>
        <v>1813</v>
      </c>
      <c r="C1813" s="1" t="s">
        <v>3378</v>
      </c>
      <c r="D1813" s="1" t="s">
        <v>3378</v>
      </c>
      <c r="E1813" s="1" t="s">
        <v>194</v>
      </c>
      <c r="G1813" s="1">
        <v>1.3225274E7</v>
      </c>
      <c r="H1813" s="2">
        <v>41915.0</v>
      </c>
      <c r="I1813" s="1" t="s">
        <v>1228</v>
      </c>
      <c r="K1813" s="1" t="s">
        <v>1228</v>
      </c>
      <c r="N1813" s="1" t="s">
        <v>194</v>
      </c>
      <c r="O1813" s="1">
        <v>9100.0</v>
      </c>
      <c r="P1813" s="1" t="s">
        <v>194</v>
      </c>
      <c r="Q1813" s="1" t="str">
        <f>IF(ISERROR(VLOOKUP(P1813,'unique fed agency names'!A:C,3,FALSE)),P1813,VLOOKUP(P1813,'unique fed agency names'!A:C,3,FALSE))
</f>
        <v>U.S. Department of Education (ED)</v>
      </c>
      <c r="R1813" s="1">
        <v>7.6386556E7</v>
      </c>
      <c r="S1813" s="1" t="s">
        <v>1242</v>
      </c>
      <c r="T1813" s="1" t="str">
        <f>IF(ISERROR(VLOOKUP(S1813,'unique org names'!A:C,3,FALSE)),S1813,VLOOKUP(S1813,'unique org names'!A:C,3,FALSE))
</f>
        <v>WAYNE COUNTY COMMUNITY COLLEGE DISTRICT</v>
      </c>
      <c r="V1813" s="1" t="s">
        <v>1243</v>
      </c>
      <c r="W1813" s="1" t="s">
        <v>44</v>
      </c>
      <c r="X1813" s="1" t="s">
        <v>45</v>
      </c>
      <c r="Y1813" s="1">
        <v>4.8226301E8</v>
      </c>
      <c r="AA1813" s="1" t="s">
        <v>44</v>
      </c>
      <c r="AB1813" s="1" t="s">
        <v>45</v>
      </c>
      <c r="AC1813" s="1">
        <v>4.8226301E8</v>
      </c>
      <c r="AD1813" s="1">
        <v>7.6386556E7</v>
      </c>
      <c r="AE1813" s="1" t="s">
        <v>1242</v>
      </c>
      <c r="AF1813" s="1">
        <v>260000.0</v>
      </c>
      <c r="AG1813" s="2">
        <v>41915.0</v>
      </c>
      <c r="AH1813" s="1">
        <v>9100.0</v>
      </c>
      <c r="AI1813" s="1" t="s">
        <v>194</v>
      </c>
      <c r="AJ1813" s="1" t="s">
        <v>3379</v>
      </c>
      <c r="AK1813" s="1" t="s">
        <v>1232</v>
      </c>
      <c r="AL1813" s="1">
        <v>1.0</v>
      </c>
      <c r="AM1813" s="1">
        <v>2015.0</v>
      </c>
      <c r="AN1813" s="1">
        <v>2015.0</v>
      </c>
      <c r="AO1813" s="1" t="s">
        <v>1233</v>
      </c>
    </row>
    <row r="1814">
      <c r="A1814" s="5">
        <v>1.0</v>
      </c>
      <c r="B1814" s="1">
        <f t="shared" si="1"/>
        <v>1814</v>
      </c>
      <c r="C1814" s="1" t="s">
        <v>3344</v>
      </c>
      <c r="D1814" s="1" t="s">
        <v>3344</v>
      </c>
      <c r="E1814" s="1" t="s">
        <v>194</v>
      </c>
      <c r="G1814" s="1">
        <v>8.9228048E7</v>
      </c>
      <c r="H1814" s="2">
        <v>41758.0</v>
      </c>
      <c r="I1814" s="1" t="s">
        <v>458</v>
      </c>
      <c r="K1814" s="1" t="s">
        <v>458</v>
      </c>
      <c r="N1814" s="1" t="s">
        <v>194</v>
      </c>
      <c r="O1814" s="1">
        <v>9100.0</v>
      </c>
      <c r="P1814" s="1" t="s">
        <v>194</v>
      </c>
      <c r="Q1814" s="1" t="str">
        <f>IF(ISERROR(VLOOKUP(P1814,'unique fed agency names'!A:C,3,FALSE)),P1814,VLOOKUP(P1814,'unique fed agency names'!A:C,3,FALSE))
</f>
        <v>U.S. Department of Education (ED)</v>
      </c>
      <c r="R1814" s="1">
        <v>8.32093392E8</v>
      </c>
      <c r="S1814" s="1" t="s">
        <v>769</v>
      </c>
      <c r="T1814" s="1" t="str">
        <f>IF(ISERROR(VLOOKUP(S1814,'unique org names'!A:C,3,FALSE)),S1814,VLOOKUP(S1814,'unique org names'!A:C,3,FALSE))
</f>
        <v>MARTIN LUTHER KING, JR EDUCATION CENTER ACADEMY</v>
      </c>
      <c r="U1814" s="1" t="s">
        <v>3380</v>
      </c>
      <c r="V1814" s="1" t="s">
        <v>770</v>
      </c>
      <c r="W1814" s="1" t="s">
        <v>44</v>
      </c>
      <c r="X1814" s="1" t="s">
        <v>45</v>
      </c>
      <c r="Y1814" s="1">
        <v>4.82354205E8</v>
      </c>
      <c r="AA1814" s="1" t="s">
        <v>44</v>
      </c>
      <c r="AB1814" s="1" t="s">
        <v>45</v>
      </c>
      <c r="AC1814" s="1">
        <v>4.82354205E8</v>
      </c>
      <c r="AD1814" s="1">
        <v>1.93311404E8</v>
      </c>
      <c r="AE1814" s="1" t="s">
        <v>3381</v>
      </c>
      <c r="AF1814" s="1">
        <v>25057.0</v>
      </c>
      <c r="AG1814" s="2">
        <v>41758.0</v>
      </c>
      <c r="AH1814" s="1">
        <v>9100.0</v>
      </c>
      <c r="AI1814" s="1" t="s">
        <v>194</v>
      </c>
      <c r="AJ1814" s="1" t="s">
        <v>3382</v>
      </c>
      <c r="AK1814" s="1" t="s">
        <v>463</v>
      </c>
      <c r="AL1814" s="1">
        <v>1.0</v>
      </c>
      <c r="AM1814" s="1">
        <v>2015.0</v>
      </c>
      <c r="AN1814" s="1">
        <v>2014.0</v>
      </c>
      <c r="AO1814" s="1" t="s">
        <v>277</v>
      </c>
    </row>
    <row r="1815">
      <c r="A1815" s="5">
        <v>1.0</v>
      </c>
      <c r="B1815" s="1">
        <f t="shared" si="1"/>
        <v>1815</v>
      </c>
      <c r="C1815" s="1" t="s">
        <v>3344</v>
      </c>
      <c r="D1815" s="1" t="s">
        <v>3344</v>
      </c>
      <c r="E1815" s="1" t="s">
        <v>194</v>
      </c>
      <c r="G1815" s="1">
        <v>8.9228048E7</v>
      </c>
      <c r="H1815" s="2">
        <v>41725.0</v>
      </c>
      <c r="I1815" s="1" t="s">
        <v>458</v>
      </c>
      <c r="K1815" s="1" t="s">
        <v>458</v>
      </c>
      <c r="N1815" s="1" t="s">
        <v>194</v>
      </c>
      <c r="O1815" s="1">
        <v>9100.0</v>
      </c>
      <c r="P1815" s="1" t="s">
        <v>194</v>
      </c>
      <c r="Q1815" s="1" t="str">
        <f>IF(ISERROR(VLOOKUP(P1815,'unique fed agency names'!A:C,3,FALSE)),P1815,VLOOKUP(P1815,'unique fed agency names'!A:C,3,FALSE))
</f>
        <v>U.S. Department of Education (ED)</v>
      </c>
      <c r="R1815" s="1">
        <v>1.9859285E7</v>
      </c>
      <c r="S1815" s="1" t="s">
        <v>1172</v>
      </c>
      <c r="T1815" s="1" t="str">
        <f>IF(ISERROR(VLOOKUP(S1815,'unique org names'!A:C,3,FALSE)),S1815,VLOOKUP(S1815,'unique org names'!A:C,3,FALSE))
</f>
        <v>Madison Carver Academy</v>
      </c>
      <c r="U1815" s="1" t="s">
        <v>3383</v>
      </c>
      <c r="V1815" s="1" t="s">
        <v>1173</v>
      </c>
      <c r="W1815" s="1" t="s">
        <v>44</v>
      </c>
      <c r="X1815" s="1" t="s">
        <v>45</v>
      </c>
      <c r="Y1815" s="1">
        <v>4.82191263E8</v>
      </c>
      <c r="AA1815" s="1" t="s">
        <v>44</v>
      </c>
      <c r="AB1815" s="1" t="s">
        <v>45</v>
      </c>
      <c r="AC1815" s="1">
        <v>4.82191263E8</v>
      </c>
      <c r="AD1815" s="1">
        <v>1.00035427E8</v>
      </c>
      <c r="AE1815" s="1" t="s">
        <v>3384</v>
      </c>
      <c r="AF1815" s="1">
        <v>42036.0</v>
      </c>
      <c r="AG1815" s="2">
        <v>41725.0</v>
      </c>
      <c r="AH1815" s="1">
        <v>9100.0</v>
      </c>
      <c r="AI1815" s="1" t="s">
        <v>194</v>
      </c>
      <c r="AJ1815" s="1" t="s">
        <v>3385</v>
      </c>
      <c r="AK1815" s="1" t="s">
        <v>463</v>
      </c>
      <c r="AL1815" s="1">
        <v>1.0</v>
      </c>
      <c r="AM1815" s="1">
        <v>2015.0</v>
      </c>
      <c r="AN1815" s="1">
        <v>2014.0</v>
      </c>
      <c r="AO1815" s="1" t="s">
        <v>277</v>
      </c>
    </row>
    <row r="1816">
      <c r="A1816" s="5">
        <v>1.0</v>
      </c>
      <c r="B1816" s="1">
        <f t="shared" si="1"/>
        <v>1816</v>
      </c>
      <c r="C1816" s="1" t="s">
        <v>3386</v>
      </c>
      <c r="D1816" s="1" t="s">
        <v>3386</v>
      </c>
      <c r="E1816" s="1" t="s">
        <v>194</v>
      </c>
      <c r="G1816" s="1">
        <v>2.376034E7</v>
      </c>
      <c r="H1816" s="2">
        <v>41879.0</v>
      </c>
      <c r="I1816" s="1" t="s">
        <v>3387</v>
      </c>
      <c r="K1816" s="1" t="s">
        <v>3387</v>
      </c>
      <c r="N1816" s="1" t="s">
        <v>194</v>
      </c>
      <c r="O1816" s="1">
        <v>9100.0</v>
      </c>
      <c r="P1816" s="1" t="s">
        <v>194</v>
      </c>
      <c r="Q1816" s="1" t="str">
        <f>IF(ISERROR(VLOOKUP(P1816,'unique fed agency names'!A:C,3,FALSE)),P1816,VLOOKUP(P1816,'unique fed agency names'!A:C,3,FALSE))
</f>
        <v>U.S. Department of Education (ED)</v>
      </c>
      <c r="R1816" s="1">
        <v>7.8346351E7</v>
      </c>
      <c r="S1816" s="1" t="s">
        <v>615</v>
      </c>
      <c r="T1816" s="1" t="str">
        <f>IF(ISERROR(VLOOKUP(S1816,'unique org names'!A:C,3,FALSE)),S1816,VLOOKUP(S1816,'unique org names'!A:C,3,FALSE))
</f>
        <v>Education Achievement Authority</v>
      </c>
      <c r="V1816" s="1" t="s">
        <v>1708</v>
      </c>
      <c r="W1816" s="1" t="s">
        <v>44</v>
      </c>
      <c r="X1816" s="1" t="s">
        <v>45</v>
      </c>
      <c r="Y1816" s="1">
        <v>4.82074457E8</v>
      </c>
      <c r="AA1816" s="1" t="s">
        <v>46</v>
      </c>
      <c r="AB1816" s="1" t="s">
        <v>45</v>
      </c>
      <c r="AC1816" s="1">
        <v>4.82023037E8</v>
      </c>
      <c r="AF1816" s="1">
        <v>454489.0</v>
      </c>
      <c r="AG1816" s="2">
        <v>41879.0</v>
      </c>
      <c r="AH1816" s="1">
        <v>9100.0</v>
      </c>
      <c r="AI1816" s="1" t="s">
        <v>194</v>
      </c>
      <c r="AJ1816" s="1" t="s">
        <v>3388</v>
      </c>
      <c r="AK1816" s="1" t="s">
        <v>3389</v>
      </c>
      <c r="AL1816" s="1">
        <v>1.0</v>
      </c>
      <c r="AM1816" s="1">
        <v>2015.0</v>
      </c>
      <c r="AN1816" s="1">
        <v>2014.0</v>
      </c>
      <c r="AO1816" s="1" t="s">
        <v>3390</v>
      </c>
    </row>
    <row r="1817">
      <c r="A1817" s="5">
        <v>1.0</v>
      </c>
      <c r="B1817" s="1">
        <f t="shared" si="1"/>
        <v>1817</v>
      </c>
      <c r="C1817" s="1" t="s">
        <v>3344</v>
      </c>
      <c r="D1817" s="1" t="s">
        <v>3344</v>
      </c>
      <c r="E1817" s="1" t="s">
        <v>194</v>
      </c>
      <c r="G1817" s="1">
        <v>8.9228048E7</v>
      </c>
      <c r="H1817" s="2">
        <v>41669.0</v>
      </c>
      <c r="I1817" s="1" t="s">
        <v>458</v>
      </c>
      <c r="K1817" s="1" t="s">
        <v>458</v>
      </c>
      <c r="N1817" s="1" t="s">
        <v>194</v>
      </c>
      <c r="O1817" s="1">
        <v>9100.0</v>
      </c>
      <c r="P1817" s="1" t="s">
        <v>194</v>
      </c>
      <c r="Q1817" s="1" t="str">
        <f>IF(ISERROR(VLOOKUP(P1817,'unique fed agency names'!A:C,3,FALSE)),P1817,VLOOKUP(P1817,'unique fed agency names'!A:C,3,FALSE))
</f>
        <v>U.S. Department of Education (ED)</v>
      </c>
      <c r="R1817" s="1">
        <v>1.98438892E8</v>
      </c>
      <c r="S1817" s="1" t="s">
        <v>505</v>
      </c>
      <c r="T1817" s="1" t="str">
        <f>IF(ISERROR(VLOOKUP(S1817,'unique org names'!A:C,3,FALSE)),S1817,VLOOKUP(S1817,'unique org names'!A:C,3,FALSE))
</f>
        <v>HANLEY INTERNATIONAL ACADEMY, INC</v>
      </c>
      <c r="U1817" s="1" t="s">
        <v>1688</v>
      </c>
      <c r="V1817" s="1" t="s">
        <v>506</v>
      </c>
      <c r="W1817" s="1" t="s">
        <v>44</v>
      </c>
      <c r="X1817" s="1" t="s">
        <v>45</v>
      </c>
      <c r="Y1817" s="1">
        <v>4.82123572E8</v>
      </c>
      <c r="AA1817" s="1" t="s">
        <v>498</v>
      </c>
      <c r="AB1817" s="1" t="s">
        <v>45</v>
      </c>
      <c r="AC1817" s="1">
        <v>4.82123572E8</v>
      </c>
      <c r="AD1817" s="1">
        <v>1.98438892E8</v>
      </c>
      <c r="AE1817" s="1" t="s">
        <v>505</v>
      </c>
      <c r="AF1817" s="1">
        <v>28712.0</v>
      </c>
      <c r="AG1817" s="2">
        <v>41669.0</v>
      </c>
      <c r="AH1817" s="1">
        <v>9100.0</v>
      </c>
      <c r="AI1817" s="1" t="s">
        <v>194</v>
      </c>
      <c r="AJ1817" s="1" t="s">
        <v>3391</v>
      </c>
      <c r="AK1817" s="1" t="s">
        <v>463</v>
      </c>
      <c r="AL1817" s="1">
        <v>1.0</v>
      </c>
      <c r="AM1817" s="1">
        <v>2015.0</v>
      </c>
      <c r="AN1817" s="1">
        <v>2014.0</v>
      </c>
      <c r="AO1817" s="1" t="s">
        <v>277</v>
      </c>
    </row>
    <row r="1818">
      <c r="A1818" s="5">
        <v>1.0</v>
      </c>
      <c r="B1818" s="1">
        <f t="shared" si="1"/>
        <v>1818</v>
      </c>
      <c r="C1818" s="1" t="s">
        <v>3344</v>
      </c>
      <c r="D1818" s="1" t="s">
        <v>3344</v>
      </c>
      <c r="E1818" s="1" t="s">
        <v>194</v>
      </c>
      <c r="G1818" s="1">
        <v>8.9228048E7</v>
      </c>
      <c r="H1818" s="2">
        <v>41613.0</v>
      </c>
      <c r="I1818" s="1" t="s">
        <v>458</v>
      </c>
      <c r="K1818" s="1" t="s">
        <v>458</v>
      </c>
      <c r="N1818" s="1" t="s">
        <v>194</v>
      </c>
      <c r="O1818" s="1">
        <v>9100.0</v>
      </c>
      <c r="P1818" s="1" t="s">
        <v>194</v>
      </c>
      <c r="Q1818" s="1" t="str">
        <f>IF(ISERROR(VLOOKUP(P1818,'unique fed agency names'!A:C,3,FALSE)),P1818,VLOOKUP(P1818,'unique fed agency names'!A:C,3,FALSE))
</f>
        <v>U.S. Department of Education (ED)</v>
      </c>
      <c r="R1818" s="1">
        <v>3537326.0</v>
      </c>
      <c r="S1818" s="1" t="s">
        <v>560</v>
      </c>
      <c r="T1818" s="1" t="str">
        <f>IF(ISERROR(VLOOKUP(S1818,'unique org names'!A:C,3,FALSE)),S1818,VLOOKUP(S1818,'unique org names'!A:C,3,FALSE))
</f>
        <v>COMMONWEALTH COMMUNITY DEVELOPMENT ACADEMY</v>
      </c>
      <c r="U1818" s="1" t="s">
        <v>3392</v>
      </c>
      <c r="V1818" s="1" t="s">
        <v>561</v>
      </c>
      <c r="W1818" s="1" t="s">
        <v>44</v>
      </c>
      <c r="X1818" s="1" t="s">
        <v>45</v>
      </c>
      <c r="Y1818" s="1">
        <v>4.8212177E8</v>
      </c>
      <c r="AA1818" s="1" t="s">
        <v>498</v>
      </c>
      <c r="AB1818" s="1" t="s">
        <v>45</v>
      </c>
      <c r="AC1818" s="1">
        <v>4.82121754E8</v>
      </c>
      <c r="AD1818" s="1">
        <v>3537326.0</v>
      </c>
      <c r="AE1818" s="1" t="s">
        <v>560</v>
      </c>
      <c r="AF1818" s="1">
        <v>65464.0</v>
      </c>
      <c r="AG1818" s="2">
        <v>41613.0</v>
      </c>
      <c r="AH1818" s="1">
        <v>9100.0</v>
      </c>
      <c r="AI1818" s="1" t="s">
        <v>194</v>
      </c>
      <c r="AJ1818" s="1" t="s">
        <v>3393</v>
      </c>
      <c r="AK1818" s="1" t="s">
        <v>463</v>
      </c>
      <c r="AL1818" s="1">
        <v>1.0</v>
      </c>
      <c r="AM1818" s="1">
        <v>2015.0</v>
      </c>
      <c r="AN1818" s="1">
        <v>2014.0</v>
      </c>
      <c r="AO1818" s="1" t="s">
        <v>277</v>
      </c>
    </row>
    <row r="1819">
      <c r="A1819" s="5">
        <v>1.0</v>
      </c>
      <c r="B1819" s="1">
        <f t="shared" si="1"/>
        <v>1819</v>
      </c>
      <c r="C1819" s="1" t="s">
        <v>3344</v>
      </c>
      <c r="D1819" s="1" t="s">
        <v>3344</v>
      </c>
      <c r="E1819" s="1" t="s">
        <v>194</v>
      </c>
      <c r="G1819" s="1">
        <v>8.9228048E7</v>
      </c>
      <c r="H1819" s="2">
        <v>41799.0</v>
      </c>
      <c r="I1819" s="1" t="s">
        <v>458</v>
      </c>
      <c r="K1819" s="1" t="s">
        <v>458</v>
      </c>
      <c r="N1819" s="1" t="s">
        <v>194</v>
      </c>
      <c r="O1819" s="1">
        <v>9100.0</v>
      </c>
      <c r="P1819" s="1" t="s">
        <v>194</v>
      </c>
      <c r="Q1819" s="1" t="str">
        <f>IF(ISERROR(VLOOKUP(P1819,'unique fed agency names'!A:C,3,FALSE)),P1819,VLOOKUP(P1819,'unique fed agency names'!A:C,3,FALSE))
</f>
        <v>U.S. Department of Education (ED)</v>
      </c>
      <c r="R1819" s="1">
        <v>7.8583963E7</v>
      </c>
      <c r="S1819" s="1" t="s">
        <v>526</v>
      </c>
      <c r="T1819" s="1" t="str">
        <f>IF(ISERROR(VLOOKUP(S1819,'unique org names'!A:C,3,FALSE)),S1819,VLOOKUP(S1819,'unique org names'!A:C,3,FALSE))
</f>
        <v>WAY ACADEMY</v>
      </c>
      <c r="U1819" s="1" t="s">
        <v>527</v>
      </c>
      <c r="V1819" s="1" t="s">
        <v>3020</v>
      </c>
      <c r="W1819" s="1" t="s">
        <v>44</v>
      </c>
      <c r="X1819" s="1" t="s">
        <v>45</v>
      </c>
      <c r="Y1819" s="1">
        <v>4.82091434E8</v>
      </c>
      <c r="AA1819" s="1" t="s">
        <v>46</v>
      </c>
      <c r="AB1819" s="1" t="s">
        <v>45</v>
      </c>
      <c r="AC1819" s="1">
        <v>4.82091434E8</v>
      </c>
      <c r="AD1819" s="1">
        <v>9.781098E7</v>
      </c>
      <c r="AE1819" s="1" t="s">
        <v>3394</v>
      </c>
      <c r="AF1819" s="1">
        <v>66738.0</v>
      </c>
      <c r="AG1819" s="2">
        <v>41799.0</v>
      </c>
      <c r="AH1819" s="1">
        <v>9100.0</v>
      </c>
      <c r="AI1819" s="1" t="s">
        <v>194</v>
      </c>
      <c r="AJ1819" s="1" t="s">
        <v>3395</v>
      </c>
      <c r="AK1819" s="1" t="s">
        <v>463</v>
      </c>
      <c r="AL1819" s="1">
        <v>1.0</v>
      </c>
      <c r="AM1819" s="1">
        <v>2015.0</v>
      </c>
      <c r="AN1819" s="1">
        <v>2014.0</v>
      </c>
      <c r="AO1819" s="1" t="s">
        <v>277</v>
      </c>
    </row>
    <row r="1820">
      <c r="A1820" s="5">
        <v>1.0</v>
      </c>
      <c r="B1820" s="1">
        <f t="shared" si="1"/>
        <v>1820</v>
      </c>
      <c r="C1820" s="1" t="s">
        <v>3386</v>
      </c>
      <c r="D1820" s="1" t="s">
        <v>3386</v>
      </c>
      <c r="E1820" s="1" t="s">
        <v>194</v>
      </c>
      <c r="G1820" s="1">
        <v>2.376034E7</v>
      </c>
      <c r="H1820" s="2">
        <v>41320.0</v>
      </c>
      <c r="I1820" s="1" t="s">
        <v>3387</v>
      </c>
      <c r="K1820" s="1" t="s">
        <v>3387</v>
      </c>
      <c r="N1820" s="1" t="s">
        <v>194</v>
      </c>
      <c r="O1820" s="1">
        <v>9100.0</v>
      </c>
      <c r="P1820" s="1" t="s">
        <v>194</v>
      </c>
      <c r="Q1820" s="1" t="str">
        <f>IF(ISERROR(VLOOKUP(P1820,'unique fed agency names'!A:C,3,FALSE)),P1820,VLOOKUP(P1820,'unique fed agency names'!A:C,3,FALSE))
</f>
        <v>U.S. Department of Education (ED)</v>
      </c>
      <c r="R1820" s="1">
        <v>7.8346351E7</v>
      </c>
      <c r="S1820" s="1" t="s">
        <v>615</v>
      </c>
      <c r="T1820" s="1" t="str">
        <f>IF(ISERROR(VLOOKUP(S1820,'unique org names'!A:C,3,FALSE)),S1820,VLOOKUP(S1820,'unique org names'!A:C,3,FALSE))
</f>
        <v>Education Achievement Authority</v>
      </c>
      <c r="V1820" s="1" t="s">
        <v>1708</v>
      </c>
      <c r="W1820" s="1" t="s">
        <v>44</v>
      </c>
      <c r="X1820" s="1" t="s">
        <v>45</v>
      </c>
      <c r="Y1820" s="1">
        <v>4.82074457E8</v>
      </c>
      <c r="AA1820" s="1" t="s">
        <v>46</v>
      </c>
      <c r="AB1820" s="1" t="s">
        <v>45</v>
      </c>
      <c r="AC1820" s="1">
        <v>4.82023037E8</v>
      </c>
      <c r="AF1820" s="1">
        <v>607508.0</v>
      </c>
      <c r="AG1820" s="2">
        <v>41320.0</v>
      </c>
      <c r="AH1820" s="1">
        <v>9100.0</v>
      </c>
      <c r="AI1820" s="1" t="s">
        <v>194</v>
      </c>
      <c r="AJ1820" s="1" t="s">
        <v>3396</v>
      </c>
      <c r="AK1820" s="1" t="s">
        <v>3389</v>
      </c>
      <c r="AL1820" s="1">
        <v>1.0</v>
      </c>
      <c r="AM1820" s="1">
        <v>2015.0</v>
      </c>
      <c r="AN1820" s="1">
        <v>2013.0</v>
      </c>
      <c r="AO1820" s="1" t="s">
        <v>3390</v>
      </c>
    </row>
    <row r="1821">
      <c r="A1821" s="5">
        <v>1.0</v>
      </c>
      <c r="B1821" s="1">
        <f t="shared" si="1"/>
        <v>1821</v>
      </c>
      <c r="C1821" s="1" t="s">
        <v>3397</v>
      </c>
      <c r="D1821" s="1" t="s">
        <v>3397</v>
      </c>
      <c r="E1821" s="1" t="s">
        <v>194</v>
      </c>
      <c r="G1821" s="1">
        <v>2.29266E7</v>
      </c>
      <c r="H1821" s="2">
        <v>41928.0</v>
      </c>
      <c r="I1821" s="1" t="s">
        <v>3398</v>
      </c>
      <c r="K1821" s="1" t="s">
        <v>3398</v>
      </c>
      <c r="N1821" s="1" t="s">
        <v>194</v>
      </c>
      <c r="O1821" s="1">
        <v>9100.0</v>
      </c>
      <c r="P1821" s="1" t="s">
        <v>194</v>
      </c>
      <c r="Q1821" s="1" t="str">
        <f>IF(ISERROR(VLOOKUP(P1821,'unique fed agency names'!A:C,3,FALSE)),P1821,VLOOKUP(P1821,'unique fed agency names'!A:C,3,FALSE))
</f>
        <v>U.S. Department of Education (ED)</v>
      </c>
      <c r="R1821" s="1">
        <v>6.02807237E8</v>
      </c>
      <c r="S1821" s="1" t="s">
        <v>3399</v>
      </c>
      <c r="T1821" s="1" t="str">
        <f>IF(ISERROR(VLOOKUP(S1821,'unique org names'!A:C,3,FALSE)),S1821,VLOOKUP(S1821,'unique org names'!A:C,3,FALSE))
</f>
        <v>Potters House Ministries</v>
      </c>
      <c r="V1821" s="1" t="s">
        <v>3400</v>
      </c>
      <c r="W1821" s="1" t="s">
        <v>44</v>
      </c>
      <c r="X1821" s="1" t="s">
        <v>45</v>
      </c>
      <c r="Y1821" s="1">
        <v>4.82273809E8</v>
      </c>
      <c r="AA1821" s="1" t="s">
        <v>46</v>
      </c>
      <c r="AB1821" s="1" t="s">
        <v>45</v>
      </c>
      <c r="AC1821" s="1">
        <v>4.82194068E8</v>
      </c>
      <c r="AF1821" s="1">
        <v>103834.53</v>
      </c>
      <c r="AG1821" s="2">
        <v>41928.0</v>
      </c>
      <c r="AH1821" s="1">
        <v>9100.0</v>
      </c>
      <c r="AI1821" s="1" t="s">
        <v>194</v>
      </c>
      <c r="AJ1821" s="1" t="s">
        <v>3401</v>
      </c>
      <c r="AK1821" s="1" t="s">
        <v>3402</v>
      </c>
      <c r="AL1821" s="1">
        <v>1.0</v>
      </c>
      <c r="AM1821" s="1">
        <v>2015.0</v>
      </c>
      <c r="AN1821" s="1">
        <v>2015.0</v>
      </c>
      <c r="AO1821" s="1" t="s">
        <v>3403</v>
      </c>
    </row>
    <row r="1822">
      <c r="A1822" s="5">
        <v>1.0</v>
      </c>
      <c r="B1822" s="1">
        <f t="shared" si="1"/>
        <v>1822</v>
      </c>
      <c r="C1822" s="1" t="s">
        <v>3397</v>
      </c>
      <c r="D1822" s="1" t="s">
        <v>3397</v>
      </c>
      <c r="E1822" s="1" t="s">
        <v>194</v>
      </c>
      <c r="G1822" s="1">
        <v>2.29266E7</v>
      </c>
      <c r="H1822" s="2">
        <v>41262.0</v>
      </c>
      <c r="I1822" s="1" t="s">
        <v>3398</v>
      </c>
      <c r="K1822" s="1" t="s">
        <v>3398</v>
      </c>
      <c r="N1822" s="1" t="s">
        <v>194</v>
      </c>
      <c r="O1822" s="1">
        <v>9100.0</v>
      </c>
      <c r="P1822" s="1" t="s">
        <v>194</v>
      </c>
      <c r="Q1822" s="1" t="str">
        <f>IF(ISERROR(VLOOKUP(P1822,'unique fed agency names'!A:C,3,FALSE)),P1822,VLOOKUP(P1822,'unique fed agency names'!A:C,3,FALSE))
</f>
        <v>U.S. Department of Education (ED)</v>
      </c>
      <c r="R1822" s="1">
        <v>1.47777952E8</v>
      </c>
      <c r="S1822" s="1" t="s">
        <v>459</v>
      </c>
      <c r="T1822" s="1" t="str">
        <f>IF(ISERROR(VLOOKUP(S1822,'unique org names'!A:C,3,FALSE)),S1822,VLOOKUP(S1822,'unique org names'!A:C,3,FALSE))
</f>
        <v>DETROIT PUBLIC SCHOOLS</v>
      </c>
      <c r="U1822" s="1" t="s">
        <v>626</v>
      </c>
      <c r="V1822" s="1" t="s">
        <v>627</v>
      </c>
      <c r="W1822" s="1" t="s">
        <v>44</v>
      </c>
      <c r="X1822" s="1" t="s">
        <v>45</v>
      </c>
      <c r="Y1822" s="1">
        <v>4.82072112E8</v>
      </c>
      <c r="AA1822" s="1" t="s">
        <v>44</v>
      </c>
      <c r="AB1822" s="1" t="s">
        <v>45</v>
      </c>
      <c r="AC1822" s="1">
        <v>4.82072112E8</v>
      </c>
      <c r="AD1822" s="1">
        <v>7.6340843E7</v>
      </c>
      <c r="AE1822" s="1" t="s">
        <v>461</v>
      </c>
      <c r="AF1822" s="1">
        <v>38656.0</v>
      </c>
      <c r="AG1822" s="2">
        <v>41262.0</v>
      </c>
      <c r="AH1822" s="1">
        <v>9100.0</v>
      </c>
      <c r="AI1822" s="1" t="s">
        <v>194</v>
      </c>
      <c r="AJ1822" s="1" t="s">
        <v>3404</v>
      </c>
      <c r="AK1822" s="1" t="s">
        <v>3402</v>
      </c>
      <c r="AL1822" s="1">
        <v>1.0</v>
      </c>
      <c r="AM1822" s="1">
        <v>2015.0</v>
      </c>
      <c r="AN1822" s="1">
        <v>2013.0</v>
      </c>
      <c r="AO1822" s="1" t="s">
        <v>3403</v>
      </c>
    </row>
    <row r="1823">
      <c r="A1823" s="5">
        <v>1.0</v>
      </c>
      <c r="B1823" s="1">
        <f t="shared" si="1"/>
        <v>1823</v>
      </c>
      <c r="C1823" s="1" t="s">
        <v>3397</v>
      </c>
      <c r="D1823" s="1" t="s">
        <v>3397</v>
      </c>
      <c r="E1823" s="1" t="s">
        <v>194</v>
      </c>
      <c r="G1823" s="1">
        <v>2.29266E7</v>
      </c>
      <c r="H1823" s="2">
        <v>41316.0</v>
      </c>
      <c r="I1823" s="1" t="s">
        <v>3398</v>
      </c>
      <c r="K1823" s="1" t="s">
        <v>3398</v>
      </c>
      <c r="N1823" s="1" t="s">
        <v>194</v>
      </c>
      <c r="O1823" s="1">
        <v>9100.0</v>
      </c>
      <c r="P1823" s="1" t="s">
        <v>194</v>
      </c>
      <c r="Q1823" s="1" t="str">
        <f>IF(ISERROR(VLOOKUP(P1823,'unique fed agency names'!A:C,3,FALSE)),P1823,VLOOKUP(P1823,'unique fed agency names'!A:C,3,FALSE))
</f>
        <v>U.S. Department of Education (ED)</v>
      </c>
      <c r="R1823" s="1">
        <v>7.877691E7</v>
      </c>
      <c r="S1823" s="1" t="s">
        <v>3405</v>
      </c>
      <c r="T1823" s="1" t="str">
        <f>IF(ISERROR(VLOOKUP(S1823,'unique org names'!A:C,3,FALSE)),S1823,VLOOKUP(S1823,'unique org names'!A:C,3,FALSE))
</f>
        <v>Greater Detroit Community Development Foundation</v>
      </c>
      <c r="V1823" s="1" t="s">
        <v>3406</v>
      </c>
      <c r="W1823" s="1" t="s">
        <v>44</v>
      </c>
      <c r="X1823" s="1" t="s">
        <v>45</v>
      </c>
      <c r="Y1823" s="1">
        <v>4.8212302E8</v>
      </c>
      <c r="AA1823" s="1" t="s">
        <v>1454</v>
      </c>
      <c r="AB1823" s="1" t="s">
        <v>45</v>
      </c>
      <c r="AC1823" s="1">
        <v>4.80923374E8</v>
      </c>
      <c r="AF1823" s="1">
        <v>110000.0</v>
      </c>
      <c r="AG1823" s="2">
        <v>41316.0</v>
      </c>
      <c r="AH1823" s="1">
        <v>9100.0</v>
      </c>
      <c r="AI1823" s="1" t="s">
        <v>194</v>
      </c>
      <c r="AJ1823" s="1" t="s">
        <v>3407</v>
      </c>
      <c r="AK1823" s="1" t="s">
        <v>3402</v>
      </c>
      <c r="AL1823" s="1">
        <v>1.0</v>
      </c>
      <c r="AM1823" s="1">
        <v>2015.0</v>
      </c>
      <c r="AN1823" s="1">
        <v>2013.0</v>
      </c>
      <c r="AO1823" s="1" t="s">
        <v>3403</v>
      </c>
    </row>
    <row r="1824">
      <c r="A1824" s="5">
        <v>1.0</v>
      </c>
      <c r="B1824" s="1">
        <f t="shared" si="1"/>
        <v>1824</v>
      </c>
      <c r="C1824" s="1" t="s">
        <v>3397</v>
      </c>
      <c r="D1824" s="1" t="s">
        <v>3397</v>
      </c>
      <c r="E1824" s="1" t="s">
        <v>194</v>
      </c>
      <c r="G1824" s="1">
        <v>2.29266E7</v>
      </c>
      <c r="H1824" s="2">
        <v>41465.0</v>
      </c>
      <c r="I1824" s="1" t="s">
        <v>3398</v>
      </c>
      <c r="K1824" s="1" t="s">
        <v>3398</v>
      </c>
      <c r="N1824" s="1" t="s">
        <v>194</v>
      </c>
      <c r="O1824" s="1">
        <v>9100.0</v>
      </c>
      <c r="P1824" s="1" t="s">
        <v>194</v>
      </c>
      <c r="Q1824" s="1" t="str">
        <f>IF(ISERROR(VLOOKUP(P1824,'unique fed agency names'!A:C,3,FALSE)),P1824,VLOOKUP(P1824,'unique fed agency names'!A:C,3,FALSE))
</f>
        <v>U.S. Department of Education (ED)</v>
      </c>
      <c r="R1824" s="1">
        <v>7.8359653E7</v>
      </c>
      <c r="S1824" s="1" t="s">
        <v>469</v>
      </c>
      <c r="T1824" s="1" t="str">
        <f>IF(ISERROR(VLOOKUP(S1824,'unique org names'!A:C,3,FALSE)),S1824,VLOOKUP(S1824,'unique org names'!A:C,3,FALSE))
</f>
        <v>GEE WHITE ACADEMY</v>
      </c>
      <c r="V1824" s="1" t="s">
        <v>470</v>
      </c>
      <c r="W1824" s="1" t="s">
        <v>44</v>
      </c>
      <c r="X1824" s="1" t="s">
        <v>45</v>
      </c>
      <c r="Y1824" s="1">
        <v>4.82122462E8</v>
      </c>
      <c r="AA1824" s="1" t="s">
        <v>46</v>
      </c>
      <c r="AB1824" s="1" t="s">
        <v>45</v>
      </c>
      <c r="AC1824" s="1">
        <v>4.82122462E8</v>
      </c>
      <c r="AF1824" s="1">
        <v>185128.12</v>
      </c>
      <c r="AG1824" s="2">
        <v>41465.0</v>
      </c>
      <c r="AH1824" s="1">
        <v>9100.0</v>
      </c>
      <c r="AI1824" s="1" t="s">
        <v>194</v>
      </c>
      <c r="AJ1824" s="1" t="s">
        <v>3408</v>
      </c>
      <c r="AK1824" s="1" t="s">
        <v>3402</v>
      </c>
      <c r="AL1824" s="1">
        <v>1.0</v>
      </c>
      <c r="AM1824" s="1">
        <v>2015.0</v>
      </c>
      <c r="AN1824" s="1">
        <v>2013.0</v>
      </c>
      <c r="AO1824" s="1" t="s">
        <v>3403</v>
      </c>
    </row>
    <row r="1825">
      <c r="A1825" s="5">
        <v>1.0</v>
      </c>
      <c r="B1825" s="1">
        <f t="shared" si="1"/>
        <v>1825</v>
      </c>
      <c r="C1825" s="1" t="s">
        <v>3397</v>
      </c>
      <c r="D1825" s="1" t="s">
        <v>3397</v>
      </c>
      <c r="E1825" s="1" t="s">
        <v>194</v>
      </c>
      <c r="G1825" s="1">
        <v>2.29266E7</v>
      </c>
      <c r="H1825" s="2">
        <v>41814.0</v>
      </c>
      <c r="I1825" s="1" t="s">
        <v>3398</v>
      </c>
      <c r="K1825" s="1" t="s">
        <v>3398</v>
      </c>
      <c r="N1825" s="1" t="s">
        <v>194</v>
      </c>
      <c r="O1825" s="1">
        <v>9100.0</v>
      </c>
      <c r="P1825" s="1" t="s">
        <v>194</v>
      </c>
      <c r="Q1825" s="1" t="str">
        <f>IF(ISERROR(VLOOKUP(P1825,'unique fed agency names'!A:C,3,FALSE)),P1825,VLOOKUP(P1825,'unique fed agency names'!A:C,3,FALSE))
</f>
        <v>U.S. Department of Education (ED)</v>
      </c>
      <c r="R1825" s="1">
        <v>7.8465647E7</v>
      </c>
      <c r="S1825" s="1" t="s">
        <v>1176</v>
      </c>
      <c r="T1825" s="1" t="str">
        <f>IF(ISERROR(VLOOKUP(S1825,'unique org names'!A:C,3,FALSE)),S1825,VLOOKUP(S1825,'unique org names'!A:C,3,FALSE))
</f>
        <v>DETROIT INNOVATION ACADEMY</v>
      </c>
      <c r="V1825" s="1" t="s">
        <v>1178</v>
      </c>
      <c r="W1825" s="1" t="s">
        <v>44</v>
      </c>
      <c r="X1825" s="1" t="s">
        <v>45</v>
      </c>
      <c r="Y1825" s="1">
        <v>4.82281142E8</v>
      </c>
      <c r="AA1825" s="1" t="s">
        <v>44</v>
      </c>
      <c r="AB1825" s="1" t="s">
        <v>45</v>
      </c>
      <c r="AC1825" s="1">
        <v>4.82281142E8</v>
      </c>
      <c r="AF1825" s="1">
        <v>172177.2</v>
      </c>
      <c r="AG1825" s="2">
        <v>41814.0</v>
      </c>
      <c r="AH1825" s="1">
        <v>9100.0</v>
      </c>
      <c r="AI1825" s="1" t="s">
        <v>194</v>
      </c>
      <c r="AJ1825" s="1" t="s">
        <v>3409</v>
      </c>
      <c r="AK1825" s="1" t="s">
        <v>3402</v>
      </c>
      <c r="AL1825" s="1">
        <v>1.0</v>
      </c>
      <c r="AM1825" s="1">
        <v>2015.0</v>
      </c>
      <c r="AN1825" s="1">
        <v>2014.0</v>
      </c>
      <c r="AO1825" s="1" t="s">
        <v>3403</v>
      </c>
    </row>
    <row r="1826">
      <c r="A1826" s="5">
        <v>1.0</v>
      </c>
      <c r="B1826" s="1">
        <f t="shared" si="1"/>
        <v>1826</v>
      </c>
      <c r="C1826" s="1" t="s">
        <v>3344</v>
      </c>
      <c r="D1826" s="1" t="s">
        <v>3344</v>
      </c>
      <c r="E1826" s="1" t="s">
        <v>194</v>
      </c>
      <c r="G1826" s="1">
        <v>8.9228048E7</v>
      </c>
      <c r="H1826" s="2">
        <v>41682.0</v>
      </c>
      <c r="I1826" s="1" t="s">
        <v>458</v>
      </c>
      <c r="K1826" s="1" t="s">
        <v>458</v>
      </c>
      <c r="N1826" s="1" t="s">
        <v>194</v>
      </c>
      <c r="O1826" s="1">
        <v>9100.0</v>
      </c>
      <c r="P1826" s="1" t="s">
        <v>194</v>
      </c>
      <c r="Q1826" s="1" t="str">
        <f>IF(ISERROR(VLOOKUP(P1826,'unique fed agency names'!A:C,3,FALSE)),P1826,VLOOKUP(P1826,'unique fed agency names'!A:C,3,FALSE))
</f>
        <v>U.S. Department of Education (ED)</v>
      </c>
      <c r="R1826" s="1">
        <v>8.29503312E8</v>
      </c>
      <c r="S1826" s="1" t="s">
        <v>622</v>
      </c>
      <c r="T1826" s="1" t="str">
        <f>IF(ISERROR(VLOOKUP(S1826,'unique org names'!A:C,3,FALSE)),S1826,VLOOKUP(S1826,'unique org names'!A:C,3,FALSE))
</f>
        <v>GEORGE WASHINGTON CARVER ACADEMY</v>
      </c>
      <c r="U1826" s="1" t="s">
        <v>3410</v>
      </c>
      <c r="V1826" s="1" t="s">
        <v>623</v>
      </c>
      <c r="W1826" s="1" t="s">
        <v>44</v>
      </c>
      <c r="X1826" s="1" t="s">
        <v>45</v>
      </c>
      <c r="Y1826" s="1">
        <v>4.82035715E8</v>
      </c>
      <c r="AA1826" s="1" t="s">
        <v>603</v>
      </c>
      <c r="AB1826" s="1" t="s">
        <v>45</v>
      </c>
      <c r="AC1826" s="1">
        <v>4.82035715E8</v>
      </c>
      <c r="AD1826" s="1">
        <v>5.2173895E7</v>
      </c>
      <c r="AE1826" s="1" t="s">
        <v>3411</v>
      </c>
      <c r="AF1826" s="1">
        <v>75772.0</v>
      </c>
      <c r="AG1826" s="2">
        <v>41682.0</v>
      </c>
      <c r="AH1826" s="1">
        <v>9100.0</v>
      </c>
      <c r="AI1826" s="1" t="s">
        <v>194</v>
      </c>
      <c r="AJ1826" s="1" t="s">
        <v>3412</v>
      </c>
      <c r="AK1826" s="1" t="s">
        <v>463</v>
      </c>
      <c r="AL1826" s="1">
        <v>1.0</v>
      </c>
      <c r="AM1826" s="1">
        <v>2015.0</v>
      </c>
      <c r="AN1826" s="1">
        <v>2014.0</v>
      </c>
      <c r="AO1826" s="1" t="s">
        <v>277</v>
      </c>
    </row>
    <row r="1827">
      <c r="A1827" s="5">
        <v>1.0</v>
      </c>
      <c r="B1827" s="1">
        <f t="shared" si="1"/>
        <v>1827</v>
      </c>
      <c r="C1827" s="1" t="s">
        <v>3413</v>
      </c>
      <c r="D1827" s="1" t="s">
        <v>3413</v>
      </c>
      <c r="E1827" s="1" t="s">
        <v>194</v>
      </c>
      <c r="G1827" s="1">
        <v>5.21188032E8</v>
      </c>
      <c r="H1827" s="2">
        <v>41948.0</v>
      </c>
      <c r="I1827" s="1" t="s">
        <v>1168</v>
      </c>
      <c r="K1827" s="1" t="s">
        <v>1168</v>
      </c>
      <c r="N1827" s="1" t="s">
        <v>194</v>
      </c>
      <c r="O1827" s="1">
        <v>9100.0</v>
      </c>
      <c r="P1827" s="1" t="s">
        <v>194</v>
      </c>
      <c r="Q1827" s="1" t="str">
        <f>IF(ISERROR(VLOOKUP(P1827,'unique fed agency names'!A:C,3,FALSE)),P1827,VLOOKUP(P1827,'unique fed agency names'!A:C,3,FALSE))
</f>
        <v>U.S. Department of Education (ED)</v>
      </c>
      <c r="R1827" s="1">
        <v>7.6340843E7</v>
      </c>
      <c r="S1827" s="1" t="s">
        <v>461</v>
      </c>
      <c r="T1827" s="1" t="str">
        <f>IF(ISERROR(VLOOKUP(S1827,'unique org names'!A:C,3,FALSE)),S1827,VLOOKUP(S1827,'unique org names'!A:C,3,FALSE))
</f>
        <v>BOARD OF EDUCATION OF THE CITY OF DETROIT</v>
      </c>
      <c r="V1827" s="1" t="s">
        <v>1599</v>
      </c>
      <c r="W1827" s="1" t="s">
        <v>44</v>
      </c>
      <c r="X1827" s="1" t="s">
        <v>45</v>
      </c>
      <c r="Y1827" s="1">
        <v>4.8202301E8</v>
      </c>
      <c r="AA1827" s="1" t="s">
        <v>44</v>
      </c>
      <c r="AB1827" s="1" t="s">
        <v>45</v>
      </c>
      <c r="AC1827" s="1">
        <v>4.82023096E8</v>
      </c>
      <c r="AD1827" s="1">
        <v>7.6340843E7</v>
      </c>
      <c r="AE1827" s="1" t="s">
        <v>461</v>
      </c>
      <c r="AF1827" s="1">
        <v>1.0920153E8</v>
      </c>
      <c r="AG1827" s="2">
        <v>41948.0</v>
      </c>
      <c r="AH1827" s="1">
        <v>9100.0</v>
      </c>
      <c r="AI1827" s="1" t="s">
        <v>194</v>
      </c>
      <c r="AJ1827" s="1" t="s">
        <v>3414</v>
      </c>
      <c r="AK1827" s="1" t="s">
        <v>1170</v>
      </c>
      <c r="AL1827" s="1">
        <v>1.0</v>
      </c>
      <c r="AM1827" s="1">
        <v>2015.0</v>
      </c>
      <c r="AN1827" s="1">
        <v>2015.0</v>
      </c>
      <c r="AO1827" s="1" t="s">
        <v>1171</v>
      </c>
    </row>
    <row r="1828">
      <c r="A1828" s="5">
        <v>1.0</v>
      </c>
      <c r="B1828" s="1">
        <f t="shared" si="1"/>
        <v>1828</v>
      </c>
      <c r="C1828" s="1" t="s">
        <v>3344</v>
      </c>
      <c r="D1828" s="1" t="s">
        <v>3344</v>
      </c>
      <c r="E1828" s="1" t="s">
        <v>194</v>
      </c>
      <c r="G1828" s="1">
        <v>8.9228048E7</v>
      </c>
      <c r="H1828" s="2">
        <v>41682.0</v>
      </c>
      <c r="I1828" s="1" t="s">
        <v>458</v>
      </c>
      <c r="K1828" s="1" t="s">
        <v>458</v>
      </c>
      <c r="N1828" s="1" t="s">
        <v>194</v>
      </c>
      <c r="O1828" s="1">
        <v>9100.0</v>
      </c>
      <c r="P1828" s="1" t="s">
        <v>194</v>
      </c>
      <c r="Q1828" s="1" t="str">
        <f>IF(ISERROR(VLOOKUP(P1828,'unique fed agency names'!A:C,3,FALSE)),P1828,VLOOKUP(P1828,'unique fed agency names'!A:C,3,FALSE))
</f>
        <v>U.S. Department of Education (ED)</v>
      </c>
      <c r="R1828" s="1">
        <v>8.30792151E8</v>
      </c>
      <c r="S1828" s="1" t="s">
        <v>594</v>
      </c>
      <c r="T1828" s="1" t="str">
        <f>IF(ISERROR(VLOOKUP(S1828,'unique org names'!A:C,3,FALSE)),S1828,VLOOKUP(S1828,'unique org names'!A:C,3,FALSE))
</f>
        <v>FLAGSHIP CHARTER ACADEMY</v>
      </c>
      <c r="U1828" s="1" t="s">
        <v>3415</v>
      </c>
      <c r="V1828" s="1" t="s">
        <v>596</v>
      </c>
      <c r="W1828" s="1" t="s">
        <v>44</v>
      </c>
      <c r="X1828" s="1" t="s">
        <v>45</v>
      </c>
      <c r="Y1828" s="1">
        <v>4.82382356E8</v>
      </c>
      <c r="AA1828" s="1" t="s">
        <v>44</v>
      </c>
      <c r="AB1828" s="1" t="s">
        <v>45</v>
      </c>
      <c r="AC1828" s="1">
        <v>4.82382356E8</v>
      </c>
      <c r="AD1828" s="1">
        <v>9.60742484E8</v>
      </c>
      <c r="AF1828" s="1">
        <v>50740.0</v>
      </c>
      <c r="AG1828" s="2">
        <v>41682.0</v>
      </c>
      <c r="AH1828" s="1">
        <v>9100.0</v>
      </c>
      <c r="AI1828" s="1" t="s">
        <v>194</v>
      </c>
      <c r="AJ1828" s="1" t="s">
        <v>3416</v>
      </c>
      <c r="AK1828" s="1" t="s">
        <v>463</v>
      </c>
      <c r="AL1828" s="1">
        <v>1.0</v>
      </c>
      <c r="AM1828" s="1">
        <v>2015.0</v>
      </c>
      <c r="AN1828" s="1">
        <v>2014.0</v>
      </c>
      <c r="AO1828" s="1" t="s">
        <v>277</v>
      </c>
    </row>
    <row r="1829">
      <c r="A1829" s="5">
        <v>1.0</v>
      </c>
      <c r="B1829" s="1">
        <f t="shared" si="1"/>
        <v>1829</v>
      </c>
      <c r="C1829" s="1" t="s">
        <v>3413</v>
      </c>
      <c r="D1829" s="1" t="s">
        <v>3413</v>
      </c>
      <c r="E1829" s="1" t="s">
        <v>194</v>
      </c>
      <c r="G1829" s="1">
        <v>5.21188032E8</v>
      </c>
      <c r="H1829" s="2">
        <v>41974.0</v>
      </c>
      <c r="I1829" s="1" t="s">
        <v>1168</v>
      </c>
      <c r="K1829" s="1" t="s">
        <v>1168</v>
      </c>
      <c r="N1829" s="1" t="s">
        <v>194</v>
      </c>
      <c r="O1829" s="1">
        <v>9100.0</v>
      </c>
      <c r="P1829" s="1" t="s">
        <v>194</v>
      </c>
      <c r="Q1829" s="1" t="str">
        <f>IF(ISERROR(VLOOKUP(P1829,'unique fed agency names'!A:C,3,FALSE)),P1829,VLOOKUP(P1829,'unique fed agency names'!A:C,3,FALSE))
</f>
        <v>U.S. Department of Education (ED)</v>
      </c>
      <c r="R1829" s="1">
        <v>8.29630537E8</v>
      </c>
      <c r="S1829" s="1" t="s">
        <v>531</v>
      </c>
      <c r="T1829" s="1" t="str">
        <f>IF(ISERROR(VLOOKUP(S1829,'unique org names'!A:C,3,FALSE)),S1829,VLOOKUP(S1829,'unique org names'!A:C,3,FALSE))
</f>
        <v>DETROIT SERVICE LEARNING ACADEMY</v>
      </c>
      <c r="U1829" s="1" t="s">
        <v>532</v>
      </c>
      <c r="V1829" s="1" t="s">
        <v>533</v>
      </c>
      <c r="W1829" s="1" t="s">
        <v>44</v>
      </c>
      <c r="X1829" s="1" t="s">
        <v>45</v>
      </c>
      <c r="Y1829" s="1">
        <v>4.8219181E8</v>
      </c>
      <c r="AA1829" s="1" t="s">
        <v>44</v>
      </c>
      <c r="AB1829" s="1" t="s">
        <v>45</v>
      </c>
      <c r="AC1829" s="1">
        <v>4.8219181E8</v>
      </c>
      <c r="AD1829" s="1">
        <v>2.0894549E7</v>
      </c>
      <c r="AE1829" s="1" t="s">
        <v>3417</v>
      </c>
      <c r="AF1829" s="1">
        <v>667043.0</v>
      </c>
      <c r="AG1829" s="2">
        <v>41974.0</v>
      </c>
      <c r="AH1829" s="1">
        <v>9100.0</v>
      </c>
      <c r="AI1829" s="1" t="s">
        <v>194</v>
      </c>
      <c r="AJ1829" s="1" t="s">
        <v>3418</v>
      </c>
      <c r="AK1829" s="1" t="s">
        <v>1170</v>
      </c>
      <c r="AL1829" s="1">
        <v>1.0</v>
      </c>
      <c r="AM1829" s="1">
        <v>2015.0</v>
      </c>
      <c r="AN1829" s="1">
        <v>2015.0</v>
      </c>
      <c r="AO1829" s="1" t="s">
        <v>1171</v>
      </c>
    </row>
    <row r="1830">
      <c r="A1830" s="5">
        <v>1.0</v>
      </c>
      <c r="B1830" s="1">
        <f t="shared" si="1"/>
        <v>1830</v>
      </c>
      <c r="C1830" s="1" t="s">
        <v>3413</v>
      </c>
      <c r="D1830" s="1" t="s">
        <v>3413</v>
      </c>
      <c r="E1830" s="1" t="s">
        <v>194</v>
      </c>
      <c r="G1830" s="1">
        <v>5.21188032E8</v>
      </c>
      <c r="H1830" s="2">
        <v>41976.0</v>
      </c>
      <c r="I1830" s="1" t="s">
        <v>1168</v>
      </c>
      <c r="K1830" s="1" t="s">
        <v>1168</v>
      </c>
      <c r="N1830" s="1" t="s">
        <v>194</v>
      </c>
      <c r="O1830" s="1">
        <v>9100.0</v>
      </c>
      <c r="P1830" s="1" t="s">
        <v>194</v>
      </c>
      <c r="Q1830" s="1" t="str">
        <f>IF(ISERROR(VLOOKUP(P1830,'unique fed agency names'!A:C,3,FALSE)),P1830,VLOOKUP(P1830,'unique fed agency names'!A:C,3,FALSE))
</f>
        <v>U.S. Department of Education (ED)</v>
      </c>
      <c r="R1830" s="1">
        <v>8.30649195E8</v>
      </c>
      <c r="S1830" s="1" t="s">
        <v>545</v>
      </c>
      <c r="T1830" s="1" t="str">
        <f>IF(ISERROR(VLOOKUP(S1830,'unique org names'!A:C,3,FALSE)),S1830,VLOOKUP(S1830,'unique org names'!A:C,3,FALSE))
</f>
        <v>PLYMOUTH EDUCATIONAL CENTER CHARTER SCHOOL</v>
      </c>
      <c r="V1830" s="1" t="s">
        <v>547</v>
      </c>
      <c r="W1830" s="1" t="s">
        <v>44</v>
      </c>
      <c r="X1830" s="1" t="s">
        <v>45</v>
      </c>
      <c r="Y1830" s="1">
        <v>4.82071E8</v>
      </c>
      <c r="AA1830" s="1" t="s">
        <v>44</v>
      </c>
      <c r="AB1830" s="1" t="s">
        <v>45</v>
      </c>
      <c r="AC1830" s="1">
        <v>4.82071E8</v>
      </c>
      <c r="AD1830" s="1">
        <v>2.0842068E7</v>
      </c>
      <c r="AE1830" s="1" t="s">
        <v>3419</v>
      </c>
      <c r="AF1830" s="1">
        <v>637955.0</v>
      </c>
      <c r="AG1830" s="2">
        <v>41976.0</v>
      </c>
      <c r="AH1830" s="1">
        <v>9100.0</v>
      </c>
      <c r="AI1830" s="1" t="s">
        <v>194</v>
      </c>
      <c r="AJ1830" s="1" t="s">
        <v>3420</v>
      </c>
      <c r="AK1830" s="1" t="s">
        <v>1170</v>
      </c>
      <c r="AL1830" s="1">
        <v>1.0</v>
      </c>
      <c r="AM1830" s="1">
        <v>2015.0</v>
      </c>
      <c r="AN1830" s="1">
        <v>2015.0</v>
      </c>
      <c r="AO1830" s="1" t="s">
        <v>1171</v>
      </c>
    </row>
    <row r="1831">
      <c r="A1831" s="5">
        <v>1.0</v>
      </c>
      <c r="B1831" s="1">
        <f t="shared" si="1"/>
        <v>1831</v>
      </c>
      <c r="C1831" s="1" t="s">
        <v>3344</v>
      </c>
      <c r="D1831" s="1" t="s">
        <v>3344</v>
      </c>
      <c r="E1831" s="1" t="s">
        <v>194</v>
      </c>
      <c r="G1831" s="1">
        <v>8.9228048E7</v>
      </c>
      <c r="H1831" s="2">
        <v>41683.0</v>
      </c>
      <c r="I1831" s="1" t="s">
        <v>458</v>
      </c>
      <c r="K1831" s="1" t="s">
        <v>458</v>
      </c>
      <c r="N1831" s="1" t="s">
        <v>194</v>
      </c>
      <c r="O1831" s="1">
        <v>9100.0</v>
      </c>
      <c r="P1831" s="1" t="s">
        <v>194</v>
      </c>
      <c r="Q1831" s="1" t="str">
        <f>IF(ISERROR(VLOOKUP(P1831,'unique fed agency names'!A:C,3,FALSE)),P1831,VLOOKUP(P1831,'unique fed agency names'!A:C,3,FALSE))
</f>
        <v>U.S. Department of Education (ED)</v>
      </c>
      <c r="R1831" s="1">
        <v>1.68568132E8</v>
      </c>
      <c r="S1831" s="1" t="s">
        <v>588</v>
      </c>
      <c r="T1831" s="1" t="str">
        <f>IF(ISERROR(VLOOKUP(S1831,'unique org names'!A:C,3,FALSE)),S1831,VLOOKUP(S1831,'unique org names'!A:C,3,FALSE))
</f>
        <v>DETROIT ENTERPRISE ACADEMY</v>
      </c>
      <c r="V1831" s="1" t="s">
        <v>589</v>
      </c>
      <c r="W1831" s="1" t="s">
        <v>44</v>
      </c>
      <c r="X1831" s="1" t="s">
        <v>45</v>
      </c>
      <c r="Y1831" s="1">
        <v>4.82143323E8</v>
      </c>
      <c r="AA1831" s="1" t="s">
        <v>44</v>
      </c>
      <c r="AB1831" s="1" t="s">
        <v>45</v>
      </c>
      <c r="AC1831" s="1">
        <v>4.82143323E8</v>
      </c>
      <c r="AD1831" s="1">
        <v>9.60742484E8</v>
      </c>
      <c r="AF1831" s="1">
        <v>29900.0</v>
      </c>
      <c r="AG1831" s="2">
        <v>41683.0</v>
      </c>
      <c r="AH1831" s="1">
        <v>9100.0</v>
      </c>
      <c r="AI1831" s="1" t="s">
        <v>194</v>
      </c>
      <c r="AJ1831" s="1" t="s">
        <v>3421</v>
      </c>
      <c r="AK1831" s="1" t="s">
        <v>463</v>
      </c>
      <c r="AL1831" s="1">
        <v>1.0</v>
      </c>
      <c r="AM1831" s="1">
        <v>2015.0</v>
      </c>
      <c r="AN1831" s="1">
        <v>2014.0</v>
      </c>
      <c r="AO1831" s="1" t="s">
        <v>277</v>
      </c>
    </row>
    <row r="1832">
      <c r="A1832" s="5">
        <v>1.0</v>
      </c>
      <c r="B1832" s="1">
        <f t="shared" si="1"/>
        <v>1832</v>
      </c>
      <c r="C1832" s="1" t="s">
        <v>3413</v>
      </c>
      <c r="D1832" s="1" t="s">
        <v>3413</v>
      </c>
      <c r="E1832" s="1" t="s">
        <v>194</v>
      </c>
      <c r="G1832" s="1">
        <v>5.21188032E8</v>
      </c>
      <c r="H1832" s="2">
        <v>41953.0</v>
      </c>
      <c r="I1832" s="1" t="s">
        <v>1168</v>
      </c>
      <c r="K1832" s="1" t="s">
        <v>1168</v>
      </c>
      <c r="N1832" s="1" t="s">
        <v>194</v>
      </c>
      <c r="O1832" s="1">
        <v>9100.0</v>
      </c>
      <c r="P1832" s="1" t="s">
        <v>194</v>
      </c>
      <c r="Q1832" s="1" t="str">
        <f>IF(ISERROR(VLOOKUP(P1832,'unique fed agency names'!A:C,3,FALSE)),P1832,VLOOKUP(P1832,'unique fed agency names'!A:C,3,FALSE))
</f>
        <v>U.S. Department of Education (ED)</v>
      </c>
      <c r="R1832" s="1">
        <v>3790107.0</v>
      </c>
      <c r="S1832" s="1" t="s">
        <v>576</v>
      </c>
      <c r="T1832" s="1" t="str">
        <f>IF(ISERROR(VLOOKUP(S1832,'unique org names'!A:C,3,FALSE)),S1832,VLOOKUP(S1832,'unique org names'!A:C,3,FALSE))
</f>
        <v>MARVIN L. WINANS ACADEMY OF PERFORMING ARTS</v>
      </c>
      <c r="V1832" s="1" t="s">
        <v>577</v>
      </c>
      <c r="W1832" s="1" t="s">
        <v>44</v>
      </c>
      <c r="X1832" s="1" t="s">
        <v>45</v>
      </c>
      <c r="Y1832" s="1">
        <v>4.82343284E8</v>
      </c>
      <c r="AA1832" s="1" t="s">
        <v>44</v>
      </c>
      <c r="AB1832" s="1" t="s">
        <v>45</v>
      </c>
      <c r="AC1832" s="1">
        <v>4.82343284E8</v>
      </c>
      <c r="AF1832" s="1">
        <v>620830.0</v>
      </c>
      <c r="AG1832" s="2">
        <v>41953.0</v>
      </c>
      <c r="AH1832" s="1">
        <v>9100.0</v>
      </c>
      <c r="AI1832" s="1" t="s">
        <v>194</v>
      </c>
      <c r="AJ1832" s="1" t="s">
        <v>3422</v>
      </c>
      <c r="AK1832" s="1" t="s">
        <v>1170</v>
      </c>
      <c r="AL1832" s="1">
        <v>1.0</v>
      </c>
      <c r="AM1832" s="1">
        <v>2015.0</v>
      </c>
      <c r="AN1832" s="1">
        <v>2015.0</v>
      </c>
      <c r="AO1832" s="1" t="s">
        <v>1171</v>
      </c>
    </row>
    <row r="1833">
      <c r="A1833" s="5">
        <v>1.0</v>
      </c>
      <c r="B1833" s="1">
        <f t="shared" si="1"/>
        <v>1833</v>
      </c>
      <c r="C1833" s="1" t="s">
        <v>3344</v>
      </c>
      <c r="D1833" s="1" t="s">
        <v>3344</v>
      </c>
      <c r="E1833" s="1" t="s">
        <v>194</v>
      </c>
      <c r="G1833" s="1">
        <v>8.9228048E7</v>
      </c>
      <c r="H1833" s="2">
        <v>41729.0</v>
      </c>
      <c r="I1833" s="1" t="s">
        <v>458</v>
      </c>
      <c r="K1833" s="1" t="s">
        <v>458</v>
      </c>
      <c r="N1833" s="1" t="s">
        <v>194</v>
      </c>
      <c r="O1833" s="1">
        <v>9100.0</v>
      </c>
      <c r="P1833" s="1" t="s">
        <v>194</v>
      </c>
      <c r="Q1833" s="1" t="str">
        <f>IF(ISERROR(VLOOKUP(P1833,'unique fed agency names'!A:C,3,FALSE)),P1833,VLOOKUP(P1833,'unique fed agency names'!A:C,3,FALSE))
</f>
        <v>U.S. Department of Education (ED)</v>
      </c>
      <c r="R1833" s="1">
        <v>8.76992343E8</v>
      </c>
      <c r="S1833" s="1" t="s">
        <v>550</v>
      </c>
      <c r="T1833" s="1" t="str">
        <f>IF(ISERROR(VLOOKUP(S1833,'unique org names'!A:C,3,FALSE)),S1833,VLOOKUP(S1833,'unique org names'!A:C,3,FALSE))
</f>
        <v>VOYAGEUR ACADEMY</v>
      </c>
      <c r="V1833" s="1" t="s">
        <v>551</v>
      </c>
      <c r="W1833" s="1" t="s">
        <v>44</v>
      </c>
      <c r="X1833" s="1" t="s">
        <v>45</v>
      </c>
      <c r="Y1833" s="1">
        <v>4.82102451E8</v>
      </c>
      <c r="AA1833" s="1" t="s">
        <v>44</v>
      </c>
      <c r="AB1833" s="1" t="s">
        <v>45</v>
      </c>
      <c r="AC1833" s="1">
        <v>4.82102451E8</v>
      </c>
      <c r="AF1833" s="1">
        <v>51676.0</v>
      </c>
      <c r="AG1833" s="2">
        <v>41729.0</v>
      </c>
      <c r="AH1833" s="1">
        <v>9100.0</v>
      </c>
      <c r="AI1833" s="1" t="s">
        <v>194</v>
      </c>
      <c r="AJ1833" s="1" t="s">
        <v>3423</v>
      </c>
      <c r="AK1833" s="1" t="s">
        <v>463</v>
      </c>
      <c r="AL1833" s="1">
        <v>1.0</v>
      </c>
      <c r="AM1833" s="1">
        <v>2015.0</v>
      </c>
      <c r="AN1833" s="1">
        <v>2014.0</v>
      </c>
      <c r="AO1833" s="1" t="s">
        <v>277</v>
      </c>
    </row>
    <row r="1834">
      <c r="A1834" s="5">
        <v>1.0</v>
      </c>
      <c r="B1834" s="1">
        <f t="shared" si="1"/>
        <v>1834</v>
      </c>
      <c r="C1834" s="1" t="s">
        <v>3413</v>
      </c>
      <c r="D1834" s="1" t="s">
        <v>3413</v>
      </c>
      <c r="E1834" s="1" t="s">
        <v>194</v>
      </c>
      <c r="G1834" s="1">
        <v>5.21188032E8</v>
      </c>
      <c r="H1834" s="2">
        <v>41935.0</v>
      </c>
      <c r="I1834" s="1" t="s">
        <v>1168</v>
      </c>
      <c r="K1834" s="1" t="s">
        <v>1168</v>
      </c>
      <c r="N1834" s="1" t="s">
        <v>194</v>
      </c>
      <c r="O1834" s="1">
        <v>9100.0</v>
      </c>
      <c r="P1834" s="1" t="s">
        <v>194</v>
      </c>
      <c r="Q1834" s="1" t="str">
        <f>IF(ISERROR(VLOOKUP(P1834,'unique fed agency names'!A:C,3,FALSE)),P1834,VLOOKUP(P1834,'unique fed agency names'!A:C,3,FALSE))
</f>
        <v>U.S. Department of Education (ED)</v>
      </c>
      <c r="R1834" s="1">
        <v>9.65778702E8</v>
      </c>
      <c r="S1834" s="1" t="s">
        <v>493</v>
      </c>
      <c r="T1834" s="1" t="str">
        <f>IF(ISERROR(VLOOKUP(S1834,'unique org names'!A:C,3,FALSE)),S1834,VLOOKUP(S1834,'unique org names'!A:C,3,FALSE))
</f>
        <v>COVENANT HOUSE ACADEMY CENTRAL</v>
      </c>
      <c r="U1834" s="1" t="s">
        <v>3424</v>
      </c>
      <c r="V1834" s="1" t="s">
        <v>494</v>
      </c>
      <c r="W1834" s="1" t="s">
        <v>44</v>
      </c>
      <c r="X1834" s="1" t="s">
        <v>45</v>
      </c>
      <c r="Y1834" s="1">
        <v>4.82082475E8</v>
      </c>
      <c r="AA1834" s="1" t="s">
        <v>44</v>
      </c>
      <c r="AB1834" s="1" t="s">
        <v>45</v>
      </c>
      <c r="AC1834" s="1">
        <v>4.82082475E8</v>
      </c>
      <c r="AD1834" s="1">
        <v>4.0917864E7</v>
      </c>
      <c r="AF1834" s="1">
        <v>652387.0</v>
      </c>
      <c r="AG1834" s="2">
        <v>41935.0</v>
      </c>
      <c r="AH1834" s="1">
        <v>9100.0</v>
      </c>
      <c r="AI1834" s="1" t="s">
        <v>194</v>
      </c>
      <c r="AJ1834" s="1" t="s">
        <v>3425</v>
      </c>
      <c r="AK1834" s="1" t="s">
        <v>1170</v>
      </c>
      <c r="AL1834" s="1">
        <v>1.0</v>
      </c>
      <c r="AM1834" s="1">
        <v>2015.0</v>
      </c>
      <c r="AN1834" s="1">
        <v>2015.0</v>
      </c>
      <c r="AO1834" s="1" t="s">
        <v>1171</v>
      </c>
    </row>
    <row r="1835">
      <c r="A1835" s="5">
        <v>1.0</v>
      </c>
      <c r="B1835" s="1">
        <f t="shared" si="1"/>
        <v>1835</v>
      </c>
      <c r="C1835" s="1" t="s">
        <v>3413</v>
      </c>
      <c r="D1835" s="1" t="s">
        <v>3413</v>
      </c>
      <c r="E1835" s="1" t="s">
        <v>194</v>
      </c>
      <c r="G1835" s="1">
        <v>5.21188032E8</v>
      </c>
      <c r="H1835" s="2">
        <v>41915.0</v>
      </c>
      <c r="I1835" s="1" t="s">
        <v>1168</v>
      </c>
      <c r="K1835" s="1" t="s">
        <v>1168</v>
      </c>
      <c r="N1835" s="1" t="s">
        <v>194</v>
      </c>
      <c r="O1835" s="1">
        <v>9100.0</v>
      </c>
      <c r="P1835" s="1" t="s">
        <v>194</v>
      </c>
      <c r="Q1835" s="1" t="str">
        <f>IF(ISERROR(VLOOKUP(P1835,'unique fed agency names'!A:C,3,FALSE)),P1835,VLOOKUP(P1835,'unique fed agency names'!A:C,3,FALSE))
</f>
        <v>U.S. Department of Education (ED)</v>
      </c>
      <c r="R1835" s="1">
        <v>4.2136734E7</v>
      </c>
      <c r="S1835" s="1" t="s">
        <v>557</v>
      </c>
      <c r="T1835" s="1" t="str">
        <f>IF(ISERROR(VLOOKUP(S1835,'unique org names'!A:C,3,FALSE)),S1835,VLOOKUP(S1835,'unique org names'!A:C,3,FALSE))
</f>
        <v>GEORGE CROCKETT ACADEMY</v>
      </c>
      <c r="U1835" s="1" t="s">
        <v>1692</v>
      </c>
      <c r="V1835" s="1" t="s">
        <v>558</v>
      </c>
      <c r="W1835" s="1" t="s">
        <v>44</v>
      </c>
      <c r="X1835" s="1" t="s">
        <v>45</v>
      </c>
      <c r="Y1835" s="1">
        <v>4.82082204E8</v>
      </c>
      <c r="AA1835" s="1" t="s">
        <v>44</v>
      </c>
      <c r="AB1835" s="1" t="s">
        <v>45</v>
      </c>
      <c r="AC1835" s="1">
        <v>4.82082204E8</v>
      </c>
      <c r="AD1835" s="1">
        <v>2.1087911E7</v>
      </c>
      <c r="AE1835" s="1" t="s">
        <v>1693</v>
      </c>
      <c r="AF1835" s="1">
        <v>315462.0</v>
      </c>
      <c r="AG1835" s="2">
        <v>41915.0</v>
      </c>
      <c r="AH1835" s="1">
        <v>9100.0</v>
      </c>
      <c r="AI1835" s="1" t="s">
        <v>194</v>
      </c>
      <c r="AJ1835" s="1" t="s">
        <v>3426</v>
      </c>
      <c r="AK1835" s="1" t="s">
        <v>1170</v>
      </c>
      <c r="AL1835" s="1">
        <v>1.0</v>
      </c>
      <c r="AM1835" s="1">
        <v>2015.0</v>
      </c>
      <c r="AN1835" s="1">
        <v>2015.0</v>
      </c>
      <c r="AO1835" s="1" t="s">
        <v>1171</v>
      </c>
    </row>
    <row r="1836">
      <c r="A1836" s="5">
        <v>1.0</v>
      </c>
      <c r="B1836" s="1">
        <f t="shared" si="1"/>
        <v>1836</v>
      </c>
      <c r="C1836" s="1" t="s">
        <v>3413</v>
      </c>
      <c r="D1836" s="1" t="s">
        <v>3413</v>
      </c>
      <c r="E1836" s="1" t="s">
        <v>194</v>
      </c>
      <c r="G1836" s="1">
        <v>5.21188032E8</v>
      </c>
      <c r="H1836" s="2">
        <v>41932.0</v>
      </c>
      <c r="I1836" s="1" t="s">
        <v>1168</v>
      </c>
      <c r="K1836" s="1" t="s">
        <v>1168</v>
      </c>
      <c r="N1836" s="1" t="s">
        <v>194</v>
      </c>
      <c r="O1836" s="1">
        <v>9100.0</v>
      </c>
      <c r="P1836" s="1" t="s">
        <v>194</v>
      </c>
      <c r="Q1836" s="1" t="str">
        <f>IF(ISERROR(VLOOKUP(P1836,'unique fed agency names'!A:C,3,FALSE)),P1836,VLOOKUP(P1836,'unique fed agency names'!A:C,3,FALSE))
</f>
        <v>U.S. Department of Education (ED)</v>
      </c>
      <c r="R1836" s="1">
        <v>3537326.0</v>
      </c>
      <c r="S1836" s="1" t="s">
        <v>560</v>
      </c>
      <c r="T1836" s="1" t="str">
        <f>IF(ISERROR(VLOOKUP(S1836,'unique org names'!A:C,3,FALSE)),S1836,VLOOKUP(S1836,'unique org names'!A:C,3,FALSE))
</f>
        <v>COMMONWEALTH COMMUNITY DEVELOPMENT ACADEMY</v>
      </c>
      <c r="U1836" s="1" t="s">
        <v>3427</v>
      </c>
      <c r="V1836" s="1" t="s">
        <v>561</v>
      </c>
      <c r="W1836" s="1" t="s">
        <v>44</v>
      </c>
      <c r="X1836" s="1" t="s">
        <v>45</v>
      </c>
      <c r="Y1836" s="1">
        <v>4.8212177E8</v>
      </c>
      <c r="AA1836" s="1" t="s">
        <v>498</v>
      </c>
      <c r="AB1836" s="1" t="s">
        <v>45</v>
      </c>
      <c r="AC1836" s="1">
        <v>4.82121754E8</v>
      </c>
      <c r="AD1836" s="1">
        <v>3537326.0</v>
      </c>
      <c r="AE1836" s="1" t="s">
        <v>560</v>
      </c>
      <c r="AF1836" s="1">
        <v>268217.0</v>
      </c>
      <c r="AG1836" s="2">
        <v>41932.0</v>
      </c>
      <c r="AH1836" s="1">
        <v>9100.0</v>
      </c>
      <c r="AI1836" s="1" t="s">
        <v>194</v>
      </c>
      <c r="AJ1836" s="1" t="s">
        <v>3428</v>
      </c>
      <c r="AK1836" s="1" t="s">
        <v>1170</v>
      </c>
      <c r="AL1836" s="1">
        <v>1.0</v>
      </c>
      <c r="AM1836" s="1">
        <v>2015.0</v>
      </c>
      <c r="AN1836" s="1">
        <v>2015.0</v>
      </c>
      <c r="AO1836" s="1" t="s">
        <v>1171</v>
      </c>
    </row>
    <row r="1837">
      <c r="A1837" s="5">
        <v>1.0</v>
      </c>
      <c r="B1837" s="1">
        <f t="shared" si="1"/>
        <v>1837</v>
      </c>
      <c r="C1837" s="1" t="s">
        <v>3413</v>
      </c>
      <c r="D1837" s="1" t="s">
        <v>3413</v>
      </c>
      <c r="E1837" s="1" t="s">
        <v>194</v>
      </c>
      <c r="G1837" s="1">
        <v>5.21188032E8</v>
      </c>
      <c r="H1837" s="2">
        <v>41919.0</v>
      </c>
      <c r="I1837" s="1" t="s">
        <v>1168</v>
      </c>
      <c r="K1837" s="1" t="s">
        <v>1168</v>
      </c>
      <c r="N1837" s="1" t="s">
        <v>194</v>
      </c>
      <c r="O1837" s="1">
        <v>9100.0</v>
      </c>
      <c r="P1837" s="1" t="s">
        <v>194</v>
      </c>
      <c r="Q1837" s="1" t="str">
        <f>IF(ISERROR(VLOOKUP(P1837,'unique fed agency names'!A:C,3,FALSE)),P1837,VLOOKUP(P1837,'unique fed agency names'!A:C,3,FALSE))
</f>
        <v>U.S. Department of Education (ED)</v>
      </c>
      <c r="R1837" s="1">
        <v>1.3032514E8</v>
      </c>
      <c r="S1837" s="1" t="s">
        <v>819</v>
      </c>
      <c r="T1837" s="1" t="str">
        <f>IF(ISERROR(VLOOKUP(S1837,'unique org names'!A:C,3,FALSE)),S1837,VLOOKUP(S1837,'unique org names'!A:C,3,FALSE))
</f>
        <v>ROSS HILL ACADEMY SCHOOL DISTRICT</v>
      </c>
      <c r="U1837" s="1" t="s">
        <v>3429</v>
      </c>
      <c r="V1837" s="1" t="s">
        <v>820</v>
      </c>
      <c r="W1837" s="1" t="s">
        <v>44</v>
      </c>
      <c r="X1837" s="1" t="s">
        <v>45</v>
      </c>
      <c r="Y1837" s="1">
        <v>4.82072418E8</v>
      </c>
      <c r="AA1837" s="1" t="s">
        <v>44</v>
      </c>
      <c r="AB1837" s="1" t="s">
        <v>45</v>
      </c>
      <c r="AC1837" s="1">
        <v>4.82072418E8</v>
      </c>
      <c r="AD1837" s="1">
        <v>1.3032514E8</v>
      </c>
      <c r="AE1837" s="1" t="s">
        <v>819</v>
      </c>
      <c r="AF1837" s="1">
        <v>151465.0</v>
      </c>
      <c r="AG1837" s="2">
        <v>41919.0</v>
      </c>
      <c r="AH1837" s="1">
        <v>9100.0</v>
      </c>
      <c r="AI1837" s="1" t="s">
        <v>194</v>
      </c>
      <c r="AJ1837" s="1" t="s">
        <v>3430</v>
      </c>
      <c r="AK1837" s="1" t="s">
        <v>1170</v>
      </c>
      <c r="AL1837" s="1">
        <v>1.0</v>
      </c>
      <c r="AM1837" s="1">
        <v>2015.0</v>
      </c>
      <c r="AN1837" s="1">
        <v>2015.0</v>
      </c>
      <c r="AO1837" s="1" t="s">
        <v>1171</v>
      </c>
    </row>
    <row r="1838">
      <c r="A1838" s="5">
        <v>1.0</v>
      </c>
      <c r="B1838" s="1">
        <f t="shared" si="1"/>
        <v>1838</v>
      </c>
      <c r="C1838" s="1" t="s">
        <v>3344</v>
      </c>
      <c r="D1838" s="1" t="s">
        <v>3344</v>
      </c>
      <c r="E1838" s="1" t="s">
        <v>194</v>
      </c>
      <c r="G1838" s="1">
        <v>8.9228048E7</v>
      </c>
      <c r="H1838" s="2">
        <v>41739.0</v>
      </c>
      <c r="I1838" s="1" t="s">
        <v>458</v>
      </c>
      <c r="K1838" s="1" t="s">
        <v>458</v>
      </c>
      <c r="N1838" s="1" t="s">
        <v>194</v>
      </c>
      <c r="O1838" s="1">
        <v>9100.0</v>
      </c>
      <c r="P1838" s="1" t="s">
        <v>194</v>
      </c>
      <c r="Q1838" s="1" t="str">
        <f>IF(ISERROR(VLOOKUP(P1838,'unique fed agency names'!A:C,3,FALSE)),P1838,VLOOKUP(P1838,'unique fed agency names'!A:C,3,FALSE))
</f>
        <v>U.S. Department of Education (ED)</v>
      </c>
      <c r="R1838" s="1">
        <v>8.29630537E8</v>
      </c>
      <c r="S1838" s="1" t="s">
        <v>531</v>
      </c>
      <c r="T1838" s="1" t="str">
        <f>IF(ISERROR(VLOOKUP(S1838,'unique org names'!A:C,3,FALSE)),S1838,VLOOKUP(S1838,'unique org names'!A:C,3,FALSE))
</f>
        <v>DETROIT SERVICE LEARNING ACADEMY</v>
      </c>
      <c r="U1838" s="1" t="s">
        <v>532</v>
      </c>
      <c r="V1838" s="1" t="s">
        <v>533</v>
      </c>
      <c r="W1838" s="1" t="s">
        <v>44</v>
      </c>
      <c r="X1838" s="1" t="s">
        <v>45</v>
      </c>
      <c r="Y1838" s="1">
        <v>4.8219181E8</v>
      </c>
      <c r="AA1838" s="1" t="s">
        <v>44</v>
      </c>
      <c r="AB1838" s="1" t="s">
        <v>45</v>
      </c>
      <c r="AC1838" s="1">
        <v>4.8219181E8</v>
      </c>
      <c r="AD1838" s="1">
        <v>3.8627196E7</v>
      </c>
      <c r="AE1838" s="1" t="s">
        <v>632</v>
      </c>
      <c r="AF1838" s="1">
        <v>90467.0</v>
      </c>
      <c r="AG1838" s="2">
        <v>41739.0</v>
      </c>
      <c r="AH1838" s="1">
        <v>9100.0</v>
      </c>
      <c r="AI1838" s="1" t="s">
        <v>194</v>
      </c>
      <c r="AJ1838" s="1" t="s">
        <v>3431</v>
      </c>
      <c r="AK1838" s="1" t="s">
        <v>463</v>
      </c>
      <c r="AL1838" s="1">
        <v>1.0</v>
      </c>
      <c r="AM1838" s="1">
        <v>2015.0</v>
      </c>
      <c r="AN1838" s="1">
        <v>2014.0</v>
      </c>
      <c r="AO1838" s="1" t="s">
        <v>277</v>
      </c>
    </row>
    <row r="1839">
      <c r="A1839" s="5">
        <v>1.0</v>
      </c>
      <c r="B1839" s="1">
        <f t="shared" si="1"/>
        <v>1839</v>
      </c>
      <c r="C1839" s="1" t="s">
        <v>3413</v>
      </c>
      <c r="D1839" s="1" t="s">
        <v>3413</v>
      </c>
      <c r="E1839" s="1" t="s">
        <v>194</v>
      </c>
      <c r="G1839" s="1">
        <v>5.21188032E8</v>
      </c>
      <c r="H1839" s="2">
        <v>42002.0</v>
      </c>
      <c r="I1839" s="1" t="s">
        <v>1168</v>
      </c>
      <c r="K1839" s="1" t="s">
        <v>1168</v>
      </c>
      <c r="N1839" s="1" t="s">
        <v>194</v>
      </c>
      <c r="O1839" s="1">
        <v>9100.0</v>
      </c>
      <c r="P1839" s="1" t="s">
        <v>194</v>
      </c>
      <c r="Q1839" s="1" t="str">
        <f>IF(ISERROR(VLOOKUP(P1839,'unique fed agency names'!A:C,3,FALSE)),P1839,VLOOKUP(P1839,'unique fed agency names'!A:C,3,FALSE))
</f>
        <v>U.S. Department of Education (ED)</v>
      </c>
      <c r="R1839" s="1">
        <v>8.00475803E8</v>
      </c>
      <c r="S1839" s="1" t="s">
        <v>1670</v>
      </c>
      <c r="T1839" s="1" t="str">
        <f>IF(ISERROR(VLOOKUP(S1839,'unique org names'!A:C,3,FALSE)),S1839,VLOOKUP(S1839,'unique org names'!A:C,3,FALSE))
</f>
        <v>Wolverine Academy</v>
      </c>
      <c r="V1839" s="1" t="s">
        <v>1671</v>
      </c>
      <c r="W1839" s="1" t="s">
        <v>44</v>
      </c>
      <c r="X1839" s="1" t="s">
        <v>45</v>
      </c>
      <c r="Y1839" s="1">
        <v>4.82152667E8</v>
      </c>
      <c r="AA1839" s="1" t="s">
        <v>46</v>
      </c>
      <c r="AB1839" s="1" t="s">
        <v>45</v>
      </c>
      <c r="AC1839" s="1">
        <v>4.82152667E8</v>
      </c>
      <c r="AF1839" s="1">
        <v>391199.0</v>
      </c>
      <c r="AG1839" s="2">
        <v>42002.0</v>
      </c>
      <c r="AH1839" s="1">
        <v>9100.0</v>
      </c>
      <c r="AI1839" s="1" t="s">
        <v>194</v>
      </c>
      <c r="AJ1839" s="1" t="s">
        <v>3432</v>
      </c>
      <c r="AK1839" s="1" t="s">
        <v>3000</v>
      </c>
      <c r="AL1839" s="1">
        <v>1.0</v>
      </c>
      <c r="AM1839" s="1">
        <v>2015.0</v>
      </c>
      <c r="AN1839" s="1">
        <v>2015.0</v>
      </c>
      <c r="AO1839" s="1" t="s">
        <v>1171</v>
      </c>
    </row>
    <row r="1840">
      <c r="A1840" s="5">
        <v>1.0</v>
      </c>
      <c r="B1840" s="1">
        <f t="shared" si="1"/>
        <v>1840</v>
      </c>
      <c r="C1840" s="1" t="s">
        <v>3344</v>
      </c>
      <c r="D1840" s="1" t="s">
        <v>3344</v>
      </c>
      <c r="E1840" s="1" t="s">
        <v>194</v>
      </c>
      <c r="G1840" s="1">
        <v>8.9228048E7</v>
      </c>
      <c r="H1840" s="2">
        <v>41740.0</v>
      </c>
      <c r="I1840" s="1" t="s">
        <v>458</v>
      </c>
      <c r="K1840" s="1" t="s">
        <v>458</v>
      </c>
      <c r="N1840" s="1" t="s">
        <v>194</v>
      </c>
      <c r="O1840" s="1">
        <v>9100.0</v>
      </c>
      <c r="P1840" s="1" t="s">
        <v>194</v>
      </c>
      <c r="Q1840" s="1" t="str">
        <f>IF(ISERROR(VLOOKUP(P1840,'unique fed agency names'!A:C,3,FALSE)),P1840,VLOOKUP(P1840,'unique fed agency names'!A:C,3,FALSE))
</f>
        <v>U.S. Department of Education (ED)</v>
      </c>
      <c r="R1840" s="1">
        <v>1.17726252E8</v>
      </c>
      <c r="S1840" s="1" t="s">
        <v>512</v>
      </c>
      <c r="T1840" s="1" t="str">
        <f>IF(ISERROR(VLOOKUP(S1840,'unique org names'!A:C,3,FALSE)),S1840,VLOOKUP(S1840,'unique org names'!A:C,3,FALSE))
</f>
        <v>OLD REDFORD ACADEMY</v>
      </c>
      <c r="U1840" s="1" t="s">
        <v>3433</v>
      </c>
      <c r="V1840" s="1" t="s">
        <v>513</v>
      </c>
      <c r="W1840" s="1" t="s">
        <v>44</v>
      </c>
      <c r="X1840" s="1" t="s">
        <v>45</v>
      </c>
      <c r="Y1840" s="1">
        <v>4.82193259E8</v>
      </c>
      <c r="AA1840" s="1" t="s">
        <v>44</v>
      </c>
      <c r="AB1840" s="1" t="s">
        <v>45</v>
      </c>
      <c r="AC1840" s="1">
        <v>4.82193259E8</v>
      </c>
      <c r="AD1840" s="1">
        <v>1.00035948E8</v>
      </c>
      <c r="AE1840" s="1" t="s">
        <v>3434</v>
      </c>
      <c r="AF1840" s="1">
        <v>53332.0</v>
      </c>
      <c r="AG1840" s="2">
        <v>41740.0</v>
      </c>
      <c r="AH1840" s="1">
        <v>9100.0</v>
      </c>
      <c r="AI1840" s="1" t="s">
        <v>194</v>
      </c>
      <c r="AJ1840" s="1" t="s">
        <v>3435</v>
      </c>
      <c r="AK1840" s="1" t="s">
        <v>463</v>
      </c>
      <c r="AL1840" s="1">
        <v>1.0</v>
      </c>
      <c r="AM1840" s="1">
        <v>2015.0</v>
      </c>
      <c r="AN1840" s="1">
        <v>2014.0</v>
      </c>
      <c r="AO1840" s="1" t="s">
        <v>277</v>
      </c>
    </row>
    <row r="1841">
      <c r="A1841" s="5">
        <v>1.0</v>
      </c>
      <c r="B1841" s="1">
        <f t="shared" si="1"/>
        <v>1841</v>
      </c>
      <c r="C1841" s="1" t="s">
        <v>3369</v>
      </c>
      <c r="D1841" s="1" t="s">
        <v>3369</v>
      </c>
      <c r="E1841" s="1" t="s">
        <v>194</v>
      </c>
      <c r="G1841" s="1">
        <v>1.0181861E7</v>
      </c>
      <c r="H1841" s="2">
        <v>41733.0</v>
      </c>
      <c r="I1841" s="1" t="s">
        <v>685</v>
      </c>
      <c r="K1841" s="1" t="s">
        <v>685</v>
      </c>
      <c r="N1841" s="1" t="s">
        <v>194</v>
      </c>
      <c r="O1841" s="1">
        <v>9100.0</v>
      </c>
      <c r="P1841" s="1" t="s">
        <v>194</v>
      </c>
      <c r="Q1841" s="1" t="str">
        <f>IF(ISERROR(VLOOKUP(P1841,'unique fed agency names'!A:C,3,FALSE)),P1841,VLOOKUP(P1841,'unique fed agency names'!A:C,3,FALSE))
</f>
        <v>U.S. Department of Education (ED)</v>
      </c>
      <c r="R1841" s="1">
        <v>7.6340843E7</v>
      </c>
      <c r="S1841" s="1" t="s">
        <v>461</v>
      </c>
      <c r="T1841" s="1" t="str">
        <f>IF(ISERROR(VLOOKUP(S1841,'unique org names'!A:C,3,FALSE)),S1841,VLOOKUP(S1841,'unique org names'!A:C,3,FALSE))
</f>
        <v>BOARD OF EDUCATION OF THE CITY OF DETROIT</v>
      </c>
      <c r="V1841" s="1" t="s">
        <v>1599</v>
      </c>
      <c r="W1841" s="1" t="s">
        <v>44</v>
      </c>
      <c r="X1841" s="1" t="s">
        <v>45</v>
      </c>
      <c r="Y1841" s="1">
        <v>4.8202301E8</v>
      </c>
      <c r="AA1841" s="1" t="s">
        <v>44</v>
      </c>
      <c r="AB1841" s="1" t="s">
        <v>45</v>
      </c>
      <c r="AC1841" s="1">
        <v>4.82023096E8</v>
      </c>
      <c r="AD1841" s="1">
        <v>7.6340843E7</v>
      </c>
      <c r="AE1841" s="1" t="s">
        <v>461</v>
      </c>
      <c r="AF1841" s="1">
        <v>1435732.0</v>
      </c>
      <c r="AG1841" s="2">
        <v>41733.0</v>
      </c>
      <c r="AH1841" s="1">
        <v>9100.0</v>
      </c>
      <c r="AI1841" s="1" t="s">
        <v>194</v>
      </c>
      <c r="AJ1841" s="1" t="s">
        <v>3436</v>
      </c>
      <c r="AK1841" s="1" t="s">
        <v>3343</v>
      </c>
      <c r="AL1841" s="1">
        <v>1.0</v>
      </c>
      <c r="AM1841" s="1">
        <v>2015.0</v>
      </c>
      <c r="AN1841" s="1">
        <v>2014.0</v>
      </c>
      <c r="AO1841" s="1" t="s">
        <v>688</v>
      </c>
    </row>
    <row r="1842">
      <c r="A1842" s="5">
        <v>1.0</v>
      </c>
      <c r="B1842" s="1">
        <f t="shared" si="1"/>
        <v>1842</v>
      </c>
      <c r="C1842" s="1" t="s">
        <v>3369</v>
      </c>
      <c r="D1842" s="1" t="s">
        <v>3369</v>
      </c>
      <c r="E1842" s="1" t="s">
        <v>194</v>
      </c>
      <c r="G1842" s="1">
        <v>1.0181861E7</v>
      </c>
      <c r="H1842" s="2">
        <v>41654.0</v>
      </c>
      <c r="I1842" s="1" t="s">
        <v>685</v>
      </c>
      <c r="K1842" s="1" t="s">
        <v>685</v>
      </c>
      <c r="N1842" s="1" t="s">
        <v>194</v>
      </c>
      <c r="O1842" s="1">
        <v>9100.0</v>
      </c>
      <c r="P1842" s="1" t="s">
        <v>194</v>
      </c>
      <c r="Q1842" s="1" t="str">
        <f>IF(ISERROR(VLOOKUP(P1842,'unique fed agency names'!A:C,3,FALSE)),P1842,VLOOKUP(P1842,'unique fed agency names'!A:C,3,FALSE))
</f>
        <v>U.S. Department of Education (ED)</v>
      </c>
      <c r="R1842" s="1">
        <v>7.0381949E7</v>
      </c>
      <c r="S1842" s="1" t="s">
        <v>605</v>
      </c>
      <c r="T1842" s="1" t="str">
        <f>IF(ISERROR(VLOOKUP(S1842,'unique org names'!A:C,3,FALSE)),S1842,VLOOKUP(S1842,'unique org names'!A:C,3,FALSE))
</f>
        <v>Liberty Caniff Academy</v>
      </c>
      <c r="V1842" s="1" t="s">
        <v>606</v>
      </c>
      <c r="W1842" s="1" t="s">
        <v>44</v>
      </c>
      <c r="X1842" s="1" t="s">
        <v>45</v>
      </c>
      <c r="Y1842" s="1">
        <v>4.82123033E8</v>
      </c>
      <c r="AA1842" s="1" t="s">
        <v>607</v>
      </c>
      <c r="AB1842" s="1" t="s">
        <v>45</v>
      </c>
      <c r="AC1842" s="1">
        <v>4.82123033E8</v>
      </c>
      <c r="AF1842" s="1">
        <v>44355.0</v>
      </c>
      <c r="AG1842" s="2">
        <v>41654.0</v>
      </c>
      <c r="AH1842" s="1">
        <v>9100.0</v>
      </c>
      <c r="AI1842" s="1" t="s">
        <v>194</v>
      </c>
      <c r="AJ1842" s="1" t="s">
        <v>3437</v>
      </c>
      <c r="AK1842" s="1" t="s">
        <v>3343</v>
      </c>
      <c r="AL1842" s="1">
        <v>1.0</v>
      </c>
      <c r="AM1842" s="1">
        <v>2015.0</v>
      </c>
      <c r="AN1842" s="1">
        <v>2014.0</v>
      </c>
      <c r="AO1842" s="1" t="s">
        <v>688</v>
      </c>
    </row>
    <row r="1843">
      <c r="A1843" s="5">
        <v>1.0</v>
      </c>
      <c r="B1843" s="1">
        <f t="shared" si="1"/>
        <v>1843</v>
      </c>
      <c r="C1843" s="1" t="s">
        <v>3413</v>
      </c>
      <c r="D1843" s="1" t="s">
        <v>3413</v>
      </c>
      <c r="E1843" s="1" t="s">
        <v>194</v>
      </c>
      <c r="G1843" s="1">
        <v>5.21188032E8</v>
      </c>
      <c r="H1843" s="2">
        <v>41886.0</v>
      </c>
      <c r="I1843" s="1" t="s">
        <v>1168</v>
      </c>
      <c r="K1843" s="1" t="s">
        <v>1168</v>
      </c>
      <c r="N1843" s="1" t="s">
        <v>194</v>
      </c>
      <c r="O1843" s="1">
        <v>9100.0</v>
      </c>
      <c r="P1843" s="1" t="s">
        <v>194</v>
      </c>
      <c r="Q1843" s="1" t="str">
        <f>IF(ISERROR(VLOOKUP(P1843,'unique fed agency names'!A:C,3,FALSE)),P1843,VLOOKUP(P1843,'unique fed agency names'!A:C,3,FALSE))
</f>
        <v>U.S. Department of Education (ED)</v>
      </c>
      <c r="R1843" s="1">
        <v>9.0912429E7</v>
      </c>
      <c r="S1843" s="1" t="s">
        <v>521</v>
      </c>
      <c r="T1843" s="1" t="str">
        <f>IF(ISERROR(VLOOKUP(S1843,'unique org names'!A:C,3,FALSE)),S1843,VLOOKUP(S1843,'unique org names'!A:C,3,FALSE))
</f>
        <v>DETROIT COMMUNITY SCHOOLS</v>
      </c>
      <c r="U1843" s="1" t="s">
        <v>3427</v>
      </c>
      <c r="V1843" s="1" t="s">
        <v>522</v>
      </c>
      <c r="W1843" s="1" t="s">
        <v>44</v>
      </c>
      <c r="X1843" s="1" t="s">
        <v>45</v>
      </c>
      <c r="Y1843" s="1">
        <v>4.82233314E8</v>
      </c>
      <c r="AA1843" s="1" t="s">
        <v>44</v>
      </c>
      <c r="AB1843" s="1" t="s">
        <v>45</v>
      </c>
      <c r="AC1843" s="1">
        <v>4.82233314E8</v>
      </c>
      <c r="AD1843" s="1">
        <v>7.2790074E7</v>
      </c>
      <c r="AE1843" s="1" t="s">
        <v>3438</v>
      </c>
      <c r="AF1843" s="1">
        <v>597472.0</v>
      </c>
      <c r="AG1843" s="2">
        <v>41886.0</v>
      </c>
      <c r="AH1843" s="1">
        <v>9100.0</v>
      </c>
      <c r="AI1843" s="1" t="s">
        <v>194</v>
      </c>
      <c r="AJ1843" s="1" t="s">
        <v>3439</v>
      </c>
      <c r="AK1843" s="1" t="s">
        <v>1170</v>
      </c>
      <c r="AL1843" s="1">
        <v>1.0</v>
      </c>
      <c r="AM1843" s="1">
        <v>2015.0</v>
      </c>
      <c r="AN1843" s="1">
        <v>2014.0</v>
      </c>
      <c r="AO1843" s="1" t="s">
        <v>1171</v>
      </c>
    </row>
    <row r="1844">
      <c r="A1844" s="5">
        <v>1.0</v>
      </c>
      <c r="B1844" s="1">
        <f t="shared" si="1"/>
        <v>1844</v>
      </c>
      <c r="C1844" s="1" t="s">
        <v>3413</v>
      </c>
      <c r="D1844" s="1" t="s">
        <v>3413</v>
      </c>
      <c r="E1844" s="1" t="s">
        <v>194</v>
      </c>
      <c r="G1844" s="1">
        <v>5.21188032E8</v>
      </c>
      <c r="H1844" s="2">
        <v>41887.0</v>
      </c>
      <c r="I1844" s="1" t="s">
        <v>1168</v>
      </c>
      <c r="K1844" s="1" t="s">
        <v>1168</v>
      </c>
      <c r="N1844" s="1" t="s">
        <v>194</v>
      </c>
      <c r="O1844" s="1">
        <v>9100.0</v>
      </c>
      <c r="P1844" s="1" t="s">
        <v>194</v>
      </c>
      <c r="Q1844" s="1" t="str">
        <f>IF(ISERROR(VLOOKUP(P1844,'unique fed agency names'!A:C,3,FALSE)),P1844,VLOOKUP(P1844,'unique fed agency names'!A:C,3,FALSE))
</f>
        <v>U.S. Department of Education (ED)</v>
      </c>
      <c r="R1844" s="1">
        <v>7.8736952E7</v>
      </c>
      <c r="S1844" s="1" t="s">
        <v>3084</v>
      </c>
      <c r="T1844" s="1" t="str">
        <f>IF(ISERROR(VLOOKUP(S1844,'unique org names'!A:C,3,FALSE)),S1844,VLOOKUP(S1844,'unique org names'!A:C,3,FALSE))
</f>
        <v>Taylor Preparatory High School</v>
      </c>
      <c r="V1844" s="1" t="s">
        <v>3085</v>
      </c>
      <c r="W1844" s="1" t="s">
        <v>44</v>
      </c>
      <c r="X1844" s="1" t="s">
        <v>45</v>
      </c>
      <c r="Y1844" s="1">
        <v>4.82263485E8</v>
      </c>
      <c r="AA1844" s="1" t="s">
        <v>3086</v>
      </c>
      <c r="AB1844" s="1" t="s">
        <v>45</v>
      </c>
      <c r="AC1844" s="1">
        <v>4.81803356E8</v>
      </c>
      <c r="AD1844" s="1">
        <v>9434185.0</v>
      </c>
      <c r="AF1844" s="1">
        <v>54239.0</v>
      </c>
      <c r="AG1844" s="2">
        <v>41887.0</v>
      </c>
      <c r="AH1844" s="1">
        <v>9100.0</v>
      </c>
      <c r="AI1844" s="1" t="s">
        <v>194</v>
      </c>
      <c r="AJ1844" s="1" t="s">
        <v>3440</v>
      </c>
      <c r="AK1844" s="1" t="s">
        <v>1170</v>
      </c>
      <c r="AL1844" s="1">
        <v>1.0</v>
      </c>
      <c r="AM1844" s="1">
        <v>2015.0</v>
      </c>
      <c r="AN1844" s="1">
        <v>2014.0</v>
      </c>
      <c r="AO1844" s="1" t="s">
        <v>1171</v>
      </c>
    </row>
    <row r="1845">
      <c r="A1845" s="5">
        <v>1.0</v>
      </c>
      <c r="B1845" s="1">
        <f t="shared" si="1"/>
        <v>1845</v>
      </c>
      <c r="C1845" s="1" t="s">
        <v>3413</v>
      </c>
      <c r="D1845" s="1" t="s">
        <v>3413</v>
      </c>
      <c r="E1845" s="1" t="s">
        <v>194</v>
      </c>
      <c r="G1845" s="1">
        <v>5.21188032E8</v>
      </c>
      <c r="H1845" s="2">
        <v>41886.0</v>
      </c>
      <c r="I1845" s="1" t="s">
        <v>1168</v>
      </c>
      <c r="K1845" s="1" t="s">
        <v>1168</v>
      </c>
      <c r="N1845" s="1" t="s">
        <v>194</v>
      </c>
      <c r="O1845" s="1">
        <v>9100.0</v>
      </c>
      <c r="P1845" s="1" t="s">
        <v>194</v>
      </c>
      <c r="Q1845" s="1" t="str">
        <f>IF(ISERROR(VLOOKUP(P1845,'unique fed agency names'!A:C,3,FALSE)),P1845,VLOOKUP(P1845,'unique fed agency names'!A:C,3,FALSE))
</f>
        <v>U.S. Department of Education (ED)</v>
      </c>
      <c r="R1845" s="1">
        <v>8.0463354E7</v>
      </c>
      <c r="S1845" s="1" t="s">
        <v>518</v>
      </c>
      <c r="T1845" s="1" t="str">
        <f>IF(ISERROR(VLOOKUP(S1845,'unique org names'!A:C,3,FALSE)),S1845,VLOOKUP(S1845,'unique org names'!A:C,3,FALSE))
</f>
        <v>UNIVERSAL ACADEMY</v>
      </c>
      <c r="U1845" s="1" t="s">
        <v>3441</v>
      </c>
      <c r="V1845" s="1" t="s">
        <v>519</v>
      </c>
      <c r="W1845" s="1" t="s">
        <v>44</v>
      </c>
      <c r="X1845" s="1" t="s">
        <v>45</v>
      </c>
      <c r="Y1845" s="1">
        <v>4.82102105E8</v>
      </c>
      <c r="AA1845" s="1" t="s">
        <v>44</v>
      </c>
      <c r="AB1845" s="1" t="s">
        <v>45</v>
      </c>
      <c r="AC1845" s="1">
        <v>4.82102105E8</v>
      </c>
      <c r="AD1845" s="1">
        <v>8.0463354E7</v>
      </c>
      <c r="AE1845" s="1" t="s">
        <v>518</v>
      </c>
      <c r="AF1845" s="1">
        <v>381007.0</v>
      </c>
      <c r="AG1845" s="2">
        <v>41886.0</v>
      </c>
      <c r="AH1845" s="1">
        <v>9100.0</v>
      </c>
      <c r="AI1845" s="1" t="s">
        <v>194</v>
      </c>
      <c r="AJ1845" s="1" t="s">
        <v>3442</v>
      </c>
      <c r="AK1845" s="1" t="s">
        <v>1170</v>
      </c>
      <c r="AL1845" s="1">
        <v>1.0</v>
      </c>
      <c r="AM1845" s="1">
        <v>2015.0</v>
      </c>
      <c r="AN1845" s="1">
        <v>2014.0</v>
      </c>
      <c r="AO1845" s="1" t="s">
        <v>1171</v>
      </c>
    </row>
    <row r="1846">
      <c r="A1846" s="5">
        <v>1.0</v>
      </c>
      <c r="B1846" s="1">
        <f t="shared" si="1"/>
        <v>1846</v>
      </c>
      <c r="C1846" s="1" t="s">
        <v>3413</v>
      </c>
      <c r="D1846" s="1" t="s">
        <v>3413</v>
      </c>
      <c r="E1846" s="1" t="s">
        <v>194</v>
      </c>
      <c r="G1846" s="1">
        <v>5.21188032E8</v>
      </c>
      <c r="H1846" s="2">
        <v>41893.0</v>
      </c>
      <c r="I1846" s="1" t="s">
        <v>1168</v>
      </c>
      <c r="K1846" s="1" t="s">
        <v>1168</v>
      </c>
      <c r="N1846" s="1" t="s">
        <v>194</v>
      </c>
      <c r="O1846" s="1">
        <v>9100.0</v>
      </c>
      <c r="P1846" s="1" t="s">
        <v>194</v>
      </c>
      <c r="Q1846" s="1" t="str">
        <f>IF(ISERROR(VLOOKUP(P1846,'unique fed agency names'!A:C,3,FALSE)),P1846,VLOOKUP(P1846,'unique fed agency names'!A:C,3,FALSE))
</f>
        <v>U.S. Department of Education (ED)</v>
      </c>
      <c r="R1846" s="1">
        <v>7.8638919E7</v>
      </c>
      <c r="S1846" s="1" t="s">
        <v>3031</v>
      </c>
      <c r="T1846" s="1" t="str">
        <f>IF(ISERROR(VLOOKUP(S1846,'unique org names'!A:C,3,FALSE)),S1846,VLOOKUP(S1846,'unique org names'!A:C,3,FALSE))
</f>
        <v>DETROIT PUBLIC SAFETY ACADEMY</v>
      </c>
      <c r="U1846" s="1" t="s">
        <v>3443</v>
      </c>
      <c r="V1846" s="1" t="s">
        <v>3032</v>
      </c>
      <c r="W1846" s="1" t="s">
        <v>44</v>
      </c>
      <c r="X1846" s="1" t="s">
        <v>45</v>
      </c>
      <c r="Y1846" s="1">
        <v>4.8216195E8</v>
      </c>
      <c r="AA1846" s="1" t="s">
        <v>44</v>
      </c>
      <c r="AB1846" s="1" t="s">
        <v>45</v>
      </c>
      <c r="AC1846" s="1">
        <v>4.8216195E8</v>
      </c>
      <c r="AD1846" s="1">
        <v>8.5899185E7</v>
      </c>
      <c r="AE1846" s="1" t="s">
        <v>3444</v>
      </c>
      <c r="AF1846" s="1">
        <v>33015.0</v>
      </c>
      <c r="AG1846" s="2">
        <v>41893.0</v>
      </c>
      <c r="AH1846" s="1">
        <v>9100.0</v>
      </c>
      <c r="AI1846" s="1" t="s">
        <v>194</v>
      </c>
      <c r="AJ1846" s="1" t="s">
        <v>3445</v>
      </c>
      <c r="AK1846" s="1" t="s">
        <v>1170</v>
      </c>
      <c r="AL1846" s="1">
        <v>1.0</v>
      </c>
      <c r="AM1846" s="1">
        <v>2015.0</v>
      </c>
      <c r="AN1846" s="1">
        <v>2014.0</v>
      </c>
      <c r="AO1846" s="1" t="s">
        <v>1171</v>
      </c>
    </row>
    <row r="1847">
      <c r="A1847" s="5">
        <v>1.0</v>
      </c>
      <c r="B1847" s="1">
        <f t="shared" si="1"/>
        <v>1847</v>
      </c>
      <c r="C1847" s="1" t="s">
        <v>3413</v>
      </c>
      <c r="D1847" s="1" t="s">
        <v>3413</v>
      </c>
      <c r="E1847" s="1" t="s">
        <v>194</v>
      </c>
      <c r="G1847" s="1">
        <v>5.21188032E8</v>
      </c>
      <c r="H1847" s="2">
        <v>41988.0</v>
      </c>
      <c r="I1847" s="1" t="s">
        <v>1168</v>
      </c>
      <c r="K1847" s="1" t="s">
        <v>1168</v>
      </c>
      <c r="N1847" s="1" t="s">
        <v>194</v>
      </c>
      <c r="O1847" s="1">
        <v>9100.0</v>
      </c>
      <c r="P1847" s="1" t="s">
        <v>194</v>
      </c>
      <c r="Q1847" s="1" t="str">
        <f>IF(ISERROR(VLOOKUP(P1847,'unique fed agency names'!A:C,3,FALSE)),P1847,VLOOKUP(P1847,'unique fed agency names'!A:C,3,FALSE))
</f>
        <v>U.S. Department of Education (ED)</v>
      </c>
      <c r="R1847" s="1">
        <v>7.8845614E7</v>
      </c>
      <c r="S1847" s="1" t="s">
        <v>3446</v>
      </c>
      <c r="T1847" s="1" t="str">
        <f>IF(ISERROR(VLOOKUP(S1847,'unique org names'!A:C,3,FALSE)),S1847,VLOOKUP(S1847,'unique org names'!A:C,3,FALSE))
</f>
        <v>ESCUELA AVANCEMOS</v>
      </c>
      <c r="V1847" s="1" t="s">
        <v>3447</v>
      </c>
      <c r="W1847" s="1" t="s">
        <v>44</v>
      </c>
      <c r="X1847" s="1" t="s">
        <v>45</v>
      </c>
      <c r="Y1847" s="1">
        <v>4.82102924E8</v>
      </c>
      <c r="AA1847" s="1" t="s">
        <v>46</v>
      </c>
      <c r="AB1847" s="1" t="s">
        <v>45</v>
      </c>
      <c r="AC1847" s="1">
        <v>4.82102924E8</v>
      </c>
      <c r="AF1847" s="1">
        <v>190610.0</v>
      </c>
      <c r="AG1847" s="2">
        <v>41988.0</v>
      </c>
      <c r="AH1847" s="1">
        <v>9100.0</v>
      </c>
      <c r="AI1847" s="1" t="s">
        <v>194</v>
      </c>
      <c r="AJ1847" s="1" t="s">
        <v>3448</v>
      </c>
      <c r="AK1847" s="1" t="s">
        <v>3000</v>
      </c>
      <c r="AL1847" s="1">
        <v>1.0</v>
      </c>
      <c r="AM1847" s="1">
        <v>2015.0</v>
      </c>
      <c r="AN1847" s="1">
        <v>2015.0</v>
      </c>
      <c r="AO1847" s="1" t="s">
        <v>1171</v>
      </c>
    </row>
    <row r="1848">
      <c r="A1848" s="5">
        <v>1.0</v>
      </c>
      <c r="B1848" s="1">
        <f t="shared" si="1"/>
        <v>1848</v>
      </c>
      <c r="C1848" s="1" t="s">
        <v>3378</v>
      </c>
      <c r="D1848" s="1" t="s">
        <v>3378</v>
      </c>
      <c r="E1848" s="1" t="s">
        <v>194</v>
      </c>
      <c r="G1848" s="1">
        <v>1.3225274E7</v>
      </c>
      <c r="H1848" s="2">
        <v>41914.0</v>
      </c>
      <c r="I1848" s="1" t="s">
        <v>1228</v>
      </c>
      <c r="K1848" s="1" t="s">
        <v>1228</v>
      </c>
      <c r="N1848" s="1" t="s">
        <v>194</v>
      </c>
      <c r="O1848" s="1">
        <v>9100.0</v>
      </c>
      <c r="P1848" s="1" t="s">
        <v>194</v>
      </c>
      <c r="Q1848" s="1" t="str">
        <f>IF(ISERROR(VLOOKUP(P1848,'unique fed agency names'!A:C,3,FALSE)),P1848,VLOOKUP(P1848,'unique fed agency names'!A:C,3,FALSE))
</f>
        <v>U.S. Department of Education (ED)</v>
      </c>
      <c r="R1848" s="1">
        <v>7840122.0</v>
      </c>
      <c r="S1848" s="1" t="s">
        <v>1246</v>
      </c>
      <c r="T1848" s="1" t="str">
        <f>IF(ISERROR(VLOOKUP(S1848,'unique org names'!A:C,3,FALSE)),S1848,VLOOKUP(S1848,'unique org names'!A:C,3,FALSE))
</f>
        <v>DETROIT HISPANIC DEVELOPMENT CORPORATION</v>
      </c>
      <c r="V1848" s="1" t="s">
        <v>1247</v>
      </c>
      <c r="W1848" s="1" t="s">
        <v>44</v>
      </c>
      <c r="X1848" s="1" t="s">
        <v>45</v>
      </c>
      <c r="Y1848" s="1">
        <v>4.8216194E8</v>
      </c>
      <c r="AA1848" s="1" t="s">
        <v>44</v>
      </c>
      <c r="AB1848" s="1" t="s">
        <v>45</v>
      </c>
      <c r="AC1848" s="1">
        <v>4.8216194E8</v>
      </c>
      <c r="AF1848" s="1">
        <v>80000.0</v>
      </c>
      <c r="AG1848" s="2">
        <v>41914.0</v>
      </c>
      <c r="AH1848" s="1">
        <v>9100.0</v>
      </c>
      <c r="AI1848" s="1" t="s">
        <v>194</v>
      </c>
      <c r="AJ1848" s="1" t="s">
        <v>3449</v>
      </c>
      <c r="AK1848" s="1" t="s">
        <v>1232</v>
      </c>
      <c r="AL1848" s="1">
        <v>1.0</v>
      </c>
      <c r="AM1848" s="1">
        <v>2015.0</v>
      </c>
      <c r="AN1848" s="1">
        <v>2015.0</v>
      </c>
      <c r="AO1848" s="1" t="s">
        <v>1233</v>
      </c>
    </row>
    <row r="1849">
      <c r="A1849" s="5">
        <v>1.0</v>
      </c>
      <c r="B1849" s="1">
        <f t="shared" si="1"/>
        <v>1849</v>
      </c>
      <c r="C1849" s="1" t="s">
        <v>3378</v>
      </c>
      <c r="D1849" s="1" t="s">
        <v>3378</v>
      </c>
      <c r="E1849" s="1" t="s">
        <v>194</v>
      </c>
      <c r="G1849" s="1">
        <v>1.3225274E7</v>
      </c>
      <c r="H1849" s="2">
        <v>41941.0</v>
      </c>
      <c r="I1849" s="1" t="s">
        <v>1228</v>
      </c>
      <c r="K1849" s="1" t="s">
        <v>1228</v>
      </c>
      <c r="N1849" s="1" t="s">
        <v>194</v>
      </c>
      <c r="O1849" s="1">
        <v>9100.0</v>
      </c>
      <c r="P1849" s="1" t="s">
        <v>194</v>
      </c>
      <c r="Q1849" s="1" t="str">
        <f>IF(ISERROR(VLOOKUP(P1849,'unique fed agency names'!A:C,3,FALSE)),P1849,VLOOKUP(P1849,'unique fed agency names'!A:C,3,FALSE))
</f>
        <v>U.S. Department of Education (ED)</v>
      </c>
      <c r="R1849" s="1">
        <v>8.00230674E8</v>
      </c>
      <c r="S1849" s="1" t="s">
        <v>2905</v>
      </c>
      <c r="T1849" s="1" t="str">
        <f>IF(ISERROR(VLOOKUP(S1849,'unique org names'!A:C,3,FALSE)),S1849,VLOOKUP(S1849,'unique org names'!A:C,3,FALSE))
</f>
        <v>Detroit Literacy Coalition</v>
      </c>
      <c r="V1849" s="1" t="s">
        <v>2906</v>
      </c>
      <c r="W1849" s="1" t="s">
        <v>44</v>
      </c>
      <c r="X1849" s="1" t="s">
        <v>45</v>
      </c>
      <c r="Y1849" s="1">
        <v>4.8202405E8</v>
      </c>
      <c r="AA1849" s="1" t="s">
        <v>44</v>
      </c>
      <c r="AB1849" s="1" t="s">
        <v>45</v>
      </c>
      <c r="AC1849" s="1">
        <v>4.8202405E8</v>
      </c>
      <c r="AF1849" s="1">
        <v>40000.0</v>
      </c>
      <c r="AG1849" s="2">
        <v>41941.0</v>
      </c>
      <c r="AH1849" s="1">
        <v>9100.0</v>
      </c>
      <c r="AI1849" s="1" t="s">
        <v>194</v>
      </c>
      <c r="AJ1849" s="1" t="s">
        <v>3450</v>
      </c>
      <c r="AK1849" s="1" t="s">
        <v>1232</v>
      </c>
      <c r="AL1849" s="1">
        <v>1.0</v>
      </c>
      <c r="AM1849" s="1">
        <v>2015.0</v>
      </c>
      <c r="AN1849" s="1">
        <v>2015.0</v>
      </c>
      <c r="AO1849" s="1" t="s">
        <v>1233</v>
      </c>
    </row>
    <row r="1850">
      <c r="A1850" s="5">
        <v>1.0</v>
      </c>
      <c r="B1850" s="1">
        <f t="shared" si="1"/>
        <v>1850</v>
      </c>
      <c r="C1850" s="1" t="s">
        <v>3386</v>
      </c>
      <c r="D1850" s="1" t="s">
        <v>3386</v>
      </c>
      <c r="E1850" s="1" t="s">
        <v>194</v>
      </c>
      <c r="G1850" s="1">
        <v>2.376034E7</v>
      </c>
      <c r="H1850" s="2">
        <v>41988.0</v>
      </c>
      <c r="I1850" s="1" t="s">
        <v>3387</v>
      </c>
      <c r="K1850" s="1" t="s">
        <v>3387</v>
      </c>
      <c r="N1850" s="1" t="s">
        <v>194</v>
      </c>
      <c r="O1850" s="1">
        <v>9100.0</v>
      </c>
      <c r="P1850" s="1" t="s">
        <v>194</v>
      </c>
      <c r="Q1850" s="1" t="str">
        <f>IF(ISERROR(VLOOKUP(P1850,'unique fed agency names'!A:C,3,FALSE)),P1850,VLOOKUP(P1850,'unique fed agency names'!A:C,3,FALSE))
</f>
        <v>U.S. Department of Education (ED)</v>
      </c>
      <c r="R1850" s="1">
        <v>7.8346351E7</v>
      </c>
      <c r="S1850" s="1" t="s">
        <v>615</v>
      </c>
      <c r="T1850" s="1" t="str">
        <f>IF(ISERROR(VLOOKUP(S1850,'unique org names'!A:C,3,FALSE)),S1850,VLOOKUP(S1850,'unique org names'!A:C,3,FALSE))
</f>
        <v>Education Achievement Authority</v>
      </c>
      <c r="V1850" s="1" t="s">
        <v>1708</v>
      </c>
      <c r="W1850" s="1" t="s">
        <v>44</v>
      </c>
      <c r="X1850" s="1" t="s">
        <v>45</v>
      </c>
      <c r="Y1850" s="1">
        <v>4.82074457E8</v>
      </c>
      <c r="AA1850" s="1" t="s">
        <v>44</v>
      </c>
      <c r="AB1850" s="1" t="s">
        <v>45</v>
      </c>
      <c r="AC1850" s="1">
        <v>4.82074298E8</v>
      </c>
      <c r="AF1850" s="1">
        <v>386960.0</v>
      </c>
      <c r="AG1850" s="2">
        <v>41988.0</v>
      </c>
      <c r="AH1850" s="1">
        <v>9100.0</v>
      </c>
      <c r="AI1850" s="1" t="s">
        <v>194</v>
      </c>
      <c r="AJ1850" s="1" t="s">
        <v>3451</v>
      </c>
      <c r="AK1850" s="1" t="s">
        <v>3389</v>
      </c>
      <c r="AL1850" s="1">
        <v>1.0</v>
      </c>
      <c r="AM1850" s="1">
        <v>2015.0</v>
      </c>
      <c r="AN1850" s="1">
        <v>2015.0</v>
      </c>
      <c r="AO1850" s="1" t="s">
        <v>3390</v>
      </c>
    </row>
    <row r="1851">
      <c r="A1851" s="5">
        <v>1.0</v>
      </c>
      <c r="B1851" s="1">
        <f t="shared" si="1"/>
        <v>1851</v>
      </c>
      <c r="C1851" s="1" t="s">
        <v>3413</v>
      </c>
      <c r="D1851" s="1" t="s">
        <v>3413</v>
      </c>
      <c r="E1851" s="1" t="s">
        <v>194</v>
      </c>
      <c r="G1851" s="1">
        <v>5.21188032E8</v>
      </c>
      <c r="H1851" s="2">
        <v>41878.0</v>
      </c>
      <c r="I1851" s="1" t="s">
        <v>1168</v>
      </c>
      <c r="K1851" s="1" t="s">
        <v>1168</v>
      </c>
      <c r="N1851" s="1" t="s">
        <v>194</v>
      </c>
      <c r="O1851" s="1">
        <v>9100.0</v>
      </c>
      <c r="P1851" s="1" t="s">
        <v>194</v>
      </c>
      <c r="Q1851" s="1" t="str">
        <f>IF(ISERROR(VLOOKUP(P1851,'unique fed agency names'!A:C,3,FALSE)),P1851,VLOOKUP(P1851,'unique fed agency names'!A:C,3,FALSE))
</f>
        <v>U.S. Department of Education (ED)</v>
      </c>
      <c r="R1851" s="1">
        <v>7.97527715E8</v>
      </c>
      <c r="S1851" s="1" t="s">
        <v>567</v>
      </c>
      <c r="T1851" s="1" t="str">
        <f>IF(ISERROR(VLOOKUP(S1851,'unique org names'!A:C,3,FALSE)),S1851,VLOOKUP(S1851,'unique org names'!A:C,3,FALSE))
</f>
        <v>HAMTRAMCK ACADEMY</v>
      </c>
      <c r="U1851" s="1" t="s">
        <v>3452</v>
      </c>
      <c r="V1851" s="1" t="s">
        <v>568</v>
      </c>
      <c r="W1851" s="1" t="s">
        <v>44</v>
      </c>
      <c r="X1851" s="1" t="s">
        <v>45</v>
      </c>
      <c r="Y1851" s="1">
        <v>4.82123134E8</v>
      </c>
      <c r="AA1851" s="1" t="s">
        <v>498</v>
      </c>
      <c r="AB1851" s="1" t="s">
        <v>45</v>
      </c>
      <c r="AC1851" s="1">
        <v>4.82123134E8</v>
      </c>
      <c r="AD1851" s="1">
        <v>9.60742484E8</v>
      </c>
      <c r="AF1851" s="1">
        <v>328310.0</v>
      </c>
      <c r="AG1851" s="2">
        <v>41878.0</v>
      </c>
      <c r="AH1851" s="1">
        <v>9100.0</v>
      </c>
      <c r="AI1851" s="1" t="s">
        <v>194</v>
      </c>
      <c r="AJ1851" s="1" t="s">
        <v>3453</v>
      </c>
      <c r="AK1851" s="1" t="s">
        <v>1170</v>
      </c>
      <c r="AL1851" s="1">
        <v>1.0</v>
      </c>
      <c r="AM1851" s="1">
        <v>2015.0</v>
      </c>
      <c r="AN1851" s="1">
        <v>2014.0</v>
      </c>
      <c r="AO1851" s="1" t="s">
        <v>1171</v>
      </c>
    </row>
    <row r="1852">
      <c r="A1852" s="5">
        <v>1.0</v>
      </c>
      <c r="B1852" s="1">
        <f t="shared" si="1"/>
        <v>1852</v>
      </c>
      <c r="C1852" s="1" t="s">
        <v>3413</v>
      </c>
      <c r="D1852" s="1" t="s">
        <v>3413</v>
      </c>
      <c r="E1852" s="1" t="s">
        <v>194</v>
      </c>
      <c r="G1852" s="1">
        <v>5.21188032E8</v>
      </c>
      <c r="H1852" s="2">
        <v>41878.0</v>
      </c>
      <c r="I1852" s="1" t="s">
        <v>1168</v>
      </c>
      <c r="K1852" s="1" t="s">
        <v>1168</v>
      </c>
      <c r="N1852" s="1" t="s">
        <v>194</v>
      </c>
      <c r="O1852" s="1">
        <v>9100.0</v>
      </c>
      <c r="P1852" s="1" t="s">
        <v>194</v>
      </c>
      <c r="Q1852" s="1" t="str">
        <f>IF(ISERROR(VLOOKUP(P1852,'unique fed agency names'!A:C,3,FALSE)),P1852,VLOOKUP(P1852,'unique fed agency names'!A:C,3,FALSE))
</f>
        <v>U.S. Department of Education (ED)</v>
      </c>
      <c r="R1852" s="1">
        <v>3.7602699E7</v>
      </c>
      <c r="S1852" s="1" t="s">
        <v>535</v>
      </c>
      <c r="T1852" s="1" t="str">
        <f>IF(ISERROR(VLOOKUP(S1852,'unique org names'!A:C,3,FALSE)),S1852,VLOOKUP(S1852,'unique org names'!A:C,3,FALSE))
</f>
        <v>REGENT PARK SCHOLARS CHARTER ACADEMY</v>
      </c>
      <c r="U1852" s="1" t="s">
        <v>3454</v>
      </c>
      <c r="V1852" s="1" t="s">
        <v>536</v>
      </c>
      <c r="W1852" s="1" t="s">
        <v>44</v>
      </c>
      <c r="X1852" s="1" t="s">
        <v>45</v>
      </c>
      <c r="Y1852" s="1">
        <v>4.82052545E8</v>
      </c>
      <c r="AA1852" s="1" t="s">
        <v>46</v>
      </c>
      <c r="AB1852" s="1" t="s">
        <v>45</v>
      </c>
      <c r="AC1852" s="1">
        <v>4.82052545E8</v>
      </c>
      <c r="AD1852" s="1">
        <v>3.9867106E7</v>
      </c>
      <c r="AE1852" s="1" t="s">
        <v>3455</v>
      </c>
      <c r="AF1852" s="1">
        <v>364060.0</v>
      </c>
      <c r="AG1852" s="2">
        <v>41878.0</v>
      </c>
      <c r="AH1852" s="1">
        <v>9100.0</v>
      </c>
      <c r="AI1852" s="1" t="s">
        <v>194</v>
      </c>
      <c r="AJ1852" s="1" t="s">
        <v>3456</v>
      </c>
      <c r="AK1852" s="1" t="s">
        <v>1170</v>
      </c>
      <c r="AL1852" s="1">
        <v>1.0</v>
      </c>
      <c r="AM1852" s="1">
        <v>2015.0</v>
      </c>
      <c r="AN1852" s="1">
        <v>2014.0</v>
      </c>
      <c r="AO1852" s="1" t="s">
        <v>1171</v>
      </c>
    </row>
    <row r="1853">
      <c r="A1853" s="5">
        <v>1.0</v>
      </c>
      <c r="B1853" s="1">
        <f t="shared" si="1"/>
        <v>1853</v>
      </c>
      <c r="C1853" s="1" t="s">
        <v>3413</v>
      </c>
      <c r="D1853" s="1" t="s">
        <v>3413</v>
      </c>
      <c r="E1853" s="1" t="s">
        <v>194</v>
      </c>
      <c r="G1853" s="1">
        <v>5.21188032E8</v>
      </c>
      <c r="H1853" s="2">
        <v>41878.0</v>
      </c>
      <c r="I1853" s="1" t="s">
        <v>1168</v>
      </c>
      <c r="K1853" s="1" t="s">
        <v>1168</v>
      </c>
      <c r="N1853" s="1" t="s">
        <v>194</v>
      </c>
      <c r="O1853" s="1">
        <v>9100.0</v>
      </c>
      <c r="P1853" s="1" t="s">
        <v>194</v>
      </c>
      <c r="Q1853" s="1" t="str">
        <f>IF(ISERROR(VLOOKUP(P1853,'unique fed agency names'!A:C,3,FALSE)),P1853,VLOOKUP(P1853,'unique fed agency names'!A:C,3,FALSE))
</f>
        <v>U.S. Department of Education (ED)</v>
      </c>
      <c r="R1853" s="1">
        <v>1.23577707E8</v>
      </c>
      <c r="S1853" s="1" t="s">
        <v>563</v>
      </c>
      <c r="T1853" s="1" t="str">
        <f>IF(ISERROR(VLOOKUP(S1853,'unique org names'!A:C,3,FALSE)),S1853,VLOOKUP(S1853,'unique org names'!A:C,3,FALSE))
</f>
        <v>WARRENDALE CHARTER ACADEMY</v>
      </c>
      <c r="U1853" s="1" t="s">
        <v>1191</v>
      </c>
      <c r="V1853" s="1" t="s">
        <v>565</v>
      </c>
      <c r="W1853" s="1" t="s">
        <v>44</v>
      </c>
      <c r="X1853" s="1" t="s">
        <v>45</v>
      </c>
      <c r="Y1853" s="1">
        <v>4.8228333E8</v>
      </c>
      <c r="AA1853" s="1" t="s">
        <v>44</v>
      </c>
      <c r="AB1853" s="1" t="s">
        <v>45</v>
      </c>
      <c r="AC1853" s="1">
        <v>4.82283396E8</v>
      </c>
      <c r="AD1853" s="1">
        <v>9.60742484E8</v>
      </c>
      <c r="AF1853" s="1">
        <v>427044.0</v>
      </c>
      <c r="AG1853" s="2">
        <v>41878.0</v>
      </c>
      <c r="AH1853" s="1">
        <v>9100.0</v>
      </c>
      <c r="AI1853" s="1" t="s">
        <v>194</v>
      </c>
      <c r="AJ1853" s="1" t="s">
        <v>3457</v>
      </c>
      <c r="AK1853" s="1" t="s">
        <v>1170</v>
      </c>
      <c r="AL1853" s="1">
        <v>1.0</v>
      </c>
      <c r="AM1853" s="1">
        <v>2015.0</v>
      </c>
      <c r="AN1853" s="1">
        <v>2014.0</v>
      </c>
      <c r="AO1853" s="1" t="s">
        <v>1171</v>
      </c>
    </row>
    <row r="1854">
      <c r="A1854" s="5">
        <v>1.0</v>
      </c>
      <c r="B1854" s="1">
        <f t="shared" si="1"/>
        <v>1854</v>
      </c>
      <c r="C1854" s="1" t="s">
        <v>3413</v>
      </c>
      <c r="D1854" s="1" t="s">
        <v>3413</v>
      </c>
      <c r="E1854" s="1" t="s">
        <v>194</v>
      </c>
      <c r="G1854" s="1">
        <v>5.21188032E8</v>
      </c>
      <c r="H1854" s="2">
        <v>41878.0</v>
      </c>
      <c r="I1854" s="1" t="s">
        <v>1168</v>
      </c>
      <c r="K1854" s="1" t="s">
        <v>1168</v>
      </c>
      <c r="N1854" s="1" t="s">
        <v>194</v>
      </c>
      <c r="O1854" s="1">
        <v>9100.0</v>
      </c>
      <c r="P1854" s="1" t="s">
        <v>194</v>
      </c>
      <c r="Q1854" s="1" t="str">
        <f>IF(ISERROR(VLOOKUP(P1854,'unique fed agency names'!A:C,3,FALSE)),P1854,VLOOKUP(P1854,'unique fed agency names'!A:C,3,FALSE))
</f>
        <v>U.S. Department of Education (ED)</v>
      </c>
      <c r="R1854" s="1">
        <v>1.9859285E7</v>
      </c>
      <c r="S1854" s="1" t="s">
        <v>1172</v>
      </c>
      <c r="T1854" s="1" t="str">
        <f>IF(ISERROR(VLOOKUP(S1854,'unique org names'!A:C,3,FALSE)),S1854,VLOOKUP(S1854,'unique org names'!A:C,3,FALSE))
</f>
        <v>Madison Carver Academy</v>
      </c>
      <c r="V1854" s="1" t="s">
        <v>1173</v>
      </c>
      <c r="W1854" s="1" t="s">
        <v>44</v>
      </c>
      <c r="X1854" s="1" t="s">
        <v>45</v>
      </c>
      <c r="Y1854" s="1">
        <v>4.82191263E8</v>
      </c>
      <c r="AA1854" s="1" t="s">
        <v>44</v>
      </c>
      <c r="AB1854" s="1" t="s">
        <v>45</v>
      </c>
      <c r="AC1854" s="1">
        <v>4.82191263E8</v>
      </c>
      <c r="AD1854" s="1">
        <v>3.9867288E7</v>
      </c>
      <c r="AE1854" s="1" t="s">
        <v>1192</v>
      </c>
      <c r="AF1854" s="1">
        <v>166364.0</v>
      </c>
      <c r="AG1854" s="2">
        <v>41878.0</v>
      </c>
      <c r="AH1854" s="1">
        <v>9100.0</v>
      </c>
      <c r="AI1854" s="1" t="s">
        <v>194</v>
      </c>
      <c r="AJ1854" s="1" t="s">
        <v>3458</v>
      </c>
      <c r="AK1854" s="1" t="s">
        <v>1170</v>
      </c>
      <c r="AL1854" s="1">
        <v>1.0</v>
      </c>
      <c r="AM1854" s="1">
        <v>2015.0</v>
      </c>
      <c r="AN1854" s="1">
        <v>2014.0</v>
      </c>
      <c r="AO1854" s="1" t="s">
        <v>1171</v>
      </c>
    </row>
    <row r="1855">
      <c r="A1855" s="5">
        <v>1.0</v>
      </c>
      <c r="B1855" s="1">
        <f t="shared" si="1"/>
        <v>1855</v>
      </c>
      <c r="C1855" s="1" t="s">
        <v>3397</v>
      </c>
      <c r="D1855" s="1" t="s">
        <v>3397</v>
      </c>
      <c r="E1855" s="1" t="s">
        <v>194</v>
      </c>
      <c r="G1855" s="1">
        <v>2.29266E7</v>
      </c>
      <c r="H1855" s="2">
        <v>41815.0</v>
      </c>
      <c r="I1855" s="1" t="s">
        <v>3398</v>
      </c>
      <c r="K1855" s="1" t="s">
        <v>3398</v>
      </c>
      <c r="N1855" s="1" t="s">
        <v>194</v>
      </c>
      <c r="O1855" s="1">
        <v>9100.0</v>
      </c>
      <c r="P1855" s="1" t="s">
        <v>194</v>
      </c>
      <c r="Q1855" s="1" t="str">
        <f>IF(ISERROR(VLOOKUP(P1855,'unique fed agency names'!A:C,3,FALSE)),P1855,VLOOKUP(P1855,'unique fed agency names'!A:C,3,FALSE))
</f>
        <v>U.S. Department of Education (ED)</v>
      </c>
      <c r="R1855" s="1">
        <v>9.6395723E7</v>
      </c>
      <c r="S1855" s="1" t="s">
        <v>3459</v>
      </c>
      <c r="T1855" s="1" t="str">
        <f>IF(ISERROR(VLOOKUP(S1855,'unique org names'!A:C,3,FALSE)),S1855,VLOOKUP(S1855,'unique org names'!A:C,3,FALSE))
</f>
        <v>Minerva Education and Development Foundation</v>
      </c>
      <c r="V1855" s="1" t="s">
        <v>3460</v>
      </c>
      <c r="W1855" s="1" t="s">
        <v>44</v>
      </c>
      <c r="X1855" s="1" t="s">
        <v>45</v>
      </c>
      <c r="Y1855" s="1">
        <v>4.82191602E8</v>
      </c>
      <c r="AA1855" s="1" t="s">
        <v>1087</v>
      </c>
      <c r="AB1855" s="1" t="s">
        <v>45</v>
      </c>
      <c r="AC1855" s="1">
        <v>4.82191602E8</v>
      </c>
      <c r="AF1855" s="1">
        <v>66973.39</v>
      </c>
      <c r="AG1855" s="2">
        <v>41815.0</v>
      </c>
      <c r="AH1855" s="1">
        <v>9100.0</v>
      </c>
      <c r="AI1855" s="1" t="s">
        <v>194</v>
      </c>
      <c r="AJ1855" s="1" t="s">
        <v>3461</v>
      </c>
      <c r="AK1855" s="1" t="s">
        <v>3462</v>
      </c>
      <c r="AL1855" s="1">
        <v>1.0</v>
      </c>
      <c r="AM1855" s="1">
        <v>2015.0</v>
      </c>
      <c r="AN1855" s="1">
        <v>2014.0</v>
      </c>
      <c r="AO1855" s="1" t="s">
        <v>3403</v>
      </c>
    </row>
    <row r="1856">
      <c r="A1856" s="5">
        <v>1.0</v>
      </c>
      <c r="B1856" s="1">
        <f t="shared" si="1"/>
        <v>1856</v>
      </c>
      <c r="C1856" s="1" t="s">
        <v>3397</v>
      </c>
      <c r="D1856" s="1" t="s">
        <v>3397</v>
      </c>
      <c r="E1856" s="1" t="s">
        <v>194</v>
      </c>
      <c r="G1856" s="1">
        <v>2.29266E7</v>
      </c>
      <c r="H1856" s="2">
        <v>41396.0</v>
      </c>
      <c r="I1856" s="1" t="s">
        <v>3398</v>
      </c>
      <c r="K1856" s="1" t="s">
        <v>3398</v>
      </c>
      <c r="N1856" s="1" t="s">
        <v>194</v>
      </c>
      <c r="O1856" s="1">
        <v>9100.0</v>
      </c>
      <c r="P1856" s="1" t="s">
        <v>194</v>
      </c>
      <c r="Q1856" s="1" t="str">
        <f>IF(ISERROR(VLOOKUP(P1856,'unique fed agency names'!A:C,3,FALSE)),P1856,VLOOKUP(P1856,'unique fed agency names'!A:C,3,FALSE))
</f>
        <v>U.S. Department of Education (ED)</v>
      </c>
      <c r="R1856" s="1">
        <v>7.8790684E7</v>
      </c>
      <c r="S1856" s="1" t="s">
        <v>3463</v>
      </c>
      <c r="T1856" s="1" t="str">
        <f>IF(ISERROR(VLOOKUP(S1856,'unique org names'!A:C,3,FALSE)),S1856,VLOOKUP(S1856,'unique org names'!A:C,3,FALSE))
</f>
        <v>Operation Graduation</v>
      </c>
      <c r="V1856" s="1" t="s">
        <v>610</v>
      </c>
      <c r="W1856" s="1" t="s">
        <v>44</v>
      </c>
      <c r="X1856" s="1" t="s">
        <v>45</v>
      </c>
      <c r="Y1856" s="1">
        <v>4.8235168E8</v>
      </c>
      <c r="AA1856" s="1" t="s">
        <v>46</v>
      </c>
      <c r="AB1856" s="1" t="s">
        <v>45</v>
      </c>
      <c r="AC1856" s="1">
        <v>4.82133112E8</v>
      </c>
      <c r="AF1856" s="1">
        <v>105615.0</v>
      </c>
      <c r="AG1856" s="2">
        <v>41396.0</v>
      </c>
      <c r="AH1856" s="1">
        <v>9100.0</v>
      </c>
      <c r="AI1856" s="1" t="s">
        <v>194</v>
      </c>
      <c r="AJ1856" s="1" t="s">
        <v>3464</v>
      </c>
      <c r="AK1856" s="1" t="s">
        <v>3402</v>
      </c>
      <c r="AL1856" s="1">
        <v>1.0</v>
      </c>
      <c r="AM1856" s="1">
        <v>2015.0</v>
      </c>
      <c r="AN1856" s="1">
        <v>2013.0</v>
      </c>
      <c r="AO1856" s="1" t="s">
        <v>3403</v>
      </c>
    </row>
    <row r="1857">
      <c r="A1857" s="5">
        <v>1.0</v>
      </c>
      <c r="B1857" s="1">
        <f t="shared" si="1"/>
        <v>1857</v>
      </c>
      <c r="C1857" s="1" t="s">
        <v>3397</v>
      </c>
      <c r="D1857" s="1" t="s">
        <v>3397</v>
      </c>
      <c r="E1857" s="1" t="s">
        <v>194</v>
      </c>
      <c r="G1857" s="1">
        <v>2.29266E7</v>
      </c>
      <c r="H1857" s="2">
        <v>41374.0</v>
      </c>
      <c r="I1857" s="1" t="s">
        <v>3398</v>
      </c>
      <c r="K1857" s="1" t="s">
        <v>3398</v>
      </c>
      <c r="N1857" s="1" t="s">
        <v>194</v>
      </c>
      <c r="O1857" s="1">
        <v>9100.0</v>
      </c>
      <c r="P1857" s="1" t="s">
        <v>194</v>
      </c>
      <c r="Q1857" s="1" t="str">
        <f>IF(ISERROR(VLOOKUP(P1857,'unique fed agency names'!A:C,3,FALSE)),P1857,VLOOKUP(P1857,'unique fed agency names'!A:C,3,FALSE))
</f>
        <v>U.S. Department of Education (ED)</v>
      </c>
      <c r="R1857" s="1">
        <v>7.8498569E7</v>
      </c>
      <c r="S1857" s="1" t="s">
        <v>1184</v>
      </c>
      <c r="T1857" s="1" t="str">
        <f>IF(ISERROR(VLOOKUP(S1857,'unique org names'!A:C,3,FALSE)),S1857,VLOOKUP(S1857,'unique org names'!A:C,3,FALSE))
</f>
        <v>Academy Of International Studies</v>
      </c>
      <c r="V1857" s="1" t="s">
        <v>506</v>
      </c>
      <c r="W1857" s="1" t="s">
        <v>44</v>
      </c>
      <c r="X1857" s="1" t="s">
        <v>45</v>
      </c>
      <c r="Y1857" s="1">
        <v>4.82123572E8</v>
      </c>
      <c r="AA1857" s="1" t="s">
        <v>498</v>
      </c>
      <c r="AB1857" s="1" t="s">
        <v>45</v>
      </c>
      <c r="AC1857" s="1">
        <v>4.82123572E8</v>
      </c>
      <c r="AF1857" s="1">
        <v>200000.0</v>
      </c>
      <c r="AG1857" s="2">
        <v>41374.0</v>
      </c>
      <c r="AH1857" s="1">
        <v>9100.0</v>
      </c>
      <c r="AI1857" s="1" t="s">
        <v>194</v>
      </c>
      <c r="AJ1857" s="1" t="s">
        <v>3465</v>
      </c>
      <c r="AK1857" s="1" t="s">
        <v>3402</v>
      </c>
      <c r="AL1857" s="1">
        <v>1.0</v>
      </c>
      <c r="AM1857" s="1">
        <v>2015.0</v>
      </c>
      <c r="AN1857" s="1">
        <v>2013.0</v>
      </c>
      <c r="AO1857" s="1" t="s">
        <v>3403</v>
      </c>
    </row>
    <row r="1858">
      <c r="A1858" s="5">
        <v>1.0</v>
      </c>
      <c r="B1858" s="1">
        <f t="shared" si="1"/>
        <v>1858</v>
      </c>
      <c r="C1858" s="1" t="s">
        <v>3397</v>
      </c>
      <c r="D1858" s="1" t="s">
        <v>3397</v>
      </c>
      <c r="E1858" s="1" t="s">
        <v>194</v>
      </c>
      <c r="G1858" s="1">
        <v>2.29266E7</v>
      </c>
      <c r="H1858" s="2">
        <v>41432.0</v>
      </c>
      <c r="I1858" s="1" t="s">
        <v>3398</v>
      </c>
      <c r="K1858" s="1" t="s">
        <v>3398</v>
      </c>
      <c r="N1858" s="1" t="s">
        <v>194</v>
      </c>
      <c r="O1858" s="1">
        <v>9100.0</v>
      </c>
      <c r="P1858" s="1" t="s">
        <v>194</v>
      </c>
      <c r="Q1858" s="1" t="str">
        <f>IF(ISERROR(VLOOKUP(P1858,'unique fed agency names'!A:C,3,FALSE)),P1858,VLOOKUP(P1858,'unique fed agency names'!A:C,3,FALSE))
</f>
        <v>U.S. Department of Education (ED)</v>
      </c>
      <c r="R1858" s="1">
        <v>7.0381949E7</v>
      </c>
      <c r="S1858" s="1" t="s">
        <v>605</v>
      </c>
      <c r="T1858" s="1" t="str">
        <f>IF(ISERROR(VLOOKUP(S1858,'unique org names'!A:C,3,FALSE)),S1858,VLOOKUP(S1858,'unique org names'!A:C,3,FALSE))
</f>
        <v>Liberty Caniff Academy</v>
      </c>
      <c r="V1858" s="1" t="s">
        <v>606</v>
      </c>
      <c r="W1858" s="1" t="s">
        <v>44</v>
      </c>
      <c r="X1858" s="1" t="s">
        <v>45</v>
      </c>
      <c r="Y1858" s="1">
        <v>4.82123033E8</v>
      </c>
      <c r="AA1858" s="1" t="s">
        <v>607</v>
      </c>
      <c r="AB1858" s="1" t="s">
        <v>45</v>
      </c>
      <c r="AC1858" s="1">
        <v>4.82123033E8</v>
      </c>
      <c r="AF1858" s="1">
        <v>150000.0</v>
      </c>
      <c r="AG1858" s="2">
        <v>41432.0</v>
      </c>
      <c r="AH1858" s="1">
        <v>9100.0</v>
      </c>
      <c r="AI1858" s="1" t="s">
        <v>194</v>
      </c>
      <c r="AJ1858" s="1" t="s">
        <v>3466</v>
      </c>
      <c r="AK1858" s="1" t="s">
        <v>3402</v>
      </c>
      <c r="AL1858" s="1">
        <v>1.0</v>
      </c>
      <c r="AM1858" s="1">
        <v>2015.0</v>
      </c>
      <c r="AN1858" s="1">
        <v>2013.0</v>
      </c>
      <c r="AO1858" s="1" t="s">
        <v>3403</v>
      </c>
    </row>
    <row r="1859">
      <c r="A1859" s="5">
        <v>1.0</v>
      </c>
      <c r="B1859" s="1">
        <f t="shared" si="1"/>
        <v>1859</v>
      </c>
      <c r="C1859" s="1" t="s">
        <v>3397</v>
      </c>
      <c r="D1859" s="1" t="s">
        <v>3397</v>
      </c>
      <c r="E1859" s="1" t="s">
        <v>194</v>
      </c>
      <c r="G1859" s="1">
        <v>2.29266E7</v>
      </c>
      <c r="H1859" s="2">
        <v>41360.0</v>
      </c>
      <c r="I1859" s="1" t="s">
        <v>3398</v>
      </c>
      <c r="K1859" s="1" t="s">
        <v>3398</v>
      </c>
      <c r="N1859" s="1" t="s">
        <v>194</v>
      </c>
      <c r="O1859" s="1">
        <v>9100.0</v>
      </c>
      <c r="P1859" s="1" t="s">
        <v>194</v>
      </c>
      <c r="Q1859" s="1" t="str">
        <f>IF(ISERROR(VLOOKUP(P1859,'unique fed agency names'!A:C,3,FALSE)),P1859,VLOOKUP(P1859,'unique fed agency names'!A:C,3,FALSE))
</f>
        <v>U.S. Department of Education (ED)</v>
      </c>
      <c r="R1859" s="1">
        <v>3.7602699E7</v>
      </c>
      <c r="S1859" s="1" t="s">
        <v>535</v>
      </c>
      <c r="T1859" s="1" t="str">
        <f>IF(ISERROR(VLOOKUP(S1859,'unique org names'!A:C,3,FALSE)),S1859,VLOOKUP(S1859,'unique org names'!A:C,3,FALSE))
</f>
        <v>REGENT PARK SCHOLARS CHARTER ACADEMY</v>
      </c>
      <c r="V1859" s="1" t="s">
        <v>536</v>
      </c>
      <c r="W1859" s="1" t="s">
        <v>44</v>
      </c>
      <c r="X1859" s="1" t="s">
        <v>45</v>
      </c>
      <c r="Y1859" s="1">
        <v>4.82052545E8</v>
      </c>
      <c r="AA1859" s="1" t="s">
        <v>46</v>
      </c>
      <c r="AB1859" s="1" t="s">
        <v>45</v>
      </c>
      <c r="AC1859" s="1">
        <v>4.82052545E8</v>
      </c>
      <c r="AF1859" s="1">
        <v>255000.0</v>
      </c>
      <c r="AG1859" s="2">
        <v>41360.0</v>
      </c>
      <c r="AH1859" s="1">
        <v>9100.0</v>
      </c>
      <c r="AI1859" s="1" t="s">
        <v>194</v>
      </c>
      <c r="AJ1859" s="1" t="s">
        <v>3467</v>
      </c>
      <c r="AK1859" s="1" t="s">
        <v>3402</v>
      </c>
      <c r="AL1859" s="1">
        <v>1.0</v>
      </c>
      <c r="AM1859" s="1">
        <v>2015.0</v>
      </c>
      <c r="AN1859" s="1">
        <v>2013.0</v>
      </c>
      <c r="AO1859" s="1" t="s">
        <v>3403</v>
      </c>
    </row>
    <row r="1860">
      <c r="A1860" s="5">
        <v>1.0</v>
      </c>
      <c r="B1860" s="1">
        <f t="shared" si="1"/>
        <v>1860</v>
      </c>
      <c r="C1860" s="1" t="s">
        <v>3413</v>
      </c>
      <c r="D1860" s="1" t="s">
        <v>3413</v>
      </c>
      <c r="E1860" s="1" t="s">
        <v>194</v>
      </c>
      <c r="G1860" s="1">
        <v>5.21188032E8</v>
      </c>
      <c r="H1860" s="2">
        <v>41897.0</v>
      </c>
      <c r="I1860" s="1" t="s">
        <v>1168</v>
      </c>
      <c r="K1860" s="1" t="s">
        <v>1168</v>
      </c>
      <c r="N1860" s="1" t="s">
        <v>194</v>
      </c>
      <c r="O1860" s="1">
        <v>9100.0</v>
      </c>
      <c r="P1860" s="1" t="s">
        <v>194</v>
      </c>
      <c r="Q1860" s="1" t="str">
        <f>IF(ISERROR(VLOOKUP(P1860,'unique fed agency names'!A:C,3,FALSE)),P1860,VLOOKUP(P1860,'unique fed agency names'!A:C,3,FALSE))
</f>
        <v>U.S. Department of Education (ED)</v>
      </c>
      <c r="R1860" s="1">
        <v>7.8577051E7</v>
      </c>
      <c r="S1860" s="1" t="s">
        <v>1680</v>
      </c>
      <c r="T1860" s="1" t="str">
        <f>IF(ISERROR(VLOOKUP(S1860,'unique org names'!A:C,3,FALSE)),S1860,VLOOKUP(S1860,'unique org names'!A:C,3,FALSE))
</f>
        <v>International Preparatory Academy</v>
      </c>
      <c r="V1860" s="1" t="s">
        <v>1681</v>
      </c>
      <c r="W1860" s="1" t="s">
        <v>44</v>
      </c>
      <c r="X1860" s="1" t="s">
        <v>45</v>
      </c>
      <c r="Y1860" s="1">
        <v>4.82211457E8</v>
      </c>
      <c r="AA1860" s="1" t="s">
        <v>46</v>
      </c>
      <c r="AB1860" s="1" t="s">
        <v>45</v>
      </c>
      <c r="AC1860" s="1">
        <v>4.82211457E8</v>
      </c>
      <c r="AF1860" s="1">
        <v>293573.0</v>
      </c>
      <c r="AG1860" s="2">
        <v>41897.0</v>
      </c>
      <c r="AH1860" s="1">
        <v>9100.0</v>
      </c>
      <c r="AI1860" s="1" t="s">
        <v>194</v>
      </c>
      <c r="AJ1860" s="1" t="s">
        <v>3468</v>
      </c>
      <c r="AK1860" s="1" t="s">
        <v>3000</v>
      </c>
      <c r="AL1860" s="1">
        <v>1.0</v>
      </c>
      <c r="AM1860" s="1">
        <v>2015.0</v>
      </c>
      <c r="AN1860" s="1">
        <v>2014.0</v>
      </c>
      <c r="AO1860" s="1" t="s">
        <v>1171</v>
      </c>
    </row>
    <row r="1861">
      <c r="A1861" s="5">
        <v>1.0</v>
      </c>
      <c r="B1861" s="1">
        <f t="shared" si="1"/>
        <v>1861</v>
      </c>
      <c r="C1861" s="1" t="s">
        <v>3397</v>
      </c>
      <c r="D1861" s="1" t="s">
        <v>3397</v>
      </c>
      <c r="E1861" s="1" t="s">
        <v>194</v>
      </c>
      <c r="G1861" s="1">
        <v>2.29266E7</v>
      </c>
      <c r="H1861" s="2">
        <v>41570.0</v>
      </c>
      <c r="I1861" s="1" t="s">
        <v>3398</v>
      </c>
      <c r="K1861" s="1" t="s">
        <v>3398</v>
      </c>
      <c r="N1861" s="1" t="s">
        <v>194</v>
      </c>
      <c r="O1861" s="1">
        <v>9100.0</v>
      </c>
      <c r="P1861" s="1" t="s">
        <v>194</v>
      </c>
      <c r="Q1861" s="1" t="str">
        <f>IF(ISERROR(VLOOKUP(P1861,'unique fed agency names'!A:C,3,FALSE)),P1861,VLOOKUP(P1861,'unique fed agency names'!A:C,3,FALSE))
</f>
        <v>U.S. Department of Education (ED)</v>
      </c>
      <c r="R1861" s="1">
        <v>1.9859285E7</v>
      </c>
      <c r="S1861" s="1" t="s">
        <v>1172</v>
      </c>
      <c r="T1861" s="1" t="str">
        <f>IF(ISERROR(VLOOKUP(S1861,'unique org names'!A:C,3,FALSE)),S1861,VLOOKUP(S1861,'unique org names'!A:C,3,FALSE))
</f>
        <v>Madison Carver Academy</v>
      </c>
      <c r="V1861" s="1" t="s">
        <v>1173</v>
      </c>
      <c r="W1861" s="1" t="s">
        <v>44</v>
      </c>
      <c r="X1861" s="1" t="s">
        <v>45</v>
      </c>
      <c r="Y1861" s="1">
        <v>4.82191263E8</v>
      </c>
      <c r="AA1861" s="1" t="s">
        <v>44</v>
      </c>
      <c r="AB1861" s="1" t="s">
        <v>45</v>
      </c>
      <c r="AC1861" s="1">
        <v>4.82191263E8</v>
      </c>
      <c r="AF1861" s="1">
        <v>200000.0</v>
      </c>
      <c r="AG1861" s="2">
        <v>41570.0</v>
      </c>
      <c r="AH1861" s="1">
        <v>9100.0</v>
      </c>
      <c r="AI1861" s="1" t="s">
        <v>194</v>
      </c>
      <c r="AJ1861" s="1" t="s">
        <v>3469</v>
      </c>
      <c r="AK1861" s="1" t="s">
        <v>3402</v>
      </c>
      <c r="AL1861" s="1">
        <v>1.0</v>
      </c>
      <c r="AM1861" s="1">
        <v>2015.0</v>
      </c>
      <c r="AN1861" s="1">
        <v>2014.0</v>
      </c>
      <c r="AO1861" s="1" t="s">
        <v>3403</v>
      </c>
    </row>
    <row r="1862">
      <c r="A1862" s="5">
        <v>1.0</v>
      </c>
      <c r="B1862" s="1">
        <f t="shared" si="1"/>
        <v>1862</v>
      </c>
      <c r="C1862" s="1" t="s">
        <v>3413</v>
      </c>
      <c r="D1862" s="1" t="s">
        <v>3413</v>
      </c>
      <c r="E1862" s="1" t="s">
        <v>194</v>
      </c>
      <c r="G1862" s="1">
        <v>5.21188032E8</v>
      </c>
      <c r="H1862" s="2">
        <v>41897.0</v>
      </c>
      <c r="I1862" s="1" t="s">
        <v>1168</v>
      </c>
      <c r="K1862" s="1" t="s">
        <v>1168</v>
      </c>
      <c r="N1862" s="1" t="s">
        <v>194</v>
      </c>
      <c r="O1862" s="1">
        <v>9100.0</v>
      </c>
      <c r="P1862" s="1" t="s">
        <v>194</v>
      </c>
      <c r="Q1862" s="1" t="str">
        <f>IF(ISERROR(VLOOKUP(P1862,'unique fed agency names'!A:C,3,FALSE)),P1862,VLOOKUP(P1862,'unique fed agency names'!A:C,3,FALSE))
</f>
        <v>U.S. Department of Education (ED)</v>
      </c>
      <c r="R1862" s="1">
        <v>3.9866801E7</v>
      </c>
      <c r="S1862" s="1" t="s">
        <v>612</v>
      </c>
      <c r="T1862" s="1" t="str">
        <f>IF(ISERROR(VLOOKUP(S1862,'unique org names'!A:C,3,FALSE)),S1862,VLOOKUP(S1862,'unique org names'!A:C,3,FALSE))
</f>
        <v>HAMTRAMCK PUBLIC SCHOOLS</v>
      </c>
      <c r="V1862" s="1" t="s">
        <v>613</v>
      </c>
      <c r="W1862" s="1" t="s">
        <v>44</v>
      </c>
      <c r="X1862" s="1" t="s">
        <v>45</v>
      </c>
      <c r="Y1862" s="1">
        <v>4.8212E8</v>
      </c>
      <c r="AA1862" s="1" t="s">
        <v>607</v>
      </c>
      <c r="AB1862" s="1" t="s">
        <v>45</v>
      </c>
      <c r="AC1862" s="1">
        <v>4.82120012E8</v>
      </c>
      <c r="AD1862" s="1">
        <v>3.9866801E7</v>
      </c>
      <c r="AE1862" s="1" t="s">
        <v>612</v>
      </c>
      <c r="AF1862" s="1">
        <v>3836153.0</v>
      </c>
      <c r="AG1862" s="2">
        <v>41897.0</v>
      </c>
      <c r="AH1862" s="1">
        <v>9100.0</v>
      </c>
      <c r="AI1862" s="1" t="s">
        <v>194</v>
      </c>
      <c r="AJ1862" s="1" t="s">
        <v>3470</v>
      </c>
      <c r="AK1862" s="1" t="s">
        <v>3000</v>
      </c>
      <c r="AL1862" s="1">
        <v>1.0</v>
      </c>
      <c r="AM1862" s="1">
        <v>2015.0</v>
      </c>
      <c r="AN1862" s="1">
        <v>2014.0</v>
      </c>
      <c r="AO1862" s="1" t="s">
        <v>1171</v>
      </c>
    </row>
    <row r="1863">
      <c r="A1863" s="5">
        <v>1.0</v>
      </c>
      <c r="B1863" s="1">
        <f t="shared" si="1"/>
        <v>1863</v>
      </c>
      <c r="C1863" s="1" t="s">
        <v>3413</v>
      </c>
      <c r="D1863" s="1" t="s">
        <v>3413</v>
      </c>
      <c r="E1863" s="1" t="s">
        <v>194</v>
      </c>
      <c r="G1863" s="1">
        <v>5.21188032E8</v>
      </c>
      <c r="H1863" s="2">
        <v>41956.0</v>
      </c>
      <c r="I1863" s="1" t="s">
        <v>1168</v>
      </c>
      <c r="K1863" s="1" t="s">
        <v>1168</v>
      </c>
      <c r="N1863" s="1" t="s">
        <v>194</v>
      </c>
      <c r="O1863" s="1">
        <v>9100.0</v>
      </c>
      <c r="P1863" s="1" t="s">
        <v>194</v>
      </c>
      <c r="Q1863" s="1" t="str">
        <f>IF(ISERROR(VLOOKUP(P1863,'unique fed agency names'!A:C,3,FALSE)),P1863,VLOOKUP(P1863,'unique fed agency names'!A:C,3,FALSE))
</f>
        <v>U.S. Department of Education (ED)</v>
      </c>
      <c r="R1863" s="1">
        <v>8.32093392E8</v>
      </c>
      <c r="S1863" s="1" t="s">
        <v>769</v>
      </c>
      <c r="T1863" s="1" t="str">
        <f>IF(ISERROR(VLOOKUP(S1863,'unique org names'!A:C,3,FALSE)),S1863,VLOOKUP(S1863,'unique org names'!A:C,3,FALSE))
</f>
        <v>MARTIN LUTHER KING, JR EDUCATION CENTER ACADEMY</v>
      </c>
      <c r="U1863" s="1" t="s">
        <v>626</v>
      </c>
      <c r="V1863" s="1" t="s">
        <v>770</v>
      </c>
      <c r="W1863" s="1" t="s">
        <v>44</v>
      </c>
      <c r="X1863" s="1" t="s">
        <v>45</v>
      </c>
      <c r="Y1863" s="1">
        <v>4.82354205E8</v>
      </c>
      <c r="AA1863" s="1" t="s">
        <v>44</v>
      </c>
      <c r="AB1863" s="1" t="s">
        <v>45</v>
      </c>
      <c r="AC1863" s="1">
        <v>4.82354205E8</v>
      </c>
      <c r="AD1863" s="1">
        <v>7.6340843E7</v>
      </c>
      <c r="AE1863" s="1" t="s">
        <v>461</v>
      </c>
      <c r="AF1863" s="1">
        <v>143768.0</v>
      </c>
      <c r="AG1863" s="2">
        <v>41956.0</v>
      </c>
      <c r="AH1863" s="1">
        <v>9100.0</v>
      </c>
      <c r="AI1863" s="1" t="s">
        <v>194</v>
      </c>
      <c r="AJ1863" s="1" t="s">
        <v>3471</v>
      </c>
      <c r="AK1863" s="1" t="s">
        <v>1170</v>
      </c>
      <c r="AL1863" s="1">
        <v>1.0</v>
      </c>
      <c r="AM1863" s="1">
        <v>2015.0</v>
      </c>
      <c r="AN1863" s="1">
        <v>2015.0</v>
      </c>
      <c r="AO1863" s="1" t="s">
        <v>1171</v>
      </c>
    </row>
    <row r="1864">
      <c r="A1864" s="5">
        <v>1.0</v>
      </c>
      <c r="B1864" s="1">
        <f t="shared" si="1"/>
        <v>1864</v>
      </c>
      <c r="C1864" s="1" t="s">
        <v>3413</v>
      </c>
      <c r="D1864" s="1" t="s">
        <v>3413</v>
      </c>
      <c r="E1864" s="1" t="s">
        <v>194</v>
      </c>
      <c r="G1864" s="1">
        <v>5.21188032E8</v>
      </c>
      <c r="H1864" s="2">
        <v>41948.0</v>
      </c>
      <c r="I1864" s="1" t="s">
        <v>1168</v>
      </c>
      <c r="K1864" s="1" t="s">
        <v>1168</v>
      </c>
      <c r="N1864" s="1" t="s">
        <v>194</v>
      </c>
      <c r="O1864" s="1">
        <v>9100.0</v>
      </c>
      <c r="P1864" s="1" t="s">
        <v>194</v>
      </c>
      <c r="Q1864" s="1" t="str">
        <f>IF(ISERROR(VLOOKUP(P1864,'unique fed agency names'!A:C,3,FALSE)),P1864,VLOOKUP(P1864,'unique fed agency names'!A:C,3,FALSE))
</f>
        <v>U.S. Department of Education (ED)</v>
      </c>
      <c r="R1864" s="1">
        <v>7.6340843E7</v>
      </c>
      <c r="S1864" s="1" t="s">
        <v>461</v>
      </c>
      <c r="T1864" s="1" t="str">
        <f>IF(ISERROR(VLOOKUP(S1864,'unique org names'!A:C,3,FALSE)),S1864,VLOOKUP(S1864,'unique org names'!A:C,3,FALSE))
</f>
        <v>BOARD OF EDUCATION OF THE CITY OF DETROIT</v>
      </c>
      <c r="U1864" s="1" t="s">
        <v>3427</v>
      </c>
      <c r="V1864" s="1" t="s">
        <v>1599</v>
      </c>
      <c r="W1864" s="1" t="s">
        <v>44</v>
      </c>
      <c r="X1864" s="1" t="s">
        <v>45</v>
      </c>
      <c r="Y1864" s="1">
        <v>4.8202301E8</v>
      </c>
      <c r="AA1864" s="1" t="s">
        <v>44</v>
      </c>
      <c r="AB1864" s="1" t="s">
        <v>45</v>
      </c>
      <c r="AC1864" s="1">
        <v>4.82023096E8</v>
      </c>
      <c r="AD1864" s="1">
        <v>7.6340843E7</v>
      </c>
      <c r="AE1864" s="1" t="s">
        <v>461</v>
      </c>
      <c r="AF1864" s="1">
        <v>1.0920153E8</v>
      </c>
      <c r="AG1864" s="2">
        <v>41948.0</v>
      </c>
      <c r="AH1864" s="1">
        <v>9100.0</v>
      </c>
      <c r="AI1864" s="1" t="s">
        <v>194</v>
      </c>
      <c r="AJ1864" s="1" t="s">
        <v>3414</v>
      </c>
      <c r="AK1864" s="1" t="s">
        <v>1170</v>
      </c>
      <c r="AL1864" s="1">
        <v>1.0</v>
      </c>
      <c r="AM1864" s="1">
        <v>2015.0</v>
      </c>
      <c r="AN1864" s="1">
        <v>2015.0</v>
      </c>
      <c r="AO1864" s="1" t="s">
        <v>1171</v>
      </c>
    </row>
    <row r="1865">
      <c r="A1865" s="5">
        <v>1.0</v>
      </c>
      <c r="B1865" s="1">
        <f t="shared" si="1"/>
        <v>1865</v>
      </c>
      <c r="C1865" s="1" t="s">
        <v>3472</v>
      </c>
      <c r="D1865" s="1" t="s">
        <v>3472</v>
      </c>
      <c r="E1865" s="1" t="s">
        <v>194</v>
      </c>
      <c r="G1865" s="1">
        <v>8.9168336E7</v>
      </c>
      <c r="H1865" s="2">
        <v>41974.0</v>
      </c>
      <c r="I1865" s="1" t="s">
        <v>458</v>
      </c>
      <c r="K1865" s="1" t="s">
        <v>458</v>
      </c>
      <c r="N1865" s="1" t="s">
        <v>194</v>
      </c>
      <c r="O1865" s="1">
        <v>9100.0</v>
      </c>
      <c r="P1865" s="1" t="s">
        <v>194</v>
      </c>
      <c r="Q1865" s="1" t="str">
        <f>IF(ISERROR(VLOOKUP(P1865,'unique fed agency names'!A:C,3,FALSE)),P1865,VLOOKUP(P1865,'unique fed agency names'!A:C,3,FALSE))
</f>
        <v>U.S. Department of Education (ED)</v>
      </c>
      <c r="R1865" s="1">
        <v>8.29630537E8</v>
      </c>
      <c r="S1865" s="1" t="s">
        <v>531</v>
      </c>
      <c r="T1865" s="1" t="str">
        <f>IF(ISERROR(VLOOKUP(S1865,'unique org names'!A:C,3,FALSE)),S1865,VLOOKUP(S1865,'unique org names'!A:C,3,FALSE))
</f>
        <v>DETROIT SERVICE LEARNING ACADEMY</v>
      </c>
      <c r="U1865" s="1" t="s">
        <v>532</v>
      </c>
      <c r="V1865" s="1" t="s">
        <v>533</v>
      </c>
      <c r="W1865" s="1" t="s">
        <v>44</v>
      </c>
      <c r="X1865" s="1" t="s">
        <v>45</v>
      </c>
      <c r="Y1865" s="1">
        <v>4.8219181E8</v>
      </c>
      <c r="AA1865" s="1" t="s">
        <v>44</v>
      </c>
      <c r="AB1865" s="1" t="s">
        <v>45</v>
      </c>
      <c r="AC1865" s="1">
        <v>4.8219181E8</v>
      </c>
      <c r="AD1865" s="1">
        <v>6.9827459E7</v>
      </c>
      <c r="AE1865" s="1" t="s">
        <v>1663</v>
      </c>
      <c r="AF1865" s="1">
        <v>49800.0</v>
      </c>
      <c r="AG1865" s="2">
        <v>41974.0</v>
      </c>
      <c r="AH1865" s="1">
        <v>9100.0</v>
      </c>
      <c r="AI1865" s="1" t="s">
        <v>194</v>
      </c>
      <c r="AJ1865" s="1" t="s">
        <v>3473</v>
      </c>
      <c r="AK1865" s="1" t="s">
        <v>463</v>
      </c>
      <c r="AL1865" s="1">
        <v>1.0</v>
      </c>
      <c r="AM1865" s="1">
        <v>2015.0</v>
      </c>
      <c r="AN1865" s="1">
        <v>2015.0</v>
      </c>
      <c r="AO1865" s="1" t="s">
        <v>277</v>
      </c>
    </row>
    <row r="1866">
      <c r="A1866" s="5">
        <v>1.0</v>
      </c>
      <c r="B1866" s="1">
        <f t="shared" si="1"/>
        <v>1866</v>
      </c>
      <c r="C1866" s="1" t="s">
        <v>3413</v>
      </c>
      <c r="D1866" s="1" t="s">
        <v>3413</v>
      </c>
      <c r="E1866" s="1" t="s">
        <v>194</v>
      </c>
      <c r="G1866" s="1">
        <v>5.21188032E8</v>
      </c>
      <c r="H1866" s="2">
        <v>41946.0</v>
      </c>
      <c r="I1866" s="1" t="s">
        <v>1168</v>
      </c>
      <c r="K1866" s="1" t="s">
        <v>1168</v>
      </c>
      <c r="N1866" s="1" t="s">
        <v>194</v>
      </c>
      <c r="O1866" s="1">
        <v>9100.0</v>
      </c>
      <c r="P1866" s="1" t="s">
        <v>194</v>
      </c>
      <c r="Q1866" s="1" t="str">
        <f>IF(ISERROR(VLOOKUP(P1866,'unique fed agency names'!A:C,3,FALSE)),P1866,VLOOKUP(P1866,'unique fed agency names'!A:C,3,FALSE))
</f>
        <v>U.S. Department of Education (ED)</v>
      </c>
      <c r="R1866" s="1">
        <v>2.5773859E7</v>
      </c>
      <c r="S1866" s="1" t="s">
        <v>872</v>
      </c>
      <c r="T1866" s="1" t="str">
        <f>IF(ISERROR(VLOOKUP(S1866,'unique org names'!A:C,3,FALSE)),S1866,VLOOKUP(S1866,'unique org names'!A:C,3,FALSE))
</f>
        <v>HOPE ACADEMY</v>
      </c>
      <c r="U1866" s="1" t="s">
        <v>3474</v>
      </c>
      <c r="V1866" s="1" t="s">
        <v>873</v>
      </c>
      <c r="W1866" s="1" t="s">
        <v>44</v>
      </c>
      <c r="X1866" s="1" t="s">
        <v>45</v>
      </c>
      <c r="Y1866" s="1">
        <v>4.82042042E8</v>
      </c>
      <c r="AA1866" s="1" t="s">
        <v>44</v>
      </c>
      <c r="AB1866" s="1" t="s">
        <v>45</v>
      </c>
      <c r="AC1866" s="1">
        <v>4.82042042E8</v>
      </c>
      <c r="AD1866" s="1">
        <v>9.60742484E8</v>
      </c>
      <c r="AF1866" s="1">
        <v>561496.0</v>
      </c>
      <c r="AG1866" s="2">
        <v>41946.0</v>
      </c>
      <c r="AH1866" s="1">
        <v>9100.0</v>
      </c>
      <c r="AI1866" s="1" t="s">
        <v>194</v>
      </c>
      <c r="AJ1866" s="1" t="s">
        <v>3475</v>
      </c>
      <c r="AK1866" s="1" t="s">
        <v>1170</v>
      </c>
      <c r="AL1866" s="1">
        <v>1.0</v>
      </c>
      <c r="AM1866" s="1">
        <v>2015.0</v>
      </c>
      <c r="AN1866" s="1">
        <v>2015.0</v>
      </c>
      <c r="AO1866" s="1" t="s">
        <v>1171</v>
      </c>
    </row>
    <row r="1867">
      <c r="A1867" s="5">
        <v>1.0</v>
      </c>
      <c r="B1867" s="1">
        <f t="shared" si="1"/>
        <v>1867</v>
      </c>
      <c r="C1867" s="1" t="s">
        <v>3413</v>
      </c>
      <c r="D1867" s="1" t="s">
        <v>3413</v>
      </c>
      <c r="E1867" s="1" t="s">
        <v>194</v>
      </c>
      <c r="G1867" s="1">
        <v>5.21188032E8</v>
      </c>
      <c r="H1867" s="2">
        <v>41941.0</v>
      </c>
      <c r="I1867" s="1" t="s">
        <v>1168</v>
      </c>
      <c r="K1867" s="1" t="s">
        <v>1168</v>
      </c>
      <c r="N1867" s="1" t="s">
        <v>194</v>
      </c>
      <c r="O1867" s="1">
        <v>9100.0</v>
      </c>
      <c r="P1867" s="1" t="s">
        <v>194</v>
      </c>
      <c r="Q1867" s="1" t="str">
        <f>IF(ISERROR(VLOOKUP(P1867,'unique fed agency names'!A:C,3,FALSE)),P1867,VLOOKUP(P1867,'unique fed agency names'!A:C,3,FALSE))
</f>
        <v>U.S. Department of Education (ED)</v>
      </c>
      <c r="R1867" s="1">
        <v>7.93697942E8</v>
      </c>
      <c r="S1867" s="1" t="s">
        <v>459</v>
      </c>
      <c r="T1867" s="1" t="str">
        <f>IF(ISERROR(VLOOKUP(S1867,'unique org names'!A:C,3,FALSE)),S1867,VLOOKUP(S1867,'unique org names'!A:C,3,FALSE))
</f>
        <v>DETROIT PUBLIC SCHOOLS</v>
      </c>
      <c r="U1867" s="1" t="s">
        <v>3476</v>
      </c>
      <c r="V1867" s="1" t="s">
        <v>460</v>
      </c>
      <c r="W1867" s="1" t="s">
        <v>44</v>
      </c>
      <c r="X1867" s="1" t="s">
        <v>45</v>
      </c>
      <c r="Y1867" s="1">
        <v>4.82141601E8</v>
      </c>
      <c r="AA1867" s="1" t="s">
        <v>44</v>
      </c>
      <c r="AB1867" s="1" t="s">
        <v>45</v>
      </c>
      <c r="AC1867" s="1">
        <v>4.82141601E8</v>
      </c>
      <c r="AD1867" s="1">
        <v>7.6340843E7</v>
      </c>
      <c r="AE1867" s="1" t="s">
        <v>461</v>
      </c>
      <c r="AF1867" s="1">
        <v>297205.0</v>
      </c>
      <c r="AG1867" s="2">
        <v>41941.0</v>
      </c>
      <c r="AH1867" s="1">
        <v>9100.0</v>
      </c>
      <c r="AI1867" s="1" t="s">
        <v>194</v>
      </c>
      <c r="AJ1867" s="1" t="s">
        <v>3477</v>
      </c>
      <c r="AK1867" s="1" t="s">
        <v>1170</v>
      </c>
      <c r="AL1867" s="1">
        <v>1.0</v>
      </c>
      <c r="AM1867" s="1">
        <v>2015.0</v>
      </c>
      <c r="AN1867" s="1">
        <v>2015.0</v>
      </c>
      <c r="AO1867" s="1" t="s">
        <v>1171</v>
      </c>
    </row>
    <row r="1868">
      <c r="A1868" s="5">
        <v>1.0</v>
      </c>
      <c r="B1868" s="1">
        <f t="shared" si="1"/>
        <v>1868</v>
      </c>
      <c r="C1868" s="1" t="s">
        <v>3472</v>
      </c>
      <c r="D1868" s="1" t="s">
        <v>3472</v>
      </c>
      <c r="E1868" s="1" t="s">
        <v>194</v>
      </c>
      <c r="G1868" s="1">
        <v>8.9168336E7</v>
      </c>
      <c r="H1868" s="2">
        <v>41948.0</v>
      </c>
      <c r="I1868" s="1" t="s">
        <v>458</v>
      </c>
      <c r="K1868" s="1" t="s">
        <v>458</v>
      </c>
      <c r="N1868" s="1" t="s">
        <v>194</v>
      </c>
      <c r="O1868" s="1">
        <v>9100.0</v>
      </c>
      <c r="P1868" s="1" t="s">
        <v>194</v>
      </c>
      <c r="Q1868" s="1" t="str">
        <f>IF(ISERROR(VLOOKUP(P1868,'unique fed agency names'!A:C,3,FALSE)),P1868,VLOOKUP(P1868,'unique fed agency names'!A:C,3,FALSE))
</f>
        <v>U.S. Department of Education (ED)</v>
      </c>
      <c r="R1868" s="1">
        <v>7.6340843E7</v>
      </c>
      <c r="S1868" s="1" t="s">
        <v>461</v>
      </c>
      <c r="T1868" s="1" t="str">
        <f>IF(ISERROR(VLOOKUP(S1868,'unique org names'!A:C,3,FALSE)),S1868,VLOOKUP(S1868,'unique org names'!A:C,3,FALSE))
</f>
        <v>BOARD OF EDUCATION OF THE CITY OF DETROIT</v>
      </c>
      <c r="V1868" s="1" t="s">
        <v>1599</v>
      </c>
      <c r="W1868" s="1" t="s">
        <v>44</v>
      </c>
      <c r="X1868" s="1" t="s">
        <v>45</v>
      </c>
      <c r="Y1868" s="1">
        <v>4.8202301E8</v>
      </c>
      <c r="AA1868" s="1" t="s">
        <v>44</v>
      </c>
      <c r="AB1868" s="1" t="s">
        <v>45</v>
      </c>
      <c r="AC1868" s="1">
        <v>4.82023096E8</v>
      </c>
      <c r="AD1868" s="1">
        <v>7.6340843E7</v>
      </c>
      <c r="AE1868" s="1" t="s">
        <v>461</v>
      </c>
      <c r="AF1868" s="1">
        <v>1.6734906E7</v>
      </c>
      <c r="AG1868" s="2">
        <v>41948.0</v>
      </c>
      <c r="AH1868" s="1">
        <v>9100.0</v>
      </c>
      <c r="AI1868" s="1" t="s">
        <v>194</v>
      </c>
      <c r="AJ1868" s="1" t="s">
        <v>3478</v>
      </c>
      <c r="AK1868" s="1" t="s">
        <v>463</v>
      </c>
      <c r="AL1868" s="1">
        <v>1.0</v>
      </c>
      <c r="AM1868" s="1">
        <v>2015.0</v>
      </c>
      <c r="AN1868" s="1">
        <v>2015.0</v>
      </c>
      <c r="AO1868" s="1" t="s">
        <v>277</v>
      </c>
    </row>
    <row r="1869">
      <c r="A1869" s="5">
        <v>1.0</v>
      </c>
      <c r="B1869" s="1">
        <f t="shared" si="1"/>
        <v>1869</v>
      </c>
      <c r="C1869" s="1" t="s">
        <v>3413</v>
      </c>
      <c r="D1869" s="1" t="s">
        <v>3413</v>
      </c>
      <c r="E1869" s="1" t="s">
        <v>194</v>
      </c>
      <c r="G1869" s="1">
        <v>5.21188032E8</v>
      </c>
      <c r="H1869" s="2">
        <v>41925.0</v>
      </c>
      <c r="I1869" s="1" t="s">
        <v>1168</v>
      </c>
      <c r="K1869" s="1" t="s">
        <v>1168</v>
      </c>
      <c r="N1869" s="1" t="s">
        <v>194</v>
      </c>
      <c r="O1869" s="1">
        <v>9100.0</v>
      </c>
      <c r="P1869" s="1" t="s">
        <v>194</v>
      </c>
      <c r="Q1869" s="1" t="str">
        <f>IF(ISERROR(VLOOKUP(P1869,'unique fed agency names'!A:C,3,FALSE)),P1869,VLOOKUP(P1869,'unique fed agency names'!A:C,3,FALSE))
</f>
        <v>U.S. Department of Education (ED)</v>
      </c>
      <c r="R1869" s="1">
        <v>7.8465647E7</v>
      </c>
      <c r="S1869" s="1" t="s">
        <v>1176</v>
      </c>
      <c r="T1869" s="1" t="str">
        <f>IF(ISERROR(VLOOKUP(S1869,'unique org names'!A:C,3,FALSE)),S1869,VLOOKUP(S1869,'unique org names'!A:C,3,FALSE))
</f>
        <v>DETROIT INNOVATION ACADEMY</v>
      </c>
      <c r="U1869" s="1" t="s">
        <v>3479</v>
      </c>
      <c r="V1869" s="1" t="s">
        <v>1178</v>
      </c>
      <c r="W1869" s="1" t="s">
        <v>44</v>
      </c>
      <c r="X1869" s="1" t="s">
        <v>45</v>
      </c>
      <c r="Y1869" s="1">
        <v>4.82281142E8</v>
      </c>
      <c r="AA1869" s="1" t="s">
        <v>44</v>
      </c>
      <c r="AB1869" s="1" t="s">
        <v>45</v>
      </c>
      <c r="AC1869" s="1">
        <v>4.82281142E8</v>
      </c>
      <c r="AD1869" s="1">
        <v>2.0795352E7</v>
      </c>
      <c r="AE1869" s="1" t="s">
        <v>3480</v>
      </c>
      <c r="AF1869" s="1">
        <v>161812.0</v>
      </c>
      <c r="AG1869" s="2">
        <v>41925.0</v>
      </c>
      <c r="AH1869" s="1">
        <v>9100.0</v>
      </c>
      <c r="AI1869" s="1" t="s">
        <v>194</v>
      </c>
      <c r="AJ1869" s="1" t="s">
        <v>3481</v>
      </c>
      <c r="AK1869" s="1" t="s">
        <v>1170</v>
      </c>
      <c r="AL1869" s="1">
        <v>1.0</v>
      </c>
      <c r="AM1869" s="1">
        <v>2015.0</v>
      </c>
      <c r="AN1869" s="1">
        <v>2015.0</v>
      </c>
      <c r="AO1869" s="1" t="s">
        <v>1171</v>
      </c>
    </row>
    <row r="1870">
      <c r="A1870" s="5">
        <v>1.0</v>
      </c>
      <c r="B1870" s="1">
        <f t="shared" si="1"/>
        <v>1870</v>
      </c>
      <c r="C1870" s="1" t="s">
        <v>3472</v>
      </c>
      <c r="D1870" s="1" t="s">
        <v>3472</v>
      </c>
      <c r="E1870" s="1" t="s">
        <v>194</v>
      </c>
      <c r="G1870" s="1">
        <v>8.9168336E7</v>
      </c>
      <c r="H1870" s="2">
        <v>41922.0</v>
      </c>
      <c r="I1870" s="1" t="s">
        <v>458</v>
      </c>
      <c r="K1870" s="1" t="s">
        <v>458</v>
      </c>
      <c r="N1870" s="1" t="s">
        <v>194</v>
      </c>
      <c r="O1870" s="1">
        <v>9100.0</v>
      </c>
      <c r="P1870" s="1" t="s">
        <v>194</v>
      </c>
      <c r="Q1870" s="1" t="str">
        <f>IF(ISERROR(VLOOKUP(P1870,'unique fed agency names'!A:C,3,FALSE)),P1870,VLOOKUP(P1870,'unique fed agency names'!A:C,3,FALSE))
</f>
        <v>U.S. Department of Education (ED)</v>
      </c>
      <c r="R1870" s="1">
        <v>7.3832607E7</v>
      </c>
      <c r="S1870" s="1" t="s">
        <v>482</v>
      </c>
      <c r="T1870" s="1" t="str">
        <f>IF(ISERROR(VLOOKUP(S1870,'unique org names'!A:C,3,FALSE)),S1870,VLOOKUP(S1870,'unique org names'!A:C,3,FALSE))
</f>
        <v>DETROIT ACADEMY OF ARTS AND SCIENCES</v>
      </c>
      <c r="U1870" s="1" t="s">
        <v>3424</v>
      </c>
      <c r="V1870" s="1" t="s">
        <v>483</v>
      </c>
      <c r="W1870" s="1" t="s">
        <v>44</v>
      </c>
      <c r="X1870" s="1" t="s">
        <v>45</v>
      </c>
      <c r="Y1870" s="1">
        <v>4.82074288E8</v>
      </c>
      <c r="AA1870" s="1" t="s">
        <v>44</v>
      </c>
      <c r="AB1870" s="1" t="s">
        <v>45</v>
      </c>
      <c r="AC1870" s="1">
        <v>4.82074288E8</v>
      </c>
      <c r="AD1870" s="1">
        <v>9.60742484E8</v>
      </c>
      <c r="AF1870" s="1">
        <v>68280.0</v>
      </c>
      <c r="AG1870" s="2">
        <v>41922.0</v>
      </c>
      <c r="AH1870" s="1">
        <v>9100.0</v>
      </c>
      <c r="AI1870" s="1" t="s">
        <v>194</v>
      </c>
      <c r="AJ1870" s="1" t="s">
        <v>3482</v>
      </c>
      <c r="AK1870" s="1" t="s">
        <v>463</v>
      </c>
      <c r="AL1870" s="1">
        <v>1.0</v>
      </c>
      <c r="AM1870" s="1">
        <v>2015.0</v>
      </c>
      <c r="AN1870" s="1">
        <v>2015.0</v>
      </c>
      <c r="AO1870" s="1" t="s">
        <v>277</v>
      </c>
    </row>
    <row r="1871">
      <c r="A1871" s="5">
        <v>1.0</v>
      </c>
      <c r="B1871" s="1">
        <f t="shared" si="1"/>
        <v>1871</v>
      </c>
      <c r="C1871" s="1" t="s">
        <v>3472</v>
      </c>
      <c r="D1871" s="1" t="s">
        <v>3472</v>
      </c>
      <c r="E1871" s="1" t="s">
        <v>194</v>
      </c>
      <c r="G1871" s="1">
        <v>8.9168336E7</v>
      </c>
      <c r="H1871" s="2">
        <v>41886.0</v>
      </c>
      <c r="I1871" s="1" t="s">
        <v>458</v>
      </c>
      <c r="K1871" s="1" t="s">
        <v>458</v>
      </c>
      <c r="N1871" s="1" t="s">
        <v>194</v>
      </c>
      <c r="O1871" s="1">
        <v>9100.0</v>
      </c>
      <c r="P1871" s="1" t="s">
        <v>194</v>
      </c>
      <c r="Q1871" s="1" t="str">
        <f>IF(ISERROR(VLOOKUP(P1871,'unique fed agency names'!A:C,3,FALSE)),P1871,VLOOKUP(P1871,'unique fed agency names'!A:C,3,FALSE))
</f>
        <v>U.S. Department of Education (ED)</v>
      </c>
      <c r="R1871" s="1">
        <v>2.496865E7</v>
      </c>
      <c r="S1871" s="1" t="s">
        <v>609</v>
      </c>
      <c r="T1871" s="1" t="str">
        <f>IF(ISERROR(VLOOKUP(S1871,'unique org names'!A:C,3,FALSE)),S1871,VLOOKUP(S1871,'unique org names'!A:C,3,FALSE))
</f>
        <v>Jalen Rose Leadership Academy</v>
      </c>
      <c r="V1871" s="1" t="s">
        <v>610</v>
      </c>
      <c r="W1871" s="1" t="s">
        <v>44</v>
      </c>
      <c r="X1871" s="1" t="s">
        <v>45</v>
      </c>
      <c r="Y1871" s="1">
        <v>4.8235168E8</v>
      </c>
      <c r="AA1871" s="1" t="s">
        <v>46</v>
      </c>
      <c r="AB1871" s="1" t="s">
        <v>45</v>
      </c>
      <c r="AC1871" s="1">
        <v>4.8235168E8</v>
      </c>
      <c r="AF1871" s="1">
        <v>31467.0</v>
      </c>
      <c r="AG1871" s="2">
        <v>41886.0</v>
      </c>
      <c r="AH1871" s="1">
        <v>9100.0</v>
      </c>
      <c r="AI1871" s="1" t="s">
        <v>194</v>
      </c>
      <c r="AJ1871" s="1" t="s">
        <v>3483</v>
      </c>
      <c r="AK1871" s="1" t="s">
        <v>463</v>
      </c>
      <c r="AL1871" s="1">
        <v>1.0</v>
      </c>
      <c r="AM1871" s="1">
        <v>2015.0</v>
      </c>
      <c r="AN1871" s="1">
        <v>2014.0</v>
      </c>
      <c r="AO1871" s="1" t="s">
        <v>277</v>
      </c>
    </row>
    <row r="1872">
      <c r="A1872" s="5">
        <v>1.0</v>
      </c>
      <c r="B1872" s="1">
        <f t="shared" si="1"/>
        <v>1872</v>
      </c>
      <c r="C1872" s="1" t="s">
        <v>3413</v>
      </c>
      <c r="D1872" s="1" t="s">
        <v>3413</v>
      </c>
      <c r="E1872" s="1" t="s">
        <v>194</v>
      </c>
      <c r="G1872" s="1">
        <v>5.21188032E8</v>
      </c>
      <c r="H1872" s="2">
        <v>41887.0</v>
      </c>
      <c r="I1872" s="1" t="s">
        <v>1168</v>
      </c>
      <c r="K1872" s="1" t="s">
        <v>1168</v>
      </c>
      <c r="N1872" s="1" t="s">
        <v>194</v>
      </c>
      <c r="O1872" s="1">
        <v>9100.0</v>
      </c>
      <c r="P1872" s="1" t="s">
        <v>194</v>
      </c>
      <c r="Q1872" s="1" t="str">
        <f>IF(ISERROR(VLOOKUP(P1872,'unique fed agency names'!A:C,3,FALSE)),P1872,VLOOKUP(P1872,'unique fed agency names'!A:C,3,FALSE))
</f>
        <v>U.S. Department of Education (ED)</v>
      </c>
      <c r="R1872" s="1">
        <v>7.8498569E7</v>
      </c>
      <c r="S1872" s="1" t="s">
        <v>1184</v>
      </c>
      <c r="T1872" s="1" t="str">
        <f>IF(ISERROR(VLOOKUP(S1872,'unique org names'!A:C,3,FALSE)),S1872,VLOOKUP(S1872,'unique org names'!A:C,3,FALSE))
</f>
        <v>Academy Of International Studies</v>
      </c>
      <c r="U1872" s="1" t="s">
        <v>3484</v>
      </c>
      <c r="V1872" s="1" t="s">
        <v>506</v>
      </c>
      <c r="W1872" s="1" t="s">
        <v>44</v>
      </c>
      <c r="X1872" s="1" t="s">
        <v>45</v>
      </c>
      <c r="Y1872" s="1">
        <v>4.82123572E8</v>
      </c>
      <c r="AA1872" s="1" t="s">
        <v>498</v>
      </c>
      <c r="AB1872" s="1" t="s">
        <v>45</v>
      </c>
      <c r="AC1872" s="1">
        <v>4.82123572E8</v>
      </c>
      <c r="AD1872" s="1">
        <v>8.0349806E7</v>
      </c>
      <c r="AE1872" s="1" t="s">
        <v>3485</v>
      </c>
      <c r="AF1872" s="1">
        <v>46408.0</v>
      </c>
      <c r="AG1872" s="2">
        <v>41887.0</v>
      </c>
      <c r="AH1872" s="1">
        <v>9100.0</v>
      </c>
      <c r="AI1872" s="1" t="s">
        <v>194</v>
      </c>
      <c r="AJ1872" s="1" t="s">
        <v>3486</v>
      </c>
      <c r="AK1872" s="1" t="s">
        <v>1170</v>
      </c>
      <c r="AL1872" s="1">
        <v>1.0</v>
      </c>
      <c r="AM1872" s="1">
        <v>2015.0</v>
      </c>
      <c r="AN1872" s="1">
        <v>2014.0</v>
      </c>
      <c r="AO1872" s="1" t="s">
        <v>1171</v>
      </c>
    </row>
    <row r="1873">
      <c r="A1873" s="5">
        <v>1.0</v>
      </c>
      <c r="B1873" s="1">
        <f t="shared" si="1"/>
        <v>1873</v>
      </c>
      <c r="C1873" s="1" t="s">
        <v>3413</v>
      </c>
      <c r="D1873" s="1" t="s">
        <v>3413</v>
      </c>
      <c r="E1873" s="1" t="s">
        <v>194</v>
      </c>
      <c r="G1873" s="1">
        <v>5.21188032E8</v>
      </c>
      <c r="H1873" s="2">
        <v>41886.0</v>
      </c>
      <c r="I1873" s="1" t="s">
        <v>1168</v>
      </c>
      <c r="K1873" s="1" t="s">
        <v>1168</v>
      </c>
      <c r="N1873" s="1" t="s">
        <v>194</v>
      </c>
      <c r="O1873" s="1">
        <v>9100.0</v>
      </c>
      <c r="P1873" s="1" t="s">
        <v>194</v>
      </c>
      <c r="Q1873" s="1" t="str">
        <f>IF(ISERROR(VLOOKUP(P1873,'unique fed agency names'!A:C,3,FALSE)),P1873,VLOOKUP(P1873,'unique fed agency names'!A:C,3,FALSE))
</f>
        <v>U.S. Department of Education (ED)</v>
      </c>
      <c r="R1873" s="1">
        <v>9.65349769E8</v>
      </c>
      <c r="S1873" s="1" t="s">
        <v>465</v>
      </c>
      <c r="T1873" s="1" t="str">
        <f>IF(ISERROR(VLOOKUP(S1873,'unique org names'!A:C,3,FALSE)),S1873,VLOOKUP(S1873,'unique org names'!A:C,3,FALSE))
</f>
        <v>Public School Academies of Detroit</v>
      </c>
      <c r="U1873" s="1" t="s">
        <v>466</v>
      </c>
      <c r="V1873" s="1" t="s">
        <v>467</v>
      </c>
      <c r="W1873" s="1" t="s">
        <v>44</v>
      </c>
      <c r="X1873" s="1" t="s">
        <v>45</v>
      </c>
      <c r="Y1873" s="1">
        <v>4.8202322E8</v>
      </c>
      <c r="AA1873" s="1" t="s">
        <v>44</v>
      </c>
      <c r="AB1873" s="1" t="s">
        <v>45</v>
      </c>
      <c r="AC1873" s="1">
        <v>4.8202322E8</v>
      </c>
      <c r="AD1873" s="1">
        <v>1.6338926E8</v>
      </c>
      <c r="AE1873" s="1" t="s">
        <v>465</v>
      </c>
      <c r="AF1873" s="1">
        <v>597563.0</v>
      </c>
      <c r="AG1873" s="2">
        <v>41886.0</v>
      </c>
      <c r="AH1873" s="1">
        <v>9100.0</v>
      </c>
      <c r="AI1873" s="1" t="s">
        <v>194</v>
      </c>
      <c r="AJ1873" s="1" t="s">
        <v>3487</v>
      </c>
      <c r="AK1873" s="1" t="s">
        <v>1170</v>
      </c>
      <c r="AL1873" s="1">
        <v>1.0</v>
      </c>
      <c r="AM1873" s="1">
        <v>2015.0</v>
      </c>
      <c r="AN1873" s="1">
        <v>2014.0</v>
      </c>
      <c r="AO1873" s="1" t="s">
        <v>1171</v>
      </c>
    </row>
    <row r="1874">
      <c r="A1874" s="5">
        <v>1.0</v>
      </c>
      <c r="B1874" s="1">
        <f t="shared" si="1"/>
        <v>1874</v>
      </c>
      <c r="C1874" s="1" t="s">
        <v>3413</v>
      </c>
      <c r="D1874" s="1" t="s">
        <v>3413</v>
      </c>
      <c r="E1874" s="1" t="s">
        <v>194</v>
      </c>
      <c r="G1874" s="1">
        <v>5.21188032E8</v>
      </c>
      <c r="H1874" s="2">
        <v>41897.0</v>
      </c>
      <c r="I1874" s="1" t="s">
        <v>1168</v>
      </c>
      <c r="K1874" s="1" t="s">
        <v>1168</v>
      </c>
      <c r="N1874" s="1" t="s">
        <v>194</v>
      </c>
      <c r="O1874" s="1">
        <v>9100.0</v>
      </c>
      <c r="P1874" s="1" t="s">
        <v>194</v>
      </c>
      <c r="Q1874" s="1" t="str">
        <f>IF(ISERROR(VLOOKUP(P1874,'unique fed agency names'!A:C,3,FALSE)),P1874,VLOOKUP(P1874,'unique fed agency names'!A:C,3,FALSE))
</f>
        <v>U.S. Department of Education (ED)</v>
      </c>
      <c r="R1874" s="1">
        <v>1.17726252E8</v>
      </c>
      <c r="S1874" s="1" t="s">
        <v>512</v>
      </c>
      <c r="T1874" s="1" t="str">
        <f>IF(ISERROR(VLOOKUP(S1874,'unique org names'!A:C,3,FALSE)),S1874,VLOOKUP(S1874,'unique org names'!A:C,3,FALSE))
</f>
        <v>OLD REDFORD ACADEMY</v>
      </c>
      <c r="U1874" s="1" t="s">
        <v>3488</v>
      </c>
      <c r="V1874" s="1" t="s">
        <v>513</v>
      </c>
      <c r="W1874" s="1" t="s">
        <v>44</v>
      </c>
      <c r="X1874" s="1" t="s">
        <v>45</v>
      </c>
      <c r="Y1874" s="1">
        <v>4.82193259E8</v>
      </c>
      <c r="AA1874" s="1" t="s">
        <v>44</v>
      </c>
      <c r="AB1874" s="1" t="s">
        <v>45</v>
      </c>
      <c r="AC1874" s="1">
        <v>4.82193259E8</v>
      </c>
      <c r="AD1874" s="1">
        <v>1.00034214E8</v>
      </c>
      <c r="AE1874" s="1" t="s">
        <v>3489</v>
      </c>
      <c r="AF1874" s="1">
        <v>994212.0</v>
      </c>
      <c r="AG1874" s="2">
        <v>41897.0</v>
      </c>
      <c r="AH1874" s="1">
        <v>9100.0</v>
      </c>
      <c r="AI1874" s="1" t="s">
        <v>194</v>
      </c>
      <c r="AJ1874" s="1" t="s">
        <v>3490</v>
      </c>
      <c r="AK1874" s="1" t="s">
        <v>1170</v>
      </c>
      <c r="AL1874" s="1">
        <v>1.0</v>
      </c>
      <c r="AM1874" s="1">
        <v>2015.0</v>
      </c>
      <c r="AN1874" s="1">
        <v>2014.0</v>
      </c>
      <c r="AO1874" s="1" t="s">
        <v>1171</v>
      </c>
    </row>
    <row r="1875">
      <c r="A1875" s="5">
        <v>1.0</v>
      </c>
      <c r="B1875" s="1">
        <f t="shared" si="1"/>
        <v>1875</v>
      </c>
      <c r="C1875" s="1" t="s">
        <v>3472</v>
      </c>
      <c r="D1875" s="1" t="s">
        <v>3472</v>
      </c>
      <c r="E1875" s="1" t="s">
        <v>194</v>
      </c>
      <c r="G1875" s="1">
        <v>8.9168336E7</v>
      </c>
      <c r="H1875" s="2">
        <v>41886.0</v>
      </c>
      <c r="I1875" s="1" t="s">
        <v>458</v>
      </c>
      <c r="K1875" s="1" t="s">
        <v>458</v>
      </c>
      <c r="N1875" s="1" t="s">
        <v>194</v>
      </c>
      <c r="O1875" s="1">
        <v>9100.0</v>
      </c>
      <c r="P1875" s="1" t="s">
        <v>194</v>
      </c>
      <c r="Q1875" s="1" t="str">
        <f>IF(ISERROR(VLOOKUP(P1875,'unique fed agency names'!A:C,3,FALSE)),P1875,VLOOKUP(P1875,'unique fed agency names'!A:C,3,FALSE))
</f>
        <v>U.S. Department of Education (ED)</v>
      </c>
      <c r="R1875" s="1">
        <v>9.65349769E8</v>
      </c>
      <c r="S1875" s="1" t="s">
        <v>465</v>
      </c>
      <c r="T1875" s="1" t="str">
        <f>IF(ISERROR(VLOOKUP(S1875,'unique org names'!A:C,3,FALSE)),S1875,VLOOKUP(S1875,'unique org names'!A:C,3,FALSE))
</f>
        <v>Public School Academies of Detroit</v>
      </c>
      <c r="U1875" s="1" t="s">
        <v>466</v>
      </c>
      <c r="V1875" s="1" t="s">
        <v>467</v>
      </c>
      <c r="W1875" s="1" t="s">
        <v>44</v>
      </c>
      <c r="X1875" s="1" t="s">
        <v>45</v>
      </c>
      <c r="Y1875" s="1">
        <v>4.8202322E8</v>
      </c>
      <c r="AA1875" s="1" t="s">
        <v>44</v>
      </c>
      <c r="AB1875" s="1" t="s">
        <v>45</v>
      </c>
      <c r="AC1875" s="1">
        <v>4.8202322E8</v>
      </c>
      <c r="AD1875" s="1">
        <v>1.6338926E8</v>
      </c>
      <c r="AE1875" s="1" t="s">
        <v>465</v>
      </c>
      <c r="AF1875" s="1">
        <v>105072.0</v>
      </c>
      <c r="AG1875" s="2">
        <v>41886.0</v>
      </c>
      <c r="AH1875" s="1">
        <v>9100.0</v>
      </c>
      <c r="AI1875" s="1" t="s">
        <v>194</v>
      </c>
      <c r="AJ1875" s="1" t="s">
        <v>3491</v>
      </c>
      <c r="AK1875" s="1" t="s">
        <v>463</v>
      </c>
      <c r="AL1875" s="1">
        <v>1.0</v>
      </c>
      <c r="AM1875" s="1">
        <v>2015.0</v>
      </c>
      <c r="AN1875" s="1">
        <v>2014.0</v>
      </c>
      <c r="AO1875" s="1" t="s">
        <v>277</v>
      </c>
    </row>
    <row r="1876">
      <c r="A1876" s="5">
        <v>1.0</v>
      </c>
      <c r="B1876" s="1">
        <f t="shared" si="1"/>
        <v>1876</v>
      </c>
      <c r="C1876" s="1" t="s">
        <v>3413</v>
      </c>
      <c r="D1876" s="1" t="s">
        <v>3413</v>
      </c>
      <c r="E1876" s="1" t="s">
        <v>194</v>
      </c>
      <c r="G1876" s="1">
        <v>5.21188032E8</v>
      </c>
      <c r="H1876" s="2">
        <v>41905.0</v>
      </c>
      <c r="I1876" s="1" t="s">
        <v>1168</v>
      </c>
      <c r="K1876" s="1" t="s">
        <v>1168</v>
      </c>
      <c r="N1876" s="1" t="s">
        <v>194</v>
      </c>
      <c r="O1876" s="1">
        <v>9100.0</v>
      </c>
      <c r="P1876" s="1" t="s">
        <v>194</v>
      </c>
      <c r="Q1876" s="1" t="str">
        <f>IF(ISERROR(VLOOKUP(P1876,'unique fed agency names'!A:C,3,FALSE)),P1876,VLOOKUP(P1876,'unique fed agency names'!A:C,3,FALSE))
</f>
        <v>U.S. Department of Education (ED)</v>
      </c>
      <c r="R1876" s="1">
        <v>7.93697355E8</v>
      </c>
      <c r="S1876" s="1" t="s">
        <v>691</v>
      </c>
      <c r="T1876" s="1" t="str">
        <f>IF(ISERROR(VLOOKUP(S1876,'unique org names'!A:C,3,FALSE)),S1876,VLOOKUP(S1876,'unique org names'!A:C,3,FALSE))
</f>
        <v>OAKLAND INTERNATIONAL ACADEMY</v>
      </c>
      <c r="U1876" s="1" t="s">
        <v>1194</v>
      </c>
      <c r="V1876" s="1" t="s">
        <v>692</v>
      </c>
      <c r="W1876" s="1" t="s">
        <v>44</v>
      </c>
      <c r="X1876" s="1" t="s">
        <v>45</v>
      </c>
      <c r="Y1876" s="1">
        <v>4.82111554E8</v>
      </c>
      <c r="AA1876" s="1" t="s">
        <v>44</v>
      </c>
      <c r="AB1876" s="1" t="s">
        <v>45</v>
      </c>
      <c r="AC1876" s="1">
        <v>4.82111552E8</v>
      </c>
      <c r="AD1876" s="1">
        <v>9.31263847E8</v>
      </c>
      <c r="AE1876" s="1" t="s">
        <v>3492</v>
      </c>
      <c r="AF1876" s="1">
        <v>492297.0</v>
      </c>
      <c r="AG1876" s="2">
        <v>41905.0</v>
      </c>
      <c r="AH1876" s="1">
        <v>9100.0</v>
      </c>
      <c r="AI1876" s="1" t="s">
        <v>194</v>
      </c>
      <c r="AJ1876" s="1" t="s">
        <v>3493</v>
      </c>
      <c r="AK1876" s="1" t="s">
        <v>1170</v>
      </c>
      <c r="AL1876" s="1">
        <v>1.0</v>
      </c>
      <c r="AM1876" s="1">
        <v>2015.0</v>
      </c>
      <c r="AN1876" s="1">
        <v>2014.0</v>
      </c>
      <c r="AO1876" s="1" t="s">
        <v>1171</v>
      </c>
    </row>
    <row r="1877">
      <c r="A1877" s="5">
        <v>1.0</v>
      </c>
      <c r="B1877" s="1">
        <f t="shared" si="1"/>
        <v>1877</v>
      </c>
      <c r="C1877" s="1" t="s">
        <v>3413</v>
      </c>
      <c r="D1877" s="1" t="s">
        <v>3413</v>
      </c>
      <c r="E1877" s="1" t="s">
        <v>194</v>
      </c>
      <c r="G1877" s="1">
        <v>5.21188032E8</v>
      </c>
      <c r="H1877" s="2">
        <v>41897.0</v>
      </c>
      <c r="I1877" s="1" t="s">
        <v>1168</v>
      </c>
      <c r="K1877" s="1" t="s">
        <v>1168</v>
      </c>
      <c r="N1877" s="1" t="s">
        <v>194</v>
      </c>
      <c r="O1877" s="1">
        <v>9100.0</v>
      </c>
      <c r="P1877" s="1" t="s">
        <v>194</v>
      </c>
      <c r="Q1877" s="1" t="str">
        <f>IF(ISERROR(VLOOKUP(P1877,'unique fed agency names'!A:C,3,FALSE)),P1877,VLOOKUP(P1877,'unique fed agency names'!A:C,3,FALSE))
</f>
        <v>U.S. Department of Education (ED)</v>
      </c>
      <c r="R1877" s="1">
        <v>7.0381949E7</v>
      </c>
      <c r="S1877" s="1" t="s">
        <v>605</v>
      </c>
      <c r="T1877" s="1" t="str">
        <f>IF(ISERROR(VLOOKUP(S1877,'unique org names'!A:C,3,FALSE)),S1877,VLOOKUP(S1877,'unique org names'!A:C,3,FALSE))
</f>
        <v>Liberty Caniff Academy</v>
      </c>
      <c r="V1877" s="1" t="s">
        <v>606</v>
      </c>
      <c r="W1877" s="1" t="s">
        <v>44</v>
      </c>
      <c r="X1877" s="1" t="s">
        <v>45</v>
      </c>
      <c r="Y1877" s="1">
        <v>4.82123033E8</v>
      </c>
      <c r="AA1877" s="1" t="s">
        <v>607</v>
      </c>
      <c r="AB1877" s="1" t="s">
        <v>45</v>
      </c>
      <c r="AC1877" s="1">
        <v>4.82123033E8</v>
      </c>
      <c r="AF1877" s="1">
        <v>194851.0</v>
      </c>
      <c r="AG1877" s="2">
        <v>41897.0</v>
      </c>
      <c r="AH1877" s="1">
        <v>9100.0</v>
      </c>
      <c r="AI1877" s="1" t="s">
        <v>194</v>
      </c>
      <c r="AJ1877" s="1" t="s">
        <v>3494</v>
      </c>
      <c r="AK1877" s="1" t="s">
        <v>3000</v>
      </c>
      <c r="AL1877" s="1">
        <v>1.0</v>
      </c>
      <c r="AM1877" s="1">
        <v>2015.0</v>
      </c>
      <c r="AN1877" s="1">
        <v>2014.0</v>
      </c>
      <c r="AO1877" s="1" t="s">
        <v>1171</v>
      </c>
    </row>
    <row r="1878">
      <c r="A1878" s="5">
        <v>1.0</v>
      </c>
      <c r="B1878" s="1">
        <f t="shared" si="1"/>
        <v>1878</v>
      </c>
      <c r="C1878" s="1" t="s">
        <v>3413</v>
      </c>
      <c r="D1878" s="1" t="s">
        <v>3413</v>
      </c>
      <c r="E1878" s="1" t="s">
        <v>194</v>
      </c>
      <c r="G1878" s="1">
        <v>5.21188032E8</v>
      </c>
      <c r="H1878" s="2">
        <v>41977.0</v>
      </c>
      <c r="I1878" s="1" t="s">
        <v>1168</v>
      </c>
      <c r="K1878" s="1" t="s">
        <v>1168</v>
      </c>
      <c r="N1878" s="1" t="s">
        <v>194</v>
      </c>
      <c r="O1878" s="1">
        <v>9100.0</v>
      </c>
      <c r="P1878" s="1" t="s">
        <v>194</v>
      </c>
      <c r="Q1878" s="1" t="str">
        <f>IF(ISERROR(VLOOKUP(P1878,'unique fed agency names'!A:C,3,FALSE)),P1878,VLOOKUP(P1878,'unique fed agency names'!A:C,3,FALSE))
</f>
        <v>U.S. Department of Education (ED)</v>
      </c>
      <c r="R1878" s="1">
        <v>7894403.0</v>
      </c>
      <c r="S1878" s="1" t="s">
        <v>1676</v>
      </c>
      <c r="T1878" s="1" t="str">
        <f>IF(ISERROR(VLOOKUP(S1878,'unique org names'!A:C,3,FALSE)),S1878,VLOOKUP(S1878,'unique org names'!A:C,3,FALSE))
</f>
        <v>Detroit Capstone Academy</v>
      </c>
      <c r="V1878" s="1" t="s">
        <v>1677</v>
      </c>
      <c r="W1878" s="1" t="s">
        <v>44</v>
      </c>
      <c r="X1878" s="1" t="s">
        <v>45</v>
      </c>
      <c r="Y1878" s="1">
        <v>4.82012402E8</v>
      </c>
      <c r="AA1878" s="1" t="s">
        <v>44</v>
      </c>
      <c r="AB1878" s="1" t="s">
        <v>45</v>
      </c>
      <c r="AC1878" s="1">
        <v>4.82012402E8</v>
      </c>
      <c r="AF1878" s="1">
        <v>165075.0</v>
      </c>
      <c r="AG1878" s="2">
        <v>41977.0</v>
      </c>
      <c r="AH1878" s="1">
        <v>9100.0</v>
      </c>
      <c r="AI1878" s="1" t="s">
        <v>194</v>
      </c>
      <c r="AJ1878" s="1" t="s">
        <v>3495</v>
      </c>
      <c r="AK1878" s="1" t="s">
        <v>3000</v>
      </c>
      <c r="AL1878" s="1">
        <v>1.0</v>
      </c>
      <c r="AM1878" s="1">
        <v>2015.0</v>
      </c>
      <c r="AN1878" s="1">
        <v>2015.0</v>
      </c>
      <c r="AO1878" s="1" t="s">
        <v>1171</v>
      </c>
    </row>
    <row r="1879">
      <c r="A1879" s="5">
        <v>1.0</v>
      </c>
      <c r="B1879" s="1">
        <f t="shared" si="1"/>
        <v>1879</v>
      </c>
      <c r="C1879" s="1" t="s">
        <v>3472</v>
      </c>
      <c r="D1879" s="1" t="s">
        <v>3472</v>
      </c>
      <c r="E1879" s="1" t="s">
        <v>194</v>
      </c>
      <c r="G1879" s="1">
        <v>8.9168336E7</v>
      </c>
      <c r="H1879" s="2">
        <v>41878.0</v>
      </c>
      <c r="I1879" s="1" t="s">
        <v>458</v>
      </c>
      <c r="K1879" s="1" t="s">
        <v>458</v>
      </c>
      <c r="N1879" s="1" t="s">
        <v>194</v>
      </c>
      <c r="O1879" s="1">
        <v>9100.0</v>
      </c>
      <c r="P1879" s="1" t="s">
        <v>194</v>
      </c>
      <c r="Q1879" s="1" t="str">
        <f>IF(ISERROR(VLOOKUP(P1879,'unique fed agency names'!A:C,3,FALSE)),P1879,VLOOKUP(P1879,'unique fed agency names'!A:C,3,FALSE))
</f>
        <v>U.S. Department of Education (ED)</v>
      </c>
      <c r="R1879" s="1">
        <v>1.68568132E8</v>
      </c>
      <c r="S1879" s="1" t="s">
        <v>588</v>
      </c>
      <c r="T1879" s="1" t="str">
        <f>IF(ISERROR(VLOOKUP(S1879,'unique org names'!A:C,3,FALSE)),S1879,VLOOKUP(S1879,'unique org names'!A:C,3,FALSE))
</f>
        <v>DETROIT ENTERPRISE ACADEMY</v>
      </c>
      <c r="U1879" s="1" t="s">
        <v>3496</v>
      </c>
      <c r="V1879" s="1" t="s">
        <v>589</v>
      </c>
      <c r="W1879" s="1" t="s">
        <v>44</v>
      </c>
      <c r="X1879" s="1" t="s">
        <v>45</v>
      </c>
      <c r="Y1879" s="1">
        <v>4.82143323E8</v>
      </c>
      <c r="AA1879" s="1" t="s">
        <v>44</v>
      </c>
      <c r="AB1879" s="1" t="s">
        <v>45</v>
      </c>
      <c r="AC1879" s="1">
        <v>4.82143323E8</v>
      </c>
      <c r="AD1879" s="1">
        <v>9.60742484E8</v>
      </c>
      <c r="AF1879" s="1">
        <v>25479.0</v>
      </c>
      <c r="AG1879" s="2">
        <v>41878.0</v>
      </c>
      <c r="AH1879" s="1">
        <v>9100.0</v>
      </c>
      <c r="AI1879" s="1" t="s">
        <v>194</v>
      </c>
      <c r="AJ1879" s="1" t="s">
        <v>3497</v>
      </c>
      <c r="AK1879" s="1" t="s">
        <v>463</v>
      </c>
      <c r="AL1879" s="1">
        <v>1.0</v>
      </c>
      <c r="AM1879" s="1">
        <v>2015.0</v>
      </c>
      <c r="AN1879" s="1">
        <v>2014.0</v>
      </c>
      <c r="AO1879" s="1" t="s">
        <v>277</v>
      </c>
    </row>
    <row r="1880">
      <c r="A1880" s="5">
        <v>1.0</v>
      </c>
      <c r="B1880" s="1">
        <f t="shared" si="1"/>
        <v>1880</v>
      </c>
      <c r="C1880" s="1" t="s">
        <v>3472</v>
      </c>
      <c r="D1880" s="1" t="s">
        <v>3472</v>
      </c>
      <c r="E1880" s="1" t="s">
        <v>194</v>
      </c>
      <c r="G1880" s="1">
        <v>8.9168336E7</v>
      </c>
      <c r="H1880" s="2">
        <v>41878.0</v>
      </c>
      <c r="I1880" s="1" t="s">
        <v>458</v>
      </c>
      <c r="K1880" s="1" t="s">
        <v>458</v>
      </c>
      <c r="N1880" s="1" t="s">
        <v>194</v>
      </c>
      <c r="O1880" s="1">
        <v>9100.0</v>
      </c>
      <c r="P1880" s="1" t="s">
        <v>194</v>
      </c>
      <c r="Q1880" s="1" t="str">
        <f>IF(ISERROR(VLOOKUP(P1880,'unique fed agency names'!A:C,3,FALSE)),P1880,VLOOKUP(P1880,'unique fed agency names'!A:C,3,FALSE))
</f>
        <v>U.S. Department of Education (ED)</v>
      </c>
      <c r="R1880" s="1">
        <v>1.23577707E8</v>
      </c>
      <c r="S1880" s="1" t="s">
        <v>563</v>
      </c>
      <c r="T1880" s="1" t="str">
        <f>IF(ISERROR(VLOOKUP(S1880,'unique org names'!A:C,3,FALSE)),S1880,VLOOKUP(S1880,'unique org names'!A:C,3,FALSE))
</f>
        <v>WARRENDALE CHARTER ACADEMY</v>
      </c>
      <c r="V1880" s="1" t="s">
        <v>565</v>
      </c>
      <c r="W1880" s="1" t="s">
        <v>44</v>
      </c>
      <c r="X1880" s="1" t="s">
        <v>45</v>
      </c>
      <c r="Y1880" s="1">
        <v>4.8228333E8</v>
      </c>
      <c r="AA1880" s="1" t="s">
        <v>44</v>
      </c>
      <c r="AB1880" s="1" t="s">
        <v>45</v>
      </c>
      <c r="AC1880" s="1">
        <v>4.82283396E8</v>
      </c>
      <c r="AD1880" s="1">
        <v>9.60742484E8</v>
      </c>
      <c r="AF1880" s="1">
        <v>32740.0</v>
      </c>
      <c r="AG1880" s="2">
        <v>41878.0</v>
      </c>
      <c r="AH1880" s="1">
        <v>9100.0</v>
      </c>
      <c r="AI1880" s="1" t="s">
        <v>194</v>
      </c>
      <c r="AJ1880" s="1" t="s">
        <v>3498</v>
      </c>
      <c r="AK1880" s="1" t="s">
        <v>463</v>
      </c>
      <c r="AL1880" s="1">
        <v>1.0</v>
      </c>
      <c r="AM1880" s="1">
        <v>2015.0</v>
      </c>
      <c r="AN1880" s="1">
        <v>2014.0</v>
      </c>
      <c r="AO1880" s="1" t="s">
        <v>277</v>
      </c>
    </row>
    <row r="1881">
      <c r="A1881" s="5">
        <v>1.0</v>
      </c>
      <c r="B1881" s="1">
        <f t="shared" si="1"/>
        <v>1881</v>
      </c>
      <c r="C1881" s="1" t="s">
        <v>3472</v>
      </c>
      <c r="D1881" s="1" t="s">
        <v>3472</v>
      </c>
      <c r="E1881" s="1" t="s">
        <v>194</v>
      </c>
      <c r="G1881" s="1">
        <v>8.9168336E7</v>
      </c>
      <c r="H1881" s="2">
        <v>41878.0</v>
      </c>
      <c r="I1881" s="1" t="s">
        <v>458</v>
      </c>
      <c r="K1881" s="1" t="s">
        <v>458</v>
      </c>
      <c r="N1881" s="1" t="s">
        <v>194</v>
      </c>
      <c r="O1881" s="1">
        <v>9100.0</v>
      </c>
      <c r="P1881" s="1" t="s">
        <v>194</v>
      </c>
      <c r="Q1881" s="1" t="str">
        <f>IF(ISERROR(VLOOKUP(P1881,'unique fed agency names'!A:C,3,FALSE)),P1881,VLOOKUP(P1881,'unique fed agency names'!A:C,3,FALSE))
</f>
        <v>U.S. Department of Education (ED)</v>
      </c>
      <c r="R1881" s="1">
        <v>1.9859285E7</v>
      </c>
      <c r="S1881" s="1" t="s">
        <v>1172</v>
      </c>
      <c r="T1881" s="1" t="str">
        <f>IF(ISERROR(VLOOKUP(S1881,'unique org names'!A:C,3,FALSE)),S1881,VLOOKUP(S1881,'unique org names'!A:C,3,FALSE))
</f>
        <v>Madison Carver Academy</v>
      </c>
      <c r="V1881" s="1" t="s">
        <v>1173</v>
      </c>
      <c r="W1881" s="1" t="s">
        <v>44</v>
      </c>
      <c r="X1881" s="1" t="s">
        <v>45</v>
      </c>
      <c r="Y1881" s="1">
        <v>4.82191263E8</v>
      </c>
      <c r="AA1881" s="1" t="s">
        <v>44</v>
      </c>
      <c r="AB1881" s="1" t="s">
        <v>45</v>
      </c>
      <c r="AC1881" s="1">
        <v>4.82191263E8</v>
      </c>
      <c r="AD1881" s="1">
        <v>8.7058632E7</v>
      </c>
      <c r="AE1881" s="1" t="s">
        <v>3499</v>
      </c>
      <c r="AF1881" s="1">
        <v>30314.0</v>
      </c>
      <c r="AG1881" s="2">
        <v>41878.0</v>
      </c>
      <c r="AH1881" s="1">
        <v>9100.0</v>
      </c>
      <c r="AI1881" s="1" t="s">
        <v>194</v>
      </c>
      <c r="AJ1881" s="1" t="s">
        <v>3500</v>
      </c>
      <c r="AK1881" s="1" t="s">
        <v>463</v>
      </c>
      <c r="AL1881" s="1">
        <v>1.0</v>
      </c>
      <c r="AM1881" s="1">
        <v>2015.0</v>
      </c>
      <c r="AN1881" s="1">
        <v>2014.0</v>
      </c>
      <c r="AO1881" s="1" t="s">
        <v>277</v>
      </c>
    </row>
    <row r="1882">
      <c r="A1882" s="5">
        <v>1.0</v>
      </c>
      <c r="B1882" s="1">
        <f t="shared" si="1"/>
        <v>1882</v>
      </c>
      <c r="C1882" s="1" t="s">
        <v>3413</v>
      </c>
      <c r="D1882" s="1" t="s">
        <v>3413</v>
      </c>
      <c r="E1882" s="1" t="s">
        <v>194</v>
      </c>
      <c r="G1882" s="1">
        <v>5.21188032E8</v>
      </c>
      <c r="H1882" s="2">
        <v>41922.0</v>
      </c>
      <c r="I1882" s="1" t="s">
        <v>1168</v>
      </c>
      <c r="K1882" s="1" t="s">
        <v>1168</v>
      </c>
      <c r="N1882" s="1" t="s">
        <v>194</v>
      </c>
      <c r="O1882" s="1">
        <v>9100.0</v>
      </c>
      <c r="P1882" s="1" t="s">
        <v>194</v>
      </c>
      <c r="Q1882" s="1" t="str">
        <f>IF(ISERROR(VLOOKUP(P1882,'unique fed agency names'!A:C,3,FALSE)),P1882,VLOOKUP(P1882,'unique fed agency names'!A:C,3,FALSE))
</f>
        <v>U.S. Department of Education (ED)</v>
      </c>
      <c r="R1882" s="1">
        <v>7.8583963E7</v>
      </c>
      <c r="S1882" s="1" t="s">
        <v>526</v>
      </c>
      <c r="T1882" s="1" t="str">
        <f>IF(ISERROR(VLOOKUP(S1882,'unique org names'!A:C,3,FALSE)),S1882,VLOOKUP(S1882,'unique org names'!A:C,3,FALSE))
</f>
        <v>WAY ACADEMY</v>
      </c>
      <c r="U1882" s="1" t="s">
        <v>3501</v>
      </c>
      <c r="V1882" s="1" t="s">
        <v>3020</v>
      </c>
      <c r="W1882" s="1" t="s">
        <v>44</v>
      </c>
      <c r="X1882" s="1" t="s">
        <v>45</v>
      </c>
      <c r="Y1882" s="1">
        <v>4.82091434E8</v>
      </c>
      <c r="AA1882" s="1" t="s">
        <v>46</v>
      </c>
      <c r="AB1882" s="1" t="s">
        <v>45</v>
      </c>
      <c r="AC1882" s="1">
        <v>4.82091434E8</v>
      </c>
      <c r="AD1882" s="1">
        <v>5.3665132E7</v>
      </c>
      <c r="AF1882" s="1">
        <v>334615.0</v>
      </c>
      <c r="AG1882" s="2">
        <v>41922.0</v>
      </c>
      <c r="AH1882" s="1">
        <v>9100.0</v>
      </c>
      <c r="AI1882" s="1" t="s">
        <v>194</v>
      </c>
      <c r="AJ1882" s="1" t="s">
        <v>3502</v>
      </c>
      <c r="AK1882" s="1" t="s">
        <v>3000</v>
      </c>
      <c r="AL1882" s="1">
        <v>1.0</v>
      </c>
      <c r="AM1882" s="1">
        <v>2015.0</v>
      </c>
      <c r="AN1882" s="1">
        <v>2015.0</v>
      </c>
      <c r="AO1882" s="1" t="s">
        <v>1171</v>
      </c>
    </row>
    <row r="1883">
      <c r="A1883" s="5">
        <v>1.0</v>
      </c>
      <c r="B1883" s="1">
        <f t="shared" si="1"/>
        <v>1883</v>
      </c>
      <c r="C1883" s="1" t="s">
        <v>3413</v>
      </c>
      <c r="D1883" s="1" t="s">
        <v>3413</v>
      </c>
      <c r="E1883" s="1" t="s">
        <v>194</v>
      </c>
      <c r="G1883" s="1">
        <v>5.21188032E8</v>
      </c>
      <c r="H1883" s="2">
        <v>41878.0</v>
      </c>
      <c r="I1883" s="1" t="s">
        <v>1168</v>
      </c>
      <c r="K1883" s="1" t="s">
        <v>1168</v>
      </c>
      <c r="N1883" s="1" t="s">
        <v>194</v>
      </c>
      <c r="O1883" s="1">
        <v>9100.0</v>
      </c>
      <c r="P1883" s="1" t="s">
        <v>194</v>
      </c>
      <c r="Q1883" s="1" t="str">
        <f>IF(ISERROR(VLOOKUP(P1883,'unique fed agency names'!A:C,3,FALSE)),P1883,VLOOKUP(P1883,'unique fed agency names'!A:C,3,FALSE))
</f>
        <v>U.S. Department of Education (ED)</v>
      </c>
      <c r="R1883" s="1">
        <v>9.62378779E8</v>
      </c>
      <c r="S1883" s="1" t="s">
        <v>478</v>
      </c>
      <c r="T1883" s="1" t="str">
        <f>IF(ISERROR(VLOOKUP(S1883,'unique org names'!A:C,3,FALSE)),S1883,VLOOKUP(S1883,'unique org names'!A:C,3,FALSE))
</f>
        <v>LEGACY CHARTER ACADEMY</v>
      </c>
      <c r="U1883" s="1" t="s">
        <v>3503</v>
      </c>
      <c r="V1883" s="1" t="s">
        <v>479</v>
      </c>
      <c r="W1883" s="1" t="s">
        <v>44</v>
      </c>
      <c r="X1883" s="1" t="s">
        <v>45</v>
      </c>
      <c r="Y1883" s="1">
        <v>4.82342225E8</v>
      </c>
      <c r="AA1883" s="1" t="s">
        <v>44</v>
      </c>
      <c r="AB1883" s="1" t="s">
        <v>45</v>
      </c>
      <c r="AC1883" s="1">
        <v>4.82342225E8</v>
      </c>
      <c r="AD1883" s="1">
        <v>1.89347776E8</v>
      </c>
      <c r="AE1883" s="1" t="s">
        <v>3504</v>
      </c>
      <c r="AF1883" s="1">
        <v>691395.0</v>
      </c>
      <c r="AG1883" s="2">
        <v>41878.0</v>
      </c>
      <c r="AH1883" s="1">
        <v>9100.0</v>
      </c>
      <c r="AI1883" s="1" t="s">
        <v>194</v>
      </c>
      <c r="AJ1883" s="1" t="s">
        <v>3505</v>
      </c>
      <c r="AK1883" s="1" t="s">
        <v>1170</v>
      </c>
      <c r="AL1883" s="1">
        <v>1.0</v>
      </c>
      <c r="AM1883" s="1">
        <v>2015.0</v>
      </c>
      <c r="AN1883" s="1">
        <v>2014.0</v>
      </c>
      <c r="AO1883" s="1" t="s">
        <v>1171</v>
      </c>
    </row>
    <row r="1884">
      <c r="A1884" s="5">
        <v>1.0</v>
      </c>
      <c r="B1884" s="1">
        <f t="shared" si="1"/>
        <v>1884</v>
      </c>
      <c r="C1884" s="1" t="s">
        <v>3472</v>
      </c>
      <c r="D1884" s="1" t="s">
        <v>3472</v>
      </c>
      <c r="E1884" s="1" t="s">
        <v>194</v>
      </c>
      <c r="G1884" s="1">
        <v>8.9168336E7</v>
      </c>
      <c r="H1884" s="2">
        <v>41897.0</v>
      </c>
      <c r="I1884" s="1" t="s">
        <v>458</v>
      </c>
      <c r="K1884" s="1" t="s">
        <v>458</v>
      </c>
      <c r="N1884" s="1" t="s">
        <v>194</v>
      </c>
      <c r="O1884" s="1">
        <v>9100.0</v>
      </c>
      <c r="P1884" s="1" t="s">
        <v>194</v>
      </c>
      <c r="Q1884" s="1" t="str">
        <f>IF(ISERROR(VLOOKUP(P1884,'unique fed agency names'!A:C,3,FALSE)),P1884,VLOOKUP(P1884,'unique fed agency names'!A:C,3,FALSE))
</f>
        <v>U.S. Department of Education (ED)</v>
      </c>
      <c r="R1884" s="1">
        <v>3.9866801E7</v>
      </c>
      <c r="S1884" s="1" t="s">
        <v>612</v>
      </c>
      <c r="T1884" s="1" t="str">
        <f>IF(ISERROR(VLOOKUP(S1884,'unique org names'!A:C,3,FALSE)),S1884,VLOOKUP(S1884,'unique org names'!A:C,3,FALSE))
</f>
        <v>HAMTRAMCK PUBLIC SCHOOLS</v>
      </c>
      <c r="V1884" s="1" t="s">
        <v>613</v>
      </c>
      <c r="W1884" s="1" t="s">
        <v>44</v>
      </c>
      <c r="X1884" s="1" t="s">
        <v>45</v>
      </c>
      <c r="Y1884" s="1">
        <v>4.8212E8</v>
      </c>
      <c r="AA1884" s="1" t="s">
        <v>607</v>
      </c>
      <c r="AB1884" s="1" t="s">
        <v>45</v>
      </c>
      <c r="AC1884" s="1">
        <v>4.82120012E8</v>
      </c>
      <c r="AD1884" s="1">
        <v>3.9866801E7</v>
      </c>
      <c r="AE1884" s="1" t="s">
        <v>612</v>
      </c>
      <c r="AF1884" s="1">
        <v>261476.0</v>
      </c>
      <c r="AG1884" s="2">
        <v>41897.0</v>
      </c>
      <c r="AH1884" s="1">
        <v>9100.0</v>
      </c>
      <c r="AI1884" s="1" t="s">
        <v>194</v>
      </c>
      <c r="AJ1884" s="1" t="s">
        <v>3506</v>
      </c>
      <c r="AK1884" s="1" t="s">
        <v>463</v>
      </c>
      <c r="AL1884" s="1">
        <v>1.0</v>
      </c>
      <c r="AM1884" s="1">
        <v>2015.0</v>
      </c>
      <c r="AN1884" s="1">
        <v>2014.0</v>
      </c>
      <c r="AO1884" s="1" t="s">
        <v>277</v>
      </c>
    </row>
    <row r="1885">
      <c r="A1885" s="5">
        <v>1.0</v>
      </c>
      <c r="B1885" s="1">
        <f t="shared" si="1"/>
        <v>1885</v>
      </c>
      <c r="C1885" s="1" t="s">
        <v>3507</v>
      </c>
      <c r="D1885" s="1" t="s">
        <v>3507</v>
      </c>
      <c r="E1885" s="1" t="s">
        <v>129</v>
      </c>
      <c r="G1885" s="1">
        <v>7.561816E7</v>
      </c>
      <c r="H1885" s="2">
        <v>42005.0</v>
      </c>
      <c r="I1885" s="1" t="s">
        <v>3508</v>
      </c>
      <c r="K1885" s="1" t="s">
        <v>3508</v>
      </c>
      <c r="N1885" s="1" t="s">
        <v>40</v>
      </c>
      <c r="O1885" s="1">
        <v>7500.0</v>
      </c>
      <c r="P1885" s="1" t="s">
        <v>40</v>
      </c>
      <c r="Q1885" s="1" t="str">
        <f>IF(ISERROR(VLOOKUP(P1885,'unique fed agency names'!A:C,3,FALSE)),P1885,VLOOKUP(P1885,'unique fed agency names'!A:C,3,FALSE))
</f>
        <v>U.S. Department of Health and Human Services (DHHS)</v>
      </c>
      <c r="R1885" s="1">
        <v>1.95837232E8</v>
      </c>
      <c r="S1885" s="1" t="s">
        <v>785</v>
      </c>
      <c r="T1885" s="1" t="str">
        <f>IF(ISERROR(VLOOKUP(S1885,'unique org names'!A:C,3,FALSE)),S1885,VLOOKUP(S1885,'unique org names'!A:C,3,FALSE))
</f>
        <v>WOLVERINE HUMAN SERVICES</v>
      </c>
      <c r="U1885" s="1" t="s">
        <v>786</v>
      </c>
      <c r="V1885" s="1" t="s">
        <v>787</v>
      </c>
      <c r="W1885" s="1" t="s">
        <v>44</v>
      </c>
      <c r="X1885" s="1" t="s">
        <v>45</v>
      </c>
      <c r="Y1885" s="1">
        <v>4.82242358E8</v>
      </c>
      <c r="AA1885" s="1" t="s">
        <v>44</v>
      </c>
      <c r="AB1885" s="1" t="s">
        <v>45</v>
      </c>
      <c r="AC1885" s="1">
        <v>4.82242358E8</v>
      </c>
      <c r="AD1885" s="1">
        <v>1.95837232E8</v>
      </c>
      <c r="AE1885" s="1" t="s">
        <v>785</v>
      </c>
      <c r="AF1885" s="1">
        <v>175000.0</v>
      </c>
      <c r="AG1885" s="2">
        <v>42005.0</v>
      </c>
      <c r="AH1885" s="1">
        <v>7500.0</v>
      </c>
      <c r="AI1885" s="1" t="s">
        <v>40</v>
      </c>
      <c r="AJ1885" s="1" t="s">
        <v>3509</v>
      </c>
      <c r="AK1885" s="1" t="s">
        <v>2784</v>
      </c>
      <c r="AL1885" s="1">
        <v>1.0</v>
      </c>
      <c r="AM1885" s="1">
        <v>2015.0</v>
      </c>
      <c r="AN1885" s="1">
        <v>2015.0</v>
      </c>
      <c r="AO1885" s="1" t="s">
        <v>3510</v>
      </c>
    </row>
    <row r="1886">
      <c r="A1886" s="5">
        <v>1.0</v>
      </c>
      <c r="B1886" s="1">
        <f t="shared" si="1"/>
        <v>1886</v>
      </c>
      <c r="C1886" s="1" t="s">
        <v>3511</v>
      </c>
      <c r="D1886" s="1" t="s">
        <v>3511</v>
      </c>
      <c r="E1886" s="1" t="s">
        <v>38</v>
      </c>
      <c r="G1886" s="1">
        <v>9949825.0</v>
      </c>
      <c r="H1886" s="2">
        <v>41978.0</v>
      </c>
      <c r="I1886" s="1" t="s">
        <v>3512</v>
      </c>
      <c r="K1886" s="1" t="s">
        <v>3512</v>
      </c>
      <c r="N1886" s="1" t="s">
        <v>40</v>
      </c>
      <c r="O1886" s="1">
        <v>7500.0</v>
      </c>
      <c r="P1886" s="1" t="s">
        <v>40</v>
      </c>
      <c r="Q1886" s="1" t="str">
        <f>IF(ISERROR(VLOOKUP(P1886,'unique fed agency names'!A:C,3,FALSE)),P1886,VLOOKUP(P1886,'unique fed agency names'!A:C,3,FALSE))
</f>
        <v>U.S. Department of Health and Human Services (DHHS)</v>
      </c>
      <c r="R1886" s="1">
        <v>7.3134603E7</v>
      </c>
      <c r="S1886" s="1" t="s">
        <v>41</v>
      </c>
      <c r="T1886" s="1" t="str">
        <f>IF(ISERROR(VLOOKUP(S1886,'unique org names'!A:C,3,FALSE)),S1886,VLOOKUP(S1886,'unique org names'!A:C,3,FALSE))
</f>
        <v>Henry Ford Health System</v>
      </c>
      <c r="U1886" s="1" t="s">
        <v>252</v>
      </c>
      <c r="V1886" s="1" t="s">
        <v>253</v>
      </c>
      <c r="W1886" s="1" t="s">
        <v>44</v>
      </c>
      <c r="X1886" s="1" t="s">
        <v>45</v>
      </c>
      <c r="Y1886" s="1">
        <v>4.8202345E8</v>
      </c>
      <c r="AA1886" s="1" t="s">
        <v>46</v>
      </c>
      <c r="AB1886" s="1" t="s">
        <v>45</v>
      </c>
      <c r="AC1886" s="1">
        <v>4.82022689E8</v>
      </c>
      <c r="AD1886" s="1">
        <v>7.3134603E7</v>
      </c>
      <c r="AE1886" s="1" t="s">
        <v>41</v>
      </c>
      <c r="AF1886" s="1">
        <v>641983.0</v>
      </c>
      <c r="AG1886" s="2">
        <v>41978.0</v>
      </c>
      <c r="AH1886" s="1">
        <v>7500.0</v>
      </c>
      <c r="AI1886" s="1" t="s">
        <v>40</v>
      </c>
      <c r="AJ1886" s="1" t="s">
        <v>3513</v>
      </c>
      <c r="AK1886" s="1" t="s">
        <v>3514</v>
      </c>
      <c r="AL1886" s="1">
        <v>1.0</v>
      </c>
      <c r="AM1886" s="1">
        <v>2015.0</v>
      </c>
      <c r="AN1886" s="1">
        <v>2015.0</v>
      </c>
      <c r="AO1886" s="1" t="s">
        <v>415</v>
      </c>
    </row>
    <row r="1887">
      <c r="A1887" s="5">
        <v>1.0</v>
      </c>
      <c r="B1887" s="1">
        <f t="shared" si="1"/>
        <v>1887</v>
      </c>
      <c r="C1887" s="1" t="s">
        <v>3515</v>
      </c>
      <c r="D1887" s="1" t="s">
        <v>3515</v>
      </c>
      <c r="E1887" s="1" t="s">
        <v>645</v>
      </c>
      <c r="G1887" s="1">
        <v>4.64793056E8</v>
      </c>
      <c r="H1887" s="2">
        <v>41977.0</v>
      </c>
      <c r="I1887" s="1" t="s">
        <v>710</v>
      </c>
      <c r="K1887" s="1" t="s">
        <v>710</v>
      </c>
      <c r="N1887" s="1" t="s">
        <v>647</v>
      </c>
      <c r="O1887" s="1">
        <v>1200.0</v>
      </c>
      <c r="P1887" s="1" t="s">
        <v>647</v>
      </c>
      <c r="Q1887" s="1" t="str">
        <f>IF(ISERROR(VLOOKUP(P1887,'unique fed agency names'!A:C,3,FALSE)),P1887,VLOOKUP(P1887,'unique fed agency names'!A:C,3,FALSE))
</f>
        <v>U.S. Department of Agriculture (USDA)</v>
      </c>
      <c r="R1887" s="1">
        <v>9.63121426E8</v>
      </c>
      <c r="S1887" s="1" t="s">
        <v>490</v>
      </c>
      <c r="T1887" s="1" t="str">
        <f>IF(ISERROR(VLOOKUP(S1887,'unique org names'!A:C,3,FALSE)),S1887,VLOOKUP(S1887,'unique org names'!A:C,3,FALSE))
</f>
        <v>DETROIT LEADERSHIP ACADEMY</v>
      </c>
      <c r="V1887" s="1" t="s">
        <v>491</v>
      </c>
      <c r="W1887" s="1" t="s">
        <v>44</v>
      </c>
      <c r="X1887" s="1" t="s">
        <v>45</v>
      </c>
      <c r="Y1887" s="1">
        <v>4.82233051E8</v>
      </c>
      <c r="AA1887" s="1" t="s">
        <v>46</v>
      </c>
      <c r="AB1887" s="1" t="s">
        <v>45</v>
      </c>
      <c r="AC1887" s="1">
        <v>4.82233051E8</v>
      </c>
      <c r="AD1887" s="1">
        <v>3.4975359E7</v>
      </c>
      <c r="AE1887" s="1" t="s">
        <v>3516</v>
      </c>
      <c r="AF1887" s="1">
        <v>123627.56</v>
      </c>
      <c r="AG1887" s="2">
        <v>41977.0</v>
      </c>
      <c r="AH1887" s="1">
        <v>1200.0</v>
      </c>
      <c r="AI1887" s="1" t="s">
        <v>647</v>
      </c>
      <c r="AJ1887" s="1" t="s">
        <v>3517</v>
      </c>
      <c r="AK1887" s="1" t="s">
        <v>712</v>
      </c>
      <c r="AL1887" s="1">
        <v>1.0</v>
      </c>
      <c r="AM1887" s="1">
        <v>2015.0</v>
      </c>
      <c r="AN1887" s="1">
        <v>2015.0</v>
      </c>
      <c r="AO1887" s="1" t="s">
        <v>713</v>
      </c>
    </row>
    <row r="1888">
      <c r="A1888" s="5">
        <v>1.0</v>
      </c>
      <c r="B1888" s="1">
        <f t="shared" si="1"/>
        <v>1888</v>
      </c>
      <c r="C1888" s="1" t="s">
        <v>3515</v>
      </c>
      <c r="D1888" s="1" t="s">
        <v>3515</v>
      </c>
      <c r="E1888" s="1" t="s">
        <v>645</v>
      </c>
      <c r="G1888" s="1">
        <v>4.64793056E8</v>
      </c>
      <c r="H1888" s="2">
        <v>41963.0</v>
      </c>
      <c r="I1888" s="1" t="s">
        <v>710</v>
      </c>
      <c r="K1888" s="1" t="s">
        <v>710</v>
      </c>
      <c r="N1888" s="1" t="s">
        <v>647</v>
      </c>
      <c r="O1888" s="1">
        <v>1200.0</v>
      </c>
      <c r="P1888" s="1" t="s">
        <v>647</v>
      </c>
      <c r="Q1888" s="1" t="str">
        <f>IF(ISERROR(VLOOKUP(P1888,'unique fed agency names'!A:C,3,FALSE)),P1888,VLOOKUP(P1888,'unique fed agency names'!A:C,3,FALSE))
</f>
        <v>U.S. Department of Agriculture (USDA)</v>
      </c>
      <c r="R1888" s="1">
        <v>9.65349769E8</v>
      </c>
      <c r="S1888" s="1" t="s">
        <v>465</v>
      </c>
      <c r="T1888" s="1" t="str">
        <f>IF(ISERROR(VLOOKUP(S1888,'unique org names'!A:C,3,FALSE)),S1888,VLOOKUP(S1888,'unique org names'!A:C,3,FALSE))
</f>
        <v>Public School Academies of Detroit</v>
      </c>
      <c r="U1888" s="1" t="s">
        <v>466</v>
      </c>
      <c r="V1888" s="1" t="s">
        <v>467</v>
      </c>
      <c r="W1888" s="1" t="s">
        <v>44</v>
      </c>
      <c r="X1888" s="1" t="s">
        <v>45</v>
      </c>
      <c r="Y1888" s="1">
        <v>4.8202322E8</v>
      </c>
      <c r="AA1888" s="1" t="s">
        <v>44</v>
      </c>
      <c r="AB1888" s="1" t="s">
        <v>45</v>
      </c>
      <c r="AC1888" s="1">
        <v>4.8202322E8</v>
      </c>
      <c r="AD1888" s="1">
        <v>1.6338926E8</v>
      </c>
      <c r="AE1888" s="1" t="s">
        <v>465</v>
      </c>
      <c r="AF1888" s="1">
        <v>295032.6</v>
      </c>
      <c r="AG1888" s="2">
        <v>41963.0</v>
      </c>
      <c r="AH1888" s="1">
        <v>1200.0</v>
      </c>
      <c r="AI1888" s="1" t="s">
        <v>647</v>
      </c>
      <c r="AJ1888" s="1" t="s">
        <v>3518</v>
      </c>
      <c r="AK1888" s="1" t="s">
        <v>712</v>
      </c>
      <c r="AL1888" s="1">
        <v>1.0</v>
      </c>
      <c r="AM1888" s="1">
        <v>2015.0</v>
      </c>
      <c r="AN1888" s="1">
        <v>2015.0</v>
      </c>
      <c r="AO1888" s="1" t="s">
        <v>713</v>
      </c>
    </row>
    <row r="1889">
      <c r="A1889" s="5">
        <v>1.0</v>
      </c>
      <c r="B1889" s="1">
        <f t="shared" si="1"/>
        <v>1889</v>
      </c>
      <c r="C1889" s="1" t="s">
        <v>3515</v>
      </c>
      <c r="D1889" s="1" t="s">
        <v>3515</v>
      </c>
      <c r="E1889" s="1" t="s">
        <v>645</v>
      </c>
      <c r="G1889" s="1">
        <v>4.64793056E8</v>
      </c>
      <c r="H1889" s="2">
        <v>41928.0</v>
      </c>
      <c r="I1889" s="1" t="s">
        <v>710</v>
      </c>
      <c r="K1889" s="1" t="s">
        <v>710</v>
      </c>
      <c r="N1889" s="1" t="s">
        <v>647</v>
      </c>
      <c r="O1889" s="1">
        <v>1200.0</v>
      </c>
      <c r="P1889" s="1" t="s">
        <v>647</v>
      </c>
      <c r="Q1889" s="1" t="str">
        <f>IF(ISERROR(VLOOKUP(P1889,'unique fed agency names'!A:C,3,FALSE)),P1889,VLOOKUP(P1889,'unique fed agency names'!A:C,3,FALSE))
</f>
        <v>U.S. Department of Agriculture (USDA)</v>
      </c>
      <c r="R1889" s="1">
        <v>9.62949843E8</v>
      </c>
      <c r="S1889" s="1" t="s">
        <v>619</v>
      </c>
      <c r="T1889" s="1" t="str">
        <f>IF(ISERROR(VLOOKUP(S1889,'unique org names'!A:C,3,FALSE)),S1889,VLOOKUP(S1889,'unique org names'!A:C,3,FALSE))
</f>
        <v>ALLEN ACADEMY</v>
      </c>
      <c r="V1889" s="1" t="s">
        <v>620</v>
      </c>
      <c r="W1889" s="1" t="s">
        <v>44</v>
      </c>
      <c r="X1889" s="1" t="s">
        <v>45</v>
      </c>
      <c r="Y1889" s="1">
        <v>4.82042306E8</v>
      </c>
      <c r="AA1889" s="1" t="s">
        <v>44</v>
      </c>
      <c r="AB1889" s="1" t="s">
        <v>45</v>
      </c>
      <c r="AC1889" s="1">
        <v>4.82042306E8</v>
      </c>
      <c r="AD1889" s="1">
        <v>1.085946E7</v>
      </c>
      <c r="AE1889" s="1" t="s">
        <v>3519</v>
      </c>
      <c r="AF1889" s="1">
        <v>38245.66</v>
      </c>
      <c r="AG1889" s="2">
        <v>41928.0</v>
      </c>
      <c r="AH1889" s="1">
        <v>1200.0</v>
      </c>
      <c r="AI1889" s="1" t="s">
        <v>647</v>
      </c>
      <c r="AJ1889" s="1" t="s">
        <v>3520</v>
      </c>
      <c r="AK1889" s="1" t="s">
        <v>712</v>
      </c>
      <c r="AL1889" s="1">
        <v>1.0</v>
      </c>
      <c r="AM1889" s="1">
        <v>2015.0</v>
      </c>
      <c r="AN1889" s="1">
        <v>2015.0</v>
      </c>
      <c r="AO1889" s="1" t="s">
        <v>713</v>
      </c>
    </row>
    <row r="1890">
      <c r="A1890" s="5">
        <v>1.0</v>
      </c>
      <c r="B1890" s="1">
        <f t="shared" si="1"/>
        <v>1890</v>
      </c>
      <c r="C1890" s="1" t="s">
        <v>3515</v>
      </c>
      <c r="D1890" s="1" t="s">
        <v>3515</v>
      </c>
      <c r="E1890" s="1" t="s">
        <v>645</v>
      </c>
      <c r="G1890" s="1">
        <v>4.64793056E8</v>
      </c>
      <c r="H1890" s="2">
        <v>41977.0</v>
      </c>
      <c r="I1890" s="1" t="s">
        <v>710</v>
      </c>
      <c r="K1890" s="1" t="s">
        <v>710</v>
      </c>
      <c r="N1890" s="1" t="s">
        <v>647</v>
      </c>
      <c r="O1890" s="1">
        <v>1200.0</v>
      </c>
      <c r="P1890" s="1" t="s">
        <v>647</v>
      </c>
      <c r="Q1890" s="1" t="str">
        <f>IF(ISERROR(VLOOKUP(P1890,'unique fed agency names'!A:C,3,FALSE)),P1890,VLOOKUP(P1890,'unique fed agency names'!A:C,3,FALSE))
</f>
        <v>U.S. Department of Agriculture (USDA)</v>
      </c>
      <c r="R1890" s="1">
        <v>9.63121426E8</v>
      </c>
      <c r="S1890" s="1" t="s">
        <v>490</v>
      </c>
      <c r="T1890" s="1" t="str">
        <f>IF(ISERROR(VLOOKUP(S1890,'unique org names'!A:C,3,FALSE)),S1890,VLOOKUP(S1890,'unique org names'!A:C,3,FALSE))
</f>
        <v>DETROIT LEADERSHIP ACADEMY</v>
      </c>
      <c r="U1890" s="1" t="s">
        <v>3521</v>
      </c>
      <c r="V1890" s="1" t="s">
        <v>491</v>
      </c>
      <c r="W1890" s="1" t="s">
        <v>44</v>
      </c>
      <c r="X1890" s="1" t="s">
        <v>45</v>
      </c>
      <c r="Y1890" s="1">
        <v>4.82233051E8</v>
      </c>
      <c r="AA1890" s="1" t="s">
        <v>46</v>
      </c>
      <c r="AB1890" s="1" t="s">
        <v>45</v>
      </c>
      <c r="AC1890" s="1">
        <v>4.82233051E8</v>
      </c>
      <c r="AD1890" s="1">
        <v>1.22499965E8</v>
      </c>
      <c r="AE1890" s="1" t="s">
        <v>3522</v>
      </c>
      <c r="AF1890" s="1">
        <v>198428.63</v>
      </c>
      <c r="AG1890" s="2">
        <v>41977.0</v>
      </c>
      <c r="AH1890" s="1">
        <v>1200.0</v>
      </c>
      <c r="AI1890" s="1" t="s">
        <v>647</v>
      </c>
      <c r="AJ1890" s="1" t="s">
        <v>3523</v>
      </c>
      <c r="AK1890" s="1" t="s">
        <v>712</v>
      </c>
      <c r="AL1890" s="1">
        <v>1.0</v>
      </c>
      <c r="AM1890" s="1">
        <v>2015.0</v>
      </c>
      <c r="AN1890" s="1">
        <v>2015.0</v>
      </c>
      <c r="AO1890" s="1" t="s">
        <v>713</v>
      </c>
    </row>
    <row r="1891">
      <c r="A1891" s="5">
        <v>1.0</v>
      </c>
      <c r="B1891" s="1">
        <f t="shared" si="1"/>
        <v>1891</v>
      </c>
      <c r="C1891" s="1" t="s">
        <v>3515</v>
      </c>
      <c r="D1891" s="1" t="s">
        <v>3515</v>
      </c>
      <c r="E1891" s="1" t="s">
        <v>645</v>
      </c>
      <c r="G1891" s="1">
        <v>4.64793056E8</v>
      </c>
      <c r="H1891" s="2">
        <v>41928.0</v>
      </c>
      <c r="I1891" s="1" t="s">
        <v>710</v>
      </c>
      <c r="K1891" s="1" t="s">
        <v>710</v>
      </c>
      <c r="N1891" s="1" t="s">
        <v>647</v>
      </c>
      <c r="O1891" s="1">
        <v>1200.0</v>
      </c>
      <c r="P1891" s="1" t="s">
        <v>647</v>
      </c>
      <c r="Q1891" s="1" t="str">
        <f>IF(ISERROR(VLOOKUP(P1891,'unique fed agency names'!A:C,3,FALSE)),P1891,VLOOKUP(P1891,'unique fed agency names'!A:C,3,FALSE))
</f>
        <v>U.S. Department of Agriculture (USDA)</v>
      </c>
      <c r="R1891" s="1">
        <v>9.62104118E8</v>
      </c>
      <c r="S1891" s="1" t="s">
        <v>634</v>
      </c>
      <c r="T1891" s="1" t="str">
        <f>IF(ISERROR(VLOOKUP(S1891,'unique org names'!A:C,3,FALSE)),S1891,VLOOKUP(S1891,'unique org names'!A:C,3,FALSE))
</f>
        <v>UNIVERSITY YES ACADEMY</v>
      </c>
      <c r="V1891" s="1" t="s">
        <v>635</v>
      </c>
      <c r="W1891" s="1" t="s">
        <v>44</v>
      </c>
      <c r="X1891" s="1" t="s">
        <v>45</v>
      </c>
      <c r="Y1891" s="1">
        <v>4.82351111E8</v>
      </c>
      <c r="AA1891" s="1" t="s">
        <v>46</v>
      </c>
      <c r="AB1891" s="1" t="s">
        <v>45</v>
      </c>
      <c r="AC1891" s="1">
        <v>4.82351111E8</v>
      </c>
      <c r="AD1891" s="1">
        <v>9.60742484E8</v>
      </c>
      <c r="AF1891" s="1">
        <v>115943.88</v>
      </c>
      <c r="AG1891" s="2">
        <v>41928.0</v>
      </c>
      <c r="AH1891" s="1">
        <v>1200.0</v>
      </c>
      <c r="AI1891" s="1" t="s">
        <v>647</v>
      </c>
      <c r="AJ1891" s="1" t="s">
        <v>3524</v>
      </c>
      <c r="AK1891" s="1" t="s">
        <v>712</v>
      </c>
      <c r="AL1891" s="1">
        <v>1.0</v>
      </c>
      <c r="AM1891" s="1">
        <v>2015.0</v>
      </c>
      <c r="AN1891" s="1">
        <v>2015.0</v>
      </c>
      <c r="AO1891" s="1" t="s">
        <v>713</v>
      </c>
    </row>
    <row r="1892">
      <c r="A1892" s="5">
        <v>1.0</v>
      </c>
      <c r="B1892" s="1">
        <f t="shared" si="1"/>
        <v>1892</v>
      </c>
      <c r="C1892" s="1" t="s">
        <v>3515</v>
      </c>
      <c r="D1892" s="1" t="s">
        <v>3515</v>
      </c>
      <c r="E1892" s="1" t="s">
        <v>645</v>
      </c>
      <c r="G1892" s="1">
        <v>4.64793056E8</v>
      </c>
      <c r="H1892" s="2">
        <v>41823.0</v>
      </c>
      <c r="I1892" s="1" t="s">
        <v>710</v>
      </c>
      <c r="K1892" s="1" t="s">
        <v>710</v>
      </c>
      <c r="N1892" s="1" t="s">
        <v>647</v>
      </c>
      <c r="O1892" s="1">
        <v>1200.0</v>
      </c>
      <c r="P1892" s="1" t="s">
        <v>647</v>
      </c>
      <c r="Q1892" s="1" t="str">
        <f>IF(ISERROR(VLOOKUP(P1892,'unique fed agency names'!A:C,3,FALSE)),P1892,VLOOKUP(P1892,'unique fed agency names'!A:C,3,FALSE))
</f>
        <v>U.S. Department of Agriculture (USDA)</v>
      </c>
      <c r="R1892" s="1">
        <v>9.48021373E8</v>
      </c>
      <c r="S1892" s="1" t="s">
        <v>501</v>
      </c>
      <c r="T1892" s="1" t="str">
        <f>IF(ISERROR(VLOOKUP(S1892,'unique org names'!A:C,3,FALSE)),S1892,VLOOKUP(S1892,'unique org names'!A:C,3,FALSE))
</f>
        <v>WOODWARD ACADEMY</v>
      </c>
      <c r="V1892" s="1" t="s">
        <v>502</v>
      </c>
      <c r="W1892" s="1" t="s">
        <v>44</v>
      </c>
      <c r="X1892" s="1" t="s">
        <v>45</v>
      </c>
      <c r="Y1892" s="1">
        <v>4.82072901E8</v>
      </c>
      <c r="AA1892" s="1" t="s">
        <v>44</v>
      </c>
      <c r="AB1892" s="1" t="s">
        <v>45</v>
      </c>
      <c r="AC1892" s="1">
        <v>4.82072901E8</v>
      </c>
      <c r="AD1892" s="1">
        <v>7.8416724E7</v>
      </c>
      <c r="AE1892" s="1" t="s">
        <v>3525</v>
      </c>
      <c r="AF1892" s="1">
        <v>38535.36</v>
      </c>
      <c r="AG1892" s="2">
        <v>41823.0</v>
      </c>
      <c r="AH1892" s="1">
        <v>1200.0</v>
      </c>
      <c r="AI1892" s="1" t="s">
        <v>647</v>
      </c>
      <c r="AJ1892" s="1" t="s">
        <v>3526</v>
      </c>
      <c r="AK1892" s="1" t="s">
        <v>712</v>
      </c>
      <c r="AL1892" s="1">
        <v>1.0</v>
      </c>
      <c r="AM1892" s="1">
        <v>2015.0</v>
      </c>
      <c r="AN1892" s="1">
        <v>2014.0</v>
      </c>
      <c r="AO1892" s="1" t="s">
        <v>713</v>
      </c>
    </row>
    <row r="1893">
      <c r="A1893" s="5">
        <v>1.0</v>
      </c>
      <c r="B1893" s="1">
        <f t="shared" si="1"/>
        <v>1893</v>
      </c>
      <c r="C1893" s="1" t="s">
        <v>3515</v>
      </c>
      <c r="D1893" s="1" t="s">
        <v>3515</v>
      </c>
      <c r="E1893" s="1" t="s">
        <v>645</v>
      </c>
      <c r="G1893" s="1">
        <v>4.64793056E8</v>
      </c>
      <c r="H1893" s="2">
        <v>41907.0</v>
      </c>
      <c r="I1893" s="1" t="s">
        <v>710</v>
      </c>
      <c r="K1893" s="1" t="s">
        <v>710</v>
      </c>
      <c r="N1893" s="1" t="s">
        <v>647</v>
      </c>
      <c r="O1893" s="1">
        <v>1200.0</v>
      </c>
      <c r="P1893" s="1" t="s">
        <v>647</v>
      </c>
      <c r="Q1893" s="1" t="str">
        <f>IF(ISERROR(VLOOKUP(P1893,'unique fed agency names'!A:C,3,FALSE)),P1893,VLOOKUP(P1893,'unique fed agency names'!A:C,3,FALSE))
</f>
        <v>U.S. Department of Agriculture (USDA)</v>
      </c>
      <c r="R1893" s="1">
        <v>3.9866801E7</v>
      </c>
      <c r="S1893" s="1" t="s">
        <v>612</v>
      </c>
      <c r="T1893" s="1" t="str">
        <f>IF(ISERROR(VLOOKUP(S1893,'unique org names'!A:C,3,FALSE)),S1893,VLOOKUP(S1893,'unique org names'!A:C,3,FALSE))
</f>
        <v>HAMTRAMCK PUBLIC SCHOOLS</v>
      </c>
      <c r="V1893" s="1" t="s">
        <v>613</v>
      </c>
      <c r="W1893" s="1" t="s">
        <v>44</v>
      </c>
      <c r="X1893" s="1" t="s">
        <v>45</v>
      </c>
      <c r="Y1893" s="1">
        <v>4.8212E8</v>
      </c>
      <c r="AA1893" s="1" t="s">
        <v>607</v>
      </c>
      <c r="AB1893" s="1" t="s">
        <v>45</v>
      </c>
      <c r="AC1893" s="1">
        <v>4.82120012E8</v>
      </c>
      <c r="AD1893" s="1">
        <v>3.9866801E7</v>
      </c>
      <c r="AE1893" s="1" t="s">
        <v>612</v>
      </c>
      <c r="AF1893" s="1">
        <v>40587.92</v>
      </c>
      <c r="AG1893" s="2">
        <v>41907.0</v>
      </c>
      <c r="AH1893" s="1">
        <v>1200.0</v>
      </c>
      <c r="AI1893" s="1" t="s">
        <v>647</v>
      </c>
      <c r="AJ1893" s="1" t="s">
        <v>3527</v>
      </c>
      <c r="AK1893" s="1" t="s">
        <v>712</v>
      </c>
      <c r="AL1893" s="1">
        <v>1.0</v>
      </c>
      <c r="AM1893" s="1">
        <v>2015.0</v>
      </c>
      <c r="AN1893" s="1">
        <v>2014.0</v>
      </c>
      <c r="AO1893" s="1" t="s">
        <v>713</v>
      </c>
    </row>
    <row r="1894">
      <c r="A1894" s="5">
        <v>1.0</v>
      </c>
      <c r="B1894" s="1">
        <f t="shared" si="1"/>
        <v>1894</v>
      </c>
      <c r="C1894" s="1" t="s">
        <v>3472</v>
      </c>
      <c r="D1894" s="1" t="s">
        <v>3472</v>
      </c>
      <c r="E1894" s="1" t="s">
        <v>194</v>
      </c>
      <c r="G1894" s="1">
        <v>8.9168336E7</v>
      </c>
      <c r="H1894" s="2">
        <v>41953.0</v>
      </c>
      <c r="I1894" s="1" t="s">
        <v>458</v>
      </c>
      <c r="K1894" s="1" t="s">
        <v>458</v>
      </c>
      <c r="N1894" s="1" t="s">
        <v>194</v>
      </c>
      <c r="O1894" s="1">
        <v>9100.0</v>
      </c>
      <c r="P1894" s="1" t="s">
        <v>194</v>
      </c>
      <c r="Q1894" s="1" t="str">
        <f>IF(ISERROR(VLOOKUP(P1894,'unique fed agency names'!A:C,3,FALSE)),P1894,VLOOKUP(P1894,'unique fed agency names'!A:C,3,FALSE))
</f>
        <v>U.S. Department of Education (ED)</v>
      </c>
      <c r="R1894" s="1">
        <v>3790107.0</v>
      </c>
      <c r="S1894" s="1" t="s">
        <v>576</v>
      </c>
      <c r="T1894" s="1" t="str">
        <f>IF(ISERROR(VLOOKUP(S1894,'unique org names'!A:C,3,FALSE)),S1894,VLOOKUP(S1894,'unique org names'!A:C,3,FALSE))
</f>
        <v>MARVIN L. WINANS ACADEMY OF PERFORMING ARTS</v>
      </c>
      <c r="V1894" s="1" t="s">
        <v>577</v>
      </c>
      <c r="W1894" s="1" t="s">
        <v>44</v>
      </c>
      <c r="X1894" s="1" t="s">
        <v>45</v>
      </c>
      <c r="Y1894" s="1">
        <v>4.82343284E8</v>
      </c>
      <c r="AA1894" s="1" t="s">
        <v>44</v>
      </c>
      <c r="AB1894" s="1" t="s">
        <v>45</v>
      </c>
      <c r="AC1894" s="1">
        <v>4.82343284E8</v>
      </c>
      <c r="AD1894" s="1">
        <v>8.9966642E7</v>
      </c>
      <c r="AE1894" s="1" t="s">
        <v>3528</v>
      </c>
      <c r="AF1894" s="1">
        <v>40064.0</v>
      </c>
      <c r="AG1894" s="2">
        <v>41953.0</v>
      </c>
      <c r="AH1894" s="1">
        <v>9100.0</v>
      </c>
      <c r="AI1894" s="1" t="s">
        <v>194</v>
      </c>
      <c r="AJ1894" s="1" t="s">
        <v>3529</v>
      </c>
      <c r="AK1894" s="1" t="s">
        <v>463</v>
      </c>
      <c r="AL1894" s="1">
        <v>1.0</v>
      </c>
      <c r="AM1894" s="1">
        <v>2015.0</v>
      </c>
      <c r="AN1894" s="1">
        <v>2015.0</v>
      </c>
      <c r="AO1894" s="1" t="s">
        <v>277</v>
      </c>
    </row>
    <row r="1895">
      <c r="A1895" s="5">
        <v>1.0</v>
      </c>
      <c r="B1895" s="1">
        <f t="shared" si="1"/>
        <v>1895</v>
      </c>
      <c r="C1895" s="1" t="s">
        <v>3472</v>
      </c>
      <c r="D1895" s="1" t="s">
        <v>3472</v>
      </c>
      <c r="E1895" s="1" t="s">
        <v>194</v>
      </c>
      <c r="G1895" s="1">
        <v>8.9168336E7</v>
      </c>
      <c r="H1895" s="2">
        <v>41897.0</v>
      </c>
      <c r="I1895" s="1" t="s">
        <v>458</v>
      </c>
      <c r="K1895" s="1" t="s">
        <v>458</v>
      </c>
      <c r="N1895" s="1" t="s">
        <v>194</v>
      </c>
      <c r="O1895" s="1">
        <v>9100.0</v>
      </c>
      <c r="P1895" s="1" t="s">
        <v>194</v>
      </c>
      <c r="Q1895" s="1" t="str">
        <f>IF(ISERROR(VLOOKUP(P1895,'unique fed agency names'!A:C,3,FALSE)),P1895,VLOOKUP(P1895,'unique fed agency names'!A:C,3,FALSE))
</f>
        <v>U.S. Department of Education (ED)</v>
      </c>
      <c r="R1895" s="1">
        <v>7.8577051E7</v>
      </c>
      <c r="S1895" s="1" t="s">
        <v>1680</v>
      </c>
      <c r="T1895" s="1" t="str">
        <f>IF(ISERROR(VLOOKUP(S1895,'unique org names'!A:C,3,FALSE)),S1895,VLOOKUP(S1895,'unique org names'!A:C,3,FALSE))
</f>
        <v>International Preparatory Academy</v>
      </c>
      <c r="V1895" s="1" t="s">
        <v>1681</v>
      </c>
      <c r="W1895" s="1" t="s">
        <v>44</v>
      </c>
      <c r="X1895" s="1" t="s">
        <v>45</v>
      </c>
      <c r="Y1895" s="1">
        <v>4.82211457E8</v>
      </c>
      <c r="AA1895" s="1" t="s">
        <v>46</v>
      </c>
      <c r="AB1895" s="1" t="s">
        <v>45</v>
      </c>
      <c r="AC1895" s="1">
        <v>4.82211457E8</v>
      </c>
      <c r="AF1895" s="1">
        <v>56117.0</v>
      </c>
      <c r="AG1895" s="2">
        <v>41897.0</v>
      </c>
      <c r="AH1895" s="1">
        <v>9100.0</v>
      </c>
      <c r="AI1895" s="1" t="s">
        <v>194</v>
      </c>
      <c r="AJ1895" s="1" t="s">
        <v>3530</v>
      </c>
      <c r="AK1895" s="1" t="s">
        <v>463</v>
      </c>
      <c r="AL1895" s="1">
        <v>1.0</v>
      </c>
      <c r="AM1895" s="1">
        <v>2015.0</v>
      </c>
      <c r="AN1895" s="1">
        <v>2014.0</v>
      </c>
      <c r="AO1895" s="1" t="s">
        <v>277</v>
      </c>
    </row>
    <row r="1896">
      <c r="A1896" s="5">
        <v>1.0</v>
      </c>
      <c r="B1896" s="1">
        <f t="shared" si="1"/>
        <v>1896</v>
      </c>
      <c r="C1896" s="1" t="s">
        <v>3515</v>
      </c>
      <c r="D1896" s="1" t="s">
        <v>3515</v>
      </c>
      <c r="E1896" s="1" t="s">
        <v>645</v>
      </c>
      <c r="G1896" s="1">
        <v>4.64793056E8</v>
      </c>
      <c r="H1896" s="2">
        <v>41921.0</v>
      </c>
      <c r="I1896" s="1" t="s">
        <v>710</v>
      </c>
      <c r="K1896" s="1" t="s">
        <v>710</v>
      </c>
      <c r="N1896" s="1" t="s">
        <v>647</v>
      </c>
      <c r="O1896" s="1">
        <v>1200.0</v>
      </c>
      <c r="P1896" s="1" t="s">
        <v>647</v>
      </c>
      <c r="Q1896" s="1" t="str">
        <f>IF(ISERROR(VLOOKUP(P1896,'unique fed agency names'!A:C,3,FALSE)),P1896,VLOOKUP(P1896,'unique fed agency names'!A:C,3,FALSE))
</f>
        <v>U.S. Department of Agriculture (USDA)</v>
      </c>
      <c r="R1896" s="1">
        <v>9.32004737E8</v>
      </c>
      <c r="S1896" s="1" t="s">
        <v>3531</v>
      </c>
      <c r="T1896" s="1" t="str">
        <f>IF(ISERROR(VLOOKUP(S1896,'unique org names'!A:C,3,FALSE)),S1896,VLOOKUP(S1896,'unique org names'!A:C,3,FALSE))
</f>
        <v>John Evans Montessori Academy, Inc.</v>
      </c>
      <c r="U1896" s="1" t="s">
        <v>3532</v>
      </c>
      <c r="V1896" s="1" t="s">
        <v>3533</v>
      </c>
      <c r="W1896" s="1" t="s">
        <v>44</v>
      </c>
      <c r="X1896" s="1" t="s">
        <v>45</v>
      </c>
      <c r="Y1896" s="1">
        <v>4.82021047E8</v>
      </c>
      <c r="AA1896" s="1" t="s">
        <v>44</v>
      </c>
      <c r="AB1896" s="1" t="s">
        <v>45</v>
      </c>
      <c r="AC1896" s="1">
        <v>4.8221285E8</v>
      </c>
      <c r="AD1896" s="1">
        <v>8.5899011E7</v>
      </c>
      <c r="AE1896" s="1" t="s">
        <v>3534</v>
      </c>
      <c r="AF1896" s="1">
        <v>88245.8</v>
      </c>
      <c r="AG1896" s="2">
        <v>41921.0</v>
      </c>
      <c r="AH1896" s="1">
        <v>1200.0</v>
      </c>
      <c r="AI1896" s="1" t="s">
        <v>647</v>
      </c>
      <c r="AJ1896" s="1" t="s">
        <v>3535</v>
      </c>
      <c r="AK1896" s="1" t="s">
        <v>712</v>
      </c>
      <c r="AL1896" s="1">
        <v>1.0</v>
      </c>
      <c r="AM1896" s="1">
        <v>2015.0</v>
      </c>
      <c r="AN1896" s="1">
        <v>2015.0</v>
      </c>
      <c r="AO1896" s="1" t="s">
        <v>713</v>
      </c>
    </row>
    <row r="1897">
      <c r="A1897" s="5">
        <v>1.0</v>
      </c>
      <c r="B1897" s="1">
        <f t="shared" si="1"/>
        <v>1897</v>
      </c>
      <c r="C1897" s="1" t="s">
        <v>3472</v>
      </c>
      <c r="D1897" s="1" t="s">
        <v>3472</v>
      </c>
      <c r="E1897" s="1" t="s">
        <v>194</v>
      </c>
      <c r="G1897" s="1">
        <v>8.9168336E7</v>
      </c>
      <c r="H1897" s="2">
        <v>41915.0</v>
      </c>
      <c r="I1897" s="1" t="s">
        <v>458</v>
      </c>
      <c r="K1897" s="1" t="s">
        <v>458</v>
      </c>
      <c r="N1897" s="1" t="s">
        <v>194</v>
      </c>
      <c r="O1897" s="1">
        <v>9100.0</v>
      </c>
      <c r="P1897" s="1" t="s">
        <v>194</v>
      </c>
      <c r="Q1897" s="1" t="str">
        <f>IF(ISERROR(VLOOKUP(P1897,'unique fed agency names'!A:C,3,FALSE)),P1897,VLOOKUP(P1897,'unique fed agency names'!A:C,3,FALSE))
</f>
        <v>U.S. Department of Education (ED)</v>
      </c>
      <c r="R1897" s="1">
        <v>4.2136734E7</v>
      </c>
      <c r="S1897" s="1" t="s">
        <v>557</v>
      </c>
      <c r="T1897" s="1" t="str">
        <f>IF(ISERROR(VLOOKUP(S1897,'unique org names'!A:C,3,FALSE)),S1897,VLOOKUP(S1897,'unique org names'!A:C,3,FALSE))
</f>
        <v>GEORGE CROCKETT ACADEMY</v>
      </c>
      <c r="U1897" s="1" t="s">
        <v>3536</v>
      </c>
      <c r="V1897" s="1" t="s">
        <v>558</v>
      </c>
      <c r="W1897" s="1" t="s">
        <v>44</v>
      </c>
      <c r="X1897" s="1" t="s">
        <v>45</v>
      </c>
      <c r="Y1897" s="1">
        <v>4.82082204E8</v>
      </c>
      <c r="AA1897" s="1" t="s">
        <v>44</v>
      </c>
      <c r="AB1897" s="1" t="s">
        <v>45</v>
      </c>
      <c r="AC1897" s="1">
        <v>4.82082204E8</v>
      </c>
      <c r="AD1897" s="1">
        <v>1.00036128E8</v>
      </c>
      <c r="AE1897" s="1" t="s">
        <v>3537</v>
      </c>
      <c r="AF1897" s="1">
        <v>33883.0</v>
      </c>
      <c r="AG1897" s="2">
        <v>41915.0</v>
      </c>
      <c r="AH1897" s="1">
        <v>9100.0</v>
      </c>
      <c r="AI1897" s="1" t="s">
        <v>194</v>
      </c>
      <c r="AJ1897" s="1" t="s">
        <v>3538</v>
      </c>
      <c r="AK1897" s="1" t="s">
        <v>463</v>
      </c>
      <c r="AL1897" s="1">
        <v>1.0</v>
      </c>
      <c r="AM1897" s="1">
        <v>2015.0</v>
      </c>
      <c r="AN1897" s="1">
        <v>2015.0</v>
      </c>
      <c r="AO1897" s="1" t="s">
        <v>277</v>
      </c>
    </row>
    <row r="1898">
      <c r="A1898" s="5">
        <v>1.0</v>
      </c>
      <c r="B1898" s="1">
        <f t="shared" si="1"/>
        <v>1898</v>
      </c>
      <c r="C1898" s="1" t="s">
        <v>3515</v>
      </c>
      <c r="D1898" s="1" t="s">
        <v>3515</v>
      </c>
      <c r="E1898" s="1" t="s">
        <v>645</v>
      </c>
      <c r="G1898" s="1">
        <v>4.64793056E8</v>
      </c>
      <c r="H1898" s="2">
        <v>41928.0</v>
      </c>
      <c r="I1898" s="1" t="s">
        <v>710</v>
      </c>
      <c r="K1898" s="1" t="s">
        <v>710</v>
      </c>
      <c r="N1898" s="1" t="s">
        <v>647</v>
      </c>
      <c r="O1898" s="1">
        <v>1200.0</v>
      </c>
      <c r="P1898" s="1" t="s">
        <v>647</v>
      </c>
      <c r="Q1898" s="1" t="str">
        <f>IF(ISERROR(VLOOKUP(P1898,'unique fed agency names'!A:C,3,FALSE)),P1898,VLOOKUP(P1898,'unique fed agency names'!A:C,3,FALSE))
</f>
        <v>U.S. Department of Agriculture (USDA)</v>
      </c>
      <c r="R1898" s="1">
        <v>8.32093392E8</v>
      </c>
      <c r="S1898" s="1" t="s">
        <v>769</v>
      </c>
      <c r="T1898" s="1" t="str">
        <f>IF(ISERROR(VLOOKUP(S1898,'unique org names'!A:C,3,FALSE)),S1898,VLOOKUP(S1898,'unique org names'!A:C,3,FALSE))
</f>
        <v>MARTIN LUTHER KING, JR EDUCATION CENTER ACADEMY</v>
      </c>
      <c r="U1898" s="1" t="s">
        <v>3488</v>
      </c>
      <c r="V1898" s="1" t="s">
        <v>770</v>
      </c>
      <c r="W1898" s="1" t="s">
        <v>44</v>
      </c>
      <c r="X1898" s="1" t="s">
        <v>45</v>
      </c>
      <c r="Y1898" s="1">
        <v>4.82354205E8</v>
      </c>
      <c r="AA1898" s="1" t="s">
        <v>44</v>
      </c>
      <c r="AB1898" s="1" t="s">
        <v>45</v>
      </c>
      <c r="AC1898" s="1">
        <v>4.82354205E8</v>
      </c>
      <c r="AD1898" s="1">
        <v>1.00034214E8</v>
      </c>
      <c r="AE1898" s="1" t="s">
        <v>3489</v>
      </c>
      <c r="AF1898" s="1">
        <v>142504.75</v>
      </c>
      <c r="AG1898" s="2">
        <v>41928.0</v>
      </c>
      <c r="AH1898" s="1">
        <v>1200.0</v>
      </c>
      <c r="AI1898" s="1" t="s">
        <v>647</v>
      </c>
      <c r="AJ1898" s="1" t="s">
        <v>3539</v>
      </c>
      <c r="AK1898" s="1" t="s">
        <v>712</v>
      </c>
      <c r="AL1898" s="1">
        <v>1.0</v>
      </c>
      <c r="AM1898" s="1">
        <v>2015.0</v>
      </c>
      <c r="AN1898" s="1">
        <v>2015.0</v>
      </c>
      <c r="AO1898" s="1" t="s">
        <v>713</v>
      </c>
    </row>
    <row r="1899">
      <c r="A1899" s="5">
        <v>1.0</v>
      </c>
      <c r="B1899" s="1">
        <f t="shared" si="1"/>
        <v>1899</v>
      </c>
      <c r="C1899" s="1" t="s">
        <v>3515</v>
      </c>
      <c r="D1899" s="1" t="s">
        <v>3515</v>
      </c>
      <c r="E1899" s="1" t="s">
        <v>645</v>
      </c>
      <c r="G1899" s="1">
        <v>4.64793056E8</v>
      </c>
      <c r="H1899" s="2">
        <v>41921.0</v>
      </c>
      <c r="I1899" s="1" t="s">
        <v>710</v>
      </c>
      <c r="K1899" s="1" t="s">
        <v>710</v>
      </c>
      <c r="N1899" s="1" t="s">
        <v>647</v>
      </c>
      <c r="O1899" s="1">
        <v>1200.0</v>
      </c>
      <c r="P1899" s="1" t="s">
        <v>647</v>
      </c>
      <c r="Q1899" s="1" t="str">
        <f>IF(ISERROR(VLOOKUP(P1899,'unique fed agency names'!A:C,3,FALSE)),P1899,VLOOKUP(P1899,'unique fed agency names'!A:C,3,FALSE))
</f>
        <v>U.S. Department of Agriculture (USDA)</v>
      </c>
      <c r="R1899" s="1">
        <v>8.31014068E8</v>
      </c>
      <c r="S1899" s="1" t="s">
        <v>515</v>
      </c>
      <c r="T1899" s="1" t="str">
        <f>IF(ISERROR(VLOOKUP(S1899,'unique org names'!A:C,3,FALSE)),S1899,VLOOKUP(S1899,'unique org names'!A:C,3,FALSE))
</f>
        <v>DETROIT PREMIER ACADEMY</v>
      </c>
      <c r="U1899" s="1" t="s">
        <v>3503</v>
      </c>
      <c r="V1899" s="1" t="s">
        <v>516</v>
      </c>
      <c r="W1899" s="1" t="s">
        <v>44</v>
      </c>
      <c r="X1899" s="1" t="s">
        <v>45</v>
      </c>
      <c r="Y1899" s="1">
        <v>4.82283685E8</v>
      </c>
      <c r="AA1899" s="1" t="s">
        <v>46</v>
      </c>
      <c r="AB1899" s="1" t="s">
        <v>45</v>
      </c>
      <c r="AC1899" s="1">
        <v>4.82283685E8</v>
      </c>
      <c r="AD1899" s="1">
        <v>9.60742484E8</v>
      </c>
      <c r="AF1899" s="1">
        <v>175161.18</v>
      </c>
      <c r="AG1899" s="2">
        <v>41921.0</v>
      </c>
      <c r="AH1899" s="1">
        <v>1200.0</v>
      </c>
      <c r="AI1899" s="1" t="s">
        <v>647</v>
      </c>
      <c r="AJ1899" s="1" t="s">
        <v>3540</v>
      </c>
      <c r="AK1899" s="1" t="s">
        <v>712</v>
      </c>
      <c r="AL1899" s="1">
        <v>1.0</v>
      </c>
      <c r="AM1899" s="1">
        <v>2015.0</v>
      </c>
      <c r="AN1899" s="1">
        <v>2015.0</v>
      </c>
      <c r="AO1899" s="1" t="s">
        <v>713</v>
      </c>
    </row>
    <row r="1900">
      <c r="A1900" s="5">
        <v>1.0</v>
      </c>
      <c r="B1900" s="1">
        <f t="shared" si="1"/>
        <v>1900</v>
      </c>
      <c r="C1900" s="1" t="s">
        <v>3515</v>
      </c>
      <c r="D1900" s="1" t="s">
        <v>3515</v>
      </c>
      <c r="E1900" s="1" t="s">
        <v>645</v>
      </c>
      <c r="G1900" s="1">
        <v>4.64793056E8</v>
      </c>
      <c r="H1900" s="2">
        <v>41977.0</v>
      </c>
      <c r="I1900" s="1" t="s">
        <v>710</v>
      </c>
      <c r="K1900" s="1" t="s">
        <v>710</v>
      </c>
      <c r="N1900" s="1" t="s">
        <v>647</v>
      </c>
      <c r="O1900" s="1">
        <v>1200.0</v>
      </c>
      <c r="P1900" s="1" t="s">
        <v>647</v>
      </c>
      <c r="Q1900" s="1" t="str">
        <f>IF(ISERROR(VLOOKUP(P1900,'unique fed agency names'!A:C,3,FALSE)),P1900,VLOOKUP(P1900,'unique fed agency names'!A:C,3,FALSE))
</f>
        <v>U.S. Department of Agriculture (USDA)</v>
      </c>
      <c r="R1900" s="1">
        <v>8.3082572E8</v>
      </c>
      <c r="S1900" s="1" t="s">
        <v>465</v>
      </c>
      <c r="T1900" s="1" t="str">
        <f>IF(ISERROR(VLOOKUP(S1900,'unique org names'!A:C,3,FALSE)),S1900,VLOOKUP(S1900,'unique org names'!A:C,3,FALSE))
</f>
        <v>Public School Academies of Detroit</v>
      </c>
      <c r="U1900" s="1" t="s">
        <v>554</v>
      </c>
      <c r="V1900" s="1" t="s">
        <v>555</v>
      </c>
      <c r="W1900" s="1" t="s">
        <v>44</v>
      </c>
      <c r="X1900" s="1" t="s">
        <v>45</v>
      </c>
      <c r="Y1900" s="1">
        <v>4.82024061E8</v>
      </c>
      <c r="AA1900" s="1" t="s">
        <v>44</v>
      </c>
      <c r="AB1900" s="1" t="s">
        <v>45</v>
      </c>
      <c r="AC1900" s="1">
        <v>4.82023457E8</v>
      </c>
      <c r="AD1900" s="1">
        <v>1.6338926E8</v>
      </c>
      <c r="AE1900" s="1" t="s">
        <v>465</v>
      </c>
      <c r="AF1900" s="1">
        <v>233627.38</v>
      </c>
      <c r="AG1900" s="2">
        <v>41977.0</v>
      </c>
      <c r="AH1900" s="1">
        <v>1200.0</v>
      </c>
      <c r="AI1900" s="1" t="s">
        <v>647</v>
      </c>
      <c r="AJ1900" s="1" t="s">
        <v>3541</v>
      </c>
      <c r="AK1900" s="1" t="s">
        <v>712</v>
      </c>
      <c r="AL1900" s="1">
        <v>1.0</v>
      </c>
      <c r="AM1900" s="1">
        <v>2015.0</v>
      </c>
      <c r="AN1900" s="1">
        <v>2015.0</v>
      </c>
      <c r="AO1900" s="1" t="s">
        <v>713</v>
      </c>
    </row>
    <row r="1901">
      <c r="A1901" s="5">
        <v>1.0</v>
      </c>
      <c r="B1901" s="1">
        <f t="shared" si="1"/>
        <v>1901</v>
      </c>
      <c r="C1901" s="1" t="s">
        <v>3515</v>
      </c>
      <c r="D1901" s="1" t="s">
        <v>3515</v>
      </c>
      <c r="E1901" s="1" t="s">
        <v>645</v>
      </c>
      <c r="G1901" s="1">
        <v>4.64793056E8</v>
      </c>
      <c r="H1901" s="2">
        <v>41977.0</v>
      </c>
      <c r="I1901" s="1" t="s">
        <v>710</v>
      </c>
      <c r="K1901" s="1" t="s">
        <v>710</v>
      </c>
      <c r="N1901" s="1" t="s">
        <v>647</v>
      </c>
      <c r="O1901" s="1">
        <v>1200.0</v>
      </c>
      <c r="P1901" s="1" t="s">
        <v>647</v>
      </c>
      <c r="Q1901" s="1" t="str">
        <f>IF(ISERROR(VLOOKUP(P1901,'unique fed agency names'!A:C,3,FALSE)),P1901,VLOOKUP(P1901,'unique fed agency names'!A:C,3,FALSE))
</f>
        <v>U.S. Department of Agriculture (USDA)</v>
      </c>
      <c r="R1901" s="1">
        <v>8.29630537E8</v>
      </c>
      <c r="S1901" s="1" t="s">
        <v>531</v>
      </c>
      <c r="T1901" s="1" t="str">
        <f>IF(ISERROR(VLOOKUP(S1901,'unique org names'!A:C,3,FALSE)),S1901,VLOOKUP(S1901,'unique org names'!A:C,3,FALSE))
</f>
        <v>DETROIT SERVICE LEARNING ACADEMY</v>
      </c>
      <c r="U1901" s="1" t="s">
        <v>532</v>
      </c>
      <c r="V1901" s="1" t="s">
        <v>533</v>
      </c>
      <c r="W1901" s="1" t="s">
        <v>44</v>
      </c>
      <c r="X1901" s="1" t="s">
        <v>45</v>
      </c>
      <c r="Y1901" s="1">
        <v>4.8219181E8</v>
      </c>
      <c r="AA1901" s="1" t="s">
        <v>44</v>
      </c>
      <c r="AB1901" s="1" t="s">
        <v>45</v>
      </c>
      <c r="AC1901" s="1">
        <v>4.8219181E8</v>
      </c>
      <c r="AD1901" s="1">
        <v>4.0576886E7</v>
      </c>
      <c r="AE1901" s="1" t="s">
        <v>3542</v>
      </c>
      <c r="AF1901" s="1">
        <v>232349.42</v>
      </c>
      <c r="AG1901" s="2">
        <v>41977.0</v>
      </c>
      <c r="AH1901" s="1">
        <v>1200.0</v>
      </c>
      <c r="AI1901" s="1" t="s">
        <v>647</v>
      </c>
      <c r="AJ1901" s="1" t="s">
        <v>3543</v>
      </c>
      <c r="AK1901" s="1" t="s">
        <v>712</v>
      </c>
      <c r="AL1901" s="1">
        <v>1.0</v>
      </c>
      <c r="AM1901" s="1">
        <v>2015.0</v>
      </c>
      <c r="AN1901" s="1">
        <v>2015.0</v>
      </c>
      <c r="AO1901" s="1" t="s">
        <v>713</v>
      </c>
    </row>
    <row r="1902">
      <c r="A1902" s="5">
        <v>1.0</v>
      </c>
      <c r="B1902" s="1">
        <f t="shared" si="1"/>
        <v>1902</v>
      </c>
      <c r="C1902" s="1" t="s">
        <v>3515</v>
      </c>
      <c r="D1902" s="1" t="s">
        <v>3515</v>
      </c>
      <c r="E1902" s="1" t="s">
        <v>645</v>
      </c>
      <c r="G1902" s="1">
        <v>4.64793056E8</v>
      </c>
      <c r="H1902" s="2">
        <v>41919.0</v>
      </c>
      <c r="I1902" s="1" t="s">
        <v>710</v>
      </c>
      <c r="K1902" s="1" t="s">
        <v>710</v>
      </c>
      <c r="N1902" s="1" t="s">
        <v>647</v>
      </c>
      <c r="O1902" s="1">
        <v>1200.0</v>
      </c>
      <c r="P1902" s="1" t="s">
        <v>647</v>
      </c>
      <c r="Q1902" s="1" t="str">
        <f>IF(ISERROR(VLOOKUP(P1902,'unique fed agency names'!A:C,3,FALSE)),P1902,VLOOKUP(P1902,'unique fed agency names'!A:C,3,FALSE))
</f>
        <v>U.S. Department of Agriculture (USDA)</v>
      </c>
      <c r="R1902" s="1">
        <v>1.52892667E8</v>
      </c>
      <c r="S1902" s="1" t="s">
        <v>638</v>
      </c>
      <c r="T1902" s="1" t="str">
        <f>IF(ISERROR(VLOOKUP(S1902,'unique org names'!A:C,3,FALSE)),S1902,VLOOKUP(S1902,'unique org names'!A:C,3,FALSE))
</f>
        <v>DOVE ACADEMY OF DETROIT</v>
      </c>
      <c r="V1902" s="1" t="s">
        <v>639</v>
      </c>
      <c r="W1902" s="1" t="s">
        <v>44</v>
      </c>
      <c r="X1902" s="1" t="s">
        <v>45</v>
      </c>
      <c r="Y1902" s="1">
        <v>4.82343358E8</v>
      </c>
      <c r="AA1902" s="1" t="s">
        <v>46</v>
      </c>
      <c r="AB1902" s="1" t="s">
        <v>45</v>
      </c>
      <c r="AC1902" s="1">
        <v>4.8234E8</v>
      </c>
      <c r="AF1902" s="1">
        <v>166901.03</v>
      </c>
      <c r="AG1902" s="2">
        <v>41919.0</v>
      </c>
      <c r="AH1902" s="1">
        <v>1200.0</v>
      </c>
      <c r="AI1902" s="1" t="s">
        <v>647</v>
      </c>
      <c r="AJ1902" s="1" t="s">
        <v>3544</v>
      </c>
      <c r="AK1902" s="1" t="s">
        <v>712</v>
      </c>
      <c r="AL1902" s="1">
        <v>1.0</v>
      </c>
      <c r="AM1902" s="1">
        <v>2015.0</v>
      </c>
      <c r="AN1902" s="1">
        <v>2015.0</v>
      </c>
      <c r="AO1902" s="1" t="s">
        <v>713</v>
      </c>
    </row>
    <row r="1903">
      <c r="A1903" s="5">
        <v>1.0</v>
      </c>
      <c r="B1903" s="1">
        <f t="shared" si="1"/>
        <v>1903</v>
      </c>
      <c r="C1903" s="1" t="s">
        <v>3515</v>
      </c>
      <c r="D1903" s="1" t="s">
        <v>3515</v>
      </c>
      <c r="E1903" s="1" t="s">
        <v>645</v>
      </c>
      <c r="G1903" s="1">
        <v>4.64793056E8</v>
      </c>
      <c r="H1903" s="2">
        <v>41928.0</v>
      </c>
      <c r="I1903" s="1" t="s">
        <v>710</v>
      </c>
      <c r="K1903" s="1" t="s">
        <v>710</v>
      </c>
      <c r="N1903" s="1" t="s">
        <v>647</v>
      </c>
      <c r="O1903" s="1">
        <v>1200.0</v>
      </c>
      <c r="P1903" s="1" t="s">
        <v>647</v>
      </c>
      <c r="Q1903" s="1" t="str">
        <f>IF(ISERROR(VLOOKUP(P1903,'unique fed agency names'!A:C,3,FALSE)),P1903,VLOOKUP(P1903,'unique fed agency names'!A:C,3,FALSE))
</f>
        <v>U.S. Department of Agriculture (USDA)</v>
      </c>
      <c r="R1903" s="1">
        <v>8.25304442E8</v>
      </c>
      <c r="S1903" s="1" t="s">
        <v>829</v>
      </c>
      <c r="T1903" s="1" t="str">
        <f>IF(ISERROR(VLOOKUP(S1903,'unique org names'!A:C,3,FALSE)),S1903,VLOOKUP(S1903,'unique org names'!A:C,3,FALSE))
</f>
        <v>DAVID ELLIS ACADEMY</v>
      </c>
      <c r="V1903" s="1" t="s">
        <v>830</v>
      </c>
      <c r="W1903" s="1" t="s">
        <v>44</v>
      </c>
      <c r="X1903" s="1" t="s">
        <v>45</v>
      </c>
      <c r="Y1903" s="1">
        <v>4.82351762E8</v>
      </c>
      <c r="AA1903" s="1" t="s">
        <v>44</v>
      </c>
      <c r="AB1903" s="1" t="s">
        <v>45</v>
      </c>
      <c r="AC1903" s="1">
        <v>4.82351762E8</v>
      </c>
      <c r="AD1903" s="1">
        <v>7.6328541E7</v>
      </c>
      <c r="AE1903" s="1" t="s">
        <v>3545</v>
      </c>
      <c r="AF1903" s="1">
        <v>114795.41</v>
      </c>
      <c r="AG1903" s="2">
        <v>41928.0</v>
      </c>
      <c r="AH1903" s="1">
        <v>1200.0</v>
      </c>
      <c r="AI1903" s="1" t="s">
        <v>647</v>
      </c>
      <c r="AJ1903" s="1" t="s">
        <v>3546</v>
      </c>
      <c r="AK1903" s="1" t="s">
        <v>712</v>
      </c>
      <c r="AL1903" s="1">
        <v>1.0</v>
      </c>
      <c r="AM1903" s="1">
        <v>2015.0</v>
      </c>
      <c r="AN1903" s="1">
        <v>2015.0</v>
      </c>
      <c r="AO1903" s="1" t="s">
        <v>713</v>
      </c>
    </row>
    <row r="1904">
      <c r="A1904" s="5">
        <v>1.0</v>
      </c>
      <c r="B1904" s="1">
        <f t="shared" si="1"/>
        <v>1904</v>
      </c>
      <c r="C1904" s="1" t="s">
        <v>3515</v>
      </c>
      <c r="D1904" s="1" t="s">
        <v>3515</v>
      </c>
      <c r="E1904" s="1" t="s">
        <v>645</v>
      </c>
      <c r="G1904" s="1">
        <v>4.64793056E8</v>
      </c>
      <c r="H1904" s="2">
        <v>41956.0</v>
      </c>
      <c r="I1904" s="1" t="s">
        <v>710</v>
      </c>
      <c r="K1904" s="1" t="s">
        <v>710</v>
      </c>
      <c r="N1904" s="1" t="s">
        <v>647</v>
      </c>
      <c r="O1904" s="1">
        <v>1200.0</v>
      </c>
      <c r="P1904" s="1" t="s">
        <v>647</v>
      </c>
      <c r="Q1904" s="1" t="str">
        <f>IF(ISERROR(VLOOKUP(P1904,'unique fed agency names'!A:C,3,FALSE)),P1904,VLOOKUP(P1904,'unique fed agency names'!A:C,3,FALSE))
</f>
        <v>U.S. Department of Agriculture (USDA)</v>
      </c>
      <c r="R1904" s="1">
        <v>7.97531279E8</v>
      </c>
      <c r="S1904" s="1" t="s">
        <v>496</v>
      </c>
      <c r="T1904" s="1" t="str">
        <f>IF(ISERROR(VLOOKUP(S1904,'unique org names'!A:C,3,FALSE)),S1904,VLOOKUP(S1904,'unique org names'!A:C,3,FALSE))
</f>
        <v>BRIDGE ACADEMY</v>
      </c>
      <c r="V1904" s="1" t="s">
        <v>497</v>
      </c>
      <c r="W1904" s="1" t="s">
        <v>44</v>
      </c>
      <c r="X1904" s="1" t="s">
        <v>45</v>
      </c>
      <c r="Y1904" s="1">
        <v>4.82123323E8</v>
      </c>
      <c r="AA1904" s="1" t="s">
        <v>498</v>
      </c>
      <c r="AB1904" s="1" t="s">
        <v>45</v>
      </c>
      <c r="AC1904" s="1">
        <v>4.82123323E8</v>
      </c>
      <c r="AD1904" s="1">
        <v>2.0840815E7</v>
      </c>
      <c r="AE1904" s="1" t="s">
        <v>543</v>
      </c>
      <c r="AF1904" s="1">
        <v>132438.21</v>
      </c>
      <c r="AG1904" s="2">
        <v>41956.0</v>
      </c>
      <c r="AH1904" s="1">
        <v>1200.0</v>
      </c>
      <c r="AI1904" s="1" t="s">
        <v>647</v>
      </c>
      <c r="AJ1904" s="1" t="s">
        <v>3547</v>
      </c>
      <c r="AK1904" s="1" t="s">
        <v>712</v>
      </c>
      <c r="AL1904" s="1">
        <v>1.0</v>
      </c>
      <c r="AM1904" s="1">
        <v>2015.0</v>
      </c>
      <c r="AN1904" s="1">
        <v>2015.0</v>
      </c>
      <c r="AO1904" s="1" t="s">
        <v>713</v>
      </c>
    </row>
    <row r="1905">
      <c r="A1905" s="5">
        <v>1.0</v>
      </c>
      <c r="B1905" s="1">
        <f t="shared" si="1"/>
        <v>1905</v>
      </c>
      <c r="C1905" s="1" t="s">
        <v>3515</v>
      </c>
      <c r="D1905" s="1" t="s">
        <v>3515</v>
      </c>
      <c r="E1905" s="1" t="s">
        <v>645</v>
      </c>
      <c r="G1905" s="1">
        <v>4.64793056E8</v>
      </c>
      <c r="H1905" s="2">
        <v>41956.0</v>
      </c>
      <c r="I1905" s="1" t="s">
        <v>710</v>
      </c>
      <c r="K1905" s="1" t="s">
        <v>710</v>
      </c>
      <c r="N1905" s="1" t="s">
        <v>647</v>
      </c>
      <c r="O1905" s="1">
        <v>1200.0</v>
      </c>
      <c r="P1905" s="1" t="s">
        <v>647</v>
      </c>
      <c r="Q1905" s="1" t="str">
        <f>IF(ISERROR(VLOOKUP(P1905,'unique fed agency names'!A:C,3,FALSE)),P1905,VLOOKUP(P1905,'unique fed agency names'!A:C,3,FALSE))
</f>
        <v>U.S. Department of Agriculture (USDA)</v>
      </c>
      <c r="R1905" s="1">
        <v>7.97531295E8</v>
      </c>
      <c r="S1905" s="1" t="s">
        <v>582</v>
      </c>
      <c r="T1905" s="1" t="str">
        <f>IF(ISERROR(VLOOKUP(S1905,'unique org names'!A:C,3,FALSE)),S1905,VLOOKUP(S1905,'unique org names'!A:C,3,FALSE))
</f>
        <v>FRONTIER INTERNATIONAL ACADEMY, THE</v>
      </c>
      <c r="V1905" s="1" t="s">
        <v>583</v>
      </c>
      <c r="W1905" s="1" t="s">
        <v>44</v>
      </c>
      <c r="X1905" s="1" t="s">
        <v>45</v>
      </c>
      <c r="Y1905" s="1">
        <v>4.82123452E8</v>
      </c>
      <c r="AA1905" s="1" t="s">
        <v>44</v>
      </c>
      <c r="AB1905" s="1" t="s">
        <v>45</v>
      </c>
      <c r="AC1905" s="1">
        <v>4.82123452E8</v>
      </c>
      <c r="AF1905" s="1">
        <v>78808.19</v>
      </c>
      <c r="AG1905" s="2">
        <v>41956.0</v>
      </c>
      <c r="AH1905" s="1">
        <v>1200.0</v>
      </c>
      <c r="AI1905" s="1" t="s">
        <v>647</v>
      </c>
      <c r="AJ1905" s="1" t="s">
        <v>3548</v>
      </c>
      <c r="AK1905" s="1" t="s">
        <v>712</v>
      </c>
      <c r="AL1905" s="1">
        <v>1.0</v>
      </c>
      <c r="AM1905" s="1">
        <v>2015.0</v>
      </c>
      <c r="AN1905" s="1">
        <v>2015.0</v>
      </c>
      <c r="AO1905" s="1" t="s">
        <v>713</v>
      </c>
    </row>
    <row r="1906">
      <c r="A1906" s="5">
        <v>1.0</v>
      </c>
      <c r="B1906" s="1">
        <f t="shared" si="1"/>
        <v>1906</v>
      </c>
      <c r="C1906" s="1" t="s">
        <v>3515</v>
      </c>
      <c r="D1906" s="1" t="s">
        <v>3515</v>
      </c>
      <c r="E1906" s="1" t="s">
        <v>645</v>
      </c>
      <c r="G1906" s="1">
        <v>4.64793056E8</v>
      </c>
      <c r="H1906" s="2">
        <v>41928.0</v>
      </c>
      <c r="I1906" s="1" t="s">
        <v>710</v>
      </c>
      <c r="K1906" s="1" t="s">
        <v>710</v>
      </c>
      <c r="N1906" s="1" t="s">
        <v>647</v>
      </c>
      <c r="O1906" s="1">
        <v>1200.0</v>
      </c>
      <c r="P1906" s="1" t="s">
        <v>647</v>
      </c>
      <c r="Q1906" s="1" t="str">
        <f>IF(ISERROR(VLOOKUP(P1906,'unique fed agency names'!A:C,3,FALSE)),P1906,VLOOKUP(P1906,'unique fed agency names'!A:C,3,FALSE))
</f>
        <v>U.S. Department of Agriculture (USDA)</v>
      </c>
      <c r="R1906" s="1">
        <v>7.97527715E8</v>
      </c>
      <c r="S1906" s="1" t="s">
        <v>567</v>
      </c>
      <c r="T1906" s="1" t="str">
        <f>IF(ISERROR(VLOOKUP(S1906,'unique org names'!A:C,3,FALSE)),S1906,VLOOKUP(S1906,'unique org names'!A:C,3,FALSE))
</f>
        <v>HAMTRAMCK ACADEMY</v>
      </c>
      <c r="V1906" s="1" t="s">
        <v>568</v>
      </c>
      <c r="W1906" s="1" t="s">
        <v>44</v>
      </c>
      <c r="X1906" s="1" t="s">
        <v>45</v>
      </c>
      <c r="Y1906" s="1">
        <v>4.82123134E8</v>
      </c>
      <c r="AA1906" s="1" t="s">
        <v>498</v>
      </c>
      <c r="AB1906" s="1" t="s">
        <v>45</v>
      </c>
      <c r="AC1906" s="1">
        <v>4.82123134E8</v>
      </c>
      <c r="AD1906" s="1">
        <v>9.60742484E8</v>
      </c>
      <c r="AF1906" s="1">
        <v>213022.28</v>
      </c>
      <c r="AG1906" s="2">
        <v>41928.0</v>
      </c>
      <c r="AH1906" s="1">
        <v>1200.0</v>
      </c>
      <c r="AI1906" s="1" t="s">
        <v>647</v>
      </c>
      <c r="AJ1906" s="1" t="s">
        <v>3549</v>
      </c>
      <c r="AK1906" s="1" t="s">
        <v>712</v>
      </c>
      <c r="AL1906" s="1">
        <v>1.0</v>
      </c>
      <c r="AM1906" s="1">
        <v>2015.0</v>
      </c>
      <c r="AN1906" s="1">
        <v>2015.0</v>
      </c>
      <c r="AO1906" s="1" t="s">
        <v>713</v>
      </c>
    </row>
    <row r="1907">
      <c r="A1907" s="5">
        <v>1.0</v>
      </c>
      <c r="B1907" s="1">
        <f t="shared" si="1"/>
        <v>1907</v>
      </c>
      <c r="C1907" s="1" t="s">
        <v>3515</v>
      </c>
      <c r="D1907" s="1" t="s">
        <v>3515</v>
      </c>
      <c r="E1907" s="1" t="s">
        <v>645</v>
      </c>
      <c r="G1907" s="1">
        <v>4.64793056E8</v>
      </c>
      <c r="H1907" s="2">
        <v>41837.0</v>
      </c>
      <c r="I1907" s="1" t="s">
        <v>710</v>
      </c>
      <c r="K1907" s="1" t="s">
        <v>710</v>
      </c>
      <c r="N1907" s="1" t="s">
        <v>647</v>
      </c>
      <c r="O1907" s="1">
        <v>1200.0</v>
      </c>
      <c r="P1907" s="1" t="s">
        <v>647</v>
      </c>
      <c r="Q1907" s="1" t="str">
        <f>IF(ISERROR(VLOOKUP(P1907,'unique fed agency names'!A:C,3,FALSE)),P1907,VLOOKUP(P1907,'unique fed agency names'!A:C,3,FALSE))
</f>
        <v>U.S. Department of Agriculture (USDA)</v>
      </c>
      <c r="R1907" s="1">
        <v>7.94990296E8</v>
      </c>
      <c r="S1907" s="1" t="s">
        <v>601</v>
      </c>
      <c r="T1907" s="1" t="str">
        <f>IF(ISERROR(VLOOKUP(S1907,'unique org names'!A:C,3,FALSE)),S1907,VLOOKUP(S1907,'unique org names'!A:C,3,FALSE))
</f>
        <v>NORTHPOINTE ACADEMY</v>
      </c>
      <c r="V1907" s="1" t="s">
        <v>602</v>
      </c>
      <c r="W1907" s="1" t="s">
        <v>44</v>
      </c>
      <c r="X1907" s="1" t="s">
        <v>45</v>
      </c>
      <c r="Y1907" s="1">
        <v>4.82032827E8</v>
      </c>
      <c r="AA1907" s="1" t="s">
        <v>603</v>
      </c>
      <c r="AB1907" s="1" t="s">
        <v>45</v>
      </c>
      <c r="AC1907" s="1">
        <v>4.82032827E8</v>
      </c>
      <c r="AD1907" s="1">
        <v>8.5898757E7</v>
      </c>
      <c r="AE1907" s="1" t="s">
        <v>3550</v>
      </c>
      <c r="AF1907" s="1">
        <v>67984.8</v>
      </c>
      <c r="AG1907" s="2">
        <v>41837.0</v>
      </c>
      <c r="AH1907" s="1">
        <v>1200.0</v>
      </c>
      <c r="AI1907" s="1" t="s">
        <v>647</v>
      </c>
      <c r="AJ1907" s="1" t="s">
        <v>3551</v>
      </c>
      <c r="AK1907" s="1" t="s">
        <v>712</v>
      </c>
      <c r="AL1907" s="1">
        <v>1.0</v>
      </c>
      <c r="AM1907" s="1">
        <v>2015.0</v>
      </c>
      <c r="AN1907" s="1">
        <v>2014.0</v>
      </c>
      <c r="AO1907" s="1" t="s">
        <v>713</v>
      </c>
    </row>
    <row r="1908">
      <c r="A1908" s="5">
        <v>1.0</v>
      </c>
      <c r="B1908" s="1">
        <f t="shared" si="1"/>
        <v>1908</v>
      </c>
      <c r="C1908" s="1" t="s">
        <v>3515</v>
      </c>
      <c r="D1908" s="1" t="s">
        <v>3515</v>
      </c>
      <c r="E1908" s="1" t="s">
        <v>645</v>
      </c>
      <c r="G1908" s="1">
        <v>4.64793056E8</v>
      </c>
      <c r="H1908" s="2">
        <v>41935.0</v>
      </c>
      <c r="I1908" s="1" t="s">
        <v>710</v>
      </c>
      <c r="K1908" s="1" t="s">
        <v>710</v>
      </c>
      <c r="N1908" s="1" t="s">
        <v>647</v>
      </c>
      <c r="O1908" s="1">
        <v>1200.0</v>
      </c>
      <c r="P1908" s="1" t="s">
        <v>647</v>
      </c>
      <c r="Q1908" s="1" t="str">
        <f>IF(ISERROR(VLOOKUP(P1908,'unique fed agency names'!A:C,3,FALSE)),P1908,VLOOKUP(P1908,'unique fed agency names'!A:C,3,FALSE))
</f>
        <v>U.S. Department of Agriculture (USDA)</v>
      </c>
      <c r="R1908" s="1">
        <v>7.93697355E8</v>
      </c>
      <c r="S1908" s="1" t="s">
        <v>691</v>
      </c>
      <c r="T1908" s="1" t="str">
        <f>IF(ISERROR(VLOOKUP(S1908,'unique org names'!A:C,3,FALSE)),S1908,VLOOKUP(S1908,'unique org names'!A:C,3,FALSE))
</f>
        <v>OAKLAND INTERNATIONAL ACADEMY</v>
      </c>
      <c r="U1908" s="1" t="s">
        <v>1194</v>
      </c>
      <c r="V1908" s="1" t="s">
        <v>692</v>
      </c>
      <c r="W1908" s="1" t="s">
        <v>44</v>
      </c>
      <c r="X1908" s="1" t="s">
        <v>45</v>
      </c>
      <c r="Y1908" s="1">
        <v>4.82111554E8</v>
      </c>
      <c r="AA1908" s="1" t="s">
        <v>44</v>
      </c>
      <c r="AB1908" s="1" t="s">
        <v>45</v>
      </c>
      <c r="AC1908" s="1">
        <v>4.82111552E8</v>
      </c>
      <c r="AD1908" s="1">
        <v>5.1096188E7</v>
      </c>
      <c r="AE1908" s="1" t="s">
        <v>3552</v>
      </c>
      <c r="AF1908" s="1">
        <v>334449.01</v>
      </c>
      <c r="AG1908" s="2">
        <v>41935.0</v>
      </c>
      <c r="AH1908" s="1">
        <v>1200.0</v>
      </c>
      <c r="AI1908" s="1" t="s">
        <v>647</v>
      </c>
      <c r="AJ1908" s="1" t="s">
        <v>3553</v>
      </c>
      <c r="AK1908" s="1" t="s">
        <v>712</v>
      </c>
      <c r="AL1908" s="1">
        <v>1.0</v>
      </c>
      <c r="AM1908" s="1">
        <v>2015.0</v>
      </c>
      <c r="AN1908" s="1">
        <v>2015.0</v>
      </c>
      <c r="AO1908" s="1" t="s">
        <v>713</v>
      </c>
    </row>
    <row r="1909">
      <c r="A1909" s="5">
        <v>1.0</v>
      </c>
      <c r="B1909" s="1">
        <f t="shared" si="1"/>
        <v>1909</v>
      </c>
      <c r="C1909" s="1" t="s">
        <v>3515</v>
      </c>
      <c r="D1909" s="1" t="s">
        <v>3515</v>
      </c>
      <c r="E1909" s="1" t="s">
        <v>645</v>
      </c>
      <c r="G1909" s="1">
        <v>4.64793056E8</v>
      </c>
      <c r="H1909" s="2">
        <v>41928.0</v>
      </c>
      <c r="I1909" s="1" t="s">
        <v>710</v>
      </c>
      <c r="K1909" s="1" t="s">
        <v>710</v>
      </c>
      <c r="N1909" s="1" t="s">
        <v>647</v>
      </c>
      <c r="O1909" s="1">
        <v>1200.0</v>
      </c>
      <c r="P1909" s="1" t="s">
        <v>647</v>
      </c>
      <c r="Q1909" s="1" t="str">
        <f>IF(ISERROR(VLOOKUP(P1909,'unique fed agency names'!A:C,3,FALSE)),P1909,VLOOKUP(P1909,'unique fed agency names'!A:C,3,FALSE))
</f>
        <v>U.S. Department of Agriculture (USDA)</v>
      </c>
      <c r="R1909" s="1">
        <v>5.56265135E8</v>
      </c>
      <c r="S1909" s="1" t="s">
        <v>954</v>
      </c>
      <c r="T1909" s="1" t="str">
        <f>IF(ISERROR(VLOOKUP(S1909,'unique org names'!A:C,3,FALSE)),S1909,VLOOKUP(S1909,'unique org names'!A:C,3,FALSE))
</f>
        <v>Christios Child Care &amp; Academy</v>
      </c>
      <c r="U1909" s="1" t="s">
        <v>3415</v>
      </c>
      <c r="V1909" s="1" t="s">
        <v>955</v>
      </c>
      <c r="W1909" s="1" t="s">
        <v>44</v>
      </c>
      <c r="X1909" s="1" t="s">
        <v>45</v>
      </c>
      <c r="Y1909" s="1">
        <v>4.82192756E8</v>
      </c>
      <c r="AA1909" s="1" t="s">
        <v>44</v>
      </c>
      <c r="AB1909" s="1" t="s">
        <v>45</v>
      </c>
      <c r="AC1909" s="1">
        <v>4.82192756E8</v>
      </c>
      <c r="AD1909" s="1">
        <v>4.3603992E7</v>
      </c>
      <c r="AE1909" s="1" t="s">
        <v>3554</v>
      </c>
      <c r="AF1909" s="1">
        <v>46694.41</v>
      </c>
      <c r="AG1909" s="2">
        <v>41928.0</v>
      </c>
      <c r="AH1909" s="1">
        <v>1200.0</v>
      </c>
      <c r="AI1909" s="1" t="s">
        <v>647</v>
      </c>
      <c r="AJ1909" s="1" t="s">
        <v>3555</v>
      </c>
      <c r="AK1909" s="1" t="s">
        <v>712</v>
      </c>
      <c r="AL1909" s="1">
        <v>1.0</v>
      </c>
      <c r="AM1909" s="1">
        <v>2015.0</v>
      </c>
      <c r="AN1909" s="1">
        <v>2015.0</v>
      </c>
      <c r="AO1909" s="1" t="s">
        <v>713</v>
      </c>
    </row>
    <row r="1910">
      <c r="A1910" s="5">
        <v>1.0</v>
      </c>
      <c r="B1910" s="1">
        <f t="shared" si="1"/>
        <v>1910</v>
      </c>
      <c r="C1910" s="1" t="s">
        <v>3472</v>
      </c>
      <c r="D1910" s="1" t="s">
        <v>3472</v>
      </c>
      <c r="E1910" s="1" t="s">
        <v>194</v>
      </c>
      <c r="G1910" s="1">
        <v>8.9168336E7</v>
      </c>
      <c r="H1910" s="2">
        <v>41878.0</v>
      </c>
      <c r="I1910" s="1" t="s">
        <v>458</v>
      </c>
      <c r="K1910" s="1" t="s">
        <v>458</v>
      </c>
      <c r="N1910" s="1" t="s">
        <v>194</v>
      </c>
      <c r="O1910" s="1">
        <v>9100.0</v>
      </c>
      <c r="P1910" s="1" t="s">
        <v>194</v>
      </c>
      <c r="Q1910" s="1" t="str">
        <f>IF(ISERROR(VLOOKUP(P1910,'unique fed agency names'!A:C,3,FALSE)),P1910,VLOOKUP(P1910,'unique fed agency names'!A:C,3,FALSE))
</f>
        <v>U.S. Department of Education (ED)</v>
      </c>
      <c r="R1910" s="1">
        <v>9.62378779E8</v>
      </c>
      <c r="S1910" s="1" t="s">
        <v>478</v>
      </c>
      <c r="T1910" s="1" t="str">
        <f>IF(ISERROR(VLOOKUP(S1910,'unique org names'!A:C,3,FALSE)),S1910,VLOOKUP(S1910,'unique org names'!A:C,3,FALSE))
</f>
        <v>LEGACY CHARTER ACADEMY</v>
      </c>
      <c r="U1910" s="1" t="s">
        <v>3556</v>
      </c>
      <c r="V1910" s="1" t="s">
        <v>479</v>
      </c>
      <c r="W1910" s="1" t="s">
        <v>44</v>
      </c>
      <c r="X1910" s="1" t="s">
        <v>45</v>
      </c>
      <c r="Y1910" s="1">
        <v>4.82342225E8</v>
      </c>
      <c r="AA1910" s="1" t="s">
        <v>44</v>
      </c>
      <c r="AB1910" s="1" t="s">
        <v>45</v>
      </c>
      <c r="AC1910" s="1">
        <v>4.82342225E8</v>
      </c>
      <c r="AD1910" s="1">
        <v>4.0576886E7</v>
      </c>
      <c r="AE1910" s="1" t="s">
        <v>3542</v>
      </c>
      <c r="AF1910" s="1">
        <v>84331.0</v>
      </c>
      <c r="AG1910" s="2">
        <v>41878.0</v>
      </c>
      <c r="AH1910" s="1">
        <v>9100.0</v>
      </c>
      <c r="AI1910" s="1" t="s">
        <v>194</v>
      </c>
      <c r="AJ1910" s="1" t="s">
        <v>3557</v>
      </c>
      <c r="AK1910" s="1" t="s">
        <v>463</v>
      </c>
      <c r="AL1910" s="1">
        <v>1.0</v>
      </c>
      <c r="AM1910" s="1">
        <v>2015.0</v>
      </c>
      <c r="AN1910" s="1">
        <v>2014.0</v>
      </c>
      <c r="AO1910" s="1" t="s">
        <v>277</v>
      </c>
    </row>
    <row r="1911">
      <c r="A1911" s="5">
        <v>1.0</v>
      </c>
      <c r="B1911" s="1">
        <f t="shared" si="1"/>
        <v>1911</v>
      </c>
      <c r="C1911" s="1" t="s">
        <v>3472</v>
      </c>
      <c r="D1911" s="1" t="s">
        <v>3472</v>
      </c>
      <c r="E1911" s="1" t="s">
        <v>194</v>
      </c>
      <c r="G1911" s="1">
        <v>8.9168336E7</v>
      </c>
      <c r="H1911" s="2">
        <v>41878.0</v>
      </c>
      <c r="I1911" s="1" t="s">
        <v>458</v>
      </c>
      <c r="K1911" s="1" t="s">
        <v>458</v>
      </c>
      <c r="N1911" s="1" t="s">
        <v>194</v>
      </c>
      <c r="O1911" s="1">
        <v>9100.0</v>
      </c>
      <c r="P1911" s="1" t="s">
        <v>194</v>
      </c>
      <c r="Q1911" s="1" t="str">
        <f>IF(ISERROR(VLOOKUP(P1911,'unique fed agency names'!A:C,3,FALSE)),P1911,VLOOKUP(P1911,'unique fed agency names'!A:C,3,FALSE))
</f>
        <v>U.S. Department of Education (ED)</v>
      </c>
      <c r="R1911" s="1">
        <v>7.97527715E8</v>
      </c>
      <c r="S1911" s="1" t="s">
        <v>567</v>
      </c>
      <c r="T1911" s="1" t="str">
        <f>IF(ISERROR(VLOOKUP(S1911,'unique org names'!A:C,3,FALSE)),S1911,VLOOKUP(S1911,'unique org names'!A:C,3,FALSE))
</f>
        <v>HAMTRAMCK ACADEMY</v>
      </c>
      <c r="U1911" s="1" t="s">
        <v>3558</v>
      </c>
      <c r="V1911" s="1" t="s">
        <v>568</v>
      </c>
      <c r="W1911" s="1" t="s">
        <v>44</v>
      </c>
      <c r="X1911" s="1" t="s">
        <v>45</v>
      </c>
      <c r="Y1911" s="1">
        <v>4.82123134E8</v>
      </c>
      <c r="AA1911" s="1" t="s">
        <v>498</v>
      </c>
      <c r="AB1911" s="1" t="s">
        <v>45</v>
      </c>
      <c r="AC1911" s="1">
        <v>4.82123134E8</v>
      </c>
      <c r="AD1911" s="1">
        <v>9.60742484E8</v>
      </c>
      <c r="AF1911" s="1">
        <v>30301.0</v>
      </c>
      <c r="AG1911" s="2">
        <v>41878.0</v>
      </c>
      <c r="AH1911" s="1">
        <v>9100.0</v>
      </c>
      <c r="AI1911" s="1" t="s">
        <v>194</v>
      </c>
      <c r="AJ1911" s="1" t="s">
        <v>3559</v>
      </c>
      <c r="AK1911" s="1" t="s">
        <v>463</v>
      </c>
      <c r="AL1911" s="1">
        <v>1.0</v>
      </c>
      <c r="AM1911" s="1">
        <v>2015.0</v>
      </c>
      <c r="AN1911" s="1">
        <v>2014.0</v>
      </c>
      <c r="AO1911" s="1" t="s">
        <v>277</v>
      </c>
    </row>
    <row r="1912">
      <c r="A1912" s="5">
        <v>1.0</v>
      </c>
      <c r="B1912" s="1">
        <f t="shared" si="1"/>
        <v>1912</v>
      </c>
      <c r="C1912" s="1" t="s">
        <v>3472</v>
      </c>
      <c r="D1912" s="1" t="s">
        <v>3472</v>
      </c>
      <c r="E1912" s="1" t="s">
        <v>194</v>
      </c>
      <c r="G1912" s="1">
        <v>8.9168336E7</v>
      </c>
      <c r="H1912" s="2">
        <v>41878.0</v>
      </c>
      <c r="I1912" s="1" t="s">
        <v>458</v>
      </c>
      <c r="K1912" s="1" t="s">
        <v>458</v>
      </c>
      <c r="N1912" s="1" t="s">
        <v>194</v>
      </c>
      <c r="O1912" s="1">
        <v>9100.0</v>
      </c>
      <c r="P1912" s="1" t="s">
        <v>194</v>
      </c>
      <c r="Q1912" s="1" t="str">
        <f>IF(ISERROR(VLOOKUP(P1912,'unique fed agency names'!A:C,3,FALSE)),P1912,VLOOKUP(P1912,'unique fed agency names'!A:C,3,FALSE))
</f>
        <v>U.S. Department of Education (ED)</v>
      </c>
      <c r="R1912" s="1">
        <v>3.7602699E7</v>
      </c>
      <c r="S1912" s="1" t="s">
        <v>535</v>
      </c>
      <c r="T1912" s="1" t="str">
        <f>IF(ISERROR(VLOOKUP(S1912,'unique org names'!A:C,3,FALSE)),S1912,VLOOKUP(S1912,'unique org names'!A:C,3,FALSE))
</f>
        <v>REGENT PARK SCHOLARS CHARTER ACADEMY</v>
      </c>
      <c r="V1912" s="1" t="s">
        <v>536</v>
      </c>
      <c r="W1912" s="1" t="s">
        <v>44</v>
      </c>
      <c r="X1912" s="1" t="s">
        <v>45</v>
      </c>
      <c r="Y1912" s="1">
        <v>4.82052545E8</v>
      </c>
      <c r="AA1912" s="1" t="s">
        <v>46</v>
      </c>
      <c r="AB1912" s="1" t="s">
        <v>45</v>
      </c>
      <c r="AC1912" s="1">
        <v>4.82052545E8</v>
      </c>
      <c r="AD1912" s="1">
        <v>1.00036375E8</v>
      </c>
      <c r="AE1912" s="1" t="s">
        <v>471</v>
      </c>
      <c r="AF1912" s="1">
        <v>50355.0</v>
      </c>
      <c r="AG1912" s="2">
        <v>41878.0</v>
      </c>
      <c r="AH1912" s="1">
        <v>9100.0</v>
      </c>
      <c r="AI1912" s="1" t="s">
        <v>194</v>
      </c>
      <c r="AJ1912" s="1" t="s">
        <v>3560</v>
      </c>
      <c r="AK1912" s="1" t="s">
        <v>463</v>
      </c>
      <c r="AL1912" s="1">
        <v>1.0</v>
      </c>
      <c r="AM1912" s="1">
        <v>2015.0</v>
      </c>
      <c r="AN1912" s="1">
        <v>2014.0</v>
      </c>
      <c r="AO1912" s="1" t="s">
        <v>277</v>
      </c>
    </row>
    <row r="1913">
      <c r="A1913" s="5">
        <v>1.0</v>
      </c>
      <c r="B1913" s="1">
        <f t="shared" si="1"/>
        <v>1913</v>
      </c>
      <c r="C1913" s="1" t="s">
        <v>3515</v>
      </c>
      <c r="D1913" s="1" t="s">
        <v>3515</v>
      </c>
      <c r="E1913" s="1" t="s">
        <v>645</v>
      </c>
      <c r="G1913" s="1">
        <v>4.64793056E8</v>
      </c>
      <c r="H1913" s="2">
        <v>41921.0</v>
      </c>
      <c r="I1913" s="1" t="s">
        <v>710</v>
      </c>
      <c r="K1913" s="1" t="s">
        <v>710</v>
      </c>
      <c r="N1913" s="1" t="s">
        <v>647</v>
      </c>
      <c r="O1913" s="1">
        <v>1200.0</v>
      </c>
      <c r="P1913" s="1" t="s">
        <v>647</v>
      </c>
      <c r="Q1913" s="1" t="str">
        <f>IF(ISERROR(VLOOKUP(P1913,'unique fed agency names'!A:C,3,FALSE)),P1913,VLOOKUP(P1913,'unique fed agency names'!A:C,3,FALSE))
</f>
        <v>U.S. Department of Agriculture (USDA)</v>
      </c>
      <c r="R1913" s="1">
        <v>1.69760451E8</v>
      </c>
      <c r="S1913" s="1" t="s">
        <v>772</v>
      </c>
      <c r="T1913" s="1" t="str">
        <f>IF(ISERROR(VLOOKUP(S1913,'unique org names'!A:C,3,FALSE)),S1913,VLOOKUP(S1913,'unique org names'!A:C,3,FALSE))
</f>
        <v>GREATER CONCORD MISSIONARY BAPTIST CHURCH</v>
      </c>
      <c r="U1913" s="1" t="s">
        <v>3454</v>
      </c>
      <c r="V1913" s="1" t="s">
        <v>773</v>
      </c>
      <c r="W1913" s="1" t="s">
        <v>44</v>
      </c>
      <c r="X1913" s="1" t="s">
        <v>45</v>
      </c>
      <c r="Y1913" s="1">
        <v>4.82121788E8</v>
      </c>
      <c r="AA1913" s="1" t="s">
        <v>44</v>
      </c>
      <c r="AB1913" s="1" t="s">
        <v>45</v>
      </c>
      <c r="AC1913" s="1">
        <v>4.82121788E8</v>
      </c>
      <c r="AD1913" s="1">
        <v>3.9867106E7</v>
      </c>
      <c r="AE1913" s="1" t="s">
        <v>3455</v>
      </c>
      <c r="AF1913" s="1">
        <v>41514.85</v>
      </c>
      <c r="AG1913" s="2">
        <v>41921.0</v>
      </c>
      <c r="AH1913" s="1">
        <v>1200.0</v>
      </c>
      <c r="AI1913" s="1" t="s">
        <v>647</v>
      </c>
      <c r="AJ1913" s="1" t="s">
        <v>3561</v>
      </c>
      <c r="AK1913" s="1" t="s">
        <v>712</v>
      </c>
      <c r="AL1913" s="1">
        <v>1.0</v>
      </c>
      <c r="AM1913" s="1">
        <v>2015.0</v>
      </c>
      <c r="AN1913" s="1">
        <v>2015.0</v>
      </c>
      <c r="AO1913" s="1" t="s">
        <v>713</v>
      </c>
    </row>
    <row r="1914">
      <c r="A1914" s="5">
        <v>1.0</v>
      </c>
      <c r="B1914" s="1">
        <f t="shared" si="1"/>
        <v>1914</v>
      </c>
      <c r="C1914" s="1" t="s">
        <v>3515</v>
      </c>
      <c r="D1914" s="1" t="s">
        <v>3515</v>
      </c>
      <c r="E1914" s="1" t="s">
        <v>645</v>
      </c>
      <c r="G1914" s="1">
        <v>4.64793056E8</v>
      </c>
      <c r="H1914" s="2">
        <v>41921.0</v>
      </c>
      <c r="I1914" s="1" t="s">
        <v>710</v>
      </c>
      <c r="K1914" s="1" t="s">
        <v>710</v>
      </c>
      <c r="N1914" s="1" t="s">
        <v>647</v>
      </c>
      <c r="O1914" s="1">
        <v>1200.0</v>
      </c>
      <c r="P1914" s="1" t="s">
        <v>647</v>
      </c>
      <c r="Q1914" s="1" t="str">
        <f>IF(ISERROR(VLOOKUP(P1914,'unique fed agency names'!A:C,3,FALSE)),P1914,VLOOKUP(P1914,'unique fed agency names'!A:C,3,FALSE))
</f>
        <v>U.S. Department of Agriculture (USDA)</v>
      </c>
      <c r="R1914" s="1">
        <v>1.68568132E8</v>
      </c>
      <c r="S1914" s="1" t="s">
        <v>588</v>
      </c>
      <c r="T1914" s="1" t="str">
        <f>IF(ISERROR(VLOOKUP(S1914,'unique org names'!A:C,3,FALSE)),S1914,VLOOKUP(S1914,'unique org names'!A:C,3,FALSE))
</f>
        <v>DETROIT ENTERPRISE ACADEMY</v>
      </c>
      <c r="V1914" s="1" t="s">
        <v>589</v>
      </c>
      <c r="W1914" s="1" t="s">
        <v>44</v>
      </c>
      <c r="X1914" s="1" t="s">
        <v>45</v>
      </c>
      <c r="Y1914" s="1">
        <v>4.82143323E8</v>
      </c>
      <c r="AA1914" s="1" t="s">
        <v>44</v>
      </c>
      <c r="AB1914" s="1" t="s">
        <v>45</v>
      </c>
      <c r="AC1914" s="1">
        <v>4.82143323E8</v>
      </c>
      <c r="AD1914" s="1">
        <v>9.60742484E8</v>
      </c>
      <c r="AF1914" s="1">
        <v>174966.01</v>
      </c>
      <c r="AG1914" s="2">
        <v>41921.0</v>
      </c>
      <c r="AH1914" s="1">
        <v>1200.0</v>
      </c>
      <c r="AI1914" s="1" t="s">
        <v>647</v>
      </c>
      <c r="AJ1914" s="1" t="s">
        <v>3562</v>
      </c>
      <c r="AK1914" s="1" t="s">
        <v>712</v>
      </c>
      <c r="AL1914" s="1">
        <v>1.0</v>
      </c>
      <c r="AM1914" s="1">
        <v>2015.0</v>
      </c>
      <c r="AN1914" s="1">
        <v>2015.0</v>
      </c>
      <c r="AO1914" s="1" t="s">
        <v>713</v>
      </c>
    </row>
    <row r="1915">
      <c r="A1915" s="5">
        <v>1.0</v>
      </c>
      <c r="B1915" s="1">
        <f t="shared" si="1"/>
        <v>1915</v>
      </c>
      <c r="C1915" s="1" t="s">
        <v>3515</v>
      </c>
      <c r="D1915" s="1" t="s">
        <v>3515</v>
      </c>
      <c r="E1915" s="1" t="s">
        <v>645</v>
      </c>
      <c r="G1915" s="1">
        <v>4.64793056E8</v>
      </c>
      <c r="H1915" s="2">
        <v>41977.0</v>
      </c>
      <c r="I1915" s="1" t="s">
        <v>710</v>
      </c>
      <c r="K1915" s="1" t="s">
        <v>710</v>
      </c>
      <c r="N1915" s="1" t="s">
        <v>647</v>
      </c>
      <c r="O1915" s="1">
        <v>1200.0</v>
      </c>
      <c r="P1915" s="1" t="s">
        <v>647</v>
      </c>
      <c r="Q1915" s="1" t="str">
        <f>IF(ISERROR(VLOOKUP(P1915,'unique fed agency names'!A:C,3,FALSE)),P1915,VLOOKUP(P1915,'unique fed agency names'!A:C,3,FALSE))
</f>
        <v>U.S. Department of Agriculture (USDA)</v>
      </c>
      <c r="R1915" s="1">
        <v>1.6338926E8</v>
      </c>
      <c r="S1915" s="1" t="s">
        <v>465</v>
      </c>
      <c r="T1915" s="1" t="str">
        <f>IF(ISERROR(VLOOKUP(S1915,'unique org names'!A:C,3,FALSE)),S1915,VLOOKUP(S1915,'unique org names'!A:C,3,FALSE))
</f>
        <v>Public School Academies of Detroit</v>
      </c>
      <c r="U1915" s="1" t="s">
        <v>598</v>
      </c>
      <c r="V1915" s="1" t="s">
        <v>599</v>
      </c>
      <c r="W1915" s="1" t="s">
        <v>44</v>
      </c>
      <c r="X1915" s="1" t="s">
        <v>45</v>
      </c>
      <c r="Y1915" s="1">
        <v>4.82023457E8</v>
      </c>
      <c r="AA1915" s="1" t="s">
        <v>44</v>
      </c>
      <c r="AB1915" s="1" t="s">
        <v>45</v>
      </c>
      <c r="AC1915" s="1">
        <v>4.82023457E8</v>
      </c>
      <c r="AD1915" s="1">
        <v>1.6338926E8</v>
      </c>
      <c r="AE1915" s="1" t="s">
        <v>465</v>
      </c>
      <c r="AF1915" s="1">
        <v>31141.13</v>
      </c>
      <c r="AG1915" s="2">
        <v>41977.0</v>
      </c>
      <c r="AH1915" s="1">
        <v>1200.0</v>
      </c>
      <c r="AI1915" s="1" t="s">
        <v>647</v>
      </c>
      <c r="AJ1915" s="1" t="s">
        <v>3563</v>
      </c>
      <c r="AK1915" s="1" t="s">
        <v>712</v>
      </c>
      <c r="AL1915" s="1">
        <v>1.0</v>
      </c>
      <c r="AM1915" s="1">
        <v>2015.0</v>
      </c>
      <c r="AN1915" s="1">
        <v>2015.0</v>
      </c>
      <c r="AO1915" s="1" t="s">
        <v>713</v>
      </c>
    </row>
    <row r="1916">
      <c r="A1916" s="5">
        <v>1.0</v>
      </c>
      <c r="B1916" s="1">
        <f t="shared" si="1"/>
        <v>1916</v>
      </c>
      <c r="C1916" s="1" t="s">
        <v>3515</v>
      </c>
      <c r="D1916" s="1" t="s">
        <v>3515</v>
      </c>
      <c r="E1916" s="1" t="s">
        <v>645</v>
      </c>
      <c r="G1916" s="1">
        <v>4.64793056E8</v>
      </c>
      <c r="H1916" s="2">
        <v>41942.0</v>
      </c>
      <c r="I1916" s="1" t="s">
        <v>710</v>
      </c>
      <c r="K1916" s="1" t="s">
        <v>710</v>
      </c>
      <c r="N1916" s="1" t="s">
        <v>647</v>
      </c>
      <c r="O1916" s="1">
        <v>1200.0</v>
      </c>
      <c r="P1916" s="1" t="s">
        <v>647</v>
      </c>
      <c r="Q1916" s="1" t="str">
        <f>IF(ISERROR(VLOOKUP(P1916,'unique fed agency names'!A:C,3,FALSE)),P1916,VLOOKUP(P1916,'unique fed agency names'!A:C,3,FALSE))
</f>
        <v>U.S. Department of Agriculture (USDA)</v>
      </c>
      <c r="R1916" s="1">
        <v>1.47777952E8</v>
      </c>
      <c r="S1916" s="1" t="s">
        <v>459</v>
      </c>
      <c r="T1916" s="1" t="str">
        <f>IF(ISERROR(VLOOKUP(S1916,'unique org names'!A:C,3,FALSE)),S1916,VLOOKUP(S1916,'unique org names'!A:C,3,FALSE))
</f>
        <v>DETROIT PUBLIC SCHOOLS</v>
      </c>
      <c r="U1916" s="1" t="s">
        <v>626</v>
      </c>
      <c r="V1916" s="1" t="s">
        <v>627</v>
      </c>
      <c r="W1916" s="1" t="s">
        <v>44</v>
      </c>
      <c r="X1916" s="1" t="s">
        <v>45</v>
      </c>
      <c r="Y1916" s="1">
        <v>4.82072112E8</v>
      </c>
      <c r="AA1916" s="1" t="s">
        <v>44</v>
      </c>
      <c r="AB1916" s="1" t="s">
        <v>45</v>
      </c>
      <c r="AC1916" s="1">
        <v>4.82072112E8</v>
      </c>
      <c r="AD1916" s="1">
        <v>7.6340843E7</v>
      </c>
      <c r="AE1916" s="1" t="s">
        <v>461</v>
      </c>
      <c r="AF1916" s="1">
        <v>218588.28</v>
      </c>
      <c r="AG1916" s="2">
        <v>41942.0</v>
      </c>
      <c r="AH1916" s="1">
        <v>1200.0</v>
      </c>
      <c r="AI1916" s="1" t="s">
        <v>647</v>
      </c>
      <c r="AJ1916" s="1" t="s">
        <v>3564</v>
      </c>
      <c r="AK1916" s="1" t="s">
        <v>712</v>
      </c>
      <c r="AL1916" s="1">
        <v>1.0</v>
      </c>
      <c r="AM1916" s="1">
        <v>2015.0</v>
      </c>
      <c r="AN1916" s="1">
        <v>2015.0</v>
      </c>
      <c r="AO1916" s="1" t="s">
        <v>713</v>
      </c>
    </row>
    <row r="1917">
      <c r="A1917" s="5">
        <v>1.0</v>
      </c>
      <c r="B1917" s="1">
        <f t="shared" si="1"/>
        <v>1917</v>
      </c>
      <c r="C1917" s="1" t="s">
        <v>3515</v>
      </c>
      <c r="D1917" s="1" t="s">
        <v>3515</v>
      </c>
      <c r="E1917" s="1" t="s">
        <v>645</v>
      </c>
      <c r="G1917" s="1">
        <v>4.64793056E8</v>
      </c>
      <c r="H1917" s="2">
        <v>41921.0</v>
      </c>
      <c r="I1917" s="1" t="s">
        <v>710</v>
      </c>
      <c r="K1917" s="1" t="s">
        <v>710</v>
      </c>
      <c r="N1917" s="1" t="s">
        <v>647</v>
      </c>
      <c r="O1917" s="1">
        <v>1200.0</v>
      </c>
      <c r="P1917" s="1" t="s">
        <v>647</v>
      </c>
      <c r="Q1917" s="1" t="str">
        <f>IF(ISERROR(VLOOKUP(P1917,'unique fed agency names'!A:C,3,FALSE)),P1917,VLOOKUP(P1917,'unique fed agency names'!A:C,3,FALSE))
</f>
        <v>U.S. Department of Agriculture (USDA)</v>
      </c>
      <c r="R1917" s="1">
        <v>1.38064923E8</v>
      </c>
      <c r="S1917" s="1" t="s">
        <v>585</v>
      </c>
      <c r="T1917" s="1" t="str">
        <f>IF(ISERROR(VLOOKUP(S1917,'unique org names'!A:C,3,FALSE)),S1917,VLOOKUP(S1917,'unique org names'!A:C,3,FALSE))
</f>
        <v>DETROIT MERIT CHARTER ACADEMY</v>
      </c>
      <c r="U1917" s="1" t="s">
        <v>2989</v>
      </c>
      <c r="V1917" s="1" t="s">
        <v>586</v>
      </c>
      <c r="W1917" s="1" t="s">
        <v>44</v>
      </c>
      <c r="X1917" s="1" t="s">
        <v>45</v>
      </c>
      <c r="Y1917" s="1">
        <v>4.82152861E8</v>
      </c>
      <c r="AA1917" s="1" t="s">
        <v>44</v>
      </c>
      <c r="AB1917" s="1" t="s">
        <v>45</v>
      </c>
      <c r="AC1917" s="1">
        <v>4.82152861E8</v>
      </c>
      <c r="AD1917" s="1">
        <v>9.60742484E8</v>
      </c>
      <c r="AF1917" s="1">
        <v>256677.27</v>
      </c>
      <c r="AG1917" s="2">
        <v>41921.0</v>
      </c>
      <c r="AH1917" s="1">
        <v>1200.0</v>
      </c>
      <c r="AI1917" s="1" t="s">
        <v>647</v>
      </c>
      <c r="AJ1917" s="1" t="s">
        <v>3565</v>
      </c>
      <c r="AK1917" s="1" t="s">
        <v>712</v>
      </c>
      <c r="AL1917" s="1">
        <v>1.0</v>
      </c>
      <c r="AM1917" s="1">
        <v>2015.0</v>
      </c>
      <c r="AN1917" s="1">
        <v>2015.0</v>
      </c>
      <c r="AO1917" s="1" t="s">
        <v>713</v>
      </c>
    </row>
    <row r="1918">
      <c r="A1918" s="5">
        <v>1.0</v>
      </c>
      <c r="B1918" s="1">
        <f t="shared" si="1"/>
        <v>1918</v>
      </c>
      <c r="C1918" s="1" t="s">
        <v>3515</v>
      </c>
      <c r="D1918" s="1" t="s">
        <v>3515</v>
      </c>
      <c r="E1918" s="1" t="s">
        <v>645</v>
      </c>
      <c r="G1918" s="1">
        <v>4.64793056E8</v>
      </c>
      <c r="H1918" s="2">
        <v>41921.0</v>
      </c>
      <c r="I1918" s="1" t="s">
        <v>710</v>
      </c>
      <c r="K1918" s="1" t="s">
        <v>710</v>
      </c>
      <c r="N1918" s="1" t="s">
        <v>647</v>
      </c>
      <c r="O1918" s="1">
        <v>1200.0</v>
      </c>
      <c r="P1918" s="1" t="s">
        <v>647</v>
      </c>
      <c r="Q1918" s="1" t="str">
        <f>IF(ISERROR(VLOOKUP(P1918,'unique fed agency names'!A:C,3,FALSE)),P1918,VLOOKUP(P1918,'unique fed agency names'!A:C,3,FALSE))
</f>
        <v>U.S. Department of Agriculture (USDA)</v>
      </c>
      <c r="R1918" s="1">
        <v>1.26224216E8</v>
      </c>
      <c r="S1918" s="1" t="s">
        <v>3566</v>
      </c>
      <c r="T1918" s="1" t="str">
        <f>IF(ISERROR(VLOOKUP(S1918,'unique org names'!A:C,3,FALSE)),S1918,VLOOKUP(S1918,'unique org names'!A:C,3,FALSE))
</f>
        <v>Pippen Palace Child Care Academy, Inc.</v>
      </c>
      <c r="U1918" s="1" t="s">
        <v>3567</v>
      </c>
      <c r="V1918" s="1" t="s">
        <v>3568</v>
      </c>
      <c r="W1918" s="1" t="s">
        <v>44</v>
      </c>
      <c r="X1918" s="1" t="s">
        <v>45</v>
      </c>
      <c r="Y1918" s="1">
        <v>4.82351624E8</v>
      </c>
      <c r="AA1918" s="1" t="s">
        <v>44</v>
      </c>
      <c r="AB1918" s="1" t="s">
        <v>45</v>
      </c>
      <c r="AC1918" s="1">
        <v>4.82351624E8</v>
      </c>
      <c r="AD1918" s="1">
        <v>1.3635404E7</v>
      </c>
      <c r="AE1918" s="1" t="s">
        <v>3569</v>
      </c>
      <c r="AF1918" s="1">
        <v>25113.95</v>
      </c>
      <c r="AG1918" s="2">
        <v>41921.0</v>
      </c>
      <c r="AH1918" s="1">
        <v>1200.0</v>
      </c>
      <c r="AI1918" s="1" t="s">
        <v>647</v>
      </c>
      <c r="AJ1918" s="1" t="s">
        <v>3570</v>
      </c>
      <c r="AK1918" s="1" t="s">
        <v>712</v>
      </c>
      <c r="AL1918" s="1">
        <v>1.0</v>
      </c>
      <c r="AM1918" s="1">
        <v>2015.0</v>
      </c>
      <c r="AN1918" s="1">
        <v>2015.0</v>
      </c>
      <c r="AO1918" s="1" t="s">
        <v>713</v>
      </c>
    </row>
    <row r="1919">
      <c r="A1919" s="5">
        <v>1.0</v>
      </c>
      <c r="B1919" s="1">
        <f t="shared" si="1"/>
        <v>1919</v>
      </c>
      <c r="C1919" s="1" t="s">
        <v>3515</v>
      </c>
      <c r="D1919" s="1" t="s">
        <v>3515</v>
      </c>
      <c r="E1919" s="1" t="s">
        <v>645</v>
      </c>
      <c r="G1919" s="1">
        <v>4.64793056E8</v>
      </c>
      <c r="H1919" s="2">
        <v>41928.0</v>
      </c>
      <c r="I1919" s="1" t="s">
        <v>710</v>
      </c>
      <c r="K1919" s="1" t="s">
        <v>710</v>
      </c>
      <c r="N1919" s="1" t="s">
        <v>647</v>
      </c>
      <c r="O1919" s="1">
        <v>1200.0</v>
      </c>
      <c r="P1919" s="1" t="s">
        <v>647</v>
      </c>
      <c r="Q1919" s="1" t="str">
        <f>IF(ISERROR(VLOOKUP(P1919,'unique fed agency names'!A:C,3,FALSE)),P1919,VLOOKUP(P1919,'unique fed agency names'!A:C,3,FALSE))
</f>
        <v>U.S. Department of Agriculture (USDA)</v>
      </c>
      <c r="R1919" s="1">
        <v>1.23577707E8</v>
      </c>
      <c r="S1919" s="1" t="s">
        <v>563</v>
      </c>
      <c r="T1919" s="1" t="str">
        <f>IF(ISERROR(VLOOKUP(S1919,'unique org names'!A:C,3,FALSE)),S1919,VLOOKUP(S1919,'unique org names'!A:C,3,FALSE))
</f>
        <v>WARRENDALE CHARTER ACADEMY</v>
      </c>
      <c r="U1919" s="1" t="s">
        <v>3571</v>
      </c>
      <c r="V1919" s="1" t="s">
        <v>565</v>
      </c>
      <c r="W1919" s="1" t="s">
        <v>44</v>
      </c>
      <c r="X1919" s="1" t="s">
        <v>45</v>
      </c>
      <c r="Y1919" s="1">
        <v>4.8228333E8</v>
      </c>
      <c r="AA1919" s="1" t="s">
        <v>44</v>
      </c>
      <c r="AB1919" s="1" t="s">
        <v>45</v>
      </c>
      <c r="AC1919" s="1">
        <v>4.82283396E8</v>
      </c>
      <c r="AD1919" s="1">
        <v>9.60742484E8</v>
      </c>
      <c r="AF1919" s="1">
        <v>84144.87</v>
      </c>
      <c r="AG1919" s="2">
        <v>41928.0</v>
      </c>
      <c r="AH1919" s="1">
        <v>1200.0</v>
      </c>
      <c r="AI1919" s="1" t="s">
        <v>647</v>
      </c>
      <c r="AJ1919" s="1" t="s">
        <v>3572</v>
      </c>
      <c r="AK1919" s="1" t="s">
        <v>712</v>
      </c>
      <c r="AL1919" s="1">
        <v>1.0</v>
      </c>
      <c r="AM1919" s="1">
        <v>2015.0</v>
      </c>
      <c r="AN1919" s="1">
        <v>2015.0</v>
      </c>
      <c r="AO1919" s="1" t="s">
        <v>713</v>
      </c>
    </row>
    <row r="1920">
      <c r="A1920" s="5">
        <v>1.0</v>
      </c>
      <c r="B1920" s="1">
        <f t="shared" si="1"/>
        <v>1920</v>
      </c>
      <c r="C1920" s="1" t="s">
        <v>3515</v>
      </c>
      <c r="D1920" s="1" t="s">
        <v>3515</v>
      </c>
      <c r="E1920" s="1" t="s">
        <v>645</v>
      </c>
      <c r="G1920" s="1">
        <v>4.64793056E8</v>
      </c>
      <c r="H1920" s="2">
        <v>41928.0</v>
      </c>
      <c r="I1920" s="1" t="s">
        <v>710</v>
      </c>
      <c r="K1920" s="1" t="s">
        <v>710</v>
      </c>
      <c r="N1920" s="1" t="s">
        <v>647</v>
      </c>
      <c r="O1920" s="1">
        <v>1200.0</v>
      </c>
      <c r="P1920" s="1" t="s">
        <v>647</v>
      </c>
      <c r="Q1920" s="1" t="str">
        <f>IF(ISERROR(VLOOKUP(P1920,'unique fed agency names'!A:C,3,FALSE)),P1920,VLOOKUP(P1920,'unique fed agency names'!A:C,3,FALSE))
</f>
        <v>U.S. Department of Agriculture (USDA)</v>
      </c>
      <c r="R1920" s="1">
        <v>1.17726252E8</v>
      </c>
      <c r="S1920" s="1" t="s">
        <v>512</v>
      </c>
      <c r="T1920" s="1" t="str">
        <f>IF(ISERROR(VLOOKUP(S1920,'unique org names'!A:C,3,FALSE)),S1920,VLOOKUP(S1920,'unique org names'!A:C,3,FALSE))
</f>
        <v>OLD REDFORD ACADEMY</v>
      </c>
      <c r="V1920" s="1" t="s">
        <v>513</v>
      </c>
      <c r="W1920" s="1" t="s">
        <v>44</v>
      </c>
      <c r="X1920" s="1" t="s">
        <v>45</v>
      </c>
      <c r="Y1920" s="1">
        <v>4.82193259E8</v>
      </c>
      <c r="AA1920" s="1" t="s">
        <v>44</v>
      </c>
      <c r="AB1920" s="1" t="s">
        <v>45</v>
      </c>
      <c r="AC1920" s="1">
        <v>4.82193259E8</v>
      </c>
      <c r="AD1920" s="1">
        <v>1.1889979E7</v>
      </c>
      <c r="AE1920" s="1" t="s">
        <v>3573</v>
      </c>
      <c r="AF1920" s="1">
        <v>209912.84</v>
      </c>
      <c r="AG1920" s="2">
        <v>41928.0</v>
      </c>
      <c r="AH1920" s="1">
        <v>1200.0</v>
      </c>
      <c r="AI1920" s="1" t="s">
        <v>647</v>
      </c>
      <c r="AJ1920" s="1" t="s">
        <v>3574</v>
      </c>
      <c r="AK1920" s="1" t="s">
        <v>712</v>
      </c>
      <c r="AL1920" s="1">
        <v>1.0</v>
      </c>
      <c r="AM1920" s="1">
        <v>2015.0</v>
      </c>
      <c r="AN1920" s="1">
        <v>2015.0</v>
      </c>
      <c r="AO1920" s="1" t="s">
        <v>713</v>
      </c>
    </row>
    <row r="1921">
      <c r="A1921" s="5">
        <v>1.0</v>
      </c>
      <c r="B1921" s="1">
        <f t="shared" si="1"/>
        <v>1921</v>
      </c>
      <c r="C1921" s="1" t="s">
        <v>3515</v>
      </c>
      <c r="D1921" s="1" t="s">
        <v>3515</v>
      </c>
      <c r="E1921" s="1" t="s">
        <v>645</v>
      </c>
      <c r="G1921" s="1">
        <v>4.64793056E8</v>
      </c>
      <c r="H1921" s="2">
        <v>41942.0</v>
      </c>
      <c r="I1921" s="1" t="s">
        <v>710</v>
      </c>
      <c r="K1921" s="1" t="s">
        <v>710</v>
      </c>
      <c r="N1921" s="1" t="s">
        <v>647</v>
      </c>
      <c r="O1921" s="1">
        <v>1200.0</v>
      </c>
      <c r="P1921" s="1" t="s">
        <v>647</v>
      </c>
      <c r="Q1921" s="1" t="str">
        <f>IF(ISERROR(VLOOKUP(P1921,'unique fed agency names'!A:C,3,FALSE)),P1921,VLOOKUP(P1921,'unique fed agency names'!A:C,3,FALSE))
</f>
        <v>U.S. Department of Agriculture (USDA)</v>
      </c>
      <c r="R1921" s="1">
        <v>9.6910162E8</v>
      </c>
      <c r="S1921" s="1" t="s">
        <v>579</v>
      </c>
      <c r="T1921" s="1" t="str">
        <f>IF(ISERROR(VLOOKUP(S1921,'unique org names'!A:C,3,FALSE)),S1921,VLOOKUP(S1921,'unique org names'!A:C,3,FALSE))
</f>
        <v>AMERICAN INTERNATIONAL ACADEMY, INC.</v>
      </c>
      <c r="V1921" s="1" t="s">
        <v>580</v>
      </c>
      <c r="W1921" s="1" t="s">
        <v>44</v>
      </c>
      <c r="X1921" s="1" t="s">
        <v>45</v>
      </c>
      <c r="Y1921" s="1">
        <v>4.82283905E8</v>
      </c>
      <c r="AA1921" s="1" t="s">
        <v>287</v>
      </c>
      <c r="AB1921" s="1" t="s">
        <v>45</v>
      </c>
      <c r="AC1921" s="1">
        <v>4.82283905E8</v>
      </c>
      <c r="AD1921" s="1">
        <v>7.2768195E7</v>
      </c>
      <c r="AE1921" s="1" t="s">
        <v>3575</v>
      </c>
      <c r="AF1921" s="1">
        <v>90051.31</v>
      </c>
      <c r="AG1921" s="2">
        <v>41942.0</v>
      </c>
      <c r="AH1921" s="1">
        <v>1200.0</v>
      </c>
      <c r="AI1921" s="1" t="s">
        <v>647</v>
      </c>
      <c r="AJ1921" s="1" t="s">
        <v>3576</v>
      </c>
      <c r="AK1921" s="1" t="s">
        <v>712</v>
      </c>
      <c r="AL1921" s="1">
        <v>1.0</v>
      </c>
      <c r="AM1921" s="1">
        <v>2015.0</v>
      </c>
      <c r="AN1921" s="1">
        <v>2015.0</v>
      </c>
      <c r="AO1921" s="1" t="s">
        <v>713</v>
      </c>
    </row>
    <row r="1922">
      <c r="A1922" s="5">
        <v>1.0</v>
      </c>
      <c r="B1922" s="1">
        <f t="shared" si="1"/>
        <v>1922</v>
      </c>
      <c r="C1922" s="1" t="s">
        <v>3515</v>
      </c>
      <c r="D1922" s="1" t="s">
        <v>3515</v>
      </c>
      <c r="E1922" s="1" t="s">
        <v>645</v>
      </c>
      <c r="G1922" s="1">
        <v>4.64793056E8</v>
      </c>
      <c r="H1922" s="2">
        <v>41928.0</v>
      </c>
      <c r="I1922" s="1" t="s">
        <v>710</v>
      </c>
      <c r="K1922" s="1" t="s">
        <v>710</v>
      </c>
      <c r="N1922" s="1" t="s">
        <v>647</v>
      </c>
      <c r="O1922" s="1">
        <v>1200.0</v>
      </c>
      <c r="P1922" s="1" t="s">
        <v>647</v>
      </c>
      <c r="Q1922" s="1" t="str">
        <f>IF(ISERROR(VLOOKUP(P1922,'unique fed agency names'!A:C,3,FALSE)),P1922,VLOOKUP(P1922,'unique fed agency names'!A:C,3,FALSE))
</f>
        <v>U.S. Department of Agriculture (USDA)</v>
      </c>
      <c r="R1922" s="1">
        <v>9.62378779E8</v>
      </c>
      <c r="S1922" s="1" t="s">
        <v>478</v>
      </c>
      <c r="T1922" s="1" t="str">
        <f>IF(ISERROR(VLOOKUP(S1922,'unique org names'!A:C,3,FALSE)),S1922,VLOOKUP(S1922,'unique org names'!A:C,3,FALSE))
</f>
        <v>LEGACY CHARTER ACADEMY</v>
      </c>
      <c r="V1922" s="1" t="s">
        <v>479</v>
      </c>
      <c r="W1922" s="1" t="s">
        <v>44</v>
      </c>
      <c r="X1922" s="1" t="s">
        <v>45</v>
      </c>
      <c r="Y1922" s="1">
        <v>4.82342225E8</v>
      </c>
      <c r="AA1922" s="1" t="s">
        <v>44</v>
      </c>
      <c r="AB1922" s="1" t="s">
        <v>45</v>
      </c>
      <c r="AC1922" s="1">
        <v>4.82342225E8</v>
      </c>
      <c r="AD1922" s="1">
        <v>7.4262056E7</v>
      </c>
      <c r="AE1922" s="1" t="s">
        <v>3577</v>
      </c>
      <c r="AF1922" s="1">
        <v>314031.23</v>
      </c>
      <c r="AG1922" s="2">
        <v>41928.0</v>
      </c>
      <c r="AH1922" s="1">
        <v>1200.0</v>
      </c>
      <c r="AI1922" s="1" t="s">
        <v>647</v>
      </c>
      <c r="AJ1922" s="1" t="s">
        <v>3578</v>
      </c>
      <c r="AK1922" s="1" t="s">
        <v>712</v>
      </c>
      <c r="AL1922" s="1">
        <v>1.0</v>
      </c>
      <c r="AM1922" s="1">
        <v>2015.0</v>
      </c>
      <c r="AN1922" s="1">
        <v>2015.0</v>
      </c>
      <c r="AO1922" s="1" t="s">
        <v>713</v>
      </c>
    </row>
    <row r="1923">
      <c r="A1923" s="5">
        <v>1.0</v>
      </c>
      <c r="B1923" s="1">
        <f t="shared" si="1"/>
        <v>1923</v>
      </c>
      <c r="C1923" s="1" t="s">
        <v>3515</v>
      </c>
      <c r="D1923" s="1" t="s">
        <v>3515</v>
      </c>
      <c r="E1923" s="1" t="s">
        <v>645</v>
      </c>
      <c r="G1923" s="1">
        <v>4.64793056E8</v>
      </c>
      <c r="H1923" s="2">
        <v>41928.0</v>
      </c>
      <c r="I1923" s="1" t="s">
        <v>710</v>
      </c>
      <c r="K1923" s="1" t="s">
        <v>710</v>
      </c>
      <c r="N1923" s="1" t="s">
        <v>647</v>
      </c>
      <c r="O1923" s="1">
        <v>1200.0</v>
      </c>
      <c r="P1923" s="1" t="s">
        <v>647</v>
      </c>
      <c r="Q1923" s="1" t="str">
        <f>IF(ISERROR(VLOOKUP(P1923,'unique fed agency names'!A:C,3,FALSE)),P1923,VLOOKUP(P1923,'unique fed agency names'!A:C,3,FALSE))
</f>
        <v>U.S. Department of Agriculture (USDA)</v>
      </c>
      <c r="R1923" s="1">
        <v>9.62378779E8</v>
      </c>
      <c r="S1923" s="1" t="s">
        <v>478</v>
      </c>
      <c r="T1923" s="1" t="str">
        <f>IF(ISERROR(VLOOKUP(S1923,'unique org names'!A:C,3,FALSE)),S1923,VLOOKUP(S1923,'unique org names'!A:C,3,FALSE))
</f>
        <v>LEGACY CHARTER ACADEMY</v>
      </c>
      <c r="V1923" s="1" t="s">
        <v>479</v>
      </c>
      <c r="W1923" s="1" t="s">
        <v>44</v>
      </c>
      <c r="X1923" s="1" t="s">
        <v>45</v>
      </c>
      <c r="Y1923" s="1">
        <v>4.82342225E8</v>
      </c>
      <c r="AA1923" s="1" t="s">
        <v>44</v>
      </c>
      <c r="AB1923" s="1" t="s">
        <v>45</v>
      </c>
      <c r="AC1923" s="1">
        <v>4.82342225E8</v>
      </c>
      <c r="AF1923" s="1">
        <v>190774.15</v>
      </c>
      <c r="AG1923" s="2">
        <v>41928.0</v>
      </c>
      <c r="AH1923" s="1">
        <v>1200.0</v>
      </c>
      <c r="AI1923" s="1" t="s">
        <v>647</v>
      </c>
      <c r="AJ1923" s="1" t="s">
        <v>3579</v>
      </c>
      <c r="AK1923" s="1" t="s">
        <v>712</v>
      </c>
      <c r="AL1923" s="1">
        <v>1.0</v>
      </c>
      <c r="AM1923" s="1">
        <v>2015.0</v>
      </c>
      <c r="AN1923" s="1">
        <v>2015.0</v>
      </c>
      <c r="AO1923" s="1" t="s">
        <v>713</v>
      </c>
    </row>
    <row r="1924">
      <c r="A1924" s="5">
        <v>1.0</v>
      </c>
      <c r="B1924" s="1">
        <f t="shared" si="1"/>
        <v>1924</v>
      </c>
      <c r="C1924" s="1" t="s">
        <v>3515</v>
      </c>
      <c r="D1924" s="1" t="s">
        <v>3515</v>
      </c>
      <c r="E1924" s="1" t="s">
        <v>645</v>
      </c>
      <c r="G1924" s="1">
        <v>4.64793056E8</v>
      </c>
      <c r="H1924" s="2">
        <v>41928.0</v>
      </c>
      <c r="I1924" s="1" t="s">
        <v>710</v>
      </c>
      <c r="K1924" s="1" t="s">
        <v>710</v>
      </c>
      <c r="N1924" s="1" t="s">
        <v>647</v>
      </c>
      <c r="O1924" s="1">
        <v>1200.0</v>
      </c>
      <c r="P1924" s="1" t="s">
        <v>647</v>
      </c>
      <c r="Q1924" s="1" t="str">
        <f>IF(ISERROR(VLOOKUP(P1924,'unique fed agency names'!A:C,3,FALSE)),P1924,VLOOKUP(P1924,'unique fed agency names'!A:C,3,FALSE))
</f>
        <v>U.S. Department of Agriculture (USDA)</v>
      </c>
      <c r="R1924" s="1">
        <v>7.8634042E7</v>
      </c>
      <c r="S1924" s="1" t="s">
        <v>2998</v>
      </c>
      <c r="T1924" s="1" t="str">
        <f>IF(ISERROR(VLOOKUP(S1924,'unique org names'!A:C,3,FALSE)),S1924,VLOOKUP(S1924,'unique org names'!A:C,3,FALSE))
</f>
        <v>Hamilton Academy</v>
      </c>
      <c r="V1924" s="1" t="s">
        <v>475</v>
      </c>
      <c r="W1924" s="1" t="s">
        <v>44</v>
      </c>
      <c r="X1924" s="1" t="s">
        <v>45</v>
      </c>
      <c r="Y1924" s="1">
        <v>4.82133744E8</v>
      </c>
      <c r="AA1924" s="1" t="s">
        <v>46</v>
      </c>
      <c r="AB1924" s="1" t="s">
        <v>45</v>
      </c>
      <c r="AC1924" s="1">
        <v>4.8213E8</v>
      </c>
      <c r="AF1924" s="1">
        <v>63296.94</v>
      </c>
      <c r="AG1924" s="2">
        <v>41928.0</v>
      </c>
      <c r="AH1924" s="1">
        <v>1200.0</v>
      </c>
      <c r="AI1924" s="1" t="s">
        <v>647</v>
      </c>
      <c r="AJ1924" s="1" t="s">
        <v>3580</v>
      </c>
      <c r="AK1924" s="1" t="s">
        <v>712</v>
      </c>
      <c r="AL1924" s="1">
        <v>1.0</v>
      </c>
      <c r="AM1924" s="1">
        <v>2015.0</v>
      </c>
      <c r="AN1924" s="1">
        <v>2015.0</v>
      </c>
      <c r="AO1924" s="1" t="s">
        <v>713</v>
      </c>
    </row>
    <row r="1925">
      <c r="A1925" s="5">
        <v>1.0</v>
      </c>
      <c r="B1925" s="1">
        <f t="shared" si="1"/>
        <v>1925</v>
      </c>
      <c r="C1925" s="1" t="s">
        <v>3515</v>
      </c>
      <c r="D1925" s="1" t="s">
        <v>3515</v>
      </c>
      <c r="E1925" s="1" t="s">
        <v>645</v>
      </c>
      <c r="G1925" s="1">
        <v>4.64793056E8</v>
      </c>
      <c r="H1925" s="2">
        <v>41921.0</v>
      </c>
      <c r="I1925" s="1" t="s">
        <v>710</v>
      </c>
      <c r="K1925" s="1" t="s">
        <v>710</v>
      </c>
      <c r="N1925" s="1" t="s">
        <v>647</v>
      </c>
      <c r="O1925" s="1">
        <v>1200.0</v>
      </c>
      <c r="P1925" s="1" t="s">
        <v>647</v>
      </c>
      <c r="Q1925" s="1" t="str">
        <f>IF(ISERROR(VLOOKUP(P1925,'unique fed agency names'!A:C,3,FALSE)),P1925,VLOOKUP(P1925,'unique fed agency names'!A:C,3,FALSE))
</f>
        <v>U.S. Department of Agriculture (USDA)</v>
      </c>
      <c r="R1925" s="1">
        <v>7.1310154E7</v>
      </c>
      <c r="S1925" s="1" t="s">
        <v>3279</v>
      </c>
      <c r="T1925" s="1" t="str">
        <f>IF(ISERROR(VLOOKUP(S1925,'unique org names'!A:C,3,FALSE)),S1925,VLOOKUP(S1925,'unique org names'!A:C,3,FALSE))
</f>
        <v>The Nurturing Nest</v>
      </c>
      <c r="V1925" s="1" t="s">
        <v>3280</v>
      </c>
      <c r="W1925" s="1" t="s">
        <v>44</v>
      </c>
      <c r="X1925" s="1" t="s">
        <v>45</v>
      </c>
      <c r="Y1925" s="1">
        <v>4.82352953E8</v>
      </c>
      <c r="AA1925" s="1" t="s">
        <v>46</v>
      </c>
      <c r="AB1925" s="1" t="s">
        <v>45</v>
      </c>
      <c r="AC1925" s="1">
        <v>4.8235E8</v>
      </c>
      <c r="AF1925" s="1">
        <v>51597.58</v>
      </c>
      <c r="AG1925" s="2">
        <v>41921.0</v>
      </c>
      <c r="AH1925" s="1">
        <v>1200.0</v>
      </c>
      <c r="AI1925" s="1" t="s">
        <v>647</v>
      </c>
      <c r="AJ1925" s="1" t="s">
        <v>3581</v>
      </c>
      <c r="AK1925" s="1" t="s">
        <v>712</v>
      </c>
      <c r="AL1925" s="1">
        <v>1.0</v>
      </c>
      <c r="AM1925" s="1">
        <v>2015.0</v>
      </c>
      <c r="AN1925" s="1">
        <v>2015.0</v>
      </c>
      <c r="AO1925" s="1" t="s">
        <v>713</v>
      </c>
    </row>
    <row r="1926">
      <c r="A1926" s="5">
        <v>1.0</v>
      </c>
      <c r="B1926" s="1">
        <f t="shared" si="1"/>
        <v>1926</v>
      </c>
      <c r="C1926" s="1" t="s">
        <v>3515</v>
      </c>
      <c r="D1926" s="1" t="s">
        <v>3515</v>
      </c>
      <c r="E1926" s="1" t="s">
        <v>645</v>
      </c>
      <c r="G1926" s="1">
        <v>4.64793056E8</v>
      </c>
      <c r="H1926" s="2">
        <v>41921.0</v>
      </c>
      <c r="I1926" s="1" t="s">
        <v>710</v>
      </c>
      <c r="K1926" s="1" t="s">
        <v>710</v>
      </c>
      <c r="N1926" s="1" t="s">
        <v>647</v>
      </c>
      <c r="O1926" s="1">
        <v>1200.0</v>
      </c>
      <c r="P1926" s="1" t="s">
        <v>647</v>
      </c>
      <c r="Q1926" s="1" t="str">
        <f>IF(ISERROR(VLOOKUP(P1926,'unique fed agency names'!A:C,3,FALSE)),P1926,VLOOKUP(P1926,'unique fed agency names'!A:C,3,FALSE))
</f>
        <v>U.S. Department of Agriculture (USDA)</v>
      </c>
      <c r="R1926" s="1">
        <v>8.37565279E8</v>
      </c>
      <c r="S1926" s="1" t="s">
        <v>3189</v>
      </c>
      <c r="T1926" s="1" t="str">
        <f>IF(ISERROR(VLOOKUP(S1926,'unique org names'!A:C,3,FALSE)),S1926,VLOOKUP(S1926,'unique org names'!A:C,3,FALSE))
</f>
        <v>Harvest Temple Church Of God In Christ, Inc</v>
      </c>
      <c r="V1926" s="1" t="s">
        <v>3190</v>
      </c>
      <c r="W1926" s="1" t="s">
        <v>44</v>
      </c>
      <c r="X1926" s="1" t="s">
        <v>45</v>
      </c>
      <c r="Y1926" s="1">
        <v>4.82041457E8</v>
      </c>
      <c r="AA1926" s="1" t="s">
        <v>44</v>
      </c>
      <c r="AB1926" s="1" t="s">
        <v>45</v>
      </c>
      <c r="AC1926" s="1">
        <v>4.82041457E8</v>
      </c>
      <c r="AF1926" s="1">
        <v>25496.48</v>
      </c>
      <c r="AG1926" s="2">
        <v>41921.0</v>
      </c>
      <c r="AH1926" s="1">
        <v>1200.0</v>
      </c>
      <c r="AI1926" s="1" t="s">
        <v>647</v>
      </c>
      <c r="AJ1926" s="1" t="s">
        <v>3582</v>
      </c>
      <c r="AK1926" s="1" t="s">
        <v>712</v>
      </c>
      <c r="AL1926" s="1">
        <v>1.0</v>
      </c>
      <c r="AM1926" s="1">
        <v>2015.0</v>
      </c>
      <c r="AN1926" s="1">
        <v>2015.0</v>
      </c>
      <c r="AO1926" s="1" t="s">
        <v>713</v>
      </c>
    </row>
    <row r="1927">
      <c r="A1927" s="5">
        <v>1.0</v>
      </c>
      <c r="B1927" s="1">
        <f t="shared" si="1"/>
        <v>1927</v>
      </c>
      <c r="C1927" s="1" t="s">
        <v>3515</v>
      </c>
      <c r="D1927" s="1" t="s">
        <v>3515</v>
      </c>
      <c r="E1927" s="1" t="s">
        <v>645</v>
      </c>
      <c r="G1927" s="1">
        <v>4.64793056E8</v>
      </c>
      <c r="H1927" s="2">
        <v>41921.0</v>
      </c>
      <c r="I1927" s="1" t="s">
        <v>710</v>
      </c>
      <c r="K1927" s="1" t="s">
        <v>710</v>
      </c>
      <c r="N1927" s="1" t="s">
        <v>647</v>
      </c>
      <c r="O1927" s="1">
        <v>1200.0</v>
      </c>
      <c r="P1927" s="1" t="s">
        <v>647</v>
      </c>
      <c r="Q1927" s="1" t="str">
        <f>IF(ISERROR(VLOOKUP(P1927,'unique fed agency names'!A:C,3,FALSE)),P1927,VLOOKUP(P1927,'unique fed agency names'!A:C,3,FALSE))
</f>
        <v>U.S. Department of Agriculture (USDA)</v>
      </c>
      <c r="R1927" s="1">
        <v>8.31014068E8</v>
      </c>
      <c r="S1927" s="1" t="s">
        <v>515</v>
      </c>
      <c r="T1927" s="1" t="str">
        <f>IF(ISERROR(VLOOKUP(S1927,'unique org names'!A:C,3,FALSE)),S1927,VLOOKUP(S1927,'unique org names'!A:C,3,FALSE))
</f>
        <v>DETROIT PREMIER ACADEMY</v>
      </c>
      <c r="V1927" s="1" t="s">
        <v>516</v>
      </c>
      <c r="W1927" s="1" t="s">
        <v>44</v>
      </c>
      <c r="X1927" s="1" t="s">
        <v>45</v>
      </c>
      <c r="Y1927" s="1">
        <v>4.82283685E8</v>
      </c>
      <c r="AA1927" s="1" t="s">
        <v>46</v>
      </c>
      <c r="AB1927" s="1" t="s">
        <v>45</v>
      </c>
      <c r="AC1927" s="1">
        <v>4.82283685E8</v>
      </c>
      <c r="AD1927" s="1">
        <v>9.60742484E8</v>
      </c>
      <c r="AF1927" s="1">
        <v>317387.24</v>
      </c>
      <c r="AG1927" s="2">
        <v>41921.0</v>
      </c>
      <c r="AH1927" s="1">
        <v>1200.0</v>
      </c>
      <c r="AI1927" s="1" t="s">
        <v>647</v>
      </c>
      <c r="AJ1927" s="1" t="s">
        <v>3583</v>
      </c>
      <c r="AK1927" s="1" t="s">
        <v>712</v>
      </c>
      <c r="AL1927" s="1">
        <v>1.0</v>
      </c>
      <c r="AM1927" s="1">
        <v>2015.0</v>
      </c>
      <c r="AN1927" s="1">
        <v>2015.0</v>
      </c>
      <c r="AO1927" s="1" t="s">
        <v>713</v>
      </c>
    </row>
    <row r="1928">
      <c r="A1928" s="5">
        <v>1.0</v>
      </c>
      <c r="B1928" s="1">
        <f t="shared" si="1"/>
        <v>1928</v>
      </c>
      <c r="C1928" s="1" t="s">
        <v>3515</v>
      </c>
      <c r="D1928" s="1" t="s">
        <v>3515</v>
      </c>
      <c r="E1928" s="1" t="s">
        <v>645</v>
      </c>
      <c r="G1928" s="1">
        <v>4.64793056E8</v>
      </c>
      <c r="H1928" s="2">
        <v>41928.0</v>
      </c>
      <c r="I1928" s="1" t="s">
        <v>710</v>
      </c>
      <c r="K1928" s="1" t="s">
        <v>710</v>
      </c>
      <c r="N1928" s="1" t="s">
        <v>647</v>
      </c>
      <c r="O1928" s="1">
        <v>1200.0</v>
      </c>
      <c r="P1928" s="1" t="s">
        <v>647</v>
      </c>
      <c r="Q1928" s="1" t="str">
        <f>IF(ISERROR(VLOOKUP(P1928,'unique fed agency names'!A:C,3,FALSE)),P1928,VLOOKUP(P1928,'unique fed agency names'!A:C,3,FALSE))
</f>
        <v>U.S. Department of Agriculture (USDA)</v>
      </c>
      <c r="R1928" s="1">
        <v>8.30792151E8</v>
      </c>
      <c r="S1928" s="1" t="s">
        <v>594</v>
      </c>
      <c r="T1928" s="1" t="str">
        <f>IF(ISERROR(VLOOKUP(S1928,'unique org names'!A:C,3,FALSE)),S1928,VLOOKUP(S1928,'unique org names'!A:C,3,FALSE))
</f>
        <v>FLAGSHIP CHARTER ACADEMY</v>
      </c>
      <c r="U1928" s="1" t="s">
        <v>3443</v>
      </c>
      <c r="V1928" s="1" t="s">
        <v>596</v>
      </c>
      <c r="W1928" s="1" t="s">
        <v>44</v>
      </c>
      <c r="X1928" s="1" t="s">
        <v>45</v>
      </c>
      <c r="Y1928" s="1">
        <v>4.82382356E8</v>
      </c>
      <c r="AA1928" s="1" t="s">
        <v>44</v>
      </c>
      <c r="AB1928" s="1" t="s">
        <v>45</v>
      </c>
      <c r="AC1928" s="1">
        <v>4.82382356E8</v>
      </c>
      <c r="AD1928" s="1">
        <v>9.60742484E8</v>
      </c>
      <c r="AF1928" s="1">
        <v>97610.07</v>
      </c>
      <c r="AG1928" s="2">
        <v>41928.0</v>
      </c>
      <c r="AH1928" s="1">
        <v>1200.0</v>
      </c>
      <c r="AI1928" s="1" t="s">
        <v>647</v>
      </c>
      <c r="AJ1928" s="1" t="s">
        <v>3584</v>
      </c>
      <c r="AK1928" s="1" t="s">
        <v>712</v>
      </c>
      <c r="AL1928" s="1">
        <v>1.0</v>
      </c>
      <c r="AM1928" s="1">
        <v>2015.0</v>
      </c>
      <c r="AN1928" s="1">
        <v>2015.0</v>
      </c>
      <c r="AO1928" s="1" t="s">
        <v>713</v>
      </c>
    </row>
    <row r="1929">
      <c r="A1929" s="5">
        <v>1.0</v>
      </c>
      <c r="B1929" s="1">
        <f t="shared" si="1"/>
        <v>1929</v>
      </c>
      <c r="C1929" s="1" t="s">
        <v>3515</v>
      </c>
      <c r="D1929" s="1" t="s">
        <v>3515</v>
      </c>
      <c r="E1929" s="1" t="s">
        <v>645</v>
      </c>
      <c r="G1929" s="1">
        <v>4.64793056E8</v>
      </c>
      <c r="H1929" s="2">
        <v>41977.0</v>
      </c>
      <c r="I1929" s="1" t="s">
        <v>710</v>
      </c>
      <c r="K1929" s="1" t="s">
        <v>710</v>
      </c>
      <c r="N1929" s="1" t="s">
        <v>647</v>
      </c>
      <c r="O1929" s="1">
        <v>1200.0</v>
      </c>
      <c r="P1929" s="1" t="s">
        <v>647</v>
      </c>
      <c r="Q1929" s="1" t="str">
        <f>IF(ISERROR(VLOOKUP(P1929,'unique fed agency names'!A:C,3,FALSE)),P1929,VLOOKUP(P1929,'unique fed agency names'!A:C,3,FALSE))
</f>
        <v>U.S. Department of Agriculture (USDA)</v>
      </c>
      <c r="R1929" s="1">
        <v>8.3082572E8</v>
      </c>
      <c r="S1929" s="1" t="s">
        <v>465</v>
      </c>
      <c r="T1929" s="1" t="str">
        <f>IF(ISERROR(VLOOKUP(S1929,'unique org names'!A:C,3,FALSE)),S1929,VLOOKUP(S1929,'unique org names'!A:C,3,FALSE))
</f>
        <v>Public School Academies of Detroit</v>
      </c>
      <c r="U1929" s="1" t="s">
        <v>554</v>
      </c>
      <c r="V1929" s="1" t="s">
        <v>555</v>
      </c>
      <c r="W1929" s="1" t="s">
        <v>44</v>
      </c>
      <c r="X1929" s="1" t="s">
        <v>45</v>
      </c>
      <c r="Y1929" s="1">
        <v>4.82024061E8</v>
      </c>
      <c r="AA1929" s="1" t="s">
        <v>44</v>
      </c>
      <c r="AB1929" s="1" t="s">
        <v>45</v>
      </c>
      <c r="AC1929" s="1">
        <v>4.82023457E8</v>
      </c>
      <c r="AD1929" s="1">
        <v>1.6338926E8</v>
      </c>
      <c r="AE1929" s="1" t="s">
        <v>465</v>
      </c>
      <c r="AF1929" s="1">
        <v>43519.26</v>
      </c>
      <c r="AG1929" s="2">
        <v>41977.0</v>
      </c>
      <c r="AH1929" s="1">
        <v>1200.0</v>
      </c>
      <c r="AI1929" s="1" t="s">
        <v>647</v>
      </c>
      <c r="AJ1929" s="1" t="s">
        <v>3585</v>
      </c>
      <c r="AK1929" s="1" t="s">
        <v>712</v>
      </c>
      <c r="AL1929" s="1">
        <v>1.0</v>
      </c>
      <c r="AM1929" s="1">
        <v>2015.0</v>
      </c>
      <c r="AN1929" s="1">
        <v>2015.0</v>
      </c>
      <c r="AO1929" s="1" t="s">
        <v>713</v>
      </c>
    </row>
    <row r="1930">
      <c r="A1930" s="5">
        <v>1.0</v>
      </c>
      <c r="B1930" s="1">
        <f t="shared" si="1"/>
        <v>1930</v>
      </c>
      <c r="C1930" s="1" t="s">
        <v>3515</v>
      </c>
      <c r="D1930" s="1" t="s">
        <v>3515</v>
      </c>
      <c r="E1930" s="1" t="s">
        <v>645</v>
      </c>
      <c r="G1930" s="1">
        <v>4.64793056E8</v>
      </c>
      <c r="H1930" s="2">
        <v>41977.0</v>
      </c>
      <c r="I1930" s="1" t="s">
        <v>710</v>
      </c>
      <c r="K1930" s="1" t="s">
        <v>710</v>
      </c>
      <c r="N1930" s="1" t="s">
        <v>647</v>
      </c>
      <c r="O1930" s="1">
        <v>1200.0</v>
      </c>
      <c r="P1930" s="1" t="s">
        <v>647</v>
      </c>
      <c r="Q1930" s="1" t="str">
        <f>IF(ISERROR(VLOOKUP(P1930,'unique fed agency names'!A:C,3,FALSE)),P1930,VLOOKUP(P1930,'unique fed agency names'!A:C,3,FALSE))
</f>
        <v>U.S. Department of Agriculture (USDA)</v>
      </c>
      <c r="R1930" s="1">
        <v>8.29630537E8</v>
      </c>
      <c r="S1930" s="1" t="s">
        <v>531</v>
      </c>
      <c r="T1930" s="1" t="str">
        <f>IF(ISERROR(VLOOKUP(S1930,'unique org names'!A:C,3,FALSE)),S1930,VLOOKUP(S1930,'unique org names'!A:C,3,FALSE))
</f>
        <v>DETROIT SERVICE LEARNING ACADEMY</v>
      </c>
      <c r="U1930" s="1" t="s">
        <v>532</v>
      </c>
      <c r="V1930" s="1" t="s">
        <v>533</v>
      </c>
      <c r="W1930" s="1" t="s">
        <v>44</v>
      </c>
      <c r="X1930" s="1" t="s">
        <v>45</v>
      </c>
      <c r="Y1930" s="1">
        <v>4.8219181E8</v>
      </c>
      <c r="AA1930" s="1" t="s">
        <v>44</v>
      </c>
      <c r="AB1930" s="1" t="s">
        <v>45</v>
      </c>
      <c r="AC1930" s="1">
        <v>4.8219181E8</v>
      </c>
      <c r="AD1930" s="1">
        <v>9.4800414E7</v>
      </c>
      <c r="AE1930" s="1" t="s">
        <v>3586</v>
      </c>
      <c r="AF1930" s="1">
        <v>347087.13</v>
      </c>
      <c r="AG1930" s="2">
        <v>41977.0</v>
      </c>
      <c r="AH1930" s="1">
        <v>1200.0</v>
      </c>
      <c r="AI1930" s="1" t="s">
        <v>647</v>
      </c>
      <c r="AJ1930" s="1" t="s">
        <v>3587</v>
      </c>
      <c r="AK1930" s="1" t="s">
        <v>712</v>
      </c>
      <c r="AL1930" s="1">
        <v>1.0</v>
      </c>
      <c r="AM1930" s="1">
        <v>2015.0</v>
      </c>
      <c r="AN1930" s="1">
        <v>2015.0</v>
      </c>
      <c r="AO1930" s="1" t="s">
        <v>713</v>
      </c>
    </row>
    <row r="1931">
      <c r="A1931" s="5">
        <v>1.0</v>
      </c>
      <c r="B1931" s="1">
        <f t="shared" si="1"/>
        <v>1931</v>
      </c>
      <c r="C1931" s="1" t="s">
        <v>3515</v>
      </c>
      <c r="D1931" s="1" t="s">
        <v>3515</v>
      </c>
      <c r="E1931" s="1" t="s">
        <v>645</v>
      </c>
      <c r="G1931" s="1">
        <v>4.64793056E8</v>
      </c>
      <c r="H1931" s="2">
        <v>41935.0</v>
      </c>
      <c r="I1931" s="1" t="s">
        <v>710</v>
      </c>
      <c r="K1931" s="1" t="s">
        <v>710</v>
      </c>
      <c r="N1931" s="1" t="s">
        <v>647</v>
      </c>
      <c r="O1931" s="1">
        <v>1200.0</v>
      </c>
      <c r="P1931" s="1" t="s">
        <v>647</v>
      </c>
      <c r="Q1931" s="1" t="str">
        <f>IF(ISERROR(VLOOKUP(P1931,'unique fed agency names'!A:C,3,FALSE)),P1931,VLOOKUP(P1931,'unique fed agency names'!A:C,3,FALSE))
</f>
        <v>U.S. Department of Agriculture (USDA)</v>
      </c>
      <c r="R1931" s="1">
        <v>8.29503312E8</v>
      </c>
      <c r="S1931" s="1" t="s">
        <v>622</v>
      </c>
      <c r="T1931" s="1" t="str">
        <f>IF(ISERROR(VLOOKUP(S1931,'unique org names'!A:C,3,FALSE)),S1931,VLOOKUP(S1931,'unique org names'!A:C,3,FALSE))
</f>
        <v>GEORGE WASHINGTON CARVER ACADEMY</v>
      </c>
      <c r="V1931" s="1" t="s">
        <v>623</v>
      </c>
      <c r="W1931" s="1" t="s">
        <v>44</v>
      </c>
      <c r="X1931" s="1" t="s">
        <v>45</v>
      </c>
      <c r="Y1931" s="1">
        <v>4.82035715E8</v>
      </c>
      <c r="AA1931" s="1" t="s">
        <v>603</v>
      </c>
      <c r="AB1931" s="1" t="s">
        <v>45</v>
      </c>
      <c r="AC1931" s="1">
        <v>4.82035715E8</v>
      </c>
      <c r="AF1931" s="1">
        <v>101941.69</v>
      </c>
      <c r="AG1931" s="2">
        <v>41935.0</v>
      </c>
      <c r="AH1931" s="1">
        <v>1200.0</v>
      </c>
      <c r="AI1931" s="1" t="s">
        <v>647</v>
      </c>
      <c r="AJ1931" s="1" t="s">
        <v>3588</v>
      </c>
      <c r="AK1931" s="1" t="s">
        <v>712</v>
      </c>
      <c r="AL1931" s="1">
        <v>1.0</v>
      </c>
      <c r="AM1931" s="1">
        <v>2015.0</v>
      </c>
      <c r="AN1931" s="1">
        <v>2015.0</v>
      </c>
      <c r="AO1931" s="1" t="s">
        <v>713</v>
      </c>
    </row>
    <row r="1932">
      <c r="A1932" s="5">
        <v>1.0</v>
      </c>
      <c r="B1932" s="1">
        <f t="shared" si="1"/>
        <v>1932</v>
      </c>
      <c r="C1932" s="1" t="s">
        <v>3515</v>
      </c>
      <c r="D1932" s="1" t="s">
        <v>3515</v>
      </c>
      <c r="E1932" s="1" t="s">
        <v>645</v>
      </c>
      <c r="G1932" s="1">
        <v>4.64793056E8</v>
      </c>
      <c r="H1932" s="2">
        <v>41991.0</v>
      </c>
      <c r="I1932" s="1" t="s">
        <v>710</v>
      </c>
      <c r="K1932" s="1" t="s">
        <v>710</v>
      </c>
      <c r="N1932" s="1" t="s">
        <v>647</v>
      </c>
      <c r="O1932" s="1">
        <v>1200.0</v>
      </c>
      <c r="P1932" s="1" t="s">
        <v>647</v>
      </c>
      <c r="Q1932" s="1" t="str">
        <f>IF(ISERROR(VLOOKUP(P1932,'unique fed agency names'!A:C,3,FALSE)),P1932,VLOOKUP(P1932,'unique fed agency names'!A:C,3,FALSE))
</f>
        <v>U.S. Department of Agriculture (USDA)</v>
      </c>
      <c r="R1932" s="1">
        <v>7.8583404E7</v>
      </c>
      <c r="S1932" s="1" t="s">
        <v>65</v>
      </c>
      <c r="T1932" s="1" t="str">
        <f>IF(ISERROR(VLOOKUP(S1932,'unique org names'!A:C,3,FALSE)),S1932,VLOOKUP(S1932,'unique org names'!A:C,3,FALSE))
</f>
        <v>Institute for Population Health Inc.</v>
      </c>
      <c r="V1932" s="1" t="s">
        <v>1573</v>
      </c>
      <c r="W1932" s="1" t="s">
        <v>44</v>
      </c>
      <c r="X1932" s="1" t="s">
        <v>45</v>
      </c>
      <c r="Y1932" s="1">
        <v>4.8207311E8</v>
      </c>
      <c r="AA1932" s="1" t="s">
        <v>46</v>
      </c>
      <c r="AB1932" s="1" t="s">
        <v>45</v>
      </c>
      <c r="AC1932" s="1">
        <v>4.8202E8</v>
      </c>
      <c r="AF1932" s="1">
        <v>238988.03</v>
      </c>
      <c r="AG1932" s="2">
        <v>41991.0</v>
      </c>
      <c r="AH1932" s="1">
        <v>1200.0</v>
      </c>
      <c r="AI1932" s="1" t="s">
        <v>647</v>
      </c>
      <c r="AJ1932" s="1" t="s">
        <v>3589</v>
      </c>
      <c r="AK1932" s="1" t="s">
        <v>712</v>
      </c>
      <c r="AL1932" s="1">
        <v>1.0</v>
      </c>
      <c r="AM1932" s="1">
        <v>2015.0</v>
      </c>
      <c r="AN1932" s="1">
        <v>2015.0</v>
      </c>
      <c r="AO1932" s="1" t="s">
        <v>713</v>
      </c>
    </row>
    <row r="1933">
      <c r="A1933" s="5">
        <v>1.0</v>
      </c>
      <c r="B1933" s="1">
        <f t="shared" si="1"/>
        <v>1933</v>
      </c>
      <c r="C1933" s="1" t="s">
        <v>3515</v>
      </c>
      <c r="D1933" s="1" t="s">
        <v>3515</v>
      </c>
      <c r="E1933" s="1" t="s">
        <v>645</v>
      </c>
      <c r="G1933" s="1">
        <v>4.64793056E8</v>
      </c>
      <c r="H1933" s="2">
        <v>41928.0</v>
      </c>
      <c r="I1933" s="1" t="s">
        <v>710</v>
      </c>
      <c r="K1933" s="1" t="s">
        <v>710</v>
      </c>
      <c r="N1933" s="1" t="s">
        <v>647</v>
      </c>
      <c r="O1933" s="1">
        <v>1200.0</v>
      </c>
      <c r="P1933" s="1" t="s">
        <v>647</v>
      </c>
      <c r="Q1933" s="1" t="str">
        <f>IF(ISERROR(VLOOKUP(P1933,'unique fed agency names'!A:C,3,FALSE)),P1933,VLOOKUP(P1933,'unique fed agency names'!A:C,3,FALSE))
</f>
        <v>U.S. Department of Agriculture (USDA)</v>
      </c>
      <c r="R1933" s="1">
        <v>7.97527715E8</v>
      </c>
      <c r="S1933" s="1" t="s">
        <v>567</v>
      </c>
      <c r="T1933" s="1" t="str">
        <f>IF(ISERROR(VLOOKUP(S1933,'unique org names'!A:C,3,FALSE)),S1933,VLOOKUP(S1933,'unique org names'!A:C,3,FALSE))
</f>
        <v>HAMTRAMCK ACADEMY</v>
      </c>
      <c r="U1933" s="1" t="s">
        <v>1673</v>
      </c>
      <c r="V1933" s="1" t="s">
        <v>568</v>
      </c>
      <c r="W1933" s="1" t="s">
        <v>44</v>
      </c>
      <c r="X1933" s="1" t="s">
        <v>45</v>
      </c>
      <c r="Y1933" s="1">
        <v>4.82123134E8</v>
      </c>
      <c r="AA1933" s="1" t="s">
        <v>498</v>
      </c>
      <c r="AB1933" s="1" t="s">
        <v>45</v>
      </c>
      <c r="AC1933" s="1">
        <v>4.82123134E8</v>
      </c>
      <c r="AD1933" s="1">
        <v>9.60742484E8</v>
      </c>
      <c r="AF1933" s="1">
        <v>31723.68</v>
      </c>
      <c r="AG1933" s="2">
        <v>41928.0</v>
      </c>
      <c r="AH1933" s="1">
        <v>1200.0</v>
      </c>
      <c r="AI1933" s="1" t="s">
        <v>647</v>
      </c>
      <c r="AJ1933" s="1" t="s">
        <v>3590</v>
      </c>
      <c r="AK1933" s="1" t="s">
        <v>712</v>
      </c>
      <c r="AL1933" s="1">
        <v>1.0</v>
      </c>
      <c r="AM1933" s="1">
        <v>2015.0</v>
      </c>
      <c r="AN1933" s="1">
        <v>2015.0</v>
      </c>
      <c r="AO1933" s="1" t="s">
        <v>713</v>
      </c>
    </row>
    <row r="1934">
      <c r="A1934" s="5">
        <v>1.0</v>
      </c>
      <c r="B1934" s="1">
        <f t="shared" si="1"/>
        <v>1934</v>
      </c>
      <c r="C1934" s="1" t="s">
        <v>3515</v>
      </c>
      <c r="D1934" s="1" t="s">
        <v>3515</v>
      </c>
      <c r="E1934" s="1" t="s">
        <v>645</v>
      </c>
      <c r="G1934" s="1">
        <v>4.64793056E8</v>
      </c>
      <c r="H1934" s="2">
        <v>41928.0</v>
      </c>
      <c r="I1934" s="1" t="s">
        <v>710</v>
      </c>
      <c r="K1934" s="1" t="s">
        <v>710</v>
      </c>
      <c r="N1934" s="1" t="s">
        <v>647</v>
      </c>
      <c r="O1934" s="1">
        <v>1200.0</v>
      </c>
      <c r="P1934" s="1" t="s">
        <v>647</v>
      </c>
      <c r="Q1934" s="1" t="str">
        <f>IF(ISERROR(VLOOKUP(P1934,'unique fed agency names'!A:C,3,FALSE)),P1934,VLOOKUP(P1934,'unique fed agency names'!A:C,3,FALSE))
</f>
        <v>U.S. Department of Agriculture (USDA)</v>
      </c>
      <c r="R1934" s="1">
        <v>8.37388367E8</v>
      </c>
      <c r="S1934" s="1" t="s">
        <v>3272</v>
      </c>
      <c r="T1934" s="1" t="str">
        <f>IF(ISERROR(VLOOKUP(S1934,'unique org names'!A:C,3,FALSE)),S1934,VLOOKUP(S1934,'unique org names'!A:C,3,FALSE))
</f>
        <v>Quality Child Care &amp; Learning Center I</v>
      </c>
      <c r="V1934" s="1" t="s">
        <v>3273</v>
      </c>
      <c r="W1934" s="1" t="s">
        <v>44</v>
      </c>
      <c r="X1934" s="1" t="s">
        <v>45</v>
      </c>
      <c r="Y1934" s="1">
        <v>4.82342111E8</v>
      </c>
      <c r="AA1934" s="1" t="s">
        <v>46</v>
      </c>
      <c r="AB1934" s="1" t="s">
        <v>45</v>
      </c>
      <c r="AC1934" s="1">
        <v>4.8234E8</v>
      </c>
      <c r="AF1934" s="1">
        <v>49774.15</v>
      </c>
      <c r="AG1934" s="2">
        <v>41928.0</v>
      </c>
      <c r="AH1934" s="1">
        <v>1200.0</v>
      </c>
      <c r="AI1934" s="1" t="s">
        <v>647</v>
      </c>
      <c r="AJ1934" s="1" t="s">
        <v>3591</v>
      </c>
      <c r="AK1934" s="1" t="s">
        <v>712</v>
      </c>
      <c r="AL1934" s="1">
        <v>1.0</v>
      </c>
      <c r="AM1934" s="1">
        <v>2015.0</v>
      </c>
      <c r="AN1934" s="1">
        <v>2015.0</v>
      </c>
      <c r="AO1934" s="1" t="s">
        <v>713</v>
      </c>
    </row>
    <row r="1935">
      <c r="A1935" s="5">
        <v>1.0</v>
      </c>
      <c r="B1935" s="1">
        <f t="shared" si="1"/>
        <v>1935</v>
      </c>
      <c r="C1935" s="1" t="s">
        <v>3515</v>
      </c>
      <c r="D1935" s="1" t="s">
        <v>3515</v>
      </c>
      <c r="E1935" s="1" t="s">
        <v>645</v>
      </c>
      <c r="G1935" s="1">
        <v>4.64793056E8</v>
      </c>
      <c r="H1935" s="2">
        <v>41921.0</v>
      </c>
      <c r="I1935" s="1" t="s">
        <v>710</v>
      </c>
      <c r="K1935" s="1" t="s">
        <v>710</v>
      </c>
      <c r="N1935" s="1" t="s">
        <v>647</v>
      </c>
      <c r="O1935" s="1">
        <v>1200.0</v>
      </c>
      <c r="P1935" s="1" t="s">
        <v>647</v>
      </c>
      <c r="Q1935" s="1" t="str">
        <f>IF(ISERROR(VLOOKUP(P1935,'unique fed agency names'!A:C,3,FALSE)),P1935,VLOOKUP(P1935,'unique fed agency names'!A:C,3,FALSE))
</f>
        <v>U.S. Department of Agriculture (USDA)</v>
      </c>
      <c r="R1935" s="1">
        <v>6.10593329E8</v>
      </c>
      <c r="S1935" s="1" t="s">
        <v>926</v>
      </c>
      <c r="T1935" s="1" t="str">
        <f>IF(ISERROR(VLOOKUP(S1935,'unique org names'!A:C,3,FALSE)),S1935,VLOOKUP(S1935,'unique org names'!A:C,3,FALSE))
</f>
        <v>Babes In The Woods Child Development Inc</v>
      </c>
      <c r="V1935" s="1" t="s">
        <v>927</v>
      </c>
      <c r="W1935" s="1" t="s">
        <v>44</v>
      </c>
      <c r="X1935" s="1" t="s">
        <v>45</v>
      </c>
      <c r="Y1935" s="1">
        <v>4.82353325E8</v>
      </c>
      <c r="AA1935" s="1" t="s">
        <v>928</v>
      </c>
      <c r="AB1935" s="1" t="s">
        <v>45</v>
      </c>
      <c r="AC1935" s="1">
        <v>4.80761694E8</v>
      </c>
      <c r="AD1935" s="1">
        <v>8.5899409E7</v>
      </c>
      <c r="AE1935" s="1" t="s">
        <v>3592</v>
      </c>
      <c r="AF1935" s="1">
        <v>45995.03</v>
      </c>
      <c r="AG1935" s="2">
        <v>41921.0</v>
      </c>
      <c r="AH1935" s="1">
        <v>1200.0</v>
      </c>
      <c r="AI1935" s="1" t="s">
        <v>647</v>
      </c>
      <c r="AJ1935" s="1" t="s">
        <v>3593</v>
      </c>
      <c r="AK1935" s="1" t="s">
        <v>712</v>
      </c>
      <c r="AL1935" s="1">
        <v>1.0</v>
      </c>
      <c r="AM1935" s="1">
        <v>2015.0</v>
      </c>
      <c r="AN1935" s="1">
        <v>2015.0</v>
      </c>
      <c r="AO1935" s="1" t="s">
        <v>713</v>
      </c>
    </row>
    <row r="1936">
      <c r="A1936" s="5">
        <v>1.0</v>
      </c>
      <c r="B1936" s="1">
        <f t="shared" si="1"/>
        <v>1936</v>
      </c>
      <c r="C1936" s="1" t="s">
        <v>3515</v>
      </c>
      <c r="D1936" s="1" t="s">
        <v>3515</v>
      </c>
      <c r="E1936" s="1" t="s">
        <v>645</v>
      </c>
      <c r="G1936" s="1">
        <v>4.64793056E8</v>
      </c>
      <c r="H1936" s="2">
        <v>41921.0</v>
      </c>
      <c r="I1936" s="1" t="s">
        <v>710</v>
      </c>
      <c r="K1936" s="1" t="s">
        <v>710</v>
      </c>
      <c r="N1936" s="1" t="s">
        <v>647</v>
      </c>
      <c r="O1936" s="1">
        <v>1200.0</v>
      </c>
      <c r="P1936" s="1" t="s">
        <v>647</v>
      </c>
      <c r="Q1936" s="1" t="str">
        <f>IF(ISERROR(VLOOKUP(P1936,'unique fed agency names'!A:C,3,FALSE)),P1936,VLOOKUP(P1936,'unique fed agency names'!A:C,3,FALSE))
</f>
        <v>U.S. Department of Agriculture (USDA)</v>
      </c>
      <c r="R1936" s="1">
        <v>1.9366103E8</v>
      </c>
      <c r="S1936" s="1" t="s">
        <v>943</v>
      </c>
      <c r="T1936" s="1" t="str">
        <f>IF(ISERROR(VLOOKUP(S1936,'unique org names'!A:C,3,FALSE)),S1936,VLOOKUP(S1936,'unique org names'!A:C,3,FALSE))
</f>
        <v>H &amp; G CHAPMAN INC</v>
      </c>
      <c r="U1936" s="1" t="s">
        <v>944</v>
      </c>
      <c r="V1936" s="1" t="s">
        <v>945</v>
      </c>
      <c r="W1936" s="1" t="s">
        <v>44</v>
      </c>
      <c r="X1936" s="1" t="s">
        <v>45</v>
      </c>
      <c r="Y1936" s="1">
        <v>4.82282283E8</v>
      </c>
      <c r="AA1936" s="1" t="s">
        <v>44</v>
      </c>
      <c r="AB1936" s="1" t="s">
        <v>45</v>
      </c>
      <c r="AC1936" s="1">
        <v>4.82282283E8</v>
      </c>
      <c r="AD1936" s="1">
        <v>8.4570431E7</v>
      </c>
      <c r="AE1936" s="1" t="s">
        <v>3594</v>
      </c>
      <c r="AF1936" s="1">
        <v>48475.08</v>
      </c>
      <c r="AG1936" s="2">
        <v>41921.0</v>
      </c>
      <c r="AH1936" s="1">
        <v>1200.0</v>
      </c>
      <c r="AI1936" s="1" t="s">
        <v>647</v>
      </c>
      <c r="AJ1936" s="1" t="s">
        <v>3595</v>
      </c>
      <c r="AK1936" s="1" t="s">
        <v>712</v>
      </c>
      <c r="AL1936" s="1">
        <v>1.0</v>
      </c>
      <c r="AM1936" s="1">
        <v>2015.0</v>
      </c>
      <c r="AN1936" s="1">
        <v>2015.0</v>
      </c>
      <c r="AO1936" s="1" t="s">
        <v>713</v>
      </c>
    </row>
    <row r="1937">
      <c r="A1937" s="5">
        <v>1.0</v>
      </c>
      <c r="B1937" s="1">
        <f t="shared" si="1"/>
        <v>1937</v>
      </c>
      <c r="C1937" s="1" t="s">
        <v>3515</v>
      </c>
      <c r="D1937" s="1" t="s">
        <v>3515</v>
      </c>
      <c r="E1937" s="1" t="s">
        <v>645</v>
      </c>
      <c r="G1937" s="1">
        <v>4.64793056E8</v>
      </c>
      <c r="H1937" s="2">
        <v>41977.0</v>
      </c>
      <c r="I1937" s="1" t="s">
        <v>710</v>
      </c>
      <c r="K1937" s="1" t="s">
        <v>710</v>
      </c>
      <c r="N1937" s="1" t="s">
        <v>647</v>
      </c>
      <c r="O1937" s="1">
        <v>1200.0</v>
      </c>
      <c r="P1937" s="1" t="s">
        <v>647</v>
      </c>
      <c r="Q1937" s="1" t="str">
        <f>IF(ISERROR(VLOOKUP(P1937,'unique fed agency names'!A:C,3,FALSE)),P1937,VLOOKUP(P1937,'unique fed agency names'!A:C,3,FALSE))
</f>
        <v>U.S. Department of Agriculture (USDA)</v>
      </c>
      <c r="R1937" s="1">
        <v>1.6338926E8</v>
      </c>
      <c r="S1937" s="1" t="s">
        <v>465</v>
      </c>
      <c r="T1937" s="1" t="str">
        <f>IF(ISERROR(VLOOKUP(S1937,'unique org names'!A:C,3,FALSE)),S1937,VLOOKUP(S1937,'unique org names'!A:C,3,FALSE))
</f>
        <v>Public School Academies of Detroit</v>
      </c>
      <c r="U1937" s="1" t="s">
        <v>598</v>
      </c>
      <c r="V1937" s="1" t="s">
        <v>599</v>
      </c>
      <c r="W1937" s="1" t="s">
        <v>44</v>
      </c>
      <c r="X1937" s="1" t="s">
        <v>45</v>
      </c>
      <c r="Y1937" s="1">
        <v>4.82023457E8</v>
      </c>
      <c r="AA1937" s="1" t="s">
        <v>44</v>
      </c>
      <c r="AB1937" s="1" t="s">
        <v>45</v>
      </c>
      <c r="AC1937" s="1">
        <v>4.82023457E8</v>
      </c>
      <c r="AD1937" s="1">
        <v>1.6338926E8</v>
      </c>
      <c r="AE1937" s="1" t="s">
        <v>465</v>
      </c>
      <c r="AF1937" s="1">
        <v>466300.5</v>
      </c>
      <c r="AG1937" s="2">
        <v>41977.0</v>
      </c>
      <c r="AH1937" s="1">
        <v>1200.0</v>
      </c>
      <c r="AI1937" s="1" t="s">
        <v>647</v>
      </c>
      <c r="AJ1937" s="1" t="s">
        <v>3596</v>
      </c>
      <c r="AK1937" s="1" t="s">
        <v>712</v>
      </c>
      <c r="AL1937" s="1">
        <v>1.0</v>
      </c>
      <c r="AM1937" s="1">
        <v>2015.0</v>
      </c>
      <c r="AN1937" s="1">
        <v>2015.0</v>
      </c>
      <c r="AO1937" s="1" t="s">
        <v>713</v>
      </c>
    </row>
    <row r="1938">
      <c r="A1938" s="5">
        <v>1.0</v>
      </c>
      <c r="B1938" s="1">
        <f t="shared" si="1"/>
        <v>1938</v>
      </c>
      <c r="C1938" s="1" t="s">
        <v>3515</v>
      </c>
      <c r="D1938" s="1" t="s">
        <v>3515</v>
      </c>
      <c r="E1938" s="1" t="s">
        <v>645</v>
      </c>
      <c r="G1938" s="1">
        <v>4.64793056E8</v>
      </c>
      <c r="H1938" s="2">
        <v>41935.0</v>
      </c>
      <c r="I1938" s="1" t="s">
        <v>710</v>
      </c>
      <c r="K1938" s="1" t="s">
        <v>710</v>
      </c>
      <c r="N1938" s="1" t="s">
        <v>647</v>
      </c>
      <c r="O1938" s="1">
        <v>1200.0</v>
      </c>
      <c r="P1938" s="1" t="s">
        <v>647</v>
      </c>
      <c r="Q1938" s="1" t="str">
        <f>IF(ISERROR(VLOOKUP(P1938,'unique fed agency names'!A:C,3,FALSE)),P1938,VLOOKUP(P1938,'unique fed agency names'!A:C,3,FALSE))
</f>
        <v>U.S. Department of Agriculture (USDA)</v>
      </c>
      <c r="R1938" s="1">
        <v>1.52807538E8</v>
      </c>
      <c r="S1938" s="1" t="s">
        <v>591</v>
      </c>
      <c r="T1938" s="1" t="str">
        <f>IF(ISERROR(VLOOKUP(S1938,'unique org names'!A:C,3,FALSE)),S1938,VLOOKUP(S1938,'unique org names'!A:C,3,FALSE))
</f>
        <v>WESTON TECHNICAL ACADEMY</v>
      </c>
      <c r="V1938" s="1" t="s">
        <v>592</v>
      </c>
      <c r="W1938" s="1" t="s">
        <v>44</v>
      </c>
      <c r="X1938" s="1" t="s">
        <v>45</v>
      </c>
      <c r="Y1938" s="1">
        <v>4.82191161E8</v>
      </c>
      <c r="AA1938" s="1" t="s">
        <v>44</v>
      </c>
      <c r="AB1938" s="1" t="s">
        <v>45</v>
      </c>
      <c r="AC1938" s="1">
        <v>4.82191161E8</v>
      </c>
      <c r="AD1938" s="1">
        <v>2.084564E7</v>
      </c>
      <c r="AE1938" s="1" t="s">
        <v>3597</v>
      </c>
      <c r="AF1938" s="1">
        <v>31121.06</v>
      </c>
      <c r="AG1938" s="2">
        <v>41935.0</v>
      </c>
      <c r="AH1938" s="1">
        <v>1200.0</v>
      </c>
      <c r="AI1938" s="1" t="s">
        <v>647</v>
      </c>
      <c r="AJ1938" s="1" t="s">
        <v>3598</v>
      </c>
      <c r="AK1938" s="1" t="s">
        <v>712</v>
      </c>
      <c r="AL1938" s="1">
        <v>1.0</v>
      </c>
      <c r="AM1938" s="1">
        <v>2015.0</v>
      </c>
      <c r="AN1938" s="1">
        <v>2015.0</v>
      </c>
      <c r="AO1938" s="1" t="s">
        <v>713</v>
      </c>
    </row>
    <row r="1939">
      <c r="A1939" s="5">
        <v>1.0</v>
      </c>
      <c r="B1939" s="1">
        <f t="shared" si="1"/>
        <v>1939</v>
      </c>
      <c r="C1939" s="1" t="s">
        <v>3515</v>
      </c>
      <c r="D1939" s="1" t="s">
        <v>3515</v>
      </c>
      <c r="E1939" s="1" t="s">
        <v>645</v>
      </c>
      <c r="G1939" s="1">
        <v>4.64793056E8</v>
      </c>
      <c r="H1939" s="2">
        <v>41942.0</v>
      </c>
      <c r="I1939" s="1" t="s">
        <v>710</v>
      </c>
      <c r="K1939" s="1" t="s">
        <v>710</v>
      </c>
      <c r="N1939" s="1" t="s">
        <v>647</v>
      </c>
      <c r="O1939" s="1">
        <v>1200.0</v>
      </c>
      <c r="P1939" s="1" t="s">
        <v>647</v>
      </c>
      <c r="Q1939" s="1" t="str">
        <f>IF(ISERROR(VLOOKUP(P1939,'unique fed agency names'!A:C,3,FALSE)),P1939,VLOOKUP(P1939,'unique fed agency names'!A:C,3,FALSE))
</f>
        <v>U.S. Department of Agriculture (USDA)</v>
      </c>
      <c r="R1939" s="1">
        <v>1.47777952E8</v>
      </c>
      <c r="S1939" s="1" t="s">
        <v>459</v>
      </c>
      <c r="T1939" s="1" t="str">
        <f>IF(ISERROR(VLOOKUP(S1939,'unique org names'!A:C,3,FALSE)),S1939,VLOOKUP(S1939,'unique org names'!A:C,3,FALSE))
</f>
        <v>DETROIT PUBLIC SCHOOLS</v>
      </c>
      <c r="U1939" s="1" t="s">
        <v>626</v>
      </c>
      <c r="V1939" s="1" t="s">
        <v>627</v>
      </c>
      <c r="W1939" s="1" t="s">
        <v>44</v>
      </c>
      <c r="X1939" s="1" t="s">
        <v>45</v>
      </c>
      <c r="Y1939" s="1">
        <v>4.82072112E8</v>
      </c>
      <c r="AA1939" s="1" t="s">
        <v>44</v>
      </c>
      <c r="AB1939" s="1" t="s">
        <v>45</v>
      </c>
      <c r="AC1939" s="1">
        <v>4.82072112E8</v>
      </c>
      <c r="AD1939" s="1">
        <v>7.6340843E7</v>
      </c>
      <c r="AE1939" s="1" t="s">
        <v>461</v>
      </c>
      <c r="AF1939" s="1">
        <v>257375.35</v>
      </c>
      <c r="AG1939" s="2">
        <v>41942.0</v>
      </c>
      <c r="AH1939" s="1">
        <v>1200.0</v>
      </c>
      <c r="AI1939" s="1" t="s">
        <v>647</v>
      </c>
      <c r="AJ1939" s="1" t="s">
        <v>3599</v>
      </c>
      <c r="AK1939" s="1" t="s">
        <v>712</v>
      </c>
      <c r="AL1939" s="1">
        <v>1.0</v>
      </c>
      <c r="AM1939" s="1">
        <v>2015.0</v>
      </c>
      <c r="AN1939" s="1">
        <v>2015.0</v>
      </c>
      <c r="AO1939" s="1" t="s">
        <v>713</v>
      </c>
    </row>
    <row r="1940">
      <c r="A1940" s="5">
        <v>1.0</v>
      </c>
      <c r="B1940" s="1">
        <f t="shared" si="1"/>
        <v>1940</v>
      </c>
      <c r="C1940" s="1" t="s">
        <v>3515</v>
      </c>
      <c r="D1940" s="1" t="s">
        <v>3515</v>
      </c>
      <c r="E1940" s="1" t="s">
        <v>645</v>
      </c>
      <c r="G1940" s="1">
        <v>4.64793056E8</v>
      </c>
      <c r="H1940" s="2">
        <v>41921.0</v>
      </c>
      <c r="I1940" s="1" t="s">
        <v>710</v>
      </c>
      <c r="K1940" s="1" t="s">
        <v>710</v>
      </c>
      <c r="N1940" s="1" t="s">
        <v>647</v>
      </c>
      <c r="O1940" s="1">
        <v>1200.0</v>
      </c>
      <c r="P1940" s="1" t="s">
        <v>647</v>
      </c>
      <c r="Q1940" s="1" t="str">
        <f>IF(ISERROR(VLOOKUP(P1940,'unique fed agency names'!A:C,3,FALSE)),P1940,VLOOKUP(P1940,'unique fed agency names'!A:C,3,FALSE))
</f>
        <v>U.S. Department of Agriculture (USDA)</v>
      </c>
      <c r="R1940" s="1">
        <v>1.38064923E8</v>
      </c>
      <c r="S1940" s="1" t="s">
        <v>585</v>
      </c>
      <c r="T1940" s="1" t="str">
        <f>IF(ISERROR(VLOOKUP(S1940,'unique org names'!A:C,3,FALSE)),S1940,VLOOKUP(S1940,'unique org names'!A:C,3,FALSE))
</f>
        <v>DETROIT MERIT CHARTER ACADEMY</v>
      </c>
      <c r="V1940" s="1" t="s">
        <v>586</v>
      </c>
      <c r="W1940" s="1" t="s">
        <v>44</v>
      </c>
      <c r="X1940" s="1" t="s">
        <v>45</v>
      </c>
      <c r="Y1940" s="1">
        <v>4.82152861E8</v>
      </c>
      <c r="AA1940" s="1" t="s">
        <v>44</v>
      </c>
      <c r="AB1940" s="1" t="s">
        <v>45</v>
      </c>
      <c r="AC1940" s="1">
        <v>4.82152861E8</v>
      </c>
      <c r="AD1940" s="1">
        <v>9.60742484E8</v>
      </c>
      <c r="AF1940" s="1">
        <v>104590.48</v>
      </c>
      <c r="AG1940" s="2">
        <v>41921.0</v>
      </c>
      <c r="AH1940" s="1">
        <v>1200.0</v>
      </c>
      <c r="AI1940" s="1" t="s">
        <v>647</v>
      </c>
      <c r="AJ1940" s="1" t="s">
        <v>3600</v>
      </c>
      <c r="AK1940" s="1" t="s">
        <v>712</v>
      </c>
      <c r="AL1940" s="1">
        <v>1.0</v>
      </c>
      <c r="AM1940" s="1">
        <v>2015.0</v>
      </c>
      <c r="AN1940" s="1">
        <v>2015.0</v>
      </c>
      <c r="AO1940" s="1" t="s">
        <v>713</v>
      </c>
    </row>
    <row r="1941">
      <c r="A1941" s="5">
        <v>1.0</v>
      </c>
      <c r="B1941" s="1">
        <f t="shared" si="1"/>
        <v>1941</v>
      </c>
      <c r="C1941" s="1" t="s">
        <v>3515</v>
      </c>
      <c r="D1941" s="1" t="s">
        <v>3515</v>
      </c>
      <c r="E1941" s="1" t="s">
        <v>645</v>
      </c>
      <c r="G1941" s="1">
        <v>4.64793056E8</v>
      </c>
      <c r="H1941" s="2">
        <v>41977.0</v>
      </c>
      <c r="I1941" s="1" t="s">
        <v>710</v>
      </c>
      <c r="K1941" s="1" t="s">
        <v>710</v>
      </c>
      <c r="N1941" s="1" t="s">
        <v>647</v>
      </c>
      <c r="O1941" s="1">
        <v>1200.0</v>
      </c>
      <c r="P1941" s="1" t="s">
        <v>647</v>
      </c>
      <c r="Q1941" s="1" t="str">
        <f>IF(ISERROR(VLOOKUP(P1941,'unique fed agency names'!A:C,3,FALSE)),P1941,VLOOKUP(P1941,'unique fed agency names'!A:C,3,FALSE))
</f>
        <v>U.S. Department of Agriculture (USDA)</v>
      </c>
      <c r="R1941" s="1">
        <v>1.36900474E8</v>
      </c>
      <c r="S1941" s="1" t="s">
        <v>930</v>
      </c>
      <c r="T1941" s="1" t="str">
        <f>IF(ISERROR(VLOOKUP(S1941,'unique org names'!A:C,3,FALSE)),S1941,VLOOKUP(S1941,'unique org names'!A:C,3,FALSE))
</f>
        <v>Busy Minds Child Care Center Inc.</v>
      </c>
      <c r="V1941" s="1" t="s">
        <v>931</v>
      </c>
      <c r="W1941" s="1" t="s">
        <v>44</v>
      </c>
      <c r="X1941" s="1" t="s">
        <v>45</v>
      </c>
      <c r="Y1941" s="1">
        <v>4.82281222E8</v>
      </c>
      <c r="AA1941" s="1" t="s">
        <v>44</v>
      </c>
      <c r="AB1941" s="1" t="s">
        <v>45</v>
      </c>
      <c r="AC1941" s="1">
        <v>4.82281222E8</v>
      </c>
      <c r="AD1941" s="1">
        <v>4912929.0</v>
      </c>
      <c r="AF1941" s="1">
        <v>34641.76</v>
      </c>
      <c r="AG1941" s="2">
        <v>41977.0</v>
      </c>
      <c r="AH1941" s="1">
        <v>1200.0</v>
      </c>
      <c r="AI1941" s="1" t="s">
        <v>647</v>
      </c>
      <c r="AJ1941" s="1" t="s">
        <v>3601</v>
      </c>
      <c r="AK1941" s="1" t="s">
        <v>712</v>
      </c>
      <c r="AL1941" s="1">
        <v>1.0</v>
      </c>
      <c r="AM1941" s="1">
        <v>2015.0</v>
      </c>
      <c r="AN1941" s="1">
        <v>2015.0</v>
      </c>
      <c r="AO1941" s="1" t="s">
        <v>713</v>
      </c>
    </row>
    <row r="1942">
      <c r="A1942" s="5">
        <v>1.0</v>
      </c>
      <c r="B1942" s="1">
        <f t="shared" si="1"/>
        <v>1942</v>
      </c>
      <c r="C1942" s="1" t="s">
        <v>3515</v>
      </c>
      <c r="D1942" s="1" t="s">
        <v>3515</v>
      </c>
      <c r="E1942" s="1" t="s">
        <v>645</v>
      </c>
      <c r="G1942" s="1">
        <v>4.64793056E8</v>
      </c>
      <c r="H1942" s="2">
        <v>41914.0</v>
      </c>
      <c r="I1942" s="1" t="s">
        <v>710</v>
      </c>
      <c r="K1942" s="1" t="s">
        <v>710</v>
      </c>
      <c r="N1942" s="1" t="s">
        <v>647</v>
      </c>
      <c r="O1942" s="1">
        <v>1200.0</v>
      </c>
      <c r="P1942" s="1" t="s">
        <v>647</v>
      </c>
      <c r="Q1942" s="1" t="str">
        <f>IF(ISERROR(VLOOKUP(P1942,'unique fed agency names'!A:C,3,FALSE)),P1942,VLOOKUP(P1942,'unique fed agency names'!A:C,3,FALSE))
</f>
        <v>U.S. Department of Agriculture (USDA)</v>
      </c>
      <c r="R1942" s="1">
        <v>7.6340843E7</v>
      </c>
      <c r="S1942" s="1" t="s">
        <v>461</v>
      </c>
      <c r="T1942" s="1" t="str">
        <f>IF(ISERROR(VLOOKUP(S1942,'unique org names'!A:C,3,FALSE)),S1942,VLOOKUP(S1942,'unique org names'!A:C,3,FALSE))
</f>
        <v>BOARD OF EDUCATION OF THE CITY OF DETROIT</v>
      </c>
      <c r="V1942" s="1" t="s">
        <v>1599</v>
      </c>
      <c r="W1942" s="1" t="s">
        <v>44</v>
      </c>
      <c r="X1942" s="1" t="s">
        <v>45</v>
      </c>
      <c r="Y1942" s="1">
        <v>4.8202301E8</v>
      </c>
      <c r="AA1942" s="1" t="s">
        <v>44</v>
      </c>
      <c r="AB1942" s="1" t="s">
        <v>45</v>
      </c>
      <c r="AC1942" s="1">
        <v>4.82023096E8</v>
      </c>
      <c r="AD1942" s="1">
        <v>7.6340843E7</v>
      </c>
      <c r="AE1942" s="1" t="s">
        <v>461</v>
      </c>
      <c r="AF1942" s="1">
        <v>102185.61</v>
      </c>
      <c r="AG1942" s="2">
        <v>41914.0</v>
      </c>
      <c r="AH1942" s="1">
        <v>1200.0</v>
      </c>
      <c r="AI1942" s="1" t="s">
        <v>647</v>
      </c>
      <c r="AJ1942" s="1" t="s">
        <v>3602</v>
      </c>
      <c r="AK1942" s="1" t="s">
        <v>712</v>
      </c>
      <c r="AL1942" s="1">
        <v>1.0</v>
      </c>
      <c r="AM1942" s="1">
        <v>2015.0</v>
      </c>
      <c r="AN1942" s="1">
        <v>2015.0</v>
      </c>
      <c r="AO1942" s="1" t="s">
        <v>713</v>
      </c>
    </row>
    <row r="1943">
      <c r="A1943" s="5">
        <v>1.0</v>
      </c>
      <c r="B1943" s="1">
        <f t="shared" si="1"/>
        <v>1943</v>
      </c>
      <c r="C1943" s="1" t="s">
        <v>3515</v>
      </c>
      <c r="D1943" s="1" t="s">
        <v>3515</v>
      </c>
      <c r="E1943" s="1" t="s">
        <v>645</v>
      </c>
      <c r="G1943" s="1">
        <v>4.64793056E8</v>
      </c>
      <c r="H1943" s="2">
        <v>41928.0</v>
      </c>
      <c r="I1943" s="1" t="s">
        <v>710</v>
      </c>
      <c r="K1943" s="1" t="s">
        <v>710</v>
      </c>
      <c r="N1943" s="1" t="s">
        <v>647</v>
      </c>
      <c r="O1943" s="1">
        <v>1200.0</v>
      </c>
      <c r="P1943" s="1" t="s">
        <v>647</v>
      </c>
      <c r="Q1943" s="1" t="str">
        <f>IF(ISERROR(VLOOKUP(P1943,'unique fed agency names'!A:C,3,FALSE)),P1943,VLOOKUP(P1943,'unique fed agency names'!A:C,3,FALSE))
</f>
        <v>U.S. Department of Agriculture (USDA)</v>
      </c>
      <c r="R1943" s="1">
        <v>1.17726252E8</v>
      </c>
      <c r="S1943" s="1" t="s">
        <v>512</v>
      </c>
      <c r="T1943" s="1" t="str">
        <f>IF(ISERROR(VLOOKUP(S1943,'unique org names'!A:C,3,FALSE)),S1943,VLOOKUP(S1943,'unique org names'!A:C,3,FALSE))
</f>
        <v>OLD REDFORD ACADEMY</v>
      </c>
      <c r="U1943" s="1" t="s">
        <v>944</v>
      </c>
      <c r="V1943" s="1" t="s">
        <v>513</v>
      </c>
      <c r="W1943" s="1" t="s">
        <v>44</v>
      </c>
      <c r="X1943" s="1" t="s">
        <v>45</v>
      </c>
      <c r="Y1943" s="1">
        <v>4.82193259E8</v>
      </c>
      <c r="AA1943" s="1" t="s">
        <v>44</v>
      </c>
      <c r="AB1943" s="1" t="s">
        <v>45</v>
      </c>
      <c r="AC1943" s="1">
        <v>4.82193259E8</v>
      </c>
      <c r="AF1943" s="1">
        <v>782750.24</v>
      </c>
      <c r="AG1943" s="2">
        <v>41928.0</v>
      </c>
      <c r="AH1943" s="1">
        <v>1200.0</v>
      </c>
      <c r="AI1943" s="1" t="s">
        <v>647</v>
      </c>
      <c r="AJ1943" s="1" t="s">
        <v>3603</v>
      </c>
      <c r="AK1943" s="1" t="s">
        <v>712</v>
      </c>
      <c r="AL1943" s="1">
        <v>1.0</v>
      </c>
      <c r="AM1943" s="1">
        <v>2015.0</v>
      </c>
      <c r="AN1943" s="1">
        <v>2015.0</v>
      </c>
      <c r="AO1943" s="1" t="s">
        <v>713</v>
      </c>
    </row>
    <row r="1944">
      <c r="A1944" s="5">
        <v>1.0</v>
      </c>
      <c r="B1944" s="1">
        <f t="shared" si="1"/>
        <v>1944</v>
      </c>
      <c r="C1944" s="1" t="s">
        <v>3515</v>
      </c>
      <c r="D1944" s="1" t="s">
        <v>3515</v>
      </c>
      <c r="E1944" s="1" t="s">
        <v>645</v>
      </c>
      <c r="G1944" s="1">
        <v>4.64793056E8</v>
      </c>
      <c r="H1944" s="2">
        <v>41919.0</v>
      </c>
      <c r="I1944" s="1" t="s">
        <v>710</v>
      </c>
      <c r="K1944" s="1" t="s">
        <v>710</v>
      </c>
      <c r="N1944" s="1" t="s">
        <v>647</v>
      </c>
      <c r="O1944" s="1">
        <v>1200.0</v>
      </c>
      <c r="P1944" s="1" t="s">
        <v>647</v>
      </c>
      <c r="Q1944" s="1" t="str">
        <f>IF(ISERROR(VLOOKUP(P1944,'unique fed agency names'!A:C,3,FALSE)),P1944,VLOOKUP(P1944,'unique fed agency names'!A:C,3,FALSE))
</f>
        <v>U.S. Department of Agriculture (USDA)</v>
      </c>
      <c r="R1944" s="1">
        <v>7.3832607E7</v>
      </c>
      <c r="S1944" s="1" t="s">
        <v>482</v>
      </c>
      <c r="T1944" s="1" t="str">
        <f>IF(ISERROR(VLOOKUP(S1944,'unique org names'!A:C,3,FALSE)),S1944,VLOOKUP(S1944,'unique org names'!A:C,3,FALSE))
</f>
        <v>DETROIT ACADEMY OF ARTS AND SCIENCES</v>
      </c>
      <c r="V1944" s="1" t="s">
        <v>483</v>
      </c>
      <c r="W1944" s="1" t="s">
        <v>44</v>
      </c>
      <c r="X1944" s="1" t="s">
        <v>45</v>
      </c>
      <c r="Y1944" s="1">
        <v>4.82074288E8</v>
      </c>
      <c r="AA1944" s="1" t="s">
        <v>44</v>
      </c>
      <c r="AB1944" s="1" t="s">
        <v>45</v>
      </c>
      <c r="AC1944" s="1">
        <v>4.82074288E8</v>
      </c>
      <c r="AD1944" s="1">
        <v>3.9867049E7</v>
      </c>
      <c r="AE1944" s="1" t="s">
        <v>3604</v>
      </c>
      <c r="AF1944" s="1">
        <v>398167.11</v>
      </c>
      <c r="AG1944" s="2">
        <v>41919.0</v>
      </c>
      <c r="AH1944" s="1">
        <v>1200.0</v>
      </c>
      <c r="AI1944" s="1" t="s">
        <v>647</v>
      </c>
      <c r="AJ1944" s="1" t="s">
        <v>3605</v>
      </c>
      <c r="AK1944" s="1" t="s">
        <v>712</v>
      </c>
      <c r="AL1944" s="1">
        <v>1.0</v>
      </c>
      <c r="AM1944" s="1">
        <v>2015.0</v>
      </c>
      <c r="AN1944" s="1">
        <v>2015.0</v>
      </c>
      <c r="AO1944" s="1" t="s">
        <v>713</v>
      </c>
    </row>
    <row r="1945">
      <c r="A1945" s="5">
        <v>1.0</v>
      </c>
      <c r="B1945" s="1">
        <f t="shared" si="1"/>
        <v>1945</v>
      </c>
      <c r="C1945" s="1" t="s">
        <v>3606</v>
      </c>
      <c r="D1945" s="1" t="s">
        <v>3606</v>
      </c>
      <c r="E1945" s="1" t="s">
        <v>194</v>
      </c>
      <c r="G1945" s="1">
        <v>1.1819503E7</v>
      </c>
      <c r="H1945" s="2">
        <v>41962.0</v>
      </c>
      <c r="I1945" s="1" t="s">
        <v>1905</v>
      </c>
      <c r="K1945" s="1" t="s">
        <v>1905</v>
      </c>
      <c r="N1945" s="1" t="s">
        <v>194</v>
      </c>
      <c r="O1945" s="1">
        <v>9100.0</v>
      </c>
      <c r="P1945" s="1" t="s">
        <v>194</v>
      </c>
      <c r="Q1945" s="1" t="str">
        <f>IF(ISERROR(VLOOKUP(P1945,'unique fed agency names'!A:C,3,FALSE)),P1945,VLOOKUP(P1945,'unique fed agency names'!A:C,3,FALSE))
</f>
        <v>U.S. Department of Education (ED)</v>
      </c>
      <c r="R1945" s="1">
        <v>1962224.0</v>
      </c>
      <c r="S1945" s="1" t="s">
        <v>52</v>
      </c>
      <c r="T1945" s="1" t="str">
        <f>IF(ISERROR(VLOOKUP(S1945,'unique org names'!A:C,3,FALSE)),S1945,VLOOKUP(S1945,'unique org names'!A:C,3,FALSE))
</f>
        <v>WAYNE STATE UNIVERSITY</v>
      </c>
      <c r="V1945" s="1" t="s">
        <v>1885</v>
      </c>
      <c r="W1945" s="1" t="s">
        <v>44</v>
      </c>
      <c r="X1945" s="1" t="s">
        <v>45</v>
      </c>
      <c r="Y1945" s="1">
        <v>4.82021347E8</v>
      </c>
      <c r="AA1945" s="1" t="s">
        <v>44</v>
      </c>
      <c r="AB1945" s="1" t="s">
        <v>45</v>
      </c>
      <c r="AC1945" s="1">
        <v>4.82023424E8</v>
      </c>
      <c r="AD1945" s="1">
        <v>1962224.0</v>
      </c>
      <c r="AE1945" s="1" t="s">
        <v>52</v>
      </c>
      <c r="AF1945" s="1">
        <v>325543.0</v>
      </c>
      <c r="AG1945" s="2">
        <v>41962.0</v>
      </c>
      <c r="AH1945" s="1">
        <v>9100.0</v>
      </c>
      <c r="AI1945" s="1" t="s">
        <v>194</v>
      </c>
      <c r="AJ1945" s="1" t="s">
        <v>3607</v>
      </c>
      <c r="AK1945" s="1" t="s">
        <v>1907</v>
      </c>
      <c r="AL1945" s="1">
        <v>1.0</v>
      </c>
      <c r="AM1945" s="1">
        <v>2015.0</v>
      </c>
      <c r="AN1945" s="1">
        <v>2015.0</v>
      </c>
      <c r="AO1945" s="1" t="s">
        <v>1908</v>
      </c>
    </row>
    <row r="1946">
      <c r="A1946" s="5">
        <v>1.0</v>
      </c>
      <c r="B1946" s="1">
        <f t="shared" si="1"/>
        <v>1946</v>
      </c>
      <c r="C1946" s="1" t="s">
        <v>3515</v>
      </c>
      <c r="D1946" s="1" t="s">
        <v>3515</v>
      </c>
      <c r="E1946" s="1" t="s">
        <v>645</v>
      </c>
      <c r="G1946" s="1">
        <v>4.64793056E8</v>
      </c>
      <c r="H1946" s="2">
        <v>41851.0</v>
      </c>
      <c r="I1946" s="1" t="s">
        <v>710</v>
      </c>
      <c r="K1946" s="1" t="s">
        <v>710</v>
      </c>
      <c r="N1946" s="1" t="s">
        <v>647</v>
      </c>
      <c r="O1946" s="1">
        <v>1200.0</v>
      </c>
      <c r="P1946" s="1" t="s">
        <v>647</v>
      </c>
      <c r="Q1946" s="1" t="str">
        <f>IF(ISERROR(VLOOKUP(P1946,'unique fed agency names'!A:C,3,FALSE)),P1946,VLOOKUP(P1946,'unique fed agency names'!A:C,3,FALSE))
</f>
        <v>U.S. Department of Agriculture (USDA)</v>
      </c>
      <c r="R1946" s="1">
        <v>9.69821029E8</v>
      </c>
      <c r="S1946" s="1" t="s">
        <v>862</v>
      </c>
      <c r="T1946" s="1" t="str">
        <f>IF(ISERROR(VLOOKUP(S1946,'unique org names'!A:C,3,FALSE)),S1946,VLOOKUP(S1946,'unique org names'!A:C,3,FALSE))
</f>
        <v>ORDER OF THE FISHERMEN MINISTRY HEAD START PROGRAM, INC., THE</v>
      </c>
      <c r="V1946" s="1" t="s">
        <v>863</v>
      </c>
      <c r="W1946" s="1" t="s">
        <v>44</v>
      </c>
      <c r="X1946" s="1" t="s">
        <v>45</v>
      </c>
      <c r="Y1946" s="1">
        <v>4.82042039E8</v>
      </c>
      <c r="AA1946" s="1" t="s">
        <v>44</v>
      </c>
      <c r="AB1946" s="1" t="s">
        <v>45</v>
      </c>
      <c r="AC1946" s="1">
        <v>4.8204E8</v>
      </c>
      <c r="AF1946" s="1">
        <v>196038.08</v>
      </c>
      <c r="AG1946" s="2">
        <v>41851.0</v>
      </c>
      <c r="AH1946" s="1">
        <v>1200.0</v>
      </c>
      <c r="AI1946" s="1" t="s">
        <v>647</v>
      </c>
      <c r="AJ1946" s="1" t="s">
        <v>3608</v>
      </c>
      <c r="AK1946" s="1" t="s">
        <v>712</v>
      </c>
      <c r="AL1946" s="1">
        <v>1.0</v>
      </c>
      <c r="AM1946" s="1">
        <v>2015.0</v>
      </c>
      <c r="AN1946" s="1">
        <v>2014.0</v>
      </c>
      <c r="AO1946" s="1" t="s">
        <v>713</v>
      </c>
    </row>
    <row r="1947">
      <c r="A1947" s="5">
        <v>1.0</v>
      </c>
      <c r="B1947" s="1">
        <f t="shared" si="1"/>
        <v>1947</v>
      </c>
      <c r="C1947" s="1" t="s">
        <v>3515</v>
      </c>
      <c r="D1947" s="1" t="s">
        <v>3515</v>
      </c>
      <c r="E1947" s="1" t="s">
        <v>645</v>
      </c>
      <c r="G1947" s="1">
        <v>4.64793056E8</v>
      </c>
      <c r="H1947" s="2">
        <v>41935.0</v>
      </c>
      <c r="I1947" s="1" t="s">
        <v>710</v>
      </c>
      <c r="K1947" s="1" t="s">
        <v>710</v>
      </c>
      <c r="N1947" s="1" t="s">
        <v>647</v>
      </c>
      <c r="O1947" s="1">
        <v>1200.0</v>
      </c>
      <c r="P1947" s="1" t="s">
        <v>647</v>
      </c>
      <c r="Q1947" s="1" t="str">
        <f>IF(ISERROR(VLOOKUP(P1947,'unique fed agency names'!A:C,3,FALSE)),P1947,VLOOKUP(P1947,'unique fed agency names'!A:C,3,FALSE))
</f>
        <v>U.S. Department of Agriculture (USDA)</v>
      </c>
      <c r="R1947" s="1">
        <v>7.8583963E7</v>
      </c>
      <c r="S1947" s="1" t="s">
        <v>526</v>
      </c>
      <c r="T1947" s="1" t="str">
        <f>IF(ISERROR(VLOOKUP(S1947,'unique org names'!A:C,3,FALSE)),S1947,VLOOKUP(S1947,'unique org names'!A:C,3,FALSE))
</f>
        <v>WAY ACADEMY</v>
      </c>
      <c r="U1947" s="1" t="s">
        <v>3501</v>
      </c>
      <c r="V1947" s="1" t="s">
        <v>3020</v>
      </c>
      <c r="W1947" s="1" t="s">
        <v>44</v>
      </c>
      <c r="X1947" s="1" t="s">
        <v>45</v>
      </c>
      <c r="Y1947" s="1">
        <v>4.82091434E8</v>
      </c>
      <c r="AA1947" s="1" t="s">
        <v>46</v>
      </c>
      <c r="AB1947" s="1" t="s">
        <v>45</v>
      </c>
      <c r="AC1947" s="1">
        <v>4.8209E8</v>
      </c>
      <c r="AD1947" s="1">
        <v>5.3665132E7</v>
      </c>
      <c r="AF1947" s="1">
        <v>37392.02</v>
      </c>
      <c r="AG1947" s="2">
        <v>41935.0</v>
      </c>
      <c r="AH1947" s="1">
        <v>1200.0</v>
      </c>
      <c r="AI1947" s="1" t="s">
        <v>647</v>
      </c>
      <c r="AJ1947" s="1" t="s">
        <v>3609</v>
      </c>
      <c r="AK1947" s="1" t="s">
        <v>712</v>
      </c>
      <c r="AL1947" s="1">
        <v>1.0</v>
      </c>
      <c r="AM1947" s="1">
        <v>2015.0</v>
      </c>
      <c r="AN1947" s="1">
        <v>2015.0</v>
      </c>
      <c r="AO1947" s="1" t="s">
        <v>713</v>
      </c>
    </row>
    <row r="1948">
      <c r="A1948" s="5">
        <v>1.0</v>
      </c>
      <c r="B1948" s="1">
        <f t="shared" si="1"/>
        <v>1948</v>
      </c>
      <c r="C1948" s="1" t="s">
        <v>3515</v>
      </c>
      <c r="D1948" s="1" t="s">
        <v>3515</v>
      </c>
      <c r="E1948" s="1" t="s">
        <v>645</v>
      </c>
      <c r="G1948" s="1">
        <v>4.64793056E8</v>
      </c>
      <c r="H1948" s="2">
        <v>41977.0</v>
      </c>
      <c r="I1948" s="1" t="s">
        <v>710</v>
      </c>
      <c r="K1948" s="1" t="s">
        <v>710</v>
      </c>
      <c r="N1948" s="1" t="s">
        <v>647</v>
      </c>
      <c r="O1948" s="1">
        <v>1200.0</v>
      </c>
      <c r="P1948" s="1" t="s">
        <v>647</v>
      </c>
      <c r="Q1948" s="1" t="str">
        <f>IF(ISERROR(VLOOKUP(P1948,'unique fed agency names'!A:C,3,FALSE)),P1948,VLOOKUP(P1948,'unique fed agency names'!A:C,3,FALSE))
</f>
        <v>U.S. Department of Agriculture (USDA)</v>
      </c>
      <c r="R1948" s="1">
        <v>5.2874042E7</v>
      </c>
      <c r="S1948" s="1" t="s">
        <v>538</v>
      </c>
      <c r="T1948" s="1" t="str">
        <f>IF(ISERROR(VLOOKUP(S1948,'unique org names'!A:C,3,FALSE)),S1948,VLOOKUP(S1948,'unique org names'!A:C,3,FALSE))
</f>
        <v>CESAR CHAVEZ ACADEMY</v>
      </c>
      <c r="V1948" s="1" t="s">
        <v>539</v>
      </c>
      <c r="W1948" s="1" t="s">
        <v>44</v>
      </c>
      <c r="X1948" s="1" t="s">
        <v>45</v>
      </c>
      <c r="Y1948" s="1">
        <v>4.82091524E8</v>
      </c>
      <c r="AA1948" s="1" t="s">
        <v>44</v>
      </c>
      <c r="AB1948" s="1" t="s">
        <v>45</v>
      </c>
      <c r="AC1948" s="1">
        <v>4.82091524E8</v>
      </c>
      <c r="AD1948" s="1">
        <v>5.2173358E7</v>
      </c>
      <c r="AE1948" s="1" t="s">
        <v>3610</v>
      </c>
      <c r="AF1948" s="1">
        <v>226581.62</v>
      </c>
      <c r="AG1948" s="2">
        <v>41977.0</v>
      </c>
      <c r="AH1948" s="1">
        <v>1200.0</v>
      </c>
      <c r="AI1948" s="1" t="s">
        <v>647</v>
      </c>
      <c r="AJ1948" s="1" t="s">
        <v>3611</v>
      </c>
      <c r="AK1948" s="1" t="s">
        <v>712</v>
      </c>
      <c r="AL1948" s="1">
        <v>1.0</v>
      </c>
      <c r="AM1948" s="1">
        <v>2015.0</v>
      </c>
      <c r="AN1948" s="1">
        <v>2015.0</v>
      </c>
      <c r="AO1948" s="1" t="s">
        <v>713</v>
      </c>
    </row>
    <row r="1949">
      <c r="A1949" s="5">
        <v>1.0</v>
      </c>
      <c r="B1949" s="1">
        <f t="shared" si="1"/>
        <v>1949</v>
      </c>
      <c r="C1949" s="1" t="s">
        <v>3515</v>
      </c>
      <c r="D1949" s="1" t="s">
        <v>3515</v>
      </c>
      <c r="E1949" s="1" t="s">
        <v>645</v>
      </c>
      <c r="G1949" s="1">
        <v>4.64793056E8</v>
      </c>
      <c r="H1949" s="2">
        <v>41928.0</v>
      </c>
      <c r="I1949" s="1" t="s">
        <v>710</v>
      </c>
      <c r="K1949" s="1" t="s">
        <v>710</v>
      </c>
      <c r="N1949" s="1" t="s">
        <v>647</v>
      </c>
      <c r="O1949" s="1">
        <v>1200.0</v>
      </c>
      <c r="P1949" s="1" t="s">
        <v>647</v>
      </c>
      <c r="Q1949" s="1" t="str">
        <f>IF(ISERROR(VLOOKUP(P1949,'unique fed agency names'!A:C,3,FALSE)),P1949,VLOOKUP(P1949,'unique fed agency names'!A:C,3,FALSE))
</f>
        <v>U.S. Department of Agriculture (USDA)</v>
      </c>
      <c r="R1949" s="1">
        <v>9.0912429E7</v>
      </c>
      <c r="S1949" s="1" t="s">
        <v>521</v>
      </c>
      <c r="T1949" s="1" t="str">
        <f>IF(ISERROR(VLOOKUP(S1949,'unique org names'!A:C,3,FALSE)),S1949,VLOOKUP(S1949,'unique org names'!A:C,3,FALSE))
</f>
        <v>DETROIT COMMUNITY SCHOOLS</v>
      </c>
      <c r="V1949" s="1" t="s">
        <v>522</v>
      </c>
      <c r="W1949" s="1" t="s">
        <v>44</v>
      </c>
      <c r="X1949" s="1" t="s">
        <v>45</v>
      </c>
      <c r="Y1949" s="1">
        <v>4.82233314E8</v>
      </c>
      <c r="AA1949" s="1" t="s">
        <v>44</v>
      </c>
      <c r="AB1949" s="1" t="s">
        <v>45</v>
      </c>
      <c r="AC1949" s="1">
        <v>4.82233314E8</v>
      </c>
      <c r="AF1949" s="1">
        <v>267877.98</v>
      </c>
      <c r="AG1949" s="2">
        <v>41928.0</v>
      </c>
      <c r="AH1949" s="1">
        <v>1200.0</v>
      </c>
      <c r="AI1949" s="1" t="s">
        <v>647</v>
      </c>
      <c r="AJ1949" s="1" t="s">
        <v>3612</v>
      </c>
      <c r="AK1949" s="1" t="s">
        <v>712</v>
      </c>
      <c r="AL1949" s="1">
        <v>1.0</v>
      </c>
      <c r="AM1949" s="1">
        <v>2015.0</v>
      </c>
      <c r="AN1949" s="1">
        <v>2015.0</v>
      </c>
      <c r="AO1949" s="1" t="s">
        <v>713</v>
      </c>
    </row>
    <row r="1950">
      <c r="A1950" s="5">
        <v>1.0</v>
      </c>
      <c r="B1950" s="1">
        <f t="shared" si="1"/>
        <v>1950</v>
      </c>
      <c r="C1950" s="1" t="s">
        <v>3337</v>
      </c>
      <c r="D1950" s="1" t="s">
        <v>3337</v>
      </c>
      <c r="E1950" s="1" t="s">
        <v>194</v>
      </c>
      <c r="G1950" s="1">
        <v>3.9049236E7</v>
      </c>
      <c r="H1950" s="2">
        <v>41897.0</v>
      </c>
      <c r="I1950" s="1" t="s">
        <v>279</v>
      </c>
      <c r="K1950" s="1" t="s">
        <v>279</v>
      </c>
      <c r="N1950" s="1" t="s">
        <v>194</v>
      </c>
      <c r="O1950" s="1">
        <v>9100.0</v>
      </c>
      <c r="P1950" s="1" t="s">
        <v>194</v>
      </c>
      <c r="Q1950" s="1" t="str">
        <f>IF(ISERROR(VLOOKUP(P1950,'unique fed agency names'!A:C,3,FALSE)),P1950,VLOOKUP(P1950,'unique fed agency names'!A:C,3,FALSE))
</f>
        <v>U.S. Department of Education (ED)</v>
      </c>
      <c r="R1950" s="1">
        <v>3.9866801E7</v>
      </c>
      <c r="S1950" s="1" t="s">
        <v>612</v>
      </c>
      <c r="T1950" s="1" t="str">
        <f>IF(ISERROR(VLOOKUP(S1950,'unique org names'!A:C,3,FALSE)),S1950,VLOOKUP(S1950,'unique org names'!A:C,3,FALSE))
</f>
        <v>HAMTRAMCK PUBLIC SCHOOLS</v>
      </c>
      <c r="V1950" s="1" t="s">
        <v>613</v>
      </c>
      <c r="W1950" s="1" t="s">
        <v>44</v>
      </c>
      <c r="X1950" s="1" t="s">
        <v>45</v>
      </c>
      <c r="Y1950" s="1">
        <v>4.8212E8</v>
      </c>
      <c r="AA1950" s="1" t="s">
        <v>607</v>
      </c>
      <c r="AB1950" s="1" t="s">
        <v>45</v>
      </c>
      <c r="AC1950" s="1">
        <v>4.82120012E8</v>
      </c>
      <c r="AD1950" s="1">
        <v>3.9866801E7</v>
      </c>
      <c r="AE1950" s="1" t="s">
        <v>612</v>
      </c>
      <c r="AF1950" s="1">
        <v>675000.0</v>
      </c>
      <c r="AG1950" s="2">
        <v>41897.0</v>
      </c>
      <c r="AH1950" s="1">
        <v>9100.0</v>
      </c>
      <c r="AI1950" s="1" t="s">
        <v>194</v>
      </c>
      <c r="AJ1950" s="1" t="s">
        <v>3338</v>
      </c>
      <c r="AK1950" s="1" t="s">
        <v>3339</v>
      </c>
      <c r="AL1950" s="1">
        <v>1.0</v>
      </c>
      <c r="AM1950" s="1">
        <v>2015.0</v>
      </c>
      <c r="AN1950" s="1">
        <v>2014.0</v>
      </c>
      <c r="AO1950" s="1" t="s">
        <v>285</v>
      </c>
    </row>
    <row r="1951">
      <c r="A1951" s="5">
        <v>1.0</v>
      </c>
      <c r="B1951" s="1">
        <f t="shared" si="1"/>
        <v>1951</v>
      </c>
      <c r="C1951" s="1" t="s">
        <v>3515</v>
      </c>
      <c r="D1951" s="1" t="s">
        <v>3515</v>
      </c>
      <c r="E1951" s="1" t="s">
        <v>645</v>
      </c>
      <c r="G1951" s="1">
        <v>4.64793056E8</v>
      </c>
      <c r="H1951" s="2">
        <v>41949.0</v>
      </c>
      <c r="I1951" s="1" t="s">
        <v>710</v>
      </c>
      <c r="K1951" s="1" t="s">
        <v>710</v>
      </c>
      <c r="N1951" s="1" t="s">
        <v>647</v>
      </c>
      <c r="O1951" s="1">
        <v>1200.0</v>
      </c>
      <c r="P1951" s="1" t="s">
        <v>647</v>
      </c>
      <c r="Q1951" s="1" t="str">
        <f>IF(ISERROR(VLOOKUP(P1951,'unique fed agency names'!A:C,3,FALSE)),P1951,VLOOKUP(P1951,'unique fed agency names'!A:C,3,FALSE))
</f>
        <v>U.S. Department of Agriculture (USDA)</v>
      </c>
      <c r="R1951" s="1">
        <v>4.2136734E7</v>
      </c>
      <c r="S1951" s="1" t="s">
        <v>557</v>
      </c>
      <c r="T1951" s="1" t="str">
        <f>IF(ISERROR(VLOOKUP(S1951,'unique org names'!A:C,3,FALSE)),S1951,VLOOKUP(S1951,'unique org names'!A:C,3,FALSE))
</f>
        <v>GEORGE CROCKETT ACADEMY</v>
      </c>
      <c r="V1951" s="1" t="s">
        <v>558</v>
      </c>
      <c r="W1951" s="1" t="s">
        <v>44</v>
      </c>
      <c r="X1951" s="1" t="s">
        <v>45</v>
      </c>
      <c r="Y1951" s="1">
        <v>4.82082204E8</v>
      </c>
      <c r="AA1951" s="1" t="s">
        <v>44</v>
      </c>
      <c r="AB1951" s="1" t="s">
        <v>45</v>
      </c>
      <c r="AC1951" s="1">
        <v>4.82082204E8</v>
      </c>
      <c r="AF1951" s="1">
        <v>170313.53</v>
      </c>
      <c r="AG1951" s="2">
        <v>41949.0</v>
      </c>
      <c r="AH1951" s="1">
        <v>1200.0</v>
      </c>
      <c r="AI1951" s="1" t="s">
        <v>647</v>
      </c>
      <c r="AJ1951" s="1" t="s">
        <v>3613</v>
      </c>
      <c r="AK1951" s="1" t="s">
        <v>712</v>
      </c>
      <c r="AL1951" s="1">
        <v>1.0</v>
      </c>
      <c r="AM1951" s="1">
        <v>2015.0</v>
      </c>
      <c r="AN1951" s="1">
        <v>2015.0</v>
      </c>
      <c r="AO1951" s="1" t="s">
        <v>713</v>
      </c>
    </row>
    <row r="1952">
      <c r="A1952" s="5">
        <v>1.0</v>
      </c>
      <c r="B1952" s="1">
        <f t="shared" si="1"/>
        <v>1952</v>
      </c>
      <c r="C1952" s="1" t="s">
        <v>3515</v>
      </c>
      <c r="D1952" s="1" t="s">
        <v>3515</v>
      </c>
      <c r="E1952" s="1" t="s">
        <v>645</v>
      </c>
      <c r="G1952" s="1">
        <v>4.64793056E8</v>
      </c>
      <c r="H1952" s="2">
        <v>41991.0</v>
      </c>
      <c r="I1952" s="1" t="s">
        <v>710</v>
      </c>
      <c r="K1952" s="1" t="s">
        <v>710</v>
      </c>
      <c r="N1952" s="1" t="s">
        <v>647</v>
      </c>
      <c r="O1952" s="1">
        <v>1200.0</v>
      </c>
      <c r="P1952" s="1" t="s">
        <v>647</v>
      </c>
      <c r="Q1952" s="1" t="str">
        <f>IF(ISERROR(VLOOKUP(P1952,'unique fed agency names'!A:C,3,FALSE)),P1952,VLOOKUP(P1952,'unique fed agency names'!A:C,3,FALSE))
</f>
        <v>U.S. Department of Agriculture (USDA)</v>
      </c>
      <c r="R1952" s="1">
        <v>8.4297738E7</v>
      </c>
      <c r="S1952" s="1" t="s">
        <v>3091</v>
      </c>
      <c r="T1952" s="1" t="str">
        <f>IF(ISERROR(VLOOKUP(S1952,'unique org names'!A:C,3,FALSE)),S1952,VLOOKUP(S1952,'unique org names'!A:C,3,FALSE))
</f>
        <v>Gleaners Community Food Bank, Inc</v>
      </c>
      <c r="U1952" s="1" t="s">
        <v>3092</v>
      </c>
      <c r="V1952" s="1" t="s">
        <v>3093</v>
      </c>
      <c r="W1952" s="1" t="s">
        <v>44</v>
      </c>
      <c r="X1952" s="1" t="s">
        <v>45</v>
      </c>
      <c r="Y1952" s="1">
        <v>4.8207341E8</v>
      </c>
      <c r="AA1952" s="1" t="s">
        <v>44</v>
      </c>
      <c r="AB1952" s="1" t="s">
        <v>45</v>
      </c>
      <c r="AC1952" s="1">
        <v>4.8207341E8</v>
      </c>
      <c r="AD1952" s="1">
        <v>8.4297738E7</v>
      </c>
      <c r="AE1952" s="1" t="s">
        <v>3091</v>
      </c>
      <c r="AF1952" s="1">
        <v>160892.79</v>
      </c>
      <c r="AG1952" s="2">
        <v>41991.0</v>
      </c>
      <c r="AH1952" s="1">
        <v>1200.0</v>
      </c>
      <c r="AI1952" s="1" t="s">
        <v>647</v>
      </c>
      <c r="AJ1952" s="1" t="s">
        <v>3614</v>
      </c>
      <c r="AK1952" s="1" t="s">
        <v>712</v>
      </c>
      <c r="AL1952" s="1">
        <v>1.0</v>
      </c>
      <c r="AM1952" s="1">
        <v>2015.0</v>
      </c>
      <c r="AN1952" s="1">
        <v>2015.0</v>
      </c>
      <c r="AO1952" s="1" t="s">
        <v>713</v>
      </c>
    </row>
    <row r="1953">
      <c r="A1953" s="5">
        <v>1.0</v>
      </c>
      <c r="B1953" s="1">
        <f t="shared" si="1"/>
        <v>1953</v>
      </c>
      <c r="C1953" s="1" t="s">
        <v>3515</v>
      </c>
      <c r="D1953" s="1" t="s">
        <v>3515</v>
      </c>
      <c r="E1953" s="1" t="s">
        <v>645</v>
      </c>
      <c r="G1953" s="1">
        <v>4.64793056E8</v>
      </c>
      <c r="H1953" s="2">
        <v>41956.0</v>
      </c>
      <c r="I1953" s="1" t="s">
        <v>710</v>
      </c>
      <c r="K1953" s="1" t="s">
        <v>710</v>
      </c>
      <c r="N1953" s="1" t="s">
        <v>647</v>
      </c>
      <c r="O1953" s="1">
        <v>1200.0</v>
      </c>
      <c r="P1953" s="1" t="s">
        <v>647</v>
      </c>
      <c r="Q1953" s="1" t="str">
        <f>IF(ISERROR(VLOOKUP(P1953,'unique fed agency names'!A:C,3,FALSE)),P1953,VLOOKUP(P1953,'unique fed agency names'!A:C,3,FALSE))
</f>
        <v>U.S. Department of Agriculture (USDA)</v>
      </c>
      <c r="R1953" s="1">
        <v>8.4297738E7</v>
      </c>
      <c r="S1953" s="1" t="s">
        <v>3091</v>
      </c>
      <c r="T1953" s="1" t="str">
        <f>IF(ISERROR(VLOOKUP(S1953,'unique org names'!A:C,3,FALSE)),S1953,VLOOKUP(S1953,'unique org names'!A:C,3,FALSE))
</f>
        <v>Gleaners Community Food Bank, Inc</v>
      </c>
      <c r="U1953" s="1" t="s">
        <v>3092</v>
      </c>
      <c r="V1953" s="1" t="s">
        <v>3093</v>
      </c>
      <c r="W1953" s="1" t="s">
        <v>44</v>
      </c>
      <c r="X1953" s="1" t="s">
        <v>45</v>
      </c>
      <c r="Y1953" s="1">
        <v>4.8207341E8</v>
      </c>
      <c r="AA1953" s="1" t="s">
        <v>44</v>
      </c>
      <c r="AB1953" s="1" t="s">
        <v>45</v>
      </c>
      <c r="AC1953" s="1">
        <v>4.8207341E8</v>
      </c>
      <c r="AD1953" s="1">
        <v>8.4297738E7</v>
      </c>
      <c r="AE1953" s="1" t="s">
        <v>3091</v>
      </c>
      <c r="AF1953" s="1">
        <v>112261.78</v>
      </c>
      <c r="AG1953" s="2">
        <v>41956.0</v>
      </c>
      <c r="AH1953" s="1">
        <v>1200.0</v>
      </c>
      <c r="AI1953" s="1" t="s">
        <v>647</v>
      </c>
      <c r="AJ1953" s="1" t="s">
        <v>3615</v>
      </c>
      <c r="AK1953" s="1" t="s">
        <v>712</v>
      </c>
      <c r="AL1953" s="1">
        <v>1.0</v>
      </c>
      <c r="AM1953" s="1">
        <v>2015.0</v>
      </c>
      <c r="AN1953" s="1">
        <v>2015.0</v>
      </c>
      <c r="AO1953" s="1" t="s">
        <v>713</v>
      </c>
    </row>
    <row r="1954">
      <c r="A1954" s="5">
        <v>1.0</v>
      </c>
      <c r="B1954" s="1">
        <f t="shared" si="1"/>
        <v>1954</v>
      </c>
      <c r="C1954" s="1" t="s">
        <v>3344</v>
      </c>
      <c r="D1954" s="1" t="s">
        <v>3344</v>
      </c>
      <c r="E1954" s="1" t="s">
        <v>194</v>
      </c>
      <c r="G1954" s="1">
        <v>8.9228048E7</v>
      </c>
      <c r="H1954" s="2">
        <v>41740.0</v>
      </c>
      <c r="I1954" s="1" t="s">
        <v>458</v>
      </c>
      <c r="K1954" s="1" t="s">
        <v>458</v>
      </c>
      <c r="N1954" s="1" t="s">
        <v>194</v>
      </c>
      <c r="O1954" s="1">
        <v>9100.0</v>
      </c>
      <c r="P1954" s="1" t="s">
        <v>194</v>
      </c>
      <c r="Q1954" s="1" t="str">
        <f>IF(ISERROR(VLOOKUP(P1954,'unique fed agency names'!A:C,3,FALSE)),P1954,VLOOKUP(P1954,'unique fed agency names'!A:C,3,FALSE))
</f>
        <v>U.S. Department of Education (ED)</v>
      </c>
      <c r="R1954" s="1">
        <v>7.8465647E7</v>
      </c>
      <c r="S1954" s="1" t="s">
        <v>1176</v>
      </c>
      <c r="T1954" s="1" t="str">
        <f>IF(ISERROR(VLOOKUP(S1954,'unique org names'!A:C,3,FALSE)),S1954,VLOOKUP(S1954,'unique org names'!A:C,3,FALSE))
</f>
        <v>DETROIT INNOVATION ACADEMY</v>
      </c>
      <c r="V1954" s="1" t="s">
        <v>1178</v>
      </c>
      <c r="W1954" s="1" t="s">
        <v>44</v>
      </c>
      <c r="X1954" s="1" t="s">
        <v>45</v>
      </c>
      <c r="Y1954" s="1">
        <v>4.82281142E8</v>
      </c>
      <c r="AA1954" s="1" t="s">
        <v>44</v>
      </c>
      <c r="AB1954" s="1" t="s">
        <v>45</v>
      </c>
      <c r="AC1954" s="1">
        <v>4.82281142E8</v>
      </c>
      <c r="AD1954" s="1">
        <v>1.00036367E8</v>
      </c>
      <c r="AE1954" s="1" t="s">
        <v>3616</v>
      </c>
      <c r="AF1954" s="1">
        <v>34824.0</v>
      </c>
      <c r="AG1954" s="2">
        <v>41740.0</v>
      </c>
      <c r="AH1954" s="1">
        <v>9100.0</v>
      </c>
      <c r="AI1954" s="1" t="s">
        <v>194</v>
      </c>
      <c r="AJ1954" s="1" t="s">
        <v>3617</v>
      </c>
      <c r="AK1954" s="1" t="s">
        <v>463</v>
      </c>
      <c r="AL1954" s="1">
        <v>1.0</v>
      </c>
      <c r="AM1954" s="1">
        <v>2015.0</v>
      </c>
      <c r="AN1954" s="1">
        <v>2014.0</v>
      </c>
      <c r="AO1954" s="1" t="s">
        <v>277</v>
      </c>
    </row>
    <row r="1955">
      <c r="A1955" s="5">
        <v>1.0</v>
      </c>
      <c r="B1955" s="1">
        <f t="shared" si="1"/>
        <v>1955</v>
      </c>
      <c r="C1955" s="1" t="s">
        <v>3515</v>
      </c>
      <c r="D1955" s="1" t="s">
        <v>3515</v>
      </c>
      <c r="E1955" s="1" t="s">
        <v>645</v>
      </c>
      <c r="G1955" s="1">
        <v>4.64793056E8</v>
      </c>
      <c r="H1955" s="2">
        <v>41935.0</v>
      </c>
      <c r="I1955" s="1" t="s">
        <v>710</v>
      </c>
      <c r="K1955" s="1" t="s">
        <v>710</v>
      </c>
      <c r="N1955" s="1" t="s">
        <v>647</v>
      </c>
      <c r="O1955" s="1">
        <v>1200.0</v>
      </c>
      <c r="P1955" s="1" t="s">
        <v>647</v>
      </c>
      <c r="Q1955" s="1" t="str">
        <f>IF(ISERROR(VLOOKUP(P1955,'unique fed agency names'!A:C,3,FALSE)),P1955,VLOOKUP(P1955,'unique fed agency names'!A:C,3,FALSE))
</f>
        <v>U.S. Department of Agriculture (USDA)</v>
      </c>
      <c r="R1955" s="1">
        <v>8.8328984E7</v>
      </c>
      <c r="S1955" s="1" t="s">
        <v>933</v>
      </c>
      <c r="T1955" s="1" t="str">
        <f>IF(ISERROR(VLOOKUP(S1955,'unique org names'!A:C,3,FALSE)),S1955,VLOOKUP(S1955,'unique org names'!A:C,3,FALSE))
</f>
        <v>Childrens Village Intl Ctrs</v>
      </c>
      <c r="V1955" s="1" t="s">
        <v>934</v>
      </c>
      <c r="W1955" s="1" t="s">
        <v>44</v>
      </c>
      <c r="X1955" s="1" t="s">
        <v>45</v>
      </c>
      <c r="Y1955" s="1">
        <v>4.82274087E8</v>
      </c>
      <c r="AA1955" s="1" t="s">
        <v>44</v>
      </c>
      <c r="AB1955" s="1" t="s">
        <v>45</v>
      </c>
      <c r="AC1955" s="1">
        <v>4.8227E8</v>
      </c>
      <c r="AF1955" s="1">
        <v>56728.93</v>
      </c>
      <c r="AG1955" s="2">
        <v>41935.0</v>
      </c>
      <c r="AH1955" s="1">
        <v>1200.0</v>
      </c>
      <c r="AI1955" s="1" t="s">
        <v>647</v>
      </c>
      <c r="AJ1955" s="1" t="s">
        <v>3618</v>
      </c>
      <c r="AK1955" s="1" t="s">
        <v>712</v>
      </c>
      <c r="AL1955" s="1">
        <v>1.0</v>
      </c>
      <c r="AM1955" s="1">
        <v>2015.0</v>
      </c>
      <c r="AN1955" s="1">
        <v>2015.0</v>
      </c>
      <c r="AO1955" s="1" t="s">
        <v>713</v>
      </c>
    </row>
    <row r="1956">
      <c r="A1956" s="5">
        <v>1.0</v>
      </c>
      <c r="B1956" s="1">
        <f t="shared" si="1"/>
        <v>1956</v>
      </c>
      <c r="C1956" s="1" t="s">
        <v>3515</v>
      </c>
      <c r="D1956" s="1" t="s">
        <v>3515</v>
      </c>
      <c r="E1956" s="1" t="s">
        <v>645</v>
      </c>
      <c r="G1956" s="1">
        <v>4.64793056E8</v>
      </c>
      <c r="H1956" s="2">
        <v>41935.0</v>
      </c>
      <c r="I1956" s="1" t="s">
        <v>710</v>
      </c>
      <c r="K1956" s="1" t="s">
        <v>710</v>
      </c>
      <c r="N1956" s="1" t="s">
        <v>647</v>
      </c>
      <c r="O1956" s="1">
        <v>1200.0</v>
      </c>
      <c r="P1956" s="1" t="s">
        <v>647</v>
      </c>
      <c r="Q1956" s="1" t="str">
        <f>IF(ISERROR(VLOOKUP(P1956,'unique fed agency names'!A:C,3,FALSE)),P1956,VLOOKUP(P1956,'unique fed agency names'!A:C,3,FALSE))
</f>
        <v>U.S. Department of Agriculture (USDA)</v>
      </c>
      <c r="R1956" s="1">
        <v>7.0381949E7</v>
      </c>
      <c r="S1956" s="1" t="s">
        <v>605</v>
      </c>
      <c r="T1956" s="1" t="str">
        <f>IF(ISERROR(VLOOKUP(S1956,'unique org names'!A:C,3,FALSE)),S1956,VLOOKUP(S1956,'unique org names'!A:C,3,FALSE))
</f>
        <v>Liberty Caniff Academy</v>
      </c>
      <c r="V1956" s="1" t="s">
        <v>606</v>
      </c>
      <c r="W1956" s="1" t="s">
        <v>44</v>
      </c>
      <c r="X1956" s="1" t="s">
        <v>45</v>
      </c>
      <c r="Y1956" s="1">
        <v>4.82123033E8</v>
      </c>
      <c r="AA1956" s="1" t="s">
        <v>607</v>
      </c>
      <c r="AB1956" s="1" t="s">
        <v>45</v>
      </c>
      <c r="AC1956" s="1">
        <v>4.8212E8</v>
      </c>
      <c r="AF1956" s="1">
        <v>148394.56</v>
      </c>
      <c r="AG1956" s="2">
        <v>41935.0</v>
      </c>
      <c r="AH1956" s="1">
        <v>1200.0</v>
      </c>
      <c r="AI1956" s="1" t="s">
        <v>647</v>
      </c>
      <c r="AJ1956" s="1" t="s">
        <v>3619</v>
      </c>
      <c r="AK1956" s="1" t="s">
        <v>712</v>
      </c>
      <c r="AL1956" s="1">
        <v>1.0</v>
      </c>
      <c r="AM1956" s="1">
        <v>2015.0</v>
      </c>
      <c r="AN1956" s="1">
        <v>2015.0</v>
      </c>
      <c r="AO1956" s="1" t="s">
        <v>713</v>
      </c>
    </row>
    <row r="1957">
      <c r="A1957" s="5">
        <v>1.0</v>
      </c>
      <c r="B1957" s="1">
        <f t="shared" si="1"/>
        <v>1957</v>
      </c>
      <c r="C1957" s="1" t="s">
        <v>3344</v>
      </c>
      <c r="D1957" s="1" t="s">
        <v>3344</v>
      </c>
      <c r="E1957" s="1" t="s">
        <v>194</v>
      </c>
      <c r="G1957" s="1">
        <v>8.9228048E7</v>
      </c>
      <c r="H1957" s="2">
        <v>41705.0</v>
      </c>
      <c r="I1957" s="1" t="s">
        <v>458</v>
      </c>
      <c r="K1957" s="1" t="s">
        <v>458</v>
      </c>
      <c r="N1957" s="1" t="s">
        <v>194</v>
      </c>
      <c r="O1957" s="1">
        <v>9100.0</v>
      </c>
      <c r="P1957" s="1" t="s">
        <v>194</v>
      </c>
      <c r="Q1957" s="1" t="str">
        <f>IF(ISERROR(VLOOKUP(P1957,'unique fed agency names'!A:C,3,FALSE)),P1957,VLOOKUP(P1957,'unique fed agency names'!A:C,3,FALSE))
</f>
        <v>U.S. Department of Education (ED)</v>
      </c>
      <c r="R1957" s="1">
        <v>9.0912429E7</v>
      </c>
      <c r="S1957" s="1" t="s">
        <v>521</v>
      </c>
      <c r="T1957" s="1" t="str">
        <f>IF(ISERROR(VLOOKUP(S1957,'unique org names'!A:C,3,FALSE)),S1957,VLOOKUP(S1957,'unique org names'!A:C,3,FALSE))
</f>
        <v>DETROIT COMMUNITY SCHOOLS</v>
      </c>
      <c r="U1957" s="1" t="s">
        <v>3620</v>
      </c>
      <c r="V1957" s="1" t="s">
        <v>522</v>
      </c>
      <c r="W1957" s="1" t="s">
        <v>44</v>
      </c>
      <c r="X1957" s="1" t="s">
        <v>45</v>
      </c>
      <c r="Y1957" s="1">
        <v>4.82233314E8</v>
      </c>
      <c r="AA1957" s="1" t="s">
        <v>44</v>
      </c>
      <c r="AB1957" s="1" t="s">
        <v>45</v>
      </c>
      <c r="AC1957" s="1">
        <v>4.82233314E8</v>
      </c>
      <c r="AD1957" s="1">
        <v>1.00036425E8</v>
      </c>
      <c r="AE1957" s="1" t="s">
        <v>3621</v>
      </c>
      <c r="AF1957" s="1">
        <v>26521.0</v>
      </c>
      <c r="AG1957" s="2">
        <v>41705.0</v>
      </c>
      <c r="AH1957" s="1">
        <v>9100.0</v>
      </c>
      <c r="AI1957" s="1" t="s">
        <v>194</v>
      </c>
      <c r="AJ1957" s="1" t="s">
        <v>3622</v>
      </c>
      <c r="AK1957" s="1" t="s">
        <v>463</v>
      </c>
      <c r="AL1957" s="1">
        <v>1.0</v>
      </c>
      <c r="AM1957" s="1">
        <v>2015.0</v>
      </c>
      <c r="AN1957" s="1">
        <v>2014.0</v>
      </c>
      <c r="AO1957" s="1" t="s">
        <v>277</v>
      </c>
    </row>
    <row r="1958">
      <c r="A1958" s="5">
        <v>1.0</v>
      </c>
      <c r="B1958" s="1">
        <f t="shared" si="1"/>
        <v>1958</v>
      </c>
      <c r="C1958" s="1" t="s">
        <v>3515</v>
      </c>
      <c r="D1958" s="1" t="s">
        <v>3515</v>
      </c>
      <c r="E1958" s="1" t="s">
        <v>645</v>
      </c>
      <c r="G1958" s="1">
        <v>4.64793056E8</v>
      </c>
      <c r="H1958" s="2">
        <v>41928.0</v>
      </c>
      <c r="I1958" s="1" t="s">
        <v>710</v>
      </c>
      <c r="K1958" s="1" t="s">
        <v>710</v>
      </c>
      <c r="N1958" s="1" t="s">
        <v>647</v>
      </c>
      <c r="O1958" s="1">
        <v>1200.0</v>
      </c>
      <c r="P1958" s="1" t="s">
        <v>647</v>
      </c>
      <c r="Q1958" s="1" t="str">
        <f>IF(ISERROR(VLOOKUP(P1958,'unique fed agency names'!A:C,3,FALSE)),P1958,VLOOKUP(P1958,'unique fed agency names'!A:C,3,FALSE))
</f>
        <v>U.S. Department of Agriculture (USDA)</v>
      </c>
      <c r="R1958" s="1">
        <v>7.8498569E7</v>
      </c>
      <c r="S1958" s="1" t="s">
        <v>1184</v>
      </c>
      <c r="T1958" s="1" t="str">
        <f>IF(ISERROR(VLOOKUP(S1958,'unique org names'!A:C,3,FALSE)),S1958,VLOOKUP(S1958,'unique org names'!A:C,3,FALSE))
</f>
        <v>Academy Of International Studies</v>
      </c>
      <c r="V1958" s="1" t="s">
        <v>506</v>
      </c>
      <c r="W1958" s="1" t="s">
        <v>44</v>
      </c>
      <c r="X1958" s="1" t="s">
        <v>45</v>
      </c>
      <c r="Y1958" s="1">
        <v>4.82123572E8</v>
      </c>
      <c r="AA1958" s="1" t="s">
        <v>498</v>
      </c>
      <c r="AB1958" s="1" t="s">
        <v>45</v>
      </c>
      <c r="AC1958" s="1">
        <v>4.82123572E8</v>
      </c>
      <c r="AD1958" s="1">
        <v>4.5031663E7</v>
      </c>
      <c r="AE1958" s="1" t="s">
        <v>3623</v>
      </c>
      <c r="AF1958" s="1">
        <v>51588.37</v>
      </c>
      <c r="AG1958" s="2">
        <v>41928.0</v>
      </c>
      <c r="AH1958" s="1">
        <v>1200.0</v>
      </c>
      <c r="AI1958" s="1" t="s">
        <v>647</v>
      </c>
      <c r="AJ1958" s="1" t="s">
        <v>3624</v>
      </c>
      <c r="AK1958" s="1" t="s">
        <v>712</v>
      </c>
      <c r="AL1958" s="1">
        <v>1.0</v>
      </c>
      <c r="AM1958" s="1">
        <v>2015.0</v>
      </c>
      <c r="AN1958" s="1">
        <v>2015.0</v>
      </c>
      <c r="AO1958" s="1" t="s">
        <v>713</v>
      </c>
    </row>
    <row r="1959">
      <c r="A1959" s="5">
        <v>1.0</v>
      </c>
      <c r="B1959" s="1">
        <f t="shared" si="1"/>
        <v>1959</v>
      </c>
      <c r="C1959" s="1" t="s">
        <v>3515</v>
      </c>
      <c r="D1959" s="1" t="s">
        <v>3515</v>
      </c>
      <c r="E1959" s="1" t="s">
        <v>645</v>
      </c>
      <c r="G1959" s="1">
        <v>4.64793056E8</v>
      </c>
      <c r="H1959" s="2">
        <v>41969.0</v>
      </c>
      <c r="I1959" s="1" t="s">
        <v>710</v>
      </c>
      <c r="K1959" s="1" t="s">
        <v>710</v>
      </c>
      <c r="N1959" s="1" t="s">
        <v>647</v>
      </c>
      <c r="O1959" s="1">
        <v>1200.0</v>
      </c>
      <c r="P1959" s="1" t="s">
        <v>647</v>
      </c>
      <c r="Q1959" s="1" t="str">
        <f>IF(ISERROR(VLOOKUP(P1959,'unique fed agency names'!A:C,3,FALSE)),P1959,VLOOKUP(P1959,'unique fed agency names'!A:C,3,FALSE))
</f>
        <v>U.S. Department of Agriculture (USDA)</v>
      </c>
      <c r="R1959" s="1">
        <v>3.9866801E7</v>
      </c>
      <c r="S1959" s="1" t="s">
        <v>612</v>
      </c>
      <c r="T1959" s="1" t="str">
        <f>IF(ISERROR(VLOOKUP(S1959,'unique org names'!A:C,3,FALSE)),S1959,VLOOKUP(S1959,'unique org names'!A:C,3,FALSE))
</f>
        <v>HAMTRAMCK PUBLIC SCHOOLS</v>
      </c>
      <c r="V1959" s="1" t="s">
        <v>613</v>
      </c>
      <c r="W1959" s="1" t="s">
        <v>44</v>
      </c>
      <c r="X1959" s="1" t="s">
        <v>45</v>
      </c>
      <c r="Y1959" s="1">
        <v>4.8212E8</v>
      </c>
      <c r="AA1959" s="1" t="s">
        <v>607</v>
      </c>
      <c r="AB1959" s="1" t="s">
        <v>45</v>
      </c>
      <c r="AC1959" s="1">
        <v>4.82120012E8</v>
      </c>
      <c r="AD1959" s="1">
        <v>3.9866801E7</v>
      </c>
      <c r="AE1959" s="1" t="s">
        <v>612</v>
      </c>
      <c r="AF1959" s="1">
        <v>723724.54</v>
      </c>
      <c r="AG1959" s="2">
        <v>41969.0</v>
      </c>
      <c r="AH1959" s="1">
        <v>1200.0</v>
      </c>
      <c r="AI1959" s="1" t="s">
        <v>647</v>
      </c>
      <c r="AJ1959" s="1" t="s">
        <v>3625</v>
      </c>
      <c r="AK1959" s="1" t="s">
        <v>712</v>
      </c>
      <c r="AL1959" s="1">
        <v>1.0</v>
      </c>
      <c r="AM1959" s="1">
        <v>2015.0</v>
      </c>
      <c r="AN1959" s="1">
        <v>2015.0</v>
      </c>
      <c r="AO1959" s="1" t="s">
        <v>713</v>
      </c>
    </row>
    <row r="1960">
      <c r="A1960" s="5">
        <v>1.0</v>
      </c>
      <c r="B1960" s="1">
        <f t="shared" si="1"/>
        <v>1960</v>
      </c>
      <c r="C1960" s="1" t="s">
        <v>3344</v>
      </c>
      <c r="D1960" s="1" t="s">
        <v>3344</v>
      </c>
      <c r="E1960" s="1" t="s">
        <v>194</v>
      </c>
      <c r="G1960" s="1">
        <v>8.9228048E7</v>
      </c>
      <c r="H1960" s="2">
        <v>41761.0</v>
      </c>
      <c r="I1960" s="1" t="s">
        <v>458</v>
      </c>
      <c r="K1960" s="1" t="s">
        <v>458</v>
      </c>
      <c r="N1960" s="1" t="s">
        <v>194</v>
      </c>
      <c r="O1960" s="1">
        <v>9100.0</v>
      </c>
      <c r="P1960" s="1" t="s">
        <v>194</v>
      </c>
      <c r="Q1960" s="1" t="str">
        <f>IF(ISERROR(VLOOKUP(P1960,'unique fed agency names'!A:C,3,FALSE)),P1960,VLOOKUP(P1960,'unique fed agency names'!A:C,3,FALSE))
</f>
        <v>U.S. Department of Education (ED)</v>
      </c>
      <c r="R1960" s="1">
        <v>2.496865E7</v>
      </c>
      <c r="S1960" s="1" t="s">
        <v>609</v>
      </c>
      <c r="T1960" s="1" t="str">
        <f>IF(ISERROR(VLOOKUP(S1960,'unique org names'!A:C,3,FALSE)),S1960,VLOOKUP(S1960,'unique org names'!A:C,3,FALSE))
</f>
        <v>Jalen Rose Leadership Academy</v>
      </c>
      <c r="V1960" s="1" t="s">
        <v>610</v>
      </c>
      <c r="W1960" s="1" t="s">
        <v>44</v>
      </c>
      <c r="X1960" s="1" t="s">
        <v>45</v>
      </c>
      <c r="Y1960" s="1">
        <v>4.8235168E8</v>
      </c>
      <c r="AA1960" s="1" t="s">
        <v>46</v>
      </c>
      <c r="AB1960" s="1" t="s">
        <v>45</v>
      </c>
      <c r="AC1960" s="1">
        <v>4.8235168E8</v>
      </c>
      <c r="AF1960" s="1">
        <v>32229.0</v>
      </c>
      <c r="AG1960" s="2">
        <v>41761.0</v>
      </c>
      <c r="AH1960" s="1">
        <v>9100.0</v>
      </c>
      <c r="AI1960" s="1" t="s">
        <v>194</v>
      </c>
      <c r="AJ1960" s="1" t="s">
        <v>3626</v>
      </c>
      <c r="AK1960" s="1" t="s">
        <v>3627</v>
      </c>
      <c r="AL1960" s="1">
        <v>1.0</v>
      </c>
      <c r="AM1960" s="1">
        <v>2015.0</v>
      </c>
      <c r="AN1960" s="1">
        <v>2014.0</v>
      </c>
      <c r="AO1960" s="1" t="s">
        <v>277</v>
      </c>
    </row>
    <row r="1961">
      <c r="A1961" s="5">
        <v>1.0</v>
      </c>
      <c r="B1961" s="1">
        <f t="shared" si="1"/>
        <v>1961</v>
      </c>
      <c r="C1961" s="1" t="s">
        <v>3515</v>
      </c>
      <c r="D1961" s="1" t="s">
        <v>3515</v>
      </c>
      <c r="E1961" s="1" t="s">
        <v>645</v>
      </c>
      <c r="G1961" s="1">
        <v>4.64793056E8</v>
      </c>
      <c r="H1961" s="2">
        <v>41977.0</v>
      </c>
      <c r="I1961" s="1" t="s">
        <v>710</v>
      </c>
      <c r="K1961" s="1" t="s">
        <v>710</v>
      </c>
      <c r="N1961" s="1" t="s">
        <v>647</v>
      </c>
      <c r="O1961" s="1">
        <v>1200.0</v>
      </c>
      <c r="P1961" s="1" t="s">
        <v>647</v>
      </c>
      <c r="Q1961" s="1" t="str">
        <f>IF(ISERROR(VLOOKUP(P1961,'unique fed agency names'!A:C,3,FALSE)),P1961,VLOOKUP(P1961,'unique fed agency names'!A:C,3,FALSE))
</f>
        <v>U.S. Department of Agriculture (USDA)</v>
      </c>
      <c r="R1961" s="1">
        <v>7.6340843E7</v>
      </c>
      <c r="S1961" s="1" t="s">
        <v>461</v>
      </c>
      <c r="T1961" s="1" t="str">
        <f>IF(ISERROR(VLOOKUP(S1961,'unique org names'!A:C,3,FALSE)),S1961,VLOOKUP(S1961,'unique org names'!A:C,3,FALSE))
</f>
        <v>BOARD OF EDUCATION OF THE CITY OF DETROIT</v>
      </c>
      <c r="U1961" s="1" t="s">
        <v>1194</v>
      </c>
      <c r="V1961" s="1" t="s">
        <v>1599</v>
      </c>
      <c r="W1961" s="1" t="s">
        <v>44</v>
      </c>
      <c r="X1961" s="1" t="s">
        <v>45</v>
      </c>
      <c r="Y1961" s="1">
        <v>4.8202301E8</v>
      </c>
      <c r="AA1961" s="1" t="s">
        <v>44</v>
      </c>
      <c r="AB1961" s="1" t="s">
        <v>45</v>
      </c>
      <c r="AC1961" s="1">
        <v>4.82023096E8</v>
      </c>
      <c r="AD1961" s="1">
        <v>7.6340843E7</v>
      </c>
      <c r="AE1961" s="1" t="s">
        <v>461</v>
      </c>
      <c r="AF1961" s="3">
        <v>1.160374095E7</v>
      </c>
      <c r="AG1961" s="2">
        <v>41977.0</v>
      </c>
      <c r="AH1961" s="1">
        <v>1200.0</v>
      </c>
      <c r="AI1961" s="1" t="s">
        <v>647</v>
      </c>
      <c r="AJ1961" s="1" t="s">
        <v>3628</v>
      </c>
      <c r="AK1961" s="1" t="s">
        <v>712</v>
      </c>
      <c r="AL1961" s="1">
        <v>1.0</v>
      </c>
      <c r="AM1961" s="1">
        <v>2015.0</v>
      </c>
      <c r="AN1961" s="1">
        <v>2015.0</v>
      </c>
      <c r="AO1961" s="1" t="s">
        <v>713</v>
      </c>
    </row>
    <row r="1962">
      <c r="A1962" s="5">
        <v>1.0</v>
      </c>
      <c r="B1962" s="1">
        <f t="shared" si="1"/>
        <v>1962</v>
      </c>
      <c r="C1962" s="1" t="s">
        <v>3515</v>
      </c>
      <c r="D1962" s="1" t="s">
        <v>3515</v>
      </c>
      <c r="E1962" s="1" t="s">
        <v>645</v>
      </c>
      <c r="G1962" s="1">
        <v>4.64793056E8</v>
      </c>
      <c r="H1962" s="2">
        <v>41914.0</v>
      </c>
      <c r="I1962" s="1" t="s">
        <v>710</v>
      </c>
      <c r="K1962" s="1" t="s">
        <v>710</v>
      </c>
      <c r="N1962" s="1" t="s">
        <v>647</v>
      </c>
      <c r="O1962" s="1">
        <v>1200.0</v>
      </c>
      <c r="P1962" s="1" t="s">
        <v>647</v>
      </c>
      <c r="Q1962" s="1" t="str">
        <f>IF(ISERROR(VLOOKUP(P1962,'unique fed agency names'!A:C,3,FALSE)),P1962,VLOOKUP(P1962,'unique fed agency names'!A:C,3,FALSE))
</f>
        <v>U.S. Department of Agriculture (USDA)</v>
      </c>
      <c r="R1962" s="1">
        <v>7.6340843E7</v>
      </c>
      <c r="S1962" s="1" t="s">
        <v>461</v>
      </c>
      <c r="T1962" s="1" t="str">
        <f>IF(ISERROR(VLOOKUP(S1962,'unique org names'!A:C,3,FALSE)),S1962,VLOOKUP(S1962,'unique org names'!A:C,3,FALSE))
</f>
        <v>BOARD OF EDUCATION OF THE CITY OF DETROIT</v>
      </c>
      <c r="V1962" s="1" t="s">
        <v>1599</v>
      </c>
      <c r="W1962" s="1" t="s">
        <v>44</v>
      </c>
      <c r="X1962" s="1" t="s">
        <v>45</v>
      </c>
      <c r="Y1962" s="1">
        <v>4.8202301E8</v>
      </c>
      <c r="AA1962" s="1" t="s">
        <v>44</v>
      </c>
      <c r="AB1962" s="1" t="s">
        <v>45</v>
      </c>
      <c r="AC1962" s="1">
        <v>4.82023096E8</v>
      </c>
      <c r="AD1962" s="1">
        <v>7.6340843E7</v>
      </c>
      <c r="AE1962" s="1" t="s">
        <v>461</v>
      </c>
      <c r="AF1962" s="1">
        <v>1000802.98</v>
      </c>
      <c r="AG1962" s="2">
        <v>41914.0</v>
      </c>
      <c r="AH1962" s="1">
        <v>1200.0</v>
      </c>
      <c r="AI1962" s="1" t="s">
        <v>647</v>
      </c>
      <c r="AJ1962" s="1" t="s">
        <v>3629</v>
      </c>
      <c r="AK1962" s="1" t="s">
        <v>712</v>
      </c>
      <c r="AL1962" s="1">
        <v>1.0</v>
      </c>
      <c r="AM1962" s="1">
        <v>2015.0</v>
      </c>
      <c r="AN1962" s="1">
        <v>2015.0</v>
      </c>
      <c r="AO1962" s="1" t="s">
        <v>713</v>
      </c>
    </row>
    <row r="1963">
      <c r="A1963" s="5">
        <v>1.0</v>
      </c>
      <c r="B1963" s="1">
        <f t="shared" si="1"/>
        <v>1963</v>
      </c>
      <c r="C1963" s="1" t="s">
        <v>3515</v>
      </c>
      <c r="D1963" s="1" t="s">
        <v>3515</v>
      </c>
      <c r="E1963" s="1" t="s">
        <v>645</v>
      </c>
      <c r="G1963" s="1">
        <v>4.64793056E8</v>
      </c>
      <c r="H1963" s="2">
        <v>41928.0</v>
      </c>
      <c r="I1963" s="1" t="s">
        <v>710</v>
      </c>
      <c r="K1963" s="1" t="s">
        <v>710</v>
      </c>
      <c r="N1963" s="1" t="s">
        <v>647</v>
      </c>
      <c r="O1963" s="1">
        <v>1200.0</v>
      </c>
      <c r="P1963" s="1" t="s">
        <v>647</v>
      </c>
      <c r="Q1963" s="1" t="str">
        <f>IF(ISERROR(VLOOKUP(P1963,'unique fed agency names'!A:C,3,FALSE)),P1963,VLOOKUP(P1963,'unique fed agency names'!A:C,3,FALSE))
</f>
        <v>U.S. Department of Agriculture (USDA)</v>
      </c>
      <c r="R1963" s="1">
        <v>7.0381949E7</v>
      </c>
      <c r="S1963" s="1" t="s">
        <v>605</v>
      </c>
      <c r="T1963" s="1" t="str">
        <f>IF(ISERROR(VLOOKUP(S1963,'unique org names'!A:C,3,FALSE)),S1963,VLOOKUP(S1963,'unique org names'!A:C,3,FALSE))
</f>
        <v>Liberty Caniff Academy</v>
      </c>
      <c r="V1963" s="1" t="s">
        <v>606</v>
      </c>
      <c r="W1963" s="1" t="s">
        <v>44</v>
      </c>
      <c r="X1963" s="1" t="s">
        <v>45</v>
      </c>
      <c r="Y1963" s="1">
        <v>4.82123033E8</v>
      </c>
      <c r="AA1963" s="1" t="s">
        <v>607</v>
      </c>
      <c r="AB1963" s="1" t="s">
        <v>45</v>
      </c>
      <c r="AC1963" s="1">
        <v>4.8212E8</v>
      </c>
      <c r="AF1963" s="1">
        <v>44516.13</v>
      </c>
      <c r="AG1963" s="2">
        <v>41928.0</v>
      </c>
      <c r="AH1963" s="1">
        <v>1200.0</v>
      </c>
      <c r="AI1963" s="1" t="s">
        <v>647</v>
      </c>
      <c r="AJ1963" s="1" t="s">
        <v>3630</v>
      </c>
      <c r="AK1963" s="1" t="s">
        <v>712</v>
      </c>
      <c r="AL1963" s="1">
        <v>1.0</v>
      </c>
      <c r="AM1963" s="1">
        <v>2015.0</v>
      </c>
      <c r="AN1963" s="1">
        <v>2015.0</v>
      </c>
      <c r="AO1963" s="1" t="s">
        <v>713</v>
      </c>
    </row>
    <row r="1964">
      <c r="A1964" s="5">
        <v>1.0</v>
      </c>
      <c r="B1964" s="1">
        <f t="shared" si="1"/>
        <v>1964</v>
      </c>
      <c r="C1964" s="1" t="s">
        <v>3344</v>
      </c>
      <c r="D1964" s="1" t="s">
        <v>3344</v>
      </c>
      <c r="E1964" s="1" t="s">
        <v>194</v>
      </c>
      <c r="G1964" s="1">
        <v>8.9228048E7</v>
      </c>
      <c r="H1964" s="2">
        <v>41793.0</v>
      </c>
      <c r="I1964" s="1" t="s">
        <v>458</v>
      </c>
      <c r="K1964" s="1" t="s">
        <v>458</v>
      </c>
      <c r="N1964" s="1" t="s">
        <v>194</v>
      </c>
      <c r="O1964" s="1">
        <v>9100.0</v>
      </c>
      <c r="P1964" s="1" t="s">
        <v>194</v>
      </c>
      <c r="Q1964" s="1" t="str">
        <f>IF(ISERROR(VLOOKUP(P1964,'unique fed agency names'!A:C,3,FALSE)),P1964,VLOOKUP(P1964,'unique fed agency names'!A:C,3,FALSE))
</f>
        <v>U.S. Department of Education (ED)</v>
      </c>
      <c r="R1964" s="1">
        <v>1.47777952E8</v>
      </c>
      <c r="S1964" s="1" t="s">
        <v>459</v>
      </c>
      <c r="T1964" s="1" t="str">
        <f>IF(ISERROR(VLOOKUP(S1964,'unique org names'!A:C,3,FALSE)),S1964,VLOOKUP(S1964,'unique org names'!A:C,3,FALSE))
</f>
        <v>DETROIT PUBLIC SCHOOLS</v>
      </c>
      <c r="U1964" s="1" t="s">
        <v>626</v>
      </c>
      <c r="V1964" s="1" t="s">
        <v>627</v>
      </c>
      <c r="W1964" s="1" t="s">
        <v>44</v>
      </c>
      <c r="X1964" s="1" t="s">
        <v>45</v>
      </c>
      <c r="Y1964" s="1">
        <v>4.82072112E8</v>
      </c>
      <c r="AA1964" s="1" t="s">
        <v>44</v>
      </c>
      <c r="AB1964" s="1" t="s">
        <v>45</v>
      </c>
      <c r="AC1964" s="1">
        <v>4.82072112E8</v>
      </c>
      <c r="AD1964" s="1">
        <v>7.6340843E7</v>
      </c>
      <c r="AE1964" s="1" t="s">
        <v>461</v>
      </c>
      <c r="AF1964" s="1">
        <v>127735.0</v>
      </c>
      <c r="AG1964" s="2">
        <v>41793.0</v>
      </c>
      <c r="AH1964" s="1">
        <v>9100.0</v>
      </c>
      <c r="AI1964" s="1" t="s">
        <v>194</v>
      </c>
      <c r="AJ1964" s="1" t="s">
        <v>3631</v>
      </c>
      <c r="AK1964" s="1" t="s">
        <v>463</v>
      </c>
      <c r="AL1964" s="1">
        <v>1.0</v>
      </c>
      <c r="AM1964" s="1">
        <v>2015.0</v>
      </c>
      <c r="AN1964" s="1">
        <v>2014.0</v>
      </c>
      <c r="AO1964" s="1" t="s">
        <v>277</v>
      </c>
    </row>
    <row r="1965">
      <c r="A1965" s="5">
        <v>1.0</v>
      </c>
      <c r="B1965" s="1">
        <f t="shared" si="1"/>
        <v>1965</v>
      </c>
      <c r="C1965" s="1" t="s">
        <v>1913</v>
      </c>
      <c r="D1965" s="1" t="s">
        <v>1913</v>
      </c>
      <c r="E1965" s="1" t="s">
        <v>645</v>
      </c>
      <c r="G1965" s="1">
        <v>1.4642656E8</v>
      </c>
      <c r="H1965" s="2">
        <v>41984.0</v>
      </c>
      <c r="I1965" s="1" t="s">
        <v>710</v>
      </c>
      <c r="K1965" s="1" t="s">
        <v>710</v>
      </c>
      <c r="N1965" s="1" t="s">
        <v>647</v>
      </c>
      <c r="O1965" s="1">
        <v>1200.0</v>
      </c>
      <c r="P1965" s="1" t="s">
        <v>647</v>
      </c>
      <c r="Q1965" s="1" t="str">
        <f>IF(ISERROR(VLOOKUP(P1965,'unique fed agency names'!A:C,3,FALSE)),P1965,VLOOKUP(P1965,'unique fed agency names'!A:C,3,FALSE))
</f>
        <v>U.S. Department of Agriculture (USDA)</v>
      </c>
      <c r="R1965" s="1">
        <v>8.76992343E8</v>
      </c>
      <c r="S1965" s="1" t="s">
        <v>550</v>
      </c>
      <c r="T1965" s="1" t="str">
        <f>IF(ISERROR(VLOOKUP(S1965,'unique org names'!A:C,3,FALSE)),S1965,VLOOKUP(S1965,'unique org names'!A:C,3,FALSE))
</f>
        <v>VOYAGEUR ACADEMY</v>
      </c>
      <c r="V1965" s="1" t="s">
        <v>551</v>
      </c>
      <c r="W1965" s="1" t="s">
        <v>44</v>
      </c>
      <c r="X1965" s="1" t="s">
        <v>45</v>
      </c>
      <c r="Y1965" s="1">
        <v>4.82102451E8</v>
      </c>
      <c r="AA1965" s="1" t="s">
        <v>44</v>
      </c>
      <c r="AB1965" s="1" t="s">
        <v>45</v>
      </c>
      <c r="AC1965" s="1">
        <v>4.82102451E8</v>
      </c>
      <c r="AF1965" s="1">
        <v>56225.1</v>
      </c>
      <c r="AG1965" s="2">
        <v>41984.0</v>
      </c>
      <c r="AH1965" s="1">
        <v>1200.0</v>
      </c>
      <c r="AI1965" s="1" t="s">
        <v>647</v>
      </c>
      <c r="AJ1965" s="1" t="s">
        <v>3632</v>
      </c>
      <c r="AK1965" s="1" t="s">
        <v>712</v>
      </c>
      <c r="AL1965" s="1">
        <v>1.0</v>
      </c>
      <c r="AM1965" s="1">
        <v>2015.0</v>
      </c>
      <c r="AN1965" s="1">
        <v>2015.0</v>
      </c>
      <c r="AO1965" s="1" t="s">
        <v>713</v>
      </c>
    </row>
    <row r="1966">
      <c r="A1966" s="5">
        <v>1.0</v>
      </c>
      <c r="B1966" s="1">
        <f t="shared" si="1"/>
        <v>1966</v>
      </c>
      <c r="C1966" s="1" t="s">
        <v>1913</v>
      </c>
      <c r="D1966" s="1" t="s">
        <v>1913</v>
      </c>
      <c r="E1966" s="1" t="s">
        <v>645</v>
      </c>
      <c r="G1966" s="1">
        <v>1.4642656E8</v>
      </c>
      <c r="H1966" s="2">
        <v>41984.0</v>
      </c>
      <c r="I1966" s="1" t="s">
        <v>710</v>
      </c>
      <c r="K1966" s="1" t="s">
        <v>710</v>
      </c>
      <c r="N1966" s="1" t="s">
        <v>647</v>
      </c>
      <c r="O1966" s="1">
        <v>1200.0</v>
      </c>
      <c r="P1966" s="1" t="s">
        <v>647</v>
      </c>
      <c r="Q1966" s="1" t="str">
        <f>IF(ISERROR(VLOOKUP(P1966,'unique fed agency names'!A:C,3,FALSE)),P1966,VLOOKUP(P1966,'unique fed agency names'!A:C,3,FALSE))
</f>
        <v>U.S. Department of Agriculture (USDA)</v>
      </c>
      <c r="R1966" s="1">
        <v>1.47777952E8</v>
      </c>
      <c r="S1966" s="1" t="s">
        <v>459</v>
      </c>
      <c r="T1966" s="1" t="str">
        <f>IF(ISERROR(VLOOKUP(S1966,'unique org names'!A:C,3,FALSE)),S1966,VLOOKUP(S1966,'unique org names'!A:C,3,FALSE))
</f>
        <v>DETROIT PUBLIC SCHOOLS</v>
      </c>
      <c r="U1966" s="1" t="s">
        <v>626</v>
      </c>
      <c r="V1966" s="1" t="s">
        <v>627</v>
      </c>
      <c r="W1966" s="1" t="s">
        <v>44</v>
      </c>
      <c r="X1966" s="1" t="s">
        <v>45</v>
      </c>
      <c r="Y1966" s="1">
        <v>4.82072112E8</v>
      </c>
      <c r="AA1966" s="1" t="s">
        <v>44</v>
      </c>
      <c r="AB1966" s="1" t="s">
        <v>45</v>
      </c>
      <c r="AC1966" s="1">
        <v>4.82072112E8</v>
      </c>
      <c r="AD1966" s="1">
        <v>7.6340843E7</v>
      </c>
      <c r="AE1966" s="1" t="s">
        <v>461</v>
      </c>
      <c r="AF1966" s="1">
        <v>55393.28</v>
      </c>
      <c r="AG1966" s="2">
        <v>41984.0</v>
      </c>
      <c r="AH1966" s="1">
        <v>1200.0</v>
      </c>
      <c r="AI1966" s="1" t="s">
        <v>647</v>
      </c>
      <c r="AJ1966" s="1" t="s">
        <v>3633</v>
      </c>
      <c r="AK1966" s="1" t="s">
        <v>712</v>
      </c>
      <c r="AL1966" s="1">
        <v>1.0</v>
      </c>
      <c r="AM1966" s="1">
        <v>2015.0</v>
      </c>
      <c r="AN1966" s="1">
        <v>2015.0</v>
      </c>
      <c r="AO1966" s="1" t="s">
        <v>713</v>
      </c>
    </row>
    <row r="1967">
      <c r="A1967" s="5">
        <v>1.0</v>
      </c>
      <c r="B1967" s="1">
        <f t="shared" si="1"/>
        <v>1967</v>
      </c>
      <c r="C1967" s="1" t="s">
        <v>1913</v>
      </c>
      <c r="D1967" s="1" t="s">
        <v>1913</v>
      </c>
      <c r="E1967" s="1" t="s">
        <v>645</v>
      </c>
      <c r="G1967" s="1">
        <v>1.4642656E8</v>
      </c>
      <c r="H1967" s="2">
        <v>41991.0</v>
      </c>
      <c r="I1967" s="1" t="s">
        <v>710</v>
      </c>
      <c r="K1967" s="1" t="s">
        <v>710</v>
      </c>
      <c r="N1967" s="1" t="s">
        <v>647</v>
      </c>
      <c r="O1967" s="1">
        <v>1200.0</v>
      </c>
      <c r="P1967" s="1" t="s">
        <v>647</v>
      </c>
      <c r="Q1967" s="1" t="str">
        <f>IF(ISERROR(VLOOKUP(P1967,'unique fed agency names'!A:C,3,FALSE)),P1967,VLOOKUP(P1967,'unique fed agency names'!A:C,3,FALSE))
</f>
        <v>U.S. Department of Agriculture (USDA)</v>
      </c>
      <c r="R1967" s="1">
        <v>9.62104118E8</v>
      </c>
      <c r="S1967" s="1" t="s">
        <v>634</v>
      </c>
      <c r="T1967" s="1" t="str">
        <f>IF(ISERROR(VLOOKUP(S1967,'unique org names'!A:C,3,FALSE)),S1967,VLOOKUP(S1967,'unique org names'!A:C,3,FALSE))
</f>
        <v>UNIVERSITY YES ACADEMY</v>
      </c>
      <c r="V1967" s="1" t="s">
        <v>635</v>
      </c>
      <c r="W1967" s="1" t="s">
        <v>44</v>
      </c>
      <c r="X1967" s="1" t="s">
        <v>45</v>
      </c>
      <c r="Y1967" s="1">
        <v>4.82351111E8</v>
      </c>
      <c r="AA1967" s="1" t="s">
        <v>46</v>
      </c>
      <c r="AB1967" s="1" t="s">
        <v>45</v>
      </c>
      <c r="AC1967" s="1">
        <v>4.82351111E8</v>
      </c>
      <c r="AF1967" s="1">
        <v>79578.36</v>
      </c>
      <c r="AG1967" s="2">
        <v>41991.0</v>
      </c>
      <c r="AH1967" s="1">
        <v>1200.0</v>
      </c>
      <c r="AI1967" s="1" t="s">
        <v>647</v>
      </c>
      <c r="AJ1967" s="1" t="s">
        <v>3634</v>
      </c>
      <c r="AK1967" s="1" t="s">
        <v>712</v>
      </c>
      <c r="AL1967" s="1">
        <v>1.0</v>
      </c>
      <c r="AM1967" s="1">
        <v>2015.0</v>
      </c>
      <c r="AN1967" s="1">
        <v>2015.0</v>
      </c>
      <c r="AO1967" s="1" t="s">
        <v>713</v>
      </c>
    </row>
    <row r="1968">
      <c r="A1968" s="5">
        <v>1.0</v>
      </c>
      <c r="B1968" s="1">
        <f t="shared" si="1"/>
        <v>1968</v>
      </c>
      <c r="C1968" s="1" t="s">
        <v>1913</v>
      </c>
      <c r="D1968" s="1" t="s">
        <v>1913</v>
      </c>
      <c r="E1968" s="1" t="s">
        <v>645</v>
      </c>
      <c r="G1968" s="1">
        <v>1.4642656E8</v>
      </c>
      <c r="H1968" s="2">
        <v>41991.0</v>
      </c>
      <c r="I1968" s="1" t="s">
        <v>710</v>
      </c>
      <c r="K1968" s="1" t="s">
        <v>710</v>
      </c>
      <c r="N1968" s="1" t="s">
        <v>647</v>
      </c>
      <c r="O1968" s="1">
        <v>1200.0</v>
      </c>
      <c r="P1968" s="1" t="s">
        <v>647</v>
      </c>
      <c r="Q1968" s="1" t="str">
        <f>IF(ISERROR(VLOOKUP(P1968,'unique fed agency names'!A:C,3,FALSE)),P1968,VLOOKUP(P1968,'unique fed agency names'!A:C,3,FALSE))
</f>
        <v>U.S. Department of Agriculture (USDA)</v>
      </c>
      <c r="R1968" s="1">
        <v>3.9866801E7</v>
      </c>
      <c r="S1968" s="1" t="s">
        <v>612</v>
      </c>
      <c r="T1968" s="1" t="str">
        <f>IF(ISERROR(VLOOKUP(S1968,'unique org names'!A:C,3,FALSE)),S1968,VLOOKUP(S1968,'unique org names'!A:C,3,FALSE))
</f>
        <v>HAMTRAMCK PUBLIC SCHOOLS</v>
      </c>
      <c r="V1968" s="1" t="s">
        <v>613</v>
      </c>
      <c r="W1968" s="1" t="s">
        <v>44</v>
      </c>
      <c r="X1968" s="1" t="s">
        <v>45</v>
      </c>
      <c r="Y1968" s="1">
        <v>4.8212E8</v>
      </c>
      <c r="AA1968" s="1" t="s">
        <v>607</v>
      </c>
      <c r="AB1968" s="1" t="s">
        <v>45</v>
      </c>
      <c r="AC1968" s="1">
        <v>4.82120012E8</v>
      </c>
      <c r="AD1968" s="1">
        <v>3.9866801E7</v>
      </c>
      <c r="AE1968" s="1" t="s">
        <v>612</v>
      </c>
      <c r="AF1968" s="1">
        <v>260760.96</v>
      </c>
      <c r="AG1968" s="2">
        <v>41991.0</v>
      </c>
      <c r="AH1968" s="1">
        <v>1200.0</v>
      </c>
      <c r="AI1968" s="1" t="s">
        <v>647</v>
      </c>
      <c r="AJ1968" s="1" t="s">
        <v>3635</v>
      </c>
      <c r="AK1968" s="1" t="s">
        <v>712</v>
      </c>
      <c r="AL1968" s="1">
        <v>1.0</v>
      </c>
      <c r="AM1968" s="1">
        <v>2015.0</v>
      </c>
      <c r="AN1968" s="1">
        <v>2015.0</v>
      </c>
      <c r="AO1968" s="1" t="s">
        <v>713</v>
      </c>
    </row>
    <row r="1969">
      <c r="A1969" s="5">
        <v>1.0</v>
      </c>
      <c r="B1969" s="1">
        <f t="shared" si="1"/>
        <v>1969</v>
      </c>
      <c r="C1969" s="1" t="s">
        <v>3515</v>
      </c>
      <c r="D1969" s="1" t="s">
        <v>3515</v>
      </c>
      <c r="E1969" s="1" t="s">
        <v>645</v>
      </c>
      <c r="G1969" s="1">
        <v>4.64793056E8</v>
      </c>
      <c r="H1969" s="2">
        <v>41977.0</v>
      </c>
      <c r="I1969" s="1" t="s">
        <v>710</v>
      </c>
      <c r="K1969" s="1" t="s">
        <v>710</v>
      </c>
      <c r="N1969" s="1" t="s">
        <v>647</v>
      </c>
      <c r="O1969" s="1">
        <v>1200.0</v>
      </c>
      <c r="P1969" s="1" t="s">
        <v>647</v>
      </c>
      <c r="Q1969" s="1" t="str">
        <f>IF(ISERROR(VLOOKUP(P1969,'unique fed agency names'!A:C,3,FALSE)),P1969,VLOOKUP(P1969,'unique fed agency names'!A:C,3,FALSE))
</f>
        <v>U.S. Department of Agriculture (USDA)</v>
      </c>
      <c r="R1969" s="1">
        <v>5.2874042E7</v>
      </c>
      <c r="S1969" s="1" t="s">
        <v>538</v>
      </c>
      <c r="T1969" s="1" t="str">
        <f>IF(ISERROR(VLOOKUP(S1969,'unique org names'!A:C,3,FALSE)),S1969,VLOOKUP(S1969,'unique org names'!A:C,3,FALSE))
</f>
        <v>CESAR CHAVEZ ACADEMY</v>
      </c>
      <c r="V1969" s="1" t="s">
        <v>539</v>
      </c>
      <c r="W1969" s="1" t="s">
        <v>44</v>
      </c>
      <c r="X1969" s="1" t="s">
        <v>45</v>
      </c>
      <c r="Y1969" s="1">
        <v>4.82091524E8</v>
      </c>
      <c r="AA1969" s="1" t="s">
        <v>44</v>
      </c>
      <c r="AB1969" s="1" t="s">
        <v>45</v>
      </c>
      <c r="AC1969" s="1">
        <v>4.82091524E8</v>
      </c>
      <c r="AF1969" s="1">
        <v>725654.37</v>
      </c>
      <c r="AG1969" s="2">
        <v>41977.0</v>
      </c>
      <c r="AH1969" s="1">
        <v>1200.0</v>
      </c>
      <c r="AI1969" s="1" t="s">
        <v>647</v>
      </c>
      <c r="AJ1969" s="1" t="s">
        <v>3636</v>
      </c>
      <c r="AK1969" s="1" t="s">
        <v>712</v>
      </c>
      <c r="AL1969" s="1">
        <v>1.0</v>
      </c>
      <c r="AM1969" s="1">
        <v>2015.0</v>
      </c>
      <c r="AN1969" s="1">
        <v>2015.0</v>
      </c>
      <c r="AO1969" s="1" t="s">
        <v>713</v>
      </c>
    </row>
    <row r="1970">
      <c r="A1970" s="5">
        <v>1.0</v>
      </c>
      <c r="B1970" s="1">
        <f t="shared" si="1"/>
        <v>1970</v>
      </c>
      <c r="C1970" s="1" t="s">
        <v>3515</v>
      </c>
      <c r="D1970" s="1" t="s">
        <v>3515</v>
      </c>
      <c r="E1970" s="1" t="s">
        <v>645</v>
      </c>
      <c r="G1970" s="1">
        <v>4.64793056E8</v>
      </c>
      <c r="H1970" s="2">
        <v>41949.0</v>
      </c>
      <c r="I1970" s="1" t="s">
        <v>710</v>
      </c>
      <c r="K1970" s="1" t="s">
        <v>710</v>
      </c>
      <c r="N1970" s="1" t="s">
        <v>647</v>
      </c>
      <c r="O1970" s="1">
        <v>1200.0</v>
      </c>
      <c r="P1970" s="1" t="s">
        <v>647</v>
      </c>
      <c r="Q1970" s="1" t="str">
        <f>IF(ISERROR(VLOOKUP(P1970,'unique fed agency names'!A:C,3,FALSE)),P1970,VLOOKUP(P1970,'unique fed agency names'!A:C,3,FALSE))
</f>
        <v>U.S. Department of Agriculture (USDA)</v>
      </c>
      <c r="R1970" s="1">
        <v>8.38496842E8</v>
      </c>
      <c r="S1970" s="1" t="s">
        <v>810</v>
      </c>
      <c r="T1970" s="1" t="str">
        <f>IF(ISERROR(VLOOKUP(S1970,'unique org names'!A:C,3,FALSE)),S1970,VLOOKUP(S1970,'unique org names'!A:C,3,FALSE))
</f>
        <v>NEW ST PAUL TABERNACLE HEAD START AGENCY INC</v>
      </c>
      <c r="V1970" s="1" t="s">
        <v>811</v>
      </c>
      <c r="W1970" s="1" t="s">
        <v>44</v>
      </c>
      <c r="X1970" s="1" t="s">
        <v>45</v>
      </c>
      <c r="Y1970" s="1">
        <v>4.82231359E8</v>
      </c>
      <c r="AA1970" s="1" t="s">
        <v>46</v>
      </c>
      <c r="AB1970" s="1" t="s">
        <v>45</v>
      </c>
      <c r="AC1970" s="1">
        <v>4.8223E8</v>
      </c>
      <c r="AD1970" s="1">
        <v>8.38496842E8</v>
      </c>
      <c r="AE1970" s="1" t="s">
        <v>810</v>
      </c>
      <c r="AF1970" s="1">
        <v>257449.38</v>
      </c>
      <c r="AG1970" s="2">
        <v>41949.0</v>
      </c>
      <c r="AH1970" s="1">
        <v>1200.0</v>
      </c>
      <c r="AI1970" s="1" t="s">
        <v>647</v>
      </c>
      <c r="AJ1970" s="1" t="s">
        <v>3637</v>
      </c>
      <c r="AK1970" s="1" t="s">
        <v>712</v>
      </c>
      <c r="AL1970" s="1">
        <v>1.0</v>
      </c>
      <c r="AM1970" s="1">
        <v>2015.0</v>
      </c>
      <c r="AN1970" s="1">
        <v>2015.0</v>
      </c>
      <c r="AO1970" s="1" t="s">
        <v>713</v>
      </c>
    </row>
    <row r="1971">
      <c r="A1971" s="5">
        <v>1.0</v>
      </c>
      <c r="B1971" s="1">
        <f t="shared" si="1"/>
        <v>1971</v>
      </c>
      <c r="C1971" s="1" t="s">
        <v>3515</v>
      </c>
      <c r="D1971" s="1" t="s">
        <v>3515</v>
      </c>
      <c r="E1971" s="1" t="s">
        <v>645</v>
      </c>
      <c r="G1971" s="1">
        <v>4.64793056E8</v>
      </c>
      <c r="H1971" s="2">
        <v>41921.0</v>
      </c>
      <c r="I1971" s="1" t="s">
        <v>710</v>
      </c>
      <c r="K1971" s="1" t="s">
        <v>710</v>
      </c>
      <c r="N1971" s="1" t="s">
        <v>647</v>
      </c>
      <c r="O1971" s="1">
        <v>1200.0</v>
      </c>
      <c r="P1971" s="1" t="s">
        <v>647</v>
      </c>
      <c r="Q1971" s="1" t="str">
        <f>IF(ISERROR(VLOOKUP(P1971,'unique fed agency names'!A:C,3,FALSE)),P1971,VLOOKUP(P1971,'unique fed agency names'!A:C,3,FALSE))
</f>
        <v>U.S. Department of Agriculture (USDA)</v>
      </c>
      <c r="R1971" s="1">
        <v>5.1205881E7</v>
      </c>
      <c r="S1971" s="1" t="s">
        <v>3258</v>
      </c>
      <c r="T1971" s="1" t="str">
        <f>IF(ISERROR(VLOOKUP(S1971,'unique org names'!A:C,3,FALSE)),S1971,VLOOKUP(S1971,'unique org names'!A:C,3,FALSE))
</f>
        <v>Angels Praying Child Cre</v>
      </c>
      <c r="V1971" s="1" t="s">
        <v>3259</v>
      </c>
      <c r="W1971" s="1" t="s">
        <v>44</v>
      </c>
      <c r="X1971" s="1" t="s">
        <v>45</v>
      </c>
      <c r="Y1971" s="1">
        <v>4.82193265E8</v>
      </c>
      <c r="AA1971" s="1" t="s">
        <v>44</v>
      </c>
      <c r="AB1971" s="1" t="s">
        <v>45</v>
      </c>
      <c r="AC1971" s="1">
        <v>4.82193265E8</v>
      </c>
      <c r="AF1971" s="1">
        <v>39620.8</v>
      </c>
      <c r="AG1971" s="2">
        <v>41921.0</v>
      </c>
      <c r="AH1971" s="1">
        <v>1200.0</v>
      </c>
      <c r="AI1971" s="1" t="s">
        <v>647</v>
      </c>
      <c r="AJ1971" s="1" t="s">
        <v>3638</v>
      </c>
      <c r="AK1971" s="1" t="s">
        <v>712</v>
      </c>
      <c r="AL1971" s="1">
        <v>1.0</v>
      </c>
      <c r="AM1971" s="1">
        <v>2015.0</v>
      </c>
      <c r="AN1971" s="1">
        <v>2015.0</v>
      </c>
      <c r="AO1971" s="1" t="s">
        <v>713</v>
      </c>
    </row>
    <row r="1972">
      <c r="A1972" s="5">
        <v>1.0</v>
      </c>
      <c r="B1972" s="1">
        <f t="shared" si="1"/>
        <v>1972</v>
      </c>
      <c r="C1972" s="1" t="s">
        <v>3344</v>
      </c>
      <c r="D1972" s="1" t="s">
        <v>3344</v>
      </c>
      <c r="E1972" s="1" t="s">
        <v>194</v>
      </c>
      <c r="G1972" s="1">
        <v>8.9228048E7</v>
      </c>
      <c r="H1972" s="2">
        <v>41682.0</v>
      </c>
      <c r="I1972" s="1" t="s">
        <v>458</v>
      </c>
      <c r="K1972" s="1" t="s">
        <v>458</v>
      </c>
      <c r="N1972" s="1" t="s">
        <v>194</v>
      </c>
      <c r="O1972" s="1">
        <v>9100.0</v>
      </c>
      <c r="P1972" s="1" t="s">
        <v>194</v>
      </c>
      <c r="Q1972" s="1" t="str">
        <f>IF(ISERROR(VLOOKUP(P1972,'unique fed agency names'!A:C,3,FALSE)),P1972,VLOOKUP(P1972,'unique fed agency names'!A:C,3,FALSE))
</f>
        <v>U.S. Department of Education (ED)</v>
      </c>
      <c r="R1972" s="1">
        <v>4.2136734E7</v>
      </c>
      <c r="S1972" s="1" t="s">
        <v>557</v>
      </c>
      <c r="T1972" s="1" t="str">
        <f>IF(ISERROR(VLOOKUP(S1972,'unique org names'!A:C,3,FALSE)),S1972,VLOOKUP(S1972,'unique org names'!A:C,3,FALSE))
</f>
        <v>GEORGE CROCKETT ACADEMY</v>
      </c>
      <c r="U1972" s="1" t="s">
        <v>3639</v>
      </c>
      <c r="V1972" s="1" t="s">
        <v>558</v>
      </c>
      <c r="W1972" s="1" t="s">
        <v>44</v>
      </c>
      <c r="X1972" s="1" t="s">
        <v>45</v>
      </c>
      <c r="Y1972" s="1">
        <v>4.82082204E8</v>
      </c>
      <c r="AA1972" s="1" t="s">
        <v>44</v>
      </c>
      <c r="AB1972" s="1" t="s">
        <v>45</v>
      </c>
      <c r="AC1972" s="1">
        <v>4.82082204E8</v>
      </c>
      <c r="AD1972" s="1">
        <v>5.1516482E7</v>
      </c>
      <c r="AF1972" s="1">
        <v>71635.0</v>
      </c>
      <c r="AG1972" s="2">
        <v>41682.0</v>
      </c>
      <c r="AH1972" s="1">
        <v>9100.0</v>
      </c>
      <c r="AI1972" s="1" t="s">
        <v>194</v>
      </c>
      <c r="AJ1972" s="1" t="s">
        <v>3640</v>
      </c>
      <c r="AK1972" s="1" t="s">
        <v>463</v>
      </c>
      <c r="AL1972" s="1">
        <v>1.0</v>
      </c>
      <c r="AM1972" s="1">
        <v>2015.0</v>
      </c>
      <c r="AN1972" s="1">
        <v>2014.0</v>
      </c>
      <c r="AO1972" s="1" t="s">
        <v>277</v>
      </c>
    </row>
    <row r="1973">
      <c r="A1973" s="5">
        <v>1.0</v>
      </c>
      <c r="B1973" s="1">
        <f t="shared" si="1"/>
        <v>1973</v>
      </c>
      <c r="C1973" s="1" t="s">
        <v>3515</v>
      </c>
      <c r="D1973" s="1" t="s">
        <v>3515</v>
      </c>
      <c r="E1973" s="1" t="s">
        <v>645</v>
      </c>
      <c r="G1973" s="1">
        <v>4.64793056E8</v>
      </c>
      <c r="H1973" s="2">
        <v>41949.0</v>
      </c>
      <c r="I1973" s="1" t="s">
        <v>710</v>
      </c>
      <c r="K1973" s="1" t="s">
        <v>710</v>
      </c>
      <c r="N1973" s="1" t="s">
        <v>647</v>
      </c>
      <c r="O1973" s="1">
        <v>1200.0</v>
      </c>
      <c r="P1973" s="1" t="s">
        <v>647</v>
      </c>
      <c r="Q1973" s="1" t="str">
        <f>IF(ISERROR(VLOOKUP(P1973,'unique fed agency names'!A:C,3,FALSE)),P1973,VLOOKUP(P1973,'unique fed agency names'!A:C,3,FALSE))
</f>
        <v>U.S. Department of Agriculture (USDA)</v>
      </c>
      <c r="R1973" s="1">
        <v>4.2136734E7</v>
      </c>
      <c r="S1973" s="1" t="s">
        <v>557</v>
      </c>
      <c r="T1973" s="1" t="str">
        <f>IF(ISERROR(VLOOKUP(S1973,'unique org names'!A:C,3,FALSE)),S1973,VLOOKUP(S1973,'unique org names'!A:C,3,FALSE))
</f>
        <v>GEORGE CROCKETT ACADEMY</v>
      </c>
      <c r="V1973" s="1" t="s">
        <v>558</v>
      </c>
      <c r="W1973" s="1" t="s">
        <v>44</v>
      </c>
      <c r="X1973" s="1" t="s">
        <v>45</v>
      </c>
      <c r="Y1973" s="1">
        <v>4.82082204E8</v>
      </c>
      <c r="AA1973" s="1" t="s">
        <v>44</v>
      </c>
      <c r="AB1973" s="1" t="s">
        <v>45</v>
      </c>
      <c r="AC1973" s="1">
        <v>4.82082204E8</v>
      </c>
      <c r="AD1973" s="1">
        <v>7.927615E7</v>
      </c>
      <c r="AE1973" s="1" t="s">
        <v>3641</v>
      </c>
      <c r="AF1973" s="1">
        <v>45066.14</v>
      </c>
      <c r="AG1973" s="2">
        <v>41949.0</v>
      </c>
      <c r="AH1973" s="1">
        <v>1200.0</v>
      </c>
      <c r="AI1973" s="1" t="s">
        <v>647</v>
      </c>
      <c r="AJ1973" s="1" t="s">
        <v>3642</v>
      </c>
      <c r="AK1973" s="1" t="s">
        <v>712</v>
      </c>
      <c r="AL1973" s="1">
        <v>1.0</v>
      </c>
      <c r="AM1973" s="1">
        <v>2015.0</v>
      </c>
      <c r="AN1973" s="1">
        <v>2015.0</v>
      </c>
      <c r="AO1973" s="1" t="s">
        <v>713</v>
      </c>
    </row>
    <row r="1974">
      <c r="A1974" s="5">
        <v>1.0</v>
      </c>
      <c r="B1974" s="1">
        <f t="shared" si="1"/>
        <v>1974</v>
      </c>
      <c r="C1974" s="1" t="s">
        <v>1913</v>
      </c>
      <c r="D1974" s="1" t="s">
        <v>1913</v>
      </c>
      <c r="E1974" s="1" t="s">
        <v>645</v>
      </c>
      <c r="G1974" s="1">
        <v>1.4642656E8</v>
      </c>
      <c r="H1974" s="2">
        <v>41999.0</v>
      </c>
      <c r="I1974" s="1" t="s">
        <v>710</v>
      </c>
      <c r="K1974" s="1" t="s">
        <v>710</v>
      </c>
      <c r="N1974" s="1" t="s">
        <v>647</v>
      </c>
      <c r="O1974" s="1">
        <v>1200.0</v>
      </c>
      <c r="P1974" s="1" t="s">
        <v>647</v>
      </c>
      <c r="Q1974" s="1" t="str">
        <f>IF(ISERROR(VLOOKUP(P1974,'unique fed agency names'!A:C,3,FALSE)),P1974,VLOOKUP(P1974,'unique fed agency names'!A:C,3,FALSE))
</f>
        <v>U.S. Department of Agriculture (USDA)</v>
      </c>
      <c r="R1974" s="1">
        <v>7.6340843E7</v>
      </c>
      <c r="S1974" s="1" t="s">
        <v>461</v>
      </c>
      <c r="T1974" s="1" t="str">
        <f>IF(ISERROR(VLOOKUP(S1974,'unique org names'!A:C,3,FALSE)),S1974,VLOOKUP(S1974,'unique org names'!A:C,3,FALSE))
</f>
        <v>BOARD OF EDUCATION OF THE CITY OF DETROIT</v>
      </c>
      <c r="V1974" s="1" t="s">
        <v>1599</v>
      </c>
      <c r="W1974" s="1" t="s">
        <v>44</v>
      </c>
      <c r="X1974" s="1" t="s">
        <v>45</v>
      </c>
      <c r="Y1974" s="1">
        <v>4.8202301E8</v>
      </c>
      <c r="AA1974" s="1" t="s">
        <v>44</v>
      </c>
      <c r="AB1974" s="1" t="s">
        <v>45</v>
      </c>
      <c r="AC1974" s="1">
        <v>4.82023096E8</v>
      </c>
      <c r="AD1974" s="1">
        <v>7.6340843E7</v>
      </c>
      <c r="AE1974" s="1" t="s">
        <v>461</v>
      </c>
      <c r="AF1974" s="1">
        <v>5514432.56</v>
      </c>
      <c r="AG1974" s="2">
        <v>41999.0</v>
      </c>
      <c r="AH1974" s="1">
        <v>1200.0</v>
      </c>
      <c r="AI1974" s="1" t="s">
        <v>647</v>
      </c>
      <c r="AJ1974" s="1" t="s">
        <v>3643</v>
      </c>
      <c r="AK1974" s="1" t="s">
        <v>712</v>
      </c>
      <c r="AL1974" s="1">
        <v>1.0</v>
      </c>
      <c r="AM1974" s="1">
        <v>2015.0</v>
      </c>
      <c r="AN1974" s="1">
        <v>2015.0</v>
      </c>
      <c r="AO1974" s="1" t="s">
        <v>713</v>
      </c>
    </row>
    <row r="1975">
      <c r="A1975" s="5">
        <v>1.0</v>
      </c>
      <c r="B1975" s="1">
        <f t="shared" si="1"/>
        <v>1975</v>
      </c>
      <c r="C1975" s="1" t="s">
        <v>3515</v>
      </c>
      <c r="D1975" s="1" t="s">
        <v>3515</v>
      </c>
      <c r="E1975" s="1" t="s">
        <v>645</v>
      </c>
      <c r="G1975" s="1">
        <v>4.64793056E8</v>
      </c>
      <c r="H1975" s="2">
        <v>41928.0</v>
      </c>
      <c r="I1975" s="1" t="s">
        <v>710</v>
      </c>
      <c r="K1975" s="1" t="s">
        <v>710</v>
      </c>
      <c r="N1975" s="1" t="s">
        <v>647</v>
      </c>
      <c r="O1975" s="1">
        <v>1200.0</v>
      </c>
      <c r="P1975" s="1" t="s">
        <v>647</v>
      </c>
      <c r="Q1975" s="1" t="str">
        <f>IF(ISERROR(VLOOKUP(P1975,'unique fed agency names'!A:C,3,FALSE)),P1975,VLOOKUP(P1975,'unique fed agency names'!A:C,3,FALSE))
</f>
        <v>U.S. Department of Agriculture (USDA)</v>
      </c>
      <c r="R1975" s="1">
        <v>3.7602699E7</v>
      </c>
      <c r="S1975" s="1" t="s">
        <v>535</v>
      </c>
      <c r="T1975" s="1" t="str">
        <f>IF(ISERROR(VLOOKUP(S1975,'unique org names'!A:C,3,FALSE)),S1975,VLOOKUP(S1975,'unique org names'!A:C,3,FALSE))
</f>
        <v>REGENT PARK SCHOLARS CHARTER ACADEMY</v>
      </c>
      <c r="V1975" s="1" t="s">
        <v>536</v>
      </c>
      <c r="W1975" s="1" t="s">
        <v>44</v>
      </c>
      <c r="X1975" s="1" t="s">
        <v>45</v>
      </c>
      <c r="Y1975" s="1">
        <v>4.82052545E8</v>
      </c>
      <c r="AA1975" s="1" t="s">
        <v>46</v>
      </c>
      <c r="AB1975" s="1" t="s">
        <v>45</v>
      </c>
      <c r="AC1975" s="1">
        <v>4.82052545E8</v>
      </c>
      <c r="AF1975" s="1">
        <v>44551.07</v>
      </c>
      <c r="AG1975" s="2">
        <v>41928.0</v>
      </c>
      <c r="AH1975" s="1">
        <v>1200.0</v>
      </c>
      <c r="AI1975" s="1" t="s">
        <v>647</v>
      </c>
      <c r="AJ1975" s="1" t="s">
        <v>3644</v>
      </c>
      <c r="AK1975" s="1" t="s">
        <v>712</v>
      </c>
      <c r="AL1975" s="1">
        <v>1.0</v>
      </c>
      <c r="AM1975" s="1">
        <v>2015.0</v>
      </c>
      <c r="AN1975" s="1">
        <v>2015.0</v>
      </c>
      <c r="AO1975" s="1" t="s">
        <v>713</v>
      </c>
    </row>
    <row r="1976">
      <c r="A1976" s="5">
        <v>1.0</v>
      </c>
      <c r="B1976" s="1">
        <f t="shared" si="1"/>
        <v>1976</v>
      </c>
      <c r="C1976" s="1" t="s">
        <v>3515</v>
      </c>
      <c r="D1976" s="1" t="s">
        <v>3515</v>
      </c>
      <c r="E1976" s="1" t="s">
        <v>645</v>
      </c>
      <c r="G1976" s="1">
        <v>4.64793056E8</v>
      </c>
      <c r="H1976" s="2">
        <v>41767.0</v>
      </c>
      <c r="I1976" s="1" t="s">
        <v>710</v>
      </c>
      <c r="K1976" s="1" t="s">
        <v>710</v>
      </c>
      <c r="N1976" s="1" t="s">
        <v>647</v>
      </c>
      <c r="O1976" s="1">
        <v>1200.0</v>
      </c>
      <c r="P1976" s="1" t="s">
        <v>647</v>
      </c>
      <c r="Q1976" s="1" t="str">
        <f>IF(ISERROR(VLOOKUP(P1976,'unique fed agency names'!A:C,3,FALSE)),P1976,VLOOKUP(P1976,'unique fed agency names'!A:C,3,FALSE))
</f>
        <v>U.S. Department of Agriculture (USDA)</v>
      </c>
      <c r="R1976" s="1">
        <v>8.59589231E8</v>
      </c>
      <c r="S1976" s="1" t="s">
        <v>901</v>
      </c>
      <c r="T1976" s="1" t="str">
        <f>IF(ISERROR(VLOOKUP(S1976,'unique org names'!A:C,3,FALSE)),S1976,VLOOKUP(S1976,'unique org names'!A:C,3,FALSE))
</f>
        <v>Pebbles Development Center LLC</v>
      </c>
      <c r="V1976" s="1" t="s">
        <v>902</v>
      </c>
      <c r="W1976" s="1" t="s">
        <v>44</v>
      </c>
      <c r="X1976" s="1" t="s">
        <v>45</v>
      </c>
      <c r="Y1976" s="1">
        <v>4.82391326E8</v>
      </c>
      <c r="AA1976" s="1" t="s">
        <v>46</v>
      </c>
      <c r="AB1976" s="1" t="s">
        <v>45</v>
      </c>
      <c r="AC1976" s="1">
        <v>4.8239E8</v>
      </c>
      <c r="AF1976" s="1">
        <v>36666.87</v>
      </c>
      <c r="AG1976" s="2">
        <v>41767.0</v>
      </c>
      <c r="AH1976" s="1">
        <v>1200.0</v>
      </c>
      <c r="AI1976" s="1" t="s">
        <v>647</v>
      </c>
      <c r="AJ1976" s="1" t="s">
        <v>3645</v>
      </c>
      <c r="AK1976" s="1" t="s">
        <v>712</v>
      </c>
      <c r="AL1976" s="1">
        <v>1.0</v>
      </c>
      <c r="AM1976" s="1">
        <v>2015.0</v>
      </c>
      <c r="AN1976" s="1">
        <v>2014.0</v>
      </c>
      <c r="AO1976" s="1" t="s">
        <v>713</v>
      </c>
    </row>
    <row r="1977">
      <c r="A1977" s="5">
        <v>1.0</v>
      </c>
      <c r="B1977" s="1">
        <f t="shared" si="1"/>
        <v>1977</v>
      </c>
      <c r="C1977" s="1" t="s">
        <v>3344</v>
      </c>
      <c r="D1977" s="1" t="s">
        <v>3344</v>
      </c>
      <c r="E1977" s="1" t="s">
        <v>194</v>
      </c>
      <c r="G1977" s="1">
        <v>8.9228048E7</v>
      </c>
      <c r="H1977" s="2">
        <v>41729.0</v>
      </c>
      <c r="I1977" s="1" t="s">
        <v>458</v>
      </c>
      <c r="K1977" s="1" t="s">
        <v>458</v>
      </c>
      <c r="N1977" s="1" t="s">
        <v>194</v>
      </c>
      <c r="O1977" s="1">
        <v>9100.0</v>
      </c>
      <c r="P1977" s="1" t="s">
        <v>194</v>
      </c>
      <c r="Q1977" s="1" t="str">
        <f>IF(ISERROR(VLOOKUP(P1977,'unique fed agency names'!A:C,3,FALSE)),P1977,VLOOKUP(P1977,'unique fed agency names'!A:C,3,FALSE))
</f>
        <v>U.S. Department of Education (ED)</v>
      </c>
      <c r="R1977" s="1">
        <v>9.65778702E8</v>
      </c>
      <c r="S1977" s="1" t="s">
        <v>493</v>
      </c>
      <c r="T1977" s="1" t="str">
        <f>IF(ISERROR(VLOOKUP(S1977,'unique org names'!A:C,3,FALSE)),S1977,VLOOKUP(S1977,'unique org names'!A:C,3,FALSE))
</f>
        <v>COVENANT HOUSE ACADEMY CENTRAL</v>
      </c>
      <c r="U1977" s="1" t="s">
        <v>3646</v>
      </c>
      <c r="V1977" s="1" t="s">
        <v>494</v>
      </c>
      <c r="W1977" s="1" t="s">
        <v>44</v>
      </c>
      <c r="X1977" s="1" t="s">
        <v>45</v>
      </c>
      <c r="Y1977" s="1">
        <v>4.82082475E8</v>
      </c>
      <c r="AA1977" s="1" t="s">
        <v>44</v>
      </c>
      <c r="AB1977" s="1" t="s">
        <v>45</v>
      </c>
      <c r="AC1977" s="1">
        <v>4.82082475E8</v>
      </c>
      <c r="AD1977" s="1">
        <v>1.84200426E8</v>
      </c>
      <c r="AF1977" s="1">
        <v>111929.0</v>
      </c>
      <c r="AG1977" s="2">
        <v>41729.0</v>
      </c>
      <c r="AH1977" s="1">
        <v>9100.0</v>
      </c>
      <c r="AI1977" s="1" t="s">
        <v>194</v>
      </c>
      <c r="AJ1977" s="1" t="s">
        <v>3647</v>
      </c>
      <c r="AK1977" s="1" t="s">
        <v>463</v>
      </c>
      <c r="AL1977" s="1">
        <v>1.0</v>
      </c>
      <c r="AM1977" s="1">
        <v>2015.0</v>
      </c>
      <c r="AN1977" s="1">
        <v>2014.0</v>
      </c>
      <c r="AO1977" s="1" t="s">
        <v>277</v>
      </c>
    </row>
    <row r="1978">
      <c r="A1978" s="5">
        <v>1.0</v>
      </c>
      <c r="B1978" s="1">
        <f t="shared" si="1"/>
        <v>1978</v>
      </c>
      <c r="C1978" s="1" t="s">
        <v>1913</v>
      </c>
      <c r="D1978" s="1" t="s">
        <v>1913</v>
      </c>
      <c r="E1978" s="1" t="s">
        <v>645</v>
      </c>
      <c r="G1978" s="1">
        <v>1.4642656E8</v>
      </c>
      <c r="H1978" s="2">
        <v>41977.0</v>
      </c>
      <c r="I1978" s="1" t="s">
        <v>710</v>
      </c>
      <c r="K1978" s="1" t="s">
        <v>710</v>
      </c>
      <c r="N1978" s="1" t="s">
        <v>647</v>
      </c>
      <c r="O1978" s="1">
        <v>1200.0</v>
      </c>
      <c r="P1978" s="1" t="s">
        <v>647</v>
      </c>
      <c r="Q1978" s="1" t="str">
        <f>IF(ISERROR(VLOOKUP(P1978,'unique fed agency names'!A:C,3,FALSE)),P1978,VLOOKUP(P1978,'unique fed agency names'!A:C,3,FALSE))
</f>
        <v>U.S. Department of Agriculture (USDA)</v>
      </c>
      <c r="R1978" s="1">
        <v>7.0381949E7</v>
      </c>
      <c r="S1978" s="1" t="s">
        <v>605</v>
      </c>
      <c r="T1978" s="1" t="str">
        <f>IF(ISERROR(VLOOKUP(S1978,'unique org names'!A:C,3,FALSE)),S1978,VLOOKUP(S1978,'unique org names'!A:C,3,FALSE))
</f>
        <v>Liberty Caniff Academy</v>
      </c>
      <c r="V1978" s="1" t="s">
        <v>606</v>
      </c>
      <c r="W1978" s="1" t="s">
        <v>44</v>
      </c>
      <c r="X1978" s="1" t="s">
        <v>45</v>
      </c>
      <c r="Y1978" s="1">
        <v>4.82123033E8</v>
      </c>
      <c r="AA1978" s="1" t="s">
        <v>607</v>
      </c>
      <c r="AB1978" s="1" t="s">
        <v>45</v>
      </c>
      <c r="AC1978" s="1">
        <v>4.8212E8</v>
      </c>
      <c r="AF1978" s="1">
        <v>33528.42</v>
      </c>
      <c r="AG1978" s="2">
        <v>41977.0</v>
      </c>
      <c r="AH1978" s="1">
        <v>1200.0</v>
      </c>
      <c r="AI1978" s="1" t="s">
        <v>647</v>
      </c>
      <c r="AJ1978" s="1" t="s">
        <v>3648</v>
      </c>
      <c r="AK1978" s="1" t="s">
        <v>712</v>
      </c>
      <c r="AL1978" s="1">
        <v>1.0</v>
      </c>
      <c r="AM1978" s="1">
        <v>2015.0</v>
      </c>
      <c r="AN1978" s="1">
        <v>2015.0</v>
      </c>
      <c r="AO1978" s="1" t="s">
        <v>713</v>
      </c>
    </row>
    <row r="1979">
      <c r="A1979" s="5">
        <v>1.0</v>
      </c>
      <c r="B1979" s="1">
        <f t="shared" si="1"/>
        <v>1979</v>
      </c>
      <c r="C1979" s="1" t="s">
        <v>3344</v>
      </c>
      <c r="D1979" s="1" t="s">
        <v>3344</v>
      </c>
      <c r="E1979" s="1" t="s">
        <v>194</v>
      </c>
      <c r="G1979" s="1">
        <v>8.9228048E7</v>
      </c>
      <c r="H1979" s="2">
        <v>41729.0</v>
      </c>
      <c r="I1979" s="1" t="s">
        <v>458</v>
      </c>
      <c r="K1979" s="1" t="s">
        <v>458</v>
      </c>
      <c r="N1979" s="1" t="s">
        <v>194</v>
      </c>
      <c r="O1979" s="1">
        <v>9100.0</v>
      </c>
      <c r="P1979" s="1" t="s">
        <v>194</v>
      </c>
      <c r="Q1979" s="1" t="str">
        <f>IF(ISERROR(VLOOKUP(P1979,'unique fed agency names'!A:C,3,FALSE)),P1979,VLOOKUP(P1979,'unique fed agency names'!A:C,3,FALSE))
</f>
        <v>U.S. Department of Education (ED)</v>
      </c>
      <c r="R1979" s="1">
        <v>9.62949843E8</v>
      </c>
      <c r="S1979" s="1" t="s">
        <v>619</v>
      </c>
      <c r="T1979" s="1" t="str">
        <f>IF(ISERROR(VLOOKUP(S1979,'unique org names'!A:C,3,FALSE)),S1979,VLOOKUP(S1979,'unique org names'!A:C,3,FALSE))
</f>
        <v>ALLEN ACADEMY</v>
      </c>
      <c r="V1979" s="1" t="s">
        <v>620</v>
      </c>
      <c r="W1979" s="1" t="s">
        <v>44</v>
      </c>
      <c r="X1979" s="1" t="s">
        <v>45</v>
      </c>
      <c r="Y1979" s="1">
        <v>4.82042306E8</v>
      </c>
      <c r="AA1979" s="1" t="s">
        <v>44</v>
      </c>
      <c r="AB1979" s="1" t="s">
        <v>45</v>
      </c>
      <c r="AC1979" s="1">
        <v>4.82042306E8</v>
      </c>
      <c r="AD1979" s="1">
        <v>7.2587041E7</v>
      </c>
      <c r="AE1979" s="1" t="s">
        <v>3649</v>
      </c>
      <c r="AF1979" s="1">
        <v>89718.0</v>
      </c>
      <c r="AG1979" s="2">
        <v>41729.0</v>
      </c>
      <c r="AH1979" s="1">
        <v>9100.0</v>
      </c>
      <c r="AI1979" s="1" t="s">
        <v>194</v>
      </c>
      <c r="AJ1979" s="1" t="s">
        <v>3650</v>
      </c>
      <c r="AK1979" s="1" t="s">
        <v>463</v>
      </c>
      <c r="AL1979" s="1">
        <v>1.0</v>
      </c>
      <c r="AM1979" s="1">
        <v>2015.0</v>
      </c>
      <c r="AN1979" s="1">
        <v>2014.0</v>
      </c>
      <c r="AO1979" s="1" t="s">
        <v>277</v>
      </c>
    </row>
    <row r="1980">
      <c r="A1980" s="5">
        <v>1.0</v>
      </c>
      <c r="B1980" s="1">
        <f t="shared" si="1"/>
        <v>1980</v>
      </c>
      <c r="C1980" s="1" t="s">
        <v>1913</v>
      </c>
      <c r="D1980" s="1" t="s">
        <v>1913</v>
      </c>
      <c r="E1980" s="1" t="s">
        <v>645</v>
      </c>
      <c r="G1980" s="1">
        <v>1.4642656E8</v>
      </c>
      <c r="H1980" s="2">
        <v>41991.0</v>
      </c>
      <c r="I1980" s="1" t="s">
        <v>710</v>
      </c>
      <c r="K1980" s="1" t="s">
        <v>710</v>
      </c>
      <c r="N1980" s="1" t="s">
        <v>647</v>
      </c>
      <c r="O1980" s="1">
        <v>1200.0</v>
      </c>
      <c r="P1980" s="1" t="s">
        <v>647</v>
      </c>
      <c r="Q1980" s="1" t="str">
        <f>IF(ISERROR(VLOOKUP(P1980,'unique fed agency names'!A:C,3,FALSE)),P1980,VLOOKUP(P1980,'unique fed agency names'!A:C,3,FALSE))
</f>
        <v>U.S. Department of Agriculture (USDA)</v>
      </c>
      <c r="R1980" s="1">
        <v>9.0912429E7</v>
      </c>
      <c r="S1980" s="1" t="s">
        <v>521</v>
      </c>
      <c r="T1980" s="1" t="str">
        <f>IF(ISERROR(VLOOKUP(S1980,'unique org names'!A:C,3,FALSE)),S1980,VLOOKUP(S1980,'unique org names'!A:C,3,FALSE))
</f>
        <v>DETROIT COMMUNITY SCHOOLS</v>
      </c>
      <c r="V1980" s="1" t="s">
        <v>522</v>
      </c>
      <c r="W1980" s="1" t="s">
        <v>44</v>
      </c>
      <c r="X1980" s="1" t="s">
        <v>45</v>
      </c>
      <c r="Y1980" s="1">
        <v>4.82233314E8</v>
      </c>
      <c r="AA1980" s="1" t="s">
        <v>44</v>
      </c>
      <c r="AB1980" s="1" t="s">
        <v>45</v>
      </c>
      <c r="AC1980" s="1">
        <v>4.82233314E8</v>
      </c>
      <c r="AF1980" s="1">
        <v>29100.54</v>
      </c>
      <c r="AG1980" s="2">
        <v>41991.0</v>
      </c>
      <c r="AH1980" s="1">
        <v>1200.0</v>
      </c>
      <c r="AI1980" s="1" t="s">
        <v>647</v>
      </c>
      <c r="AJ1980" s="1" t="s">
        <v>3651</v>
      </c>
      <c r="AK1980" s="1" t="s">
        <v>712</v>
      </c>
      <c r="AL1980" s="1">
        <v>1.0</v>
      </c>
      <c r="AM1980" s="1">
        <v>2015.0</v>
      </c>
      <c r="AN1980" s="1">
        <v>2015.0</v>
      </c>
      <c r="AO1980" s="1" t="s">
        <v>713</v>
      </c>
    </row>
    <row r="1981">
      <c r="A1981" s="5">
        <v>1.0</v>
      </c>
      <c r="B1981" s="1">
        <f t="shared" si="1"/>
        <v>1981</v>
      </c>
      <c r="C1981" s="1" t="s">
        <v>3344</v>
      </c>
      <c r="D1981" s="1" t="s">
        <v>3344</v>
      </c>
      <c r="E1981" s="1" t="s">
        <v>194</v>
      </c>
      <c r="G1981" s="1">
        <v>8.9228048E7</v>
      </c>
      <c r="H1981" s="2">
        <v>41975.0</v>
      </c>
      <c r="I1981" s="1" t="s">
        <v>458</v>
      </c>
      <c r="K1981" s="1" t="s">
        <v>458</v>
      </c>
      <c r="N1981" s="1" t="s">
        <v>194</v>
      </c>
      <c r="O1981" s="1">
        <v>9100.0</v>
      </c>
      <c r="P1981" s="1" t="s">
        <v>194</v>
      </c>
      <c r="Q1981" s="1" t="str">
        <f>IF(ISERROR(VLOOKUP(P1981,'unique fed agency names'!A:C,3,FALSE)),P1981,VLOOKUP(P1981,'unique fed agency names'!A:C,3,FALSE))
</f>
        <v>U.S. Department of Education (ED)</v>
      </c>
      <c r="R1981" s="1">
        <v>7.8811813E7</v>
      </c>
      <c r="S1981" s="1" t="s">
        <v>2629</v>
      </c>
      <c r="T1981" s="1" t="str">
        <f>IF(ISERROR(VLOOKUP(S1981,'unique org names'!A:C,3,FALSE)),S1981,VLOOKUP(S1981,'unique org names'!A:C,3,FALSE))
</f>
        <v>Rutherford Winans Academy</v>
      </c>
      <c r="V1981" s="1">
        <v>16411.0</v>
      </c>
      <c r="W1981" s="1" t="s">
        <v>44</v>
      </c>
      <c r="X1981" s="1" t="s">
        <v>45</v>
      </c>
      <c r="Y1981" s="1">
        <v>48225.0</v>
      </c>
      <c r="AA1981" s="1" t="s">
        <v>46</v>
      </c>
      <c r="AB1981" s="1" t="s">
        <v>45</v>
      </c>
      <c r="AC1981" s="1">
        <v>4.8238E8</v>
      </c>
      <c r="AF1981" s="1">
        <v>80452.0</v>
      </c>
      <c r="AG1981" s="2">
        <v>41975.0</v>
      </c>
      <c r="AH1981" s="1">
        <v>9100.0</v>
      </c>
      <c r="AI1981" s="1" t="s">
        <v>194</v>
      </c>
      <c r="AJ1981" s="1" t="s">
        <v>3652</v>
      </c>
      <c r="AK1981" s="1" t="s">
        <v>463</v>
      </c>
      <c r="AL1981" s="1">
        <v>1.0</v>
      </c>
      <c r="AM1981" s="1">
        <v>2015.0</v>
      </c>
      <c r="AN1981" s="1">
        <v>2015.0</v>
      </c>
      <c r="AO1981" s="1" t="s">
        <v>277</v>
      </c>
    </row>
    <row r="1982">
      <c r="A1982" s="5">
        <v>1.0</v>
      </c>
      <c r="B1982" s="1">
        <f t="shared" si="1"/>
        <v>1982</v>
      </c>
      <c r="C1982" s="1" t="s">
        <v>1913</v>
      </c>
      <c r="D1982" s="1" t="s">
        <v>1913</v>
      </c>
      <c r="E1982" s="1" t="s">
        <v>645</v>
      </c>
      <c r="G1982" s="1">
        <v>1.4642656E8</v>
      </c>
      <c r="H1982" s="2">
        <v>41969.0</v>
      </c>
      <c r="I1982" s="1" t="s">
        <v>710</v>
      </c>
      <c r="K1982" s="1" t="s">
        <v>710</v>
      </c>
      <c r="N1982" s="1" t="s">
        <v>647</v>
      </c>
      <c r="O1982" s="1">
        <v>1200.0</v>
      </c>
      <c r="P1982" s="1" t="s">
        <v>647</v>
      </c>
      <c r="Q1982" s="1" t="str">
        <f>IF(ISERROR(VLOOKUP(P1982,'unique fed agency names'!A:C,3,FALSE)),P1982,VLOOKUP(P1982,'unique fed agency names'!A:C,3,FALSE))
</f>
        <v>U.S. Department of Agriculture (USDA)</v>
      </c>
      <c r="R1982" s="1">
        <v>1.98438892E8</v>
      </c>
      <c r="S1982" s="1" t="s">
        <v>505</v>
      </c>
      <c r="T1982" s="1" t="str">
        <f>IF(ISERROR(VLOOKUP(S1982,'unique org names'!A:C,3,FALSE)),S1982,VLOOKUP(S1982,'unique org names'!A:C,3,FALSE))
</f>
        <v>HANLEY INTERNATIONAL ACADEMY, INC</v>
      </c>
      <c r="V1982" s="1" t="s">
        <v>506</v>
      </c>
      <c r="W1982" s="1" t="s">
        <v>44</v>
      </c>
      <c r="X1982" s="1" t="s">
        <v>45</v>
      </c>
      <c r="Y1982" s="1">
        <v>4.82123572E8</v>
      </c>
      <c r="AA1982" s="1" t="s">
        <v>498</v>
      </c>
      <c r="AB1982" s="1" t="s">
        <v>45</v>
      </c>
      <c r="AC1982" s="1">
        <v>4.82123572E8</v>
      </c>
      <c r="AD1982" s="1">
        <v>1.98438892E8</v>
      </c>
      <c r="AE1982" s="1" t="s">
        <v>505</v>
      </c>
      <c r="AF1982" s="1">
        <v>39841.2</v>
      </c>
      <c r="AG1982" s="2">
        <v>41969.0</v>
      </c>
      <c r="AH1982" s="1">
        <v>1200.0</v>
      </c>
      <c r="AI1982" s="1" t="s">
        <v>647</v>
      </c>
      <c r="AJ1982" s="1" t="s">
        <v>3653</v>
      </c>
      <c r="AK1982" s="1" t="s">
        <v>712</v>
      </c>
      <c r="AL1982" s="1">
        <v>1.0</v>
      </c>
      <c r="AM1982" s="1">
        <v>2015.0</v>
      </c>
      <c r="AN1982" s="1">
        <v>2015.0</v>
      </c>
      <c r="AO1982" s="1" t="s">
        <v>713</v>
      </c>
    </row>
    <row r="1983">
      <c r="A1983" s="5">
        <v>1.0</v>
      </c>
      <c r="B1983" s="1">
        <f t="shared" si="1"/>
        <v>1983</v>
      </c>
      <c r="C1983" s="1" t="s">
        <v>3515</v>
      </c>
      <c r="D1983" s="1" t="s">
        <v>3515</v>
      </c>
      <c r="E1983" s="1" t="s">
        <v>645</v>
      </c>
      <c r="G1983" s="1">
        <v>4.64793056E8</v>
      </c>
      <c r="H1983" s="2">
        <v>41921.0</v>
      </c>
      <c r="I1983" s="1" t="s">
        <v>710</v>
      </c>
      <c r="K1983" s="1" t="s">
        <v>710</v>
      </c>
      <c r="N1983" s="1" t="s">
        <v>647</v>
      </c>
      <c r="O1983" s="1">
        <v>1200.0</v>
      </c>
      <c r="P1983" s="1" t="s">
        <v>647</v>
      </c>
      <c r="Q1983" s="1" t="str">
        <f>IF(ISERROR(VLOOKUP(P1983,'unique fed agency names'!A:C,3,FALSE)),P1983,VLOOKUP(P1983,'unique fed agency names'!A:C,3,FALSE))
</f>
        <v>U.S. Department of Agriculture (USDA)</v>
      </c>
      <c r="R1983" s="1">
        <v>2.2561935E7</v>
      </c>
      <c r="S1983" s="1" t="s">
        <v>2631</v>
      </c>
      <c r="T1983" s="1" t="str">
        <f>IF(ISERROR(VLOOKUP(S1983,'unique org names'!A:C,3,FALSE)),S1983,VLOOKUP(S1983,'unique org names'!A:C,3,FALSE))
</f>
        <v>JOY PREPARATORY ACADEMY</v>
      </c>
      <c r="V1983" s="1" t="s">
        <v>2632</v>
      </c>
      <c r="W1983" s="1" t="s">
        <v>44</v>
      </c>
      <c r="X1983" s="1" t="s">
        <v>45</v>
      </c>
      <c r="Y1983" s="1">
        <v>4.8238E8</v>
      </c>
      <c r="AA1983" s="1" t="s">
        <v>44</v>
      </c>
      <c r="AB1983" s="1" t="s">
        <v>45</v>
      </c>
      <c r="AC1983" s="1">
        <v>4.82382124E8</v>
      </c>
      <c r="AF1983" s="1">
        <v>147960.63</v>
      </c>
      <c r="AG1983" s="2">
        <v>41921.0</v>
      </c>
      <c r="AH1983" s="1">
        <v>1200.0</v>
      </c>
      <c r="AI1983" s="1" t="s">
        <v>647</v>
      </c>
      <c r="AJ1983" s="1" t="s">
        <v>3654</v>
      </c>
      <c r="AK1983" s="1" t="s">
        <v>712</v>
      </c>
      <c r="AL1983" s="1">
        <v>1.0</v>
      </c>
      <c r="AM1983" s="1">
        <v>2015.0</v>
      </c>
      <c r="AN1983" s="1">
        <v>2015.0</v>
      </c>
      <c r="AO1983" s="1" t="s">
        <v>713</v>
      </c>
    </row>
    <row r="1984">
      <c r="A1984" s="5">
        <v>1.0</v>
      </c>
      <c r="B1984" s="1">
        <f t="shared" si="1"/>
        <v>1984</v>
      </c>
      <c r="C1984" s="1" t="s">
        <v>3344</v>
      </c>
      <c r="D1984" s="1" t="s">
        <v>3344</v>
      </c>
      <c r="E1984" s="1" t="s">
        <v>194</v>
      </c>
      <c r="G1984" s="1">
        <v>8.9228048E7</v>
      </c>
      <c r="H1984" s="2">
        <v>41703.0</v>
      </c>
      <c r="I1984" s="1" t="s">
        <v>458</v>
      </c>
      <c r="K1984" s="1" t="s">
        <v>458</v>
      </c>
      <c r="N1984" s="1" t="s">
        <v>194</v>
      </c>
      <c r="O1984" s="1">
        <v>9100.0</v>
      </c>
      <c r="P1984" s="1" t="s">
        <v>194</v>
      </c>
      <c r="Q1984" s="1" t="str">
        <f>IF(ISERROR(VLOOKUP(P1984,'unique fed agency names'!A:C,3,FALSE)),P1984,VLOOKUP(P1984,'unique fed agency names'!A:C,3,FALSE))
</f>
        <v>U.S. Department of Education (ED)</v>
      </c>
      <c r="R1984" s="1">
        <v>3790107.0</v>
      </c>
      <c r="S1984" s="1" t="s">
        <v>576</v>
      </c>
      <c r="T1984" s="1" t="str">
        <f>IF(ISERROR(VLOOKUP(S1984,'unique org names'!A:C,3,FALSE)),S1984,VLOOKUP(S1984,'unique org names'!A:C,3,FALSE))
</f>
        <v>MARVIN L. WINANS ACADEMY OF PERFORMING ARTS</v>
      </c>
      <c r="U1984" s="1" t="s">
        <v>3476</v>
      </c>
      <c r="V1984" s="1" t="s">
        <v>577</v>
      </c>
      <c r="W1984" s="1" t="s">
        <v>44</v>
      </c>
      <c r="X1984" s="1" t="s">
        <v>45</v>
      </c>
      <c r="Y1984" s="1">
        <v>4.82343284E8</v>
      </c>
      <c r="AA1984" s="1" t="s">
        <v>44</v>
      </c>
      <c r="AB1984" s="1" t="s">
        <v>45</v>
      </c>
      <c r="AC1984" s="1">
        <v>4.82343284E8</v>
      </c>
      <c r="AD1984" s="1">
        <v>5.2643442E7</v>
      </c>
      <c r="AE1984" s="1" t="s">
        <v>3655</v>
      </c>
      <c r="AF1984" s="1">
        <v>47237.0</v>
      </c>
      <c r="AG1984" s="2">
        <v>41703.0</v>
      </c>
      <c r="AH1984" s="1">
        <v>9100.0</v>
      </c>
      <c r="AI1984" s="1" t="s">
        <v>194</v>
      </c>
      <c r="AJ1984" s="1" t="s">
        <v>3656</v>
      </c>
      <c r="AK1984" s="1" t="s">
        <v>463</v>
      </c>
      <c r="AL1984" s="1">
        <v>1.0</v>
      </c>
      <c r="AM1984" s="1">
        <v>2015.0</v>
      </c>
      <c r="AN1984" s="1">
        <v>2014.0</v>
      </c>
      <c r="AO1984" s="1" t="s">
        <v>277</v>
      </c>
    </row>
    <row r="1985">
      <c r="A1985" s="5">
        <v>1.0</v>
      </c>
      <c r="B1985" s="1">
        <f t="shared" si="1"/>
        <v>1985</v>
      </c>
      <c r="C1985" s="1" t="s">
        <v>3344</v>
      </c>
      <c r="D1985" s="1" t="s">
        <v>3344</v>
      </c>
      <c r="E1985" s="1" t="s">
        <v>194</v>
      </c>
      <c r="G1985" s="1">
        <v>8.9228048E7</v>
      </c>
      <c r="H1985" s="2">
        <v>41708.0</v>
      </c>
      <c r="I1985" s="1" t="s">
        <v>458</v>
      </c>
      <c r="K1985" s="1" t="s">
        <v>458</v>
      </c>
      <c r="N1985" s="1" t="s">
        <v>194</v>
      </c>
      <c r="O1985" s="1">
        <v>9100.0</v>
      </c>
      <c r="P1985" s="1" t="s">
        <v>194</v>
      </c>
      <c r="Q1985" s="1" t="str">
        <f>IF(ISERROR(VLOOKUP(P1985,'unique fed agency names'!A:C,3,FALSE)),P1985,VLOOKUP(P1985,'unique fed agency names'!A:C,3,FALSE))
</f>
        <v>U.S. Department of Education (ED)</v>
      </c>
      <c r="R1985" s="1">
        <v>1.38064923E8</v>
      </c>
      <c r="S1985" s="1" t="s">
        <v>585</v>
      </c>
      <c r="T1985" s="1" t="str">
        <f>IF(ISERROR(VLOOKUP(S1985,'unique org names'!A:C,3,FALSE)),S1985,VLOOKUP(S1985,'unique org names'!A:C,3,FALSE))
</f>
        <v>DETROIT MERIT CHARTER ACADEMY</v>
      </c>
      <c r="U1985" s="1" t="s">
        <v>1698</v>
      </c>
      <c r="V1985" s="1" t="s">
        <v>586</v>
      </c>
      <c r="W1985" s="1" t="s">
        <v>44</v>
      </c>
      <c r="X1985" s="1" t="s">
        <v>45</v>
      </c>
      <c r="Y1985" s="1">
        <v>4.82152861E8</v>
      </c>
      <c r="AA1985" s="1" t="s">
        <v>44</v>
      </c>
      <c r="AB1985" s="1" t="s">
        <v>45</v>
      </c>
      <c r="AC1985" s="1">
        <v>4.82152861E8</v>
      </c>
      <c r="AD1985" s="1">
        <v>9.60742484E8</v>
      </c>
      <c r="AF1985" s="1">
        <v>37581.0</v>
      </c>
      <c r="AG1985" s="2">
        <v>41708.0</v>
      </c>
      <c r="AH1985" s="1">
        <v>9100.0</v>
      </c>
      <c r="AI1985" s="1" t="s">
        <v>194</v>
      </c>
      <c r="AJ1985" s="1" t="s">
        <v>3657</v>
      </c>
      <c r="AK1985" s="1" t="s">
        <v>463</v>
      </c>
      <c r="AL1985" s="1">
        <v>1.0</v>
      </c>
      <c r="AM1985" s="1">
        <v>2015.0</v>
      </c>
      <c r="AN1985" s="1">
        <v>2014.0</v>
      </c>
      <c r="AO1985" s="1" t="s">
        <v>277</v>
      </c>
    </row>
    <row r="1986">
      <c r="A1986" s="5">
        <v>1.0</v>
      </c>
      <c r="B1986" s="1">
        <f t="shared" si="1"/>
        <v>1986</v>
      </c>
      <c r="C1986" s="1" t="s">
        <v>3307</v>
      </c>
      <c r="D1986" s="1" t="s">
        <v>3307</v>
      </c>
      <c r="E1986" s="1" t="s">
        <v>389</v>
      </c>
      <c r="G1986" s="1">
        <v>2.3358788E7</v>
      </c>
      <c r="H1986" s="2">
        <v>41495.0</v>
      </c>
      <c r="I1986" s="1" t="s">
        <v>397</v>
      </c>
      <c r="K1986" s="1" t="s">
        <v>397</v>
      </c>
      <c r="N1986" s="1" t="s">
        <v>391</v>
      </c>
      <c r="O1986" s="1">
        <v>1600.0</v>
      </c>
      <c r="P1986" s="1" t="s">
        <v>391</v>
      </c>
      <c r="Q1986" s="1" t="str">
        <f>IF(ISERROR(VLOOKUP(P1986,'unique fed agency names'!A:C,3,FALSE)),P1986,VLOOKUP(P1986,'unique fed agency names'!A:C,3,FALSE))
</f>
        <v>U.S. Department of Labor (DOL)</v>
      </c>
      <c r="R1986" s="1">
        <v>9.68755756E8</v>
      </c>
      <c r="S1986" s="1" t="s">
        <v>1806</v>
      </c>
      <c r="T1986" s="1" t="str">
        <f>IF(ISERROR(VLOOKUP(S1986,'unique org names'!A:C,3,FALSE)),S1986,VLOOKUP(S1986,'unique org names'!A:C,3,FALSE))
</f>
        <v>Detroit Employment Solutions Corporation</v>
      </c>
      <c r="V1986" s="1" t="s">
        <v>1807</v>
      </c>
      <c r="W1986" s="1" t="s">
        <v>44</v>
      </c>
      <c r="X1986" s="1" t="s">
        <v>45</v>
      </c>
      <c r="Y1986" s="1">
        <v>4.82262917E8</v>
      </c>
      <c r="AA1986" s="1" t="s">
        <v>46</v>
      </c>
      <c r="AB1986" s="1" t="s">
        <v>45</v>
      </c>
      <c r="AC1986" s="1">
        <v>4.82022943E8</v>
      </c>
      <c r="AF1986" s="1">
        <v>1511291.0</v>
      </c>
      <c r="AG1986" s="2">
        <v>41495.0</v>
      </c>
      <c r="AH1986" s="1">
        <v>1600.0</v>
      </c>
      <c r="AI1986" s="1" t="s">
        <v>391</v>
      </c>
      <c r="AJ1986" s="1" t="s">
        <v>3658</v>
      </c>
      <c r="AK1986" s="1" t="s">
        <v>3334</v>
      </c>
      <c r="AL1986" s="1">
        <v>1.0</v>
      </c>
      <c r="AM1986" s="1">
        <v>2015.0</v>
      </c>
      <c r="AN1986" s="1">
        <v>2013.0</v>
      </c>
      <c r="AO1986" s="1" t="s">
        <v>3309</v>
      </c>
    </row>
    <row r="1987">
      <c r="A1987" s="5">
        <v>1.0</v>
      </c>
      <c r="B1987" s="1">
        <f t="shared" si="1"/>
        <v>1987</v>
      </c>
      <c r="C1987" s="1" t="s">
        <v>3344</v>
      </c>
      <c r="D1987" s="1" t="s">
        <v>3344</v>
      </c>
      <c r="E1987" s="1" t="s">
        <v>194</v>
      </c>
      <c r="G1987" s="1">
        <v>8.9228048E7</v>
      </c>
      <c r="H1987" s="2">
        <v>41739.0</v>
      </c>
      <c r="I1987" s="1" t="s">
        <v>458</v>
      </c>
      <c r="K1987" s="1" t="s">
        <v>458</v>
      </c>
      <c r="N1987" s="1" t="s">
        <v>194</v>
      </c>
      <c r="O1987" s="1">
        <v>9100.0</v>
      </c>
      <c r="P1987" s="1" t="s">
        <v>194</v>
      </c>
      <c r="Q1987" s="1" t="str">
        <f>IF(ISERROR(VLOOKUP(P1987,'unique fed agency names'!A:C,3,FALSE)),P1987,VLOOKUP(P1987,'unique fed agency names'!A:C,3,FALSE))
</f>
        <v>U.S. Department of Education (ED)</v>
      </c>
      <c r="R1987" s="1">
        <v>7.8577051E7</v>
      </c>
      <c r="S1987" s="1" t="s">
        <v>1680</v>
      </c>
      <c r="T1987" s="1" t="str">
        <f>IF(ISERROR(VLOOKUP(S1987,'unique org names'!A:C,3,FALSE)),S1987,VLOOKUP(S1987,'unique org names'!A:C,3,FALSE))
</f>
        <v>International Preparatory Academy</v>
      </c>
      <c r="U1987" s="1" t="s">
        <v>3659</v>
      </c>
      <c r="V1987" s="1" t="s">
        <v>1681</v>
      </c>
      <c r="W1987" s="1" t="s">
        <v>44</v>
      </c>
      <c r="X1987" s="1" t="s">
        <v>45</v>
      </c>
      <c r="Y1987" s="1">
        <v>4.82211457E8</v>
      </c>
      <c r="AA1987" s="1" t="s">
        <v>46</v>
      </c>
      <c r="AB1987" s="1" t="s">
        <v>45</v>
      </c>
      <c r="AC1987" s="1">
        <v>4.82211487E8</v>
      </c>
      <c r="AD1987" s="1">
        <v>5.2592581E7</v>
      </c>
      <c r="AE1987" s="1" t="s">
        <v>3660</v>
      </c>
      <c r="AF1987" s="1">
        <v>115985.0</v>
      </c>
      <c r="AG1987" s="2">
        <v>41739.0</v>
      </c>
      <c r="AH1987" s="1">
        <v>9100.0</v>
      </c>
      <c r="AI1987" s="1" t="s">
        <v>194</v>
      </c>
      <c r="AJ1987" s="1" t="s">
        <v>3661</v>
      </c>
      <c r="AK1987" s="1" t="s">
        <v>463</v>
      </c>
      <c r="AL1987" s="1">
        <v>1.0</v>
      </c>
      <c r="AM1987" s="1">
        <v>2015.0</v>
      </c>
      <c r="AN1987" s="1">
        <v>2014.0</v>
      </c>
      <c r="AO1987" s="1" t="s">
        <v>277</v>
      </c>
    </row>
    <row r="1988">
      <c r="A1988" s="5">
        <v>1.0</v>
      </c>
      <c r="B1988" s="1">
        <f t="shared" si="1"/>
        <v>1988</v>
      </c>
      <c r="C1988" s="1" t="s">
        <v>3344</v>
      </c>
      <c r="D1988" s="1" t="s">
        <v>3344</v>
      </c>
      <c r="E1988" s="1" t="s">
        <v>194</v>
      </c>
      <c r="G1988" s="1">
        <v>8.9228048E7</v>
      </c>
      <c r="H1988" s="2">
        <v>41739.0</v>
      </c>
      <c r="I1988" s="1" t="s">
        <v>458</v>
      </c>
      <c r="K1988" s="1" t="s">
        <v>458</v>
      </c>
      <c r="N1988" s="1" t="s">
        <v>194</v>
      </c>
      <c r="O1988" s="1">
        <v>9100.0</v>
      </c>
      <c r="P1988" s="1" t="s">
        <v>194</v>
      </c>
      <c r="Q1988" s="1" t="str">
        <f>IF(ISERROR(VLOOKUP(P1988,'unique fed agency names'!A:C,3,FALSE)),P1988,VLOOKUP(P1988,'unique fed agency names'!A:C,3,FALSE))
</f>
        <v>U.S. Department of Education (ED)</v>
      </c>
      <c r="R1988" s="1">
        <v>8.30649195E8</v>
      </c>
      <c r="S1988" s="1" t="s">
        <v>545</v>
      </c>
      <c r="T1988" s="1" t="str">
        <f>IF(ISERROR(VLOOKUP(S1988,'unique org names'!A:C,3,FALSE)),S1988,VLOOKUP(S1988,'unique org names'!A:C,3,FALSE))
</f>
        <v>PLYMOUTH EDUCATIONAL CENTER CHARTER SCHOOL</v>
      </c>
      <c r="U1988" s="1" t="s">
        <v>3662</v>
      </c>
      <c r="V1988" s="1" t="s">
        <v>547</v>
      </c>
      <c r="W1988" s="1" t="s">
        <v>44</v>
      </c>
      <c r="X1988" s="1" t="s">
        <v>45</v>
      </c>
      <c r="Y1988" s="1">
        <v>4.82071E8</v>
      </c>
      <c r="AA1988" s="1" t="s">
        <v>44</v>
      </c>
      <c r="AB1988" s="1" t="s">
        <v>45</v>
      </c>
      <c r="AC1988" s="1">
        <v>4.82071E8</v>
      </c>
      <c r="AD1988" s="1">
        <v>3.0190425E7</v>
      </c>
      <c r="AE1988" s="1" t="s">
        <v>3663</v>
      </c>
      <c r="AF1988" s="1">
        <v>112232.0</v>
      </c>
      <c r="AG1988" s="2">
        <v>41739.0</v>
      </c>
      <c r="AH1988" s="1">
        <v>9100.0</v>
      </c>
      <c r="AI1988" s="1" t="s">
        <v>194</v>
      </c>
      <c r="AJ1988" s="1" t="s">
        <v>3664</v>
      </c>
      <c r="AK1988" s="1" t="s">
        <v>463</v>
      </c>
      <c r="AL1988" s="1">
        <v>1.0</v>
      </c>
      <c r="AM1988" s="1">
        <v>2015.0</v>
      </c>
      <c r="AN1988" s="1">
        <v>2014.0</v>
      </c>
      <c r="AO1988" s="1" t="s">
        <v>277</v>
      </c>
    </row>
    <row r="1989">
      <c r="A1989" s="5">
        <v>1.0</v>
      </c>
      <c r="B1989" s="1">
        <f t="shared" si="1"/>
        <v>1989</v>
      </c>
      <c r="C1989" s="1" t="s">
        <v>3344</v>
      </c>
      <c r="D1989" s="1" t="s">
        <v>3344</v>
      </c>
      <c r="E1989" s="1" t="s">
        <v>194</v>
      </c>
      <c r="G1989" s="1">
        <v>8.9228048E7</v>
      </c>
      <c r="H1989" s="2">
        <v>41752.0</v>
      </c>
      <c r="I1989" s="1" t="s">
        <v>458</v>
      </c>
      <c r="K1989" s="1" t="s">
        <v>458</v>
      </c>
      <c r="N1989" s="1" t="s">
        <v>194</v>
      </c>
      <c r="O1989" s="1">
        <v>9100.0</v>
      </c>
      <c r="P1989" s="1" t="s">
        <v>194</v>
      </c>
      <c r="Q1989" s="1" t="str">
        <f>IF(ISERROR(VLOOKUP(P1989,'unique fed agency names'!A:C,3,FALSE)),P1989,VLOOKUP(P1989,'unique fed agency names'!A:C,3,FALSE))
</f>
        <v>U.S. Department of Education (ED)</v>
      </c>
      <c r="R1989" s="1">
        <v>6.6707493E7</v>
      </c>
      <c r="S1989" s="1" t="s">
        <v>541</v>
      </c>
      <c r="T1989" s="1" t="str">
        <f>IF(ISERROR(VLOOKUP(S1989,'unique org names'!A:C,3,FALSE)),S1989,VLOOKUP(S1989,'unique org names'!A:C,3,FALSE))
</f>
        <v>HOPE OF DETROIT ACADEMY</v>
      </c>
      <c r="U1989" s="1" t="s">
        <v>3665</v>
      </c>
      <c r="V1989" s="1" t="s">
        <v>542</v>
      </c>
      <c r="W1989" s="1" t="s">
        <v>44</v>
      </c>
      <c r="X1989" s="1" t="s">
        <v>45</v>
      </c>
      <c r="Y1989" s="1">
        <v>4.8210252E8</v>
      </c>
      <c r="AA1989" s="1" t="s">
        <v>44</v>
      </c>
      <c r="AB1989" s="1" t="s">
        <v>45</v>
      </c>
      <c r="AC1989" s="1">
        <v>4.8210252E8</v>
      </c>
      <c r="AD1989" s="1">
        <v>8.69062901E8</v>
      </c>
      <c r="AE1989" s="1" t="s">
        <v>552</v>
      </c>
      <c r="AF1989" s="1">
        <v>71341.0</v>
      </c>
      <c r="AG1989" s="2">
        <v>41752.0</v>
      </c>
      <c r="AH1989" s="1">
        <v>9100.0</v>
      </c>
      <c r="AI1989" s="1" t="s">
        <v>194</v>
      </c>
      <c r="AJ1989" s="1" t="s">
        <v>3666</v>
      </c>
      <c r="AK1989" s="1" t="s">
        <v>463</v>
      </c>
      <c r="AL1989" s="1">
        <v>1.0</v>
      </c>
      <c r="AM1989" s="1">
        <v>2015.0</v>
      </c>
      <c r="AN1989" s="1">
        <v>2014.0</v>
      </c>
      <c r="AO1989" s="1" t="s">
        <v>277</v>
      </c>
    </row>
    <row r="1990">
      <c r="A1990" s="5">
        <v>1.0</v>
      </c>
      <c r="B1990" s="1">
        <f t="shared" si="1"/>
        <v>1990</v>
      </c>
      <c r="C1990" s="1" t="s">
        <v>1913</v>
      </c>
      <c r="D1990" s="1" t="s">
        <v>1913</v>
      </c>
      <c r="E1990" s="1" t="s">
        <v>645</v>
      </c>
      <c r="G1990" s="1">
        <v>1.4642656E8</v>
      </c>
      <c r="H1990" s="2">
        <v>41999.0</v>
      </c>
      <c r="I1990" s="1" t="s">
        <v>710</v>
      </c>
      <c r="K1990" s="1" t="s">
        <v>710</v>
      </c>
      <c r="N1990" s="1" t="s">
        <v>647</v>
      </c>
      <c r="O1990" s="1">
        <v>1200.0</v>
      </c>
      <c r="P1990" s="1" t="s">
        <v>647</v>
      </c>
      <c r="Q1990" s="1" t="str">
        <f>IF(ISERROR(VLOOKUP(P1990,'unique fed agency names'!A:C,3,FALSE)),P1990,VLOOKUP(P1990,'unique fed agency names'!A:C,3,FALSE))
</f>
        <v>U.S. Department of Agriculture (USDA)</v>
      </c>
      <c r="R1990" s="1">
        <v>8.4297738E7</v>
      </c>
      <c r="S1990" s="1" t="s">
        <v>3091</v>
      </c>
      <c r="T1990" s="1" t="str">
        <f>IF(ISERROR(VLOOKUP(S1990,'unique org names'!A:C,3,FALSE)),S1990,VLOOKUP(S1990,'unique org names'!A:C,3,FALSE))
</f>
        <v>Gleaners Community Food Bank, Inc</v>
      </c>
      <c r="U1990" s="1" t="s">
        <v>3092</v>
      </c>
      <c r="V1990" s="1" t="s">
        <v>3093</v>
      </c>
      <c r="W1990" s="1" t="s">
        <v>44</v>
      </c>
      <c r="X1990" s="1" t="s">
        <v>45</v>
      </c>
      <c r="Y1990" s="1">
        <v>4.8207341E8</v>
      </c>
      <c r="AA1990" s="1" t="s">
        <v>44</v>
      </c>
      <c r="AB1990" s="1" t="s">
        <v>45</v>
      </c>
      <c r="AC1990" s="1">
        <v>4.8207341E8</v>
      </c>
      <c r="AD1990" s="1">
        <v>8.4297738E7</v>
      </c>
      <c r="AE1990" s="1" t="s">
        <v>3091</v>
      </c>
      <c r="AF1990" s="1">
        <v>61904.6</v>
      </c>
      <c r="AG1990" s="2">
        <v>41999.0</v>
      </c>
      <c r="AH1990" s="1">
        <v>1200.0</v>
      </c>
      <c r="AI1990" s="1" t="s">
        <v>647</v>
      </c>
      <c r="AJ1990" s="1" t="s">
        <v>3667</v>
      </c>
      <c r="AK1990" s="1" t="s">
        <v>712</v>
      </c>
      <c r="AL1990" s="1">
        <v>1.0</v>
      </c>
      <c r="AM1990" s="1">
        <v>2015.0</v>
      </c>
      <c r="AN1990" s="1">
        <v>2015.0</v>
      </c>
      <c r="AO1990" s="1" t="s">
        <v>713</v>
      </c>
    </row>
    <row r="1991">
      <c r="A1991" s="5">
        <v>1.0</v>
      </c>
      <c r="B1991" s="1">
        <f t="shared" si="1"/>
        <v>1991</v>
      </c>
      <c r="C1991" s="1" t="s">
        <v>1913</v>
      </c>
      <c r="D1991" s="1" t="s">
        <v>1913</v>
      </c>
      <c r="E1991" s="1" t="s">
        <v>645</v>
      </c>
      <c r="G1991" s="1">
        <v>1.4642656E8</v>
      </c>
      <c r="H1991" s="2">
        <v>41999.0</v>
      </c>
      <c r="I1991" s="1" t="s">
        <v>710</v>
      </c>
      <c r="K1991" s="1" t="s">
        <v>710</v>
      </c>
      <c r="N1991" s="1" t="s">
        <v>647</v>
      </c>
      <c r="O1991" s="1">
        <v>1200.0</v>
      </c>
      <c r="P1991" s="1" t="s">
        <v>647</v>
      </c>
      <c r="Q1991" s="1" t="str">
        <f>IF(ISERROR(VLOOKUP(P1991,'unique fed agency names'!A:C,3,FALSE)),P1991,VLOOKUP(P1991,'unique fed agency names'!A:C,3,FALSE))
</f>
        <v>U.S. Department of Agriculture (USDA)</v>
      </c>
      <c r="R1991" s="1">
        <v>7.97531295E8</v>
      </c>
      <c r="S1991" s="1" t="s">
        <v>582</v>
      </c>
      <c r="T1991" s="1" t="str">
        <f>IF(ISERROR(VLOOKUP(S1991,'unique org names'!A:C,3,FALSE)),S1991,VLOOKUP(S1991,'unique org names'!A:C,3,FALSE))
</f>
        <v>FRONTIER INTERNATIONAL ACADEMY, THE</v>
      </c>
      <c r="V1991" s="1" t="s">
        <v>583</v>
      </c>
      <c r="W1991" s="1" t="s">
        <v>44</v>
      </c>
      <c r="X1991" s="1" t="s">
        <v>45</v>
      </c>
      <c r="Y1991" s="1">
        <v>4.82123452E8</v>
      </c>
      <c r="AA1991" s="1" t="s">
        <v>44</v>
      </c>
      <c r="AB1991" s="1" t="s">
        <v>45</v>
      </c>
      <c r="AC1991" s="1">
        <v>4.82123452E8</v>
      </c>
      <c r="AF1991" s="1">
        <v>25925.69</v>
      </c>
      <c r="AG1991" s="2">
        <v>41999.0</v>
      </c>
      <c r="AH1991" s="1">
        <v>1200.0</v>
      </c>
      <c r="AI1991" s="1" t="s">
        <v>647</v>
      </c>
      <c r="AJ1991" s="1" t="s">
        <v>3668</v>
      </c>
      <c r="AK1991" s="1" t="s">
        <v>712</v>
      </c>
      <c r="AL1991" s="1">
        <v>1.0</v>
      </c>
      <c r="AM1991" s="1">
        <v>2015.0</v>
      </c>
      <c r="AN1991" s="1">
        <v>2015.0</v>
      </c>
      <c r="AO1991" s="1" t="s">
        <v>713</v>
      </c>
    </row>
    <row r="1992">
      <c r="A1992" s="5">
        <v>1.0</v>
      </c>
      <c r="B1992" s="1">
        <f t="shared" si="1"/>
        <v>1992</v>
      </c>
      <c r="C1992" s="1" t="s">
        <v>1913</v>
      </c>
      <c r="D1992" s="1" t="s">
        <v>1913</v>
      </c>
      <c r="E1992" s="1" t="s">
        <v>645</v>
      </c>
      <c r="G1992" s="1">
        <v>1.4642656E8</v>
      </c>
      <c r="H1992" s="2">
        <v>41991.0</v>
      </c>
      <c r="I1992" s="1" t="s">
        <v>710</v>
      </c>
      <c r="K1992" s="1" t="s">
        <v>710</v>
      </c>
      <c r="N1992" s="1" t="s">
        <v>647</v>
      </c>
      <c r="O1992" s="1">
        <v>1200.0</v>
      </c>
      <c r="P1992" s="1" t="s">
        <v>647</v>
      </c>
      <c r="Q1992" s="1" t="str">
        <f>IF(ISERROR(VLOOKUP(P1992,'unique fed agency names'!A:C,3,FALSE)),P1992,VLOOKUP(P1992,'unique fed agency names'!A:C,3,FALSE))
</f>
        <v>U.S. Department of Agriculture (USDA)</v>
      </c>
      <c r="R1992" s="1">
        <v>2.5773859E7</v>
      </c>
      <c r="S1992" s="1" t="s">
        <v>872</v>
      </c>
      <c r="T1992" s="1" t="str">
        <f>IF(ISERROR(VLOOKUP(S1992,'unique org names'!A:C,3,FALSE)),S1992,VLOOKUP(S1992,'unique org names'!A:C,3,FALSE))
</f>
        <v>HOPE ACADEMY</v>
      </c>
      <c r="V1992" s="1" t="s">
        <v>873</v>
      </c>
      <c r="W1992" s="1" t="s">
        <v>44</v>
      </c>
      <c r="X1992" s="1" t="s">
        <v>45</v>
      </c>
      <c r="Y1992" s="1">
        <v>4.82042042E8</v>
      </c>
      <c r="AA1992" s="1" t="s">
        <v>44</v>
      </c>
      <c r="AB1992" s="1" t="s">
        <v>45</v>
      </c>
      <c r="AC1992" s="1">
        <v>4.82042042E8</v>
      </c>
      <c r="AF1992" s="1">
        <v>61704.9</v>
      </c>
      <c r="AG1992" s="2">
        <v>41991.0</v>
      </c>
      <c r="AH1992" s="1">
        <v>1200.0</v>
      </c>
      <c r="AI1992" s="1" t="s">
        <v>647</v>
      </c>
      <c r="AJ1992" s="1" t="s">
        <v>3669</v>
      </c>
      <c r="AK1992" s="1" t="s">
        <v>712</v>
      </c>
      <c r="AL1992" s="1">
        <v>1.0</v>
      </c>
      <c r="AM1992" s="1">
        <v>2015.0</v>
      </c>
      <c r="AN1992" s="1">
        <v>2015.0</v>
      </c>
      <c r="AO1992" s="1" t="s">
        <v>713</v>
      </c>
    </row>
    <row r="1993">
      <c r="A1993" s="5">
        <v>1.0</v>
      </c>
      <c r="B1993" s="1">
        <f t="shared" si="1"/>
        <v>1993</v>
      </c>
      <c r="C1993" s="1" t="s">
        <v>3369</v>
      </c>
      <c r="D1993" s="1" t="s">
        <v>3369</v>
      </c>
      <c r="E1993" s="1" t="s">
        <v>194</v>
      </c>
      <c r="G1993" s="1">
        <v>1.0181861E7</v>
      </c>
      <c r="H1993" s="2">
        <v>41619.0</v>
      </c>
      <c r="I1993" s="1" t="s">
        <v>685</v>
      </c>
      <c r="K1993" s="1" t="s">
        <v>685</v>
      </c>
      <c r="N1993" s="1" t="s">
        <v>194</v>
      </c>
      <c r="O1993" s="1">
        <v>9100.0</v>
      </c>
      <c r="P1993" s="1" t="s">
        <v>194</v>
      </c>
      <c r="Q1993" s="1" t="str">
        <f>IF(ISERROR(VLOOKUP(P1993,'unique fed agency names'!A:C,3,FALSE)),P1993,VLOOKUP(P1993,'unique fed agency names'!A:C,3,FALSE))
</f>
        <v>U.S. Department of Education (ED)</v>
      </c>
      <c r="R1993" s="1">
        <v>7.93697355E8</v>
      </c>
      <c r="S1993" s="1" t="s">
        <v>691</v>
      </c>
      <c r="T1993" s="1" t="str">
        <f>IF(ISERROR(VLOOKUP(S1993,'unique org names'!A:C,3,FALSE)),S1993,VLOOKUP(S1993,'unique org names'!A:C,3,FALSE))
</f>
        <v>OAKLAND INTERNATIONAL ACADEMY</v>
      </c>
      <c r="U1993" s="1" t="s">
        <v>1194</v>
      </c>
      <c r="V1993" s="1" t="s">
        <v>692</v>
      </c>
      <c r="W1993" s="1" t="s">
        <v>44</v>
      </c>
      <c r="X1993" s="1" t="s">
        <v>45</v>
      </c>
      <c r="Y1993" s="1">
        <v>4.82111554E8</v>
      </c>
      <c r="AA1993" s="1" t="s">
        <v>44</v>
      </c>
      <c r="AB1993" s="1" t="s">
        <v>45</v>
      </c>
      <c r="AC1993" s="1">
        <v>4.82111552E8</v>
      </c>
      <c r="AF1993" s="1">
        <v>113096.0</v>
      </c>
      <c r="AG1993" s="2">
        <v>41619.0</v>
      </c>
      <c r="AH1993" s="1">
        <v>9100.0</v>
      </c>
      <c r="AI1993" s="1" t="s">
        <v>194</v>
      </c>
      <c r="AJ1993" s="1" t="s">
        <v>3670</v>
      </c>
      <c r="AK1993" s="1" t="s">
        <v>3343</v>
      </c>
      <c r="AL1993" s="1">
        <v>1.0</v>
      </c>
      <c r="AM1993" s="1">
        <v>2015.0</v>
      </c>
      <c r="AN1993" s="1">
        <v>2014.0</v>
      </c>
      <c r="AO1993" s="1" t="s">
        <v>688</v>
      </c>
    </row>
    <row r="1994">
      <c r="A1994" s="5">
        <v>1.0</v>
      </c>
      <c r="B1994" s="1">
        <f t="shared" si="1"/>
        <v>1994</v>
      </c>
      <c r="C1994" s="1" t="s">
        <v>1913</v>
      </c>
      <c r="D1994" s="1" t="s">
        <v>1913</v>
      </c>
      <c r="E1994" s="1" t="s">
        <v>645</v>
      </c>
      <c r="G1994" s="1">
        <v>1.4642656E8</v>
      </c>
      <c r="H1994" s="2">
        <v>41984.0</v>
      </c>
      <c r="I1994" s="1" t="s">
        <v>710</v>
      </c>
      <c r="K1994" s="1" t="s">
        <v>710</v>
      </c>
      <c r="N1994" s="1" t="s">
        <v>647</v>
      </c>
      <c r="O1994" s="1">
        <v>1200.0</v>
      </c>
      <c r="P1994" s="1" t="s">
        <v>647</v>
      </c>
      <c r="Q1994" s="1" t="str">
        <f>IF(ISERROR(VLOOKUP(P1994,'unique fed agency names'!A:C,3,FALSE)),P1994,VLOOKUP(P1994,'unique fed agency names'!A:C,3,FALSE))
</f>
        <v>U.S. Department of Agriculture (USDA)</v>
      </c>
      <c r="R1994" s="1">
        <v>1.23577707E8</v>
      </c>
      <c r="S1994" s="1" t="s">
        <v>563</v>
      </c>
      <c r="T1994" s="1" t="str">
        <f>IF(ISERROR(VLOOKUP(S1994,'unique org names'!A:C,3,FALSE)),S1994,VLOOKUP(S1994,'unique org names'!A:C,3,FALSE))
</f>
        <v>WARRENDALE CHARTER ACADEMY</v>
      </c>
      <c r="V1994" s="1" t="s">
        <v>565</v>
      </c>
      <c r="W1994" s="1" t="s">
        <v>44</v>
      </c>
      <c r="X1994" s="1" t="s">
        <v>45</v>
      </c>
      <c r="Y1994" s="1">
        <v>4.8228333E8</v>
      </c>
      <c r="AA1994" s="1" t="s">
        <v>44</v>
      </c>
      <c r="AB1994" s="1" t="s">
        <v>45</v>
      </c>
      <c r="AC1994" s="1">
        <v>4.82283396E8</v>
      </c>
      <c r="AD1994" s="1">
        <v>9.60742484E8</v>
      </c>
      <c r="AF1994" s="1">
        <v>68268.6</v>
      </c>
      <c r="AG1994" s="2">
        <v>41984.0</v>
      </c>
      <c r="AH1994" s="1">
        <v>1200.0</v>
      </c>
      <c r="AI1994" s="1" t="s">
        <v>647</v>
      </c>
      <c r="AJ1994" s="1" t="s">
        <v>3671</v>
      </c>
      <c r="AK1994" s="1" t="s">
        <v>712</v>
      </c>
      <c r="AL1994" s="1">
        <v>1.0</v>
      </c>
      <c r="AM1994" s="1">
        <v>2015.0</v>
      </c>
      <c r="AN1994" s="1">
        <v>2015.0</v>
      </c>
      <c r="AO1994" s="1" t="s">
        <v>713</v>
      </c>
    </row>
    <row r="1995">
      <c r="A1995" s="5">
        <v>1.0</v>
      </c>
      <c r="B1995" s="1">
        <f t="shared" si="1"/>
        <v>1995</v>
      </c>
      <c r="C1995" s="1" t="s">
        <v>1913</v>
      </c>
      <c r="D1995" s="1" t="s">
        <v>1913</v>
      </c>
      <c r="E1995" s="1" t="s">
        <v>645</v>
      </c>
      <c r="G1995" s="1">
        <v>1.4642656E8</v>
      </c>
      <c r="H1995" s="2">
        <v>41984.0</v>
      </c>
      <c r="I1995" s="1" t="s">
        <v>710</v>
      </c>
      <c r="K1995" s="1" t="s">
        <v>710</v>
      </c>
      <c r="N1995" s="1" t="s">
        <v>647</v>
      </c>
      <c r="O1995" s="1">
        <v>1200.0</v>
      </c>
      <c r="P1995" s="1" t="s">
        <v>647</v>
      </c>
      <c r="Q1995" s="1" t="str">
        <f>IF(ISERROR(VLOOKUP(P1995,'unique fed agency names'!A:C,3,FALSE)),P1995,VLOOKUP(P1995,'unique fed agency names'!A:C,3,FALSE))
</f>
        <v>U.S. Department of Agriculture (USDA)</v>
      </c>
      <c r="R1995" s="1">
        <v>8.38496842E8</v>
      </c>
      <c r="S1995" s="1" t="s">
        <v>810</v>
      </c>
      <c r="T1995" s="1" t="str">
        <f>IF(ISERROR(VLOOKUP(S1995,'unique org names'!A:C,3,FALSE)),S1995,VLOOKUP(S1995,'unique org names'!A:C,3,FALSE))
</f>
        <v>NEW ST PAUL TABERNACLE HEAD START AGENCY INC</v>
      </c>
      <c r="V1995" s="1" t="s">
        <v>811</v>
      </c>
      <c r="W1995" s="1" t="s">
        <v>44</v>
      </c>
      <c r="X1995" s="1" t="s">
        <v>45</v>
      </c>
      <c r="Y1995" s="1">
        <v>4.82231359E8</v>
      </c>
      <c r="AA1995" s="1" t="s">
        <v>44</v>
      </c>
      <c r="AB1995" s="1" t="s">
        <v>45</v>
      </c>
      <c r="AC1995" s="1">
        <v>4.82231359E8</v>
      </c>
      <c r="AD1995" s="1">
        <v>8.38496842E8</v>
      </c>
      <c r="AE1995" s="1" t="s">
        <v>810</v>
      </c>
      <c r="AF1995" s="1">
        <v>39860.74</v>
      </c>
      <c r="AG1995" s="2">
        <v>41984.0</v>
      </c>
      <c r="AH1995" s="1">
        <v>1200.0</v>
      </c>
      <c r="AI1995" s="1" t="s">
        <v>647</v>
      </c>
      <c r="AJ1995" s="1" t="s">
        <v>3672</v>
      </c>
      <c r="AK1995" s="1" t="s">
        <v>712</v>
      </c>
      <c r="AL1995" s="1">
        <v>1.0</v>
      </c>
      <c r="AM1995" s="1">
        <v>2015.0</v>
      </c>
      <c r="AN1995" s="1">
        <v>2015.0</v>
      </c>
      <c r="AO1995" s="1" t="s">
        <v>713</v>
      </c>
    </row>
    <row r="1996">
      <c r="A1996" s="5">
        <v>1.0</v>
      </c>
      <c r="B1996" s="1">
        <f t="shared" si="1"/>
        <v>1996</v>
      </c>
      <c r="C1996" s="1" t="s">
        <v>3369</v>
      </c>
      <c r="D1996" s="1" t="s">
        <v>3369</v>
      </c>
      <c r="E1996" s="1" t="s">
        <v>194</v>
      </c>
      <c r="G1996" s="1">
        <v>1.0181861E7</v>
      </c>
      <c r="H1996" s="2">
        <v>41733.0</v>
      </c>
      <c r="I1996" s="1" t="s">
        <v>685</v>
      </c>
      <c r="K1996" s="1" t="s">
        <v>685</v>
      </c>
      <c r="N1996" s="1" t="s">
        <v>194</v>
      </c>
      <c r="O1996" s="1">
        <v>9100.0</v>
      </c>
      <c r="P1996" s="1" t="s">
        <v>194</v>
      </c>
      <c r="Q1996" s="1" t="str">
        <f>IF(ISERROR(VLOOKUP(P1996,'unique fed agency names'!A:C,3,FALSE)),P1996,VLOOKUP(P1996,'unique fed agency names'!A:C,3,FALSE))
</f>
        <v>U.S. Department of Education (ED)</v>
      </c>
      <c r="R1996" s="1">
        <v>7.6340843E7</v>
      </c>
      <c r="S1996" s="1" t="s">
        <v>461</v>
      </c>
      <c r="T1996" s="1" t="str">
        <f>IF(ISERROR(VLOOKUP(S1996,'unique org names'!A:C,3,FALSE)),S1996,VLOOKUP(S1996,'unique org names'!A:C,3,FALSE))
</f>
        <v>BOARD OF EDUCATION OF THE CITY OF DETROIT</v>
      </c>
      <c r="V1996" s="1" t="s">
        <v>1599</v>
      </c>
      <c r="W1996" s="1" t="s">
        <v>44</v>
      </c>
      <c r="X1996" s="1" t="s">
        <v>45</v>
      </c>
      <c r="Y1996" s="1">
        <v>4.8202301E8</v>
      </c>
      <c r="AA1996" s="1" t="s">
        <v>44</v>
      </c>
      <c r="AB1996" s="1" t="s">
        <v>45</v>
      </c>
      <c r="AC1996" s="1">
        <v>4.82023096E8</v>
      </c>
      <c r="AD1996" s="1">
        <v>7.6340843E7</v>
      </c>
      <c r="AE1996" s="1" t="s">
        <v>461</v>
      </c>
      <c r="AF1996" s="1">
        <v>88871.0</v>
      </c>
      <c r="AG1996" s="2">
        <v>41733.0</v>
      </c>
      <c r="AH1996" s="1">
        <v>9100.0</v>
      </c>
      <c r="AI1996" s="1" t="s">
        <v>194</v>
      </c>
      <c r="AJ1996" s="1" t="s">
        <v>3673</v>
      </c>
      <c r="AK1996" s="1" t="s">
        <v>3343</v>
      </c>
      <c r="AL1996" s="1">
        <v>1.0</v>
      </c>
      <c r="AM1996" s="1">
        <v>2015.0</v>
      </c>
      <c r="AN1996" s="1">
        <v>2014.0</v>
      </c>
      <c r="AO1996" s="1" t="s">
        <v>688</v>
      </c>
    </row>
    <row r="1997">
      <c r="A1997" s="5">
        <v>1.0</v>
      </c>
      <c r="B1997" s="1">
        <f t="shared" si="1"/>
        <v>1997</v>
      </c>
      <c r="C1997" s="1" t="s">
        <v>3515</v>
      </c>
      <c r="D1997" s="1" t="s">
        <v>3515</v>
      </c>
      <c r="E1997" s="1" t="s">
        <v>645</v>
      </c>
      <c r="G1997" s="1">
        <v>4.64793056E8</v>
      </c>
      <c r="H1997" s="2">
        <v>41928.0</v>
      </c>
      <c r="I1997" s="1" t="s">
        <v>710</v>
      </c>
      <c r="K1997" s="1" t="s">
        <v>710</v>
      </c>
      <c r="N1997" s="1" t="s">
        <v>647</v>
      </c>
      <c r="O1997" s="1">
        <v>1200.0</v>
      </c>
      <c r="P1997" s="1" t="s">
        <v>647</v>
      </c>
      <c r="Q1997" s="1" t="str">
        <f>IF(ISERROR(VLOOKUP(P1997,'unique fed agency names'!A:C,3,FALSE)),P1997,VLOOKUP(P1997,'unique fed agency names'!A:C,3,FALSE))
</f>
        <v>U.S. Department of Agriculture (USDA)</v>
      </c>
      <c r="R1997" s="1">
        <v>1.6388758E7</v>
      </c>
      <c r="S1997" s="1" t="s">
        <v>3139</v>
      </c>
      <c r="T1997" s="1" t="str">
        <f>IF(ISERROR(VLOOKUP(S1997,'unique org names'!A:C,3,FALSE)),S1997,VLOOKUP(S1997,'unique org names'!A:C,3,FALSE))
</f>
        <v>CALUMET CENTER</v>
      </c>
      <c r="U1997" s="1" t="s">
        <v>3140</v>
      </c>
      <c r="V1997" s="1" t="s">
        <v>281</v>
      </c>
      <c r="W1997" s="1" t="s">
        <v>44</v>
      </c>
      <c r="X1997" s="1" t="s">
        <v>45</v>
      </c>
      <c r="Y1997" s="1">
        <v>4.82033277E8</v>
      </c>
      <c r="AA1997" s="1" t="s">
        <v>603</v>
      </c>
      <c r="AB1997" s="1" t="s">
        <v>45</v>
      </c>
      <c r="AC1997" s="1">
        <v>4.82033277E8</v>
      </c>
      <c r="AD1997" s="1">
        <v>7.4246091E7</v>
      </c>
      <c r="AE1997" s="1" t="s">
        <v>3674</v>
      </c>
      <c r="AF1997" s="1">
        <v>30653.2</v>
      </c>
      <c r="AG1997" s="2">
        <v>41928.0</v>
      </c>
      <c r="AH1997" s="1">
        <v>1200.0</v>
      </c>
      <c r="AI1997" s="1" t="s">
        <v>647</v>
      </c>
      <c r="AJ1997" s="1" t="s">
        <v>3675</v>
      </c>
      <c r="AK1997" s="1" t="s">
        <v>712</v>
      </c>
      <c r="AL1997" s="1">
        <v>1.0</v>
      </c>
      <c r="AM1997" s="1">
        <v>2015.0</v>
      </c>
      <c r="AN1997" s="1">
        <v>2015.0</v>
      </c>
      <c r="AO1997" s="1" t="s">
        <v>713</v>
      </c>
    </row>
    <row r="1998">
      <c r="A1998" s="5">
        <v>1.0</v>
      </c>
      <c r="B1998" s="1">
        <f t="shared" si="1"/>
        <v>1998</v>
      </c>
      <c r="C1998" s="1" t="s">
        <v>3369</v>
      </c>
      <c r="D1998" s="1" t="s">
        <v>3369</v>
      </c>
      <c r="E1998" s="1" t="s">
        <v>194</v>
      </c>
      <c r="G1998" s="1">
        <v>1.0181861E7</v>
      </c>
      <c r="H1998" s="2">
        <v>41717.0</v>
      </c>
      <c r="I1998" s="1" t="s">
        <v>685</v>
      </c>
      <c r="K1998" s="1" t="s">
        <v>685</v>
      </c>
      <c r="N1998" s="1" t="s">
        <v>194</v>
      </c>
      <c r="O1998" s="1">
        <v>9100.0</v>
      </c>
      <c r="P1998" s="1" t="s">
        <v>194</v>
      </c>
      <c r="Q1998" s="1" t="str">
        <f>IF(ISERROR(VLOOKUP(P1998,'unique fed agency names'!A:C,3,FALSE)),P1998,VLOOKUP(P1998,'unique fed agency names'!A:C,3,FALSE))
</f>
        <v>U.S. Department of Education (ED)</v>
      </c>
      <c r="R1998" s="1">
        <v>3.9866801E7</v>
      </c>
      <c r="S1998" s="1" t="s">
        <v>612</v>
      </c>
      <c r="T1998" s="1" t="str">
        <f>IF(ISERROR(VLOOKUP(S1998,'unique org names'!A:C,3,FALSE)),S1998,VLOOKUP(S1998,'unique org names'!A:C,3,FALSE))
</f>
        <v>HAMTRAMCK PUBLIC SCHOOLS</v>
      </c>
      <c r="V1998" s="1" t="s">
        <v>613</v>
      </c>
      <c r="W1998" s="1" t="s">
        <v>44</v>
      </c>
      <c r="X1998" s="1" t="s">
        <v>45</v>
      </c>
      <c r="Y1998" s="1">
        <v>4.8212E8</v>
      </c>
      <c r="AA1998" s="1" t="s">
        <v>607</v>
      </c>
      <c r="AB1998" s="1" t="s">
        <v>45</v>
      </c>
      <c r="AC1998" s="1">
        <v>4.82120012E8</v>
      </c>
      <c r="AD1998" s="1">
        <v>3.9866801E7</v>
      </c>
      <c r="AE1998" s="1" t="s">
        <v>612</v>
      </c>
      <c r="AF1998" s="1">
        <v>91222.0</v>
      </c>
      <c r="AG1998" s="2">
        <v>41717.0</v>
      </c>
      <c r="AH1998" s="1">
        <v>9100.0</v>
      </c>
      <c r="AI1998" s="1" t="s">
        <v>194</v>
      </c>
      <c r="AJ1998" s="1" t="s">
        <v>3676</v>
      </c>
      <c r="AK1998" s="1" t="s">
        <v>3677</v>
      </c>
      <c r="AL1998" s="1">
        <v>1.0</v>
      </c>
      <c r="AM1998" s="1">
        <v>2015.0</v>
      </c>
      <c r="AN1998" s="1">
        <v>2014.0</v>
      </c>
      <c r="AO1998" s="1" t="s">
        <v>688</v>
      </c>
    </row>
    <row r="1999">
      <c r="A1999" s="5">
        <v>1.0</v>
      </c>
      <c r="B1999" s="1">
        <f t="shared" si="1"/>
        <v>1999</v>
      </c>
      <c r="C1999" s="1" t="s">
        <v>3515</v>
      </c>
      <c r="D1999" s="1" t="s">
        <v>3515</v>
      </c>
      <c r="E1999" s="1" t="s">
        <v>645</v>
      </c>
      <c r="G1999" s="1">
        <v>4.64793056E8</v>
      </c>
      <c r="H1999" s="2">
        <v>41919.0</v>
      </c>
      <c r="I1999" s="1" t="s">
        <v>710</v>
      </c>
      <c r="K1999" s="1" t="s">
        <v>710</v>
      </c>
      <c r="N1999" s="1" t="s">
        <v>647</v>
      </c>
      <c r="O1999" s="1">
        <v>1200.0</v>
      </c>
      <c r="P1999" s="1" t="s">
        <v>647</v>
      </c>
      <c r="Q1999" s="1" t="str">
        <f>IF(ISERROR(VLOOKUP(P1999,'unique fed agency names'!A:C,3,FALSE)),P1999,VLOOKUP(P1999,'unique fed agency names'!A:C,3,FALSE))
</f>
        <v>U.S. Department of Agriculture (USDA)</v>
      </c>
      <c r="R1999" s="1">
        <v>1.6388758E7</v>
      </c>
      <c r="S1999" s="1" t="s">
        <v>3139</v>
      </c>
      <c r="T1999" s="1" t="str">
        <f>IF(ISERROR(VLOOKUP(S1999,'unique org names'!A:C,3,FALSE)),S1999,VLOOKUP(S1999,'unique org names'!A:C,3,FALSE))
</f>
        <v>CALUMET CENTER</v>
      </c>
      <c r="U1999" s="1" t="s">
        <v>3140</v>
      </c>
      <c r="V1999" s="1" t="s">
        <v>281</v>
      </c>
      <c r="W1999" s="1" t="s">
        <v>44</v>
      </c>
      <c r="X1999" s="1" t="s">
        <v>45</v>
      </c>
      <c r="Y1999" s="1">
        <v>4.82033277E8</v>
      </c>
      <c r="AA1999" s="1" t="s">
        <v>603</v>
      </c>
      <c r="AB1999" s="1" t="s">
        <v>45</v>
      </c>
      <c r="AC1999" s="1">
        <v>4.82033277E8</v>
      </c>
      <c r="AD1999" s="1">
        <v>1.4152813E7</v>
      </c>
      <c r="AE1999" s="1" t="s">
        <v>3678</v>
      </c>
      <c r="AF1999" s="1">
        <v>100420.93</v>
      </c>
      <c r="AG1999" s="2">
        <v>41919.0</v>
      </c>
      <c r="AH1999" s="1">
        <v>1200.0</v>
      </c>
      <c r="AI1999" s="1" t="s">
        <v>647</v>
      </c>
      <c r="AJ1999" s="1" t="s">
        <v>3679</v>
      </c>
      <c r="AK1999" s="1" t="s">
        <v>712</v>
      </c>
      <c r="AL1999" s="1">
        <v>1.0</v>
      </c>
      <c r="AM1999" s="1">
        <v>2015.0</v>
      </c>
      <c r="AN1999" s="1">
        <v>2015.0</v>
      </c>
      <c r="AO1999" s="1" t="s">
        <v>713</v>
      </c>
    </row>
    <row r="2000">
      <c r="A2000" s="5">
        <v>1.0</v>
      </c>
      <c r="B2000" s="1">
        <f t="shared" si="1"/>
        <v>2000</v>
      </c>
      <c r="C2000" s="1" t="s">
        <v>3378</v>
      </c>
      <c r="D2000" s="1" t="s">
        <v>3378</v>
      </c>
      <c r="E2000" s="1" t="s">
        <v>194</v>
      </c>
      <c r="G2000" s="1">
        <v>1.3225274E7</v>
      </c>
      <c r="H2000" s="2">
        <v>41914.0</v>
      </c>
      <c r="I2000" s="1" t="s">
        <v>1228</v>
      </c>
      <c r="K2000" s="1" t="s">
        <v>1228</v>
      </c>
      <c r="N2000" s="1" t="s">
        <v>194</v>
      </c>
      <c r="O2000" s="1">
        <v>9100.0</v>
      </c>
      <c r="P2000" s="1" t="s">
        <v>194</v>
      </c>
      <c r="Q2000" s="1" t="str">
        <f>IF(ISERROR(VLOOKUP(P2000,'unique fed agency names'!A:C,3,FALSE)),P2000,VLOOKUP(P2000,'unique fed agency names'!A:C,3,FALSE))
</f>
        <v>U.S. Department of Education (ED)</v>
      </c>
      <c r="R2000" s="1">
        <v>9.58138059E8</v>
      </c>
      <c r="S2000" s="1" t="s">
        <v>2723</v>
      </c>
      <c r="T2000" s="1" t="str">
        <f>IF(ISERROR(VLOOKUP(S2000,'unique org names'!A:C,3,FALSE)),S2000,VLOOKUP(S2000,'unique org names'!A:C,3,FALSE))
</f>
        <v>Siena Literacy Center Inc</v>
      </c>
      <c r="V2000" s="1" t="s">
        <v>2724</v>
      </c>
      <c r="W2000" s="1" t="s">
        <v>44</v>
      </c>
      <c r="X2000" s="1" t="s">
        <v>45</v>
      </c>
      <c r="Y2000" s="1">
        <v>4.82193968E8</v>
      </c>
      <c r="AA2000" s="1" t="s">
        <v>44</v>
      </c>
      <c r="AB2000" s="1" t="s">
        <v>45</v>
      </c>
      <c r="AC2000" s="1">
        <v>4.8219363E8</v>
      </c>
      <c r="AF2000" s="1">
        <v>80000.0</v>
      </c>
      <c r="AG2000" s="2">
        <v>41914.0</v>
      </c>
      <c r="AH2000" s="1">
        <v>9100.0</v>
      </c>
      <c r="AI2000" s="1" t="s">
        <v>194</v>
      </c>
      <c r="AJ2000" s="1" t="s">
        <v>3680</v>
      </c>
      <c r="AK2000" s="1" t="s">
        <v>1232</v>
      </c>
      <c r="AL2000" s="1">
        <v>1.0</v>
      </c>
      <c r="AM2000" s="1">
        <v>2015.0</v>
      </c>
      <c r="AN2000" s="1">
        <v>2015.0</v>
      </c>
      <c r="AO2000" s="1" t="s">
        <v>1233</v>
      </c>
    </row>
    <row r="2001">
      <c r="A2001" s="5">
        <v>1.0</v>
      </c>
      <c r="B2001" s="1">
        <f t="shared" si="1"/>
        <v>2001</v>
      </c>
      <c r="C2001" s="1" t="s">
        <v>3378</v>
      </c>
      <c r="D2001" s="1" t="s">
        <v>3378</v>
      </c>
      <c r="E2001" s="1" t="s">
        <v>194</v>
      </c>
      <c r="G2001" s="1">
        <v>1.3225274E7</v>
      </c>
      <c r="H2001" s="2">
        <v>41932.0</v>
      </c>
      <c r="I2001" s="1" t="s">
        <v>1228</v>
      </c>
      <c r="K2001" s="1" t="s">
        <v>1228</v>
      </c>
      <c r="N2001" s="1" t="s">
        <v>194</v>
      </c>
      <c r="O2001" s="1">
        <v>9100.0</v>
      </c>
      <c r="P2001" s="1" t="s">
        <v>194</v>
      </c>
      <c r="Q2001" s="1" t="str">
        <f>IF(ISERROR(VLOOKUP(P2001,'unique fed agency names'!A:C,3,FALSE)),P2001,VLOOKUP(P2001,'unique fed agency names'!A:C,3,FALSE))
</f>
        <v>U.S. Department of Education (ED)</v>
      </c>
      <c r="R2001" s="1">
        <v>6.13353846E8</v>
      </c>
      <c r="S2001" s="1" t="s">
        <v>1229</v>
      </c>
      <c r="T2001" s="1" t="str">
        <f>IF(ISERROR(VLOOKUP(S2001,'unique org names'!A:C,3,FALSE)),S2001,VLOOKUP(S2001,'unique org names'!A:C,3,FALSE))
</f>
        <v>Pro-Literacy Detroit</v>
      </c>
      <c r="V2001" s="1" t="s">
        <v>1230</v>
      </c>
      <c r="W2001" s="1" t="s">
        <v>44</v>
      </c>
      <c r="X2001" s="1" t="s">
        <v>45</v>
      </c>
      <c r="Y2001" s="1">
        <v>4.82013473E8</v>
      </c>
      <c r="AA2001" s="1" t="s">
        <v>44</v>
      </c>
      <c r="AB2001" s="1" t="s">
        <v>45</v>
      </c>
      <c r="AC2001" s="1">
        <v>4.82013473E8</v>
      </c>
      <c r="AF2001" s="1">
        <v>100000.0</v>
      </c>
      <c r="AG2001" s="2">
        <v>41932.0</v>
      </c>
      <c r="AH2001" s="1">
        <v>9100.0</v>
      </c>
      <c r="AI2001" s="1" t="s">
        <v>194</v>
      </c>
      <c r="AJ2001" s="1" t="s">
        <v>3681</v>
      </c>
      <c r="AK2001" s="1" t="s">
        <v>3682</v>
      </c>
      <c r="AL2001" s="1">
        <v>1.0</v>
      </c>
      <c r="AM2001" s="1">
        <v>2015.0</v>
      </c>
      <c r="AN2001" s="1">
        <v>2015.0</v>
      </c>
      <c r="AO2001" s="1" t="s">
        <v>1233</v>
      </c>
    </row>
    <row r="2002">
      <c r="A2002" s="5">
        <v>1.0</v>
      </c>
      <c r="B2002" s="1">
        <f t="shared" si="1"/>
        <v>2002</v>
      </c>
      <c r="C2002" s="1" t="s">
        <v>1913</v>
      </c>
      <c r="D2002" s="1" t="s">
        <v>1913</v>
      </c>
      <c r="E2002" s="1" t="s">
        <v>645</v>
      </c>
      <c r="G2002" s="1">
        <v>1.4642656E8</v>
      </c>
      <c r="H2002" s="2">
        <v>42008.0</v>
      </c>
      <c r="I2002" s="1" t="s">
        <v>710</v>
      </c>
      <c r="K2002" s="1" t="s">
        <v>710</v>
      </c>
      <c r="N2002" s="1" t="s">
        <v>647</v>
      </c>
      <c r="O2002" s="1">
        <v>1200.0</v>
      </c>
      <c r="P2002" s="1" t="s">
        <v>647</v>
      </c>
      <c r="Q2002" s="1" t="str">
        <f>IF(ISERROR(VLOOKUP(P2002,'unique fed agency names'!A:C,3,FALSE)),P2002,VLOOKUP(P2002,'unique fed agency names'!A:C,3,FALSE))
</f>
        <v>U.S. Department of Agriculture (USDA)</v>
      </c>
      <c r="R2002" s="1">
        <v>1.52892667E8</v>
      </c>
      <c r="S2002" s="1" t="s">
        <v>638</v>
      </c>
      <c r="T2002" s="1" t="str">
        <f>IF(ISERROR(VLOOKUP(S2002,'unique org names'!A:C,3,FALSE)),S2002,VLOOKUP(S2002,'unique org names'!A:C,3,FALSE))
</f>
        <v>DOVE ACADEMY OF DETROIT</v>
      </c>
      <c r="V2002" s="1" t="s">
        <v>639</v>
      </c>
      <c r="W2002" s="1" t="s">
        <v>44</v>
      </c>
      <c r="X2002" s="1" t="s">
        <v>45</v>
      </c>
      <c r="Y2002" s="1">
        <v>4.82343358E8</v>
      </c>
      <c r="AA2002" s="1" t="s">
        <v>46</v>
      </c>
      <c r="AB2002" s="1" t="s">
        <v>45</v>
      </c>
      <c r="AC2002" s="1">
        <v>4.82343358E8</v>
      </c>
      <c r="AF2002" s="1">
        <v>42592.14</v>
      </c>
      <c r="AG2002" s="2">
        <v>42008.0</v>
      </c>
      <c r="AH2002" s="1">
        <v>1200.0</v>
      </c>
      <c r="AI2002" s="1" t="s">
        <v>647</v>
      </c>
      <c r="AJ2002" s="1" t="s">
        <v>3683</v>
      </c>
      <c r="AK2002" s="1" t="s">
        <v>712</v>
      </c>
      <c r="AL2002" s="1">
        <v>1.0</v>
      </c>
      <c r="AM2002" s="1">
        <v>2015.0</v>
      </c>
      <c r="AN2002" s="1">
        <v>2015.0</v>
      </c>
      <c r="AO2002" s="1" t="s">
        <v>713</v>
      </c>
    </row>
    <row r="2003">
      <c r="A2003" s="5">
        <v>1.0</v>
      </c>
      <c r="B2003" s="1">
        <f t="shared" si="1"/>
        <v>2003</v>
      </c>
      <c r="C2003" s="1" t="s">
        <v>3378</v>
      </c>
      <c r="D2003" s="1" t="s">
        <v>3378</v>
      </c>
      <c r="E2003" s="1" t="s">
        <v>194</v>
      </c>
      <c r="G2003" s="1">
        <v>1.3225274E7</v>
      </c>
      <c r="H2003" s="2">
        <v>41914.0</v>
      </c>
      <c r="I2003" s="1" t="s">
        <v>1228</v>
      </c>
      <c r="K2003" s="1" t="s">
        <v>1228</v>
      </c>
      <c r="N2003" s="1" t="s">
        <v>194</v>
      </c>
      <c r="O2003" s="1">
        <v>9100.0</v>
      </c>
      <c r="P2003" s="1" t="s">
        <v>194</v>
      </c>
      <c r="Q2003" s="1" t="str">
        <f>IF(ISERROR(VLOOKUP(P2003,'unique fed agency names'!A:C,3,FALSE)),P2003,VLOOKUP(P2003,'unique fed agency names'!A:C,3,FALSE))
</f>
        <v>U.S. Department of Education (ED)</v>
      </c>
      <c r="R2003" s="1">
        <v>7.6340843E7</v>
      </c>
      <c r="S2003" s="1" t="s">
        <v>461</v>
      </c>
      <c r="T2003" s="1" t="str">
        <f>IF(ISERROR(VLOOKUP(S2003,'unique org names'!A:C,3,FALSE)),S2003,VLOOKUP(S2003,'unique org names'!A:C,3,FALSE))
</f>
        <v>BOARD OF EDUCATION OF THE CITY OF DETROIT</v>
      </c>
      <c r="V2003" s="1" t="s">
        <v>1599</v>
      </c>
      <c r="W2003" s="1" t="s">
        <v>44</v>
      </c>
      <c r="X2003" s="1" t="s">
        <v>45</v>
      </c>
      <c r="Y2003" s="1">
        <v>4.8202301E8</v>
      </c>
      <c r="AA2003" s="1" t="s">
        <v>44</v>
      </c>
      <c r="AB2003" s="1" t="s">
        <v>45</v>
      </c>
      <c r="AC2003" s="1">
        <v>4.82023096E8</v>
      </c>
      <c r="AD2003" s="1">
        <v>7.6340843E7</v>
      </c>
      <c r="AE2003" s="1" t="s">
        <v>461</v>
      </c>
      <c r="AF2003" s="1">
        <v>60000.0</v>
      </c>
      <c r="AG2003" s="2">
        <v>41914.0</v>
      </c>
      <c r="AH2003" s="1">
        <v>9100.0</v>
      </c>
      <c r="AI2003" s="1" t="s">
        <v>194</v>
      </c>
      <c r="AJ2003" s="1" t="s">
        <v>3684</v>
      </c>
      <c r="AK2003" s="1" t="s">
        <v>1232</v>
      </c>
      <c r="AL2003" s="1">
        <v>1.0</v>
      </c>
      <c r="AM2003" s="1">
        <v>2015.0</v>
      </c>
      <c r="AN2003" s="1">
        <v>2015.0</v>
      </c>
      <c r="AO2003" s="1" t="s">
        <v>1233</v>
      </c>
    </row>
    <row r="2004">
      <c r="A2004" s="5">
        <v>1.0</v>
      </c>
      <c r="B2004" s="1">
        <f t="shared" si="1"/>
        <v>2004</v>
      </c>
      <c r="C2004" s="1" t="s">
        <v>1913</v>
      </c>
      <c r="D2004" s="1" t="s">
        <v>1913</v>
      </c>
      <c r="E2004" s="1" t="s">
        <v>645</v>
      </c>
      <c r="G2004" s="1">
        <v>1.4642656E8</v>
      </c>
      <c r="H2004" s="2">
        <v>41999.0</v>
      </c>
      <c r="I2004" s="1" t="s">
        <v>710</v>
      </c>
      <c r="K2004" s="1" t="s">
        <v>710</v>
      </c>
      <c r="N2004" s="1" t="s">
        <v>647</v>
      </c>
      <c r="O2004" s="1">
        <v>1200.0</v>
      </c>
      <c r="P2004" s="1" t="s">
        <v>647</v>
      </c>
      <c r="Q2004" s="1" t="str">
        <f>IF(ISERROR(VLOOKUP(P2004,'unique fed agency names'!A:C,3,FALSE)),P2004,VLOOKUP(P2004,'unique fed agency names'!A:C,3,FALSE))
</f>
        <v>U.S. Department of Agriculture (USDA)</v>
      </c>
      <c r="R2004" s="1">
        <v>8.3082572E8</v>
      </c>
      <c r="S2004" s="1" t="s">
        <v>465</v>
      </c>
      <c r="T2004" s="1" t="str">
        <f>IF(ISERROR(VLOOKUP(S2004,'unique org names'!A:C,3,FALSE)),S2004,VLOOKUP(S2004,'unique org names'!A:C,3,FALSE))
</f>
        <v>Public School Academies of Detroit</v>
      </c>
      <c r="U2004" s="1" t="s">
        <v>554</v>
      </c>
      <c r="V2004" s="1" t="s">
        <v>555</v>
      </c>
      <c r="W2004" s="1" t="s">
        <v>44</v>
      </c>
      <c r="X2004" s="1" t="s">
        <v>45</v>
      </c>
      <c r="Y2004" s="1">
        <v>4.82024061E8</v>
      </c>
      <c r="AA2004" s="1" t="s">
        <v>44</v>
      </c>
      <c r="AB2004" s="1" t="s">
        <v>45</v>
      </c>
      <c r="AC2004" s="1">
        <v>4.82023457E8</v>
      </c>
      <c r="AD2004" s="1">
        <v>1.6338926E8</v>
      </c>
      <c r="AE2004" s="1" t="s">
        <v>465</v>
      </c>
      <c r="AF2004" s="1">
        <v>65730.22</v>
      </c>
      <c r="AG2004" s="2">
        <v>41999.0</v>
      </c>
      <c r="AH2004" s="1">
        <v>1200.0</v>
      </c>
      <c r="AI2004" s="1" t="s">
        <v>647</v>
      </c>
      <c r="AJ2004" s="1" t="s">
        <v>3685</v>
      </c>
      <c r="AK2004" s="1" t="s">
        <v>712</v>
      </c>
      <c r="AL2004" s="1">
        <v>1.0</v>
      </c>
      <c r="AM2004" s="1">
        <v>2015.0</v>
      </c>
      <c r="AN2004" s="1">
        <v>2015.0</v>
      </c>
      <c r="AO2004" s="1" t="s">
        <v>713</v>
      </c>
    </row>
    <row r="2005">
      <c r="A2005" s="5">
        <v>1.0</v>
      </c>
      <c r="B2005" s="1">
        <f t="shared" si="1"/>
        <v>2005</v>
      </c>
      <c r="C2005" s="1" t="s">
        <v>3378</v>
      </c>
      <c r="D2005" s="1" t="s">
        <v>3378</v>
      </c>
      <c r="E2005" s="1" t="s">
        <v>194</v>
      </c>
      <c r="G2005" s="1">
        <v>1.3225274E7</v>
      </c>
      <c r="H2005" s="2">
        <v>41922.0</v>
      </c>
      <c r="I2005" s="1" t="s">
        <v>1228</v>
      </c>
      <c r="K2005" s="1" t="s">
        <v>1228</v>
      </c>
      <c r="N2005" s="1" t="s">
        <v>194</v>
      </c>
      <c r="O2005" s="1">
        <v>9100.0</v>
      </c>
      <c r="P2005" s="1" t="s">
        <v>194</v>
      </c>
      <c r="Q2005" s="1" t="str">
        <f>IF(ISERROR(VLOOKUP(P2005,'unique fed agency names'!A:C,3,FALSE)),P2005,VLOOKUP(P2005,'unique fed agency names'!A:C,3,FALSE))
</f>
        <v>U.S. Department of Education (ED)</v>
      </c>
      <c r="R2005" s="1">
        <v>1962224.0</v>
      </c>
      <c r="S2005" s="1" t="s">
        <v>52</v>
      </c>
      <c r="T2005" s="1" t="str">
        <f>IF(ISERROR(VLOOKUP(S2005,'unique org names'!A:C,3,FALSE)),S2005,VLOOKUP(S2005,'unique org names'!A:C,3,FALSE))
</f>
        <v>WAYNE STATE UNIVERSITY</v>
      </c>
      <c r="V2005" s="1" t="s">
        <v>1885</v>
      </c>
      <c r="W2005" s="1" t="s">
        <v>44</v>
      </c>
      <c r="X2005" s="1" t="s">
        <v>45</v>
      </c>
      <c r="Y2005" s="1">
        <v>4.82021347E8</v>
      </c>
      <c r="AA2005" s="1" t="s">
        <v>44</v>
      </c>
      <c r="AB2005" s="1" t="s">
        <v>45</v>
      </c>
      <c r="AC2005" s="1">
        <v>4.82023424E8</v>
      </c>
      <c r="AD2005" s="1">
        <v>1962224.0</v>
      </c>
      <c r="AE2005" s="1" t="s">
        <v>52</v>
      </c>
      <c r="AF2005" s="1">
        <v>80000.0</v>
      </c>
      <c r="AG2005" s="2">
        <v>41922.0</v>
      </c>
      <c r="AH2005" s="1">
        <v>9100.0</v>
      </c>
      <c r="AI2005" s="1" t="s">
        <v>194</v>
      </c>
      <c r="AJ2005" s="1" t="s">
        <v>3686</v>
      </c>
      <c r="AK2005" s="1" t="s">
        <v>1232</v>
      </c>
      <c r="AL2005" s="1">
        <v>1.0</v>
      </c>
      <c r="AM2005" s="1">
        <v>2015.0</v>
      </c>
      <c r="AN2005" s="1">
        <v>2015.0</v>
      </c>
      <c r="AO2005" s="1" t="s">
        <v>1233</v>
      </c>
    </row>
    <row r="2006">
      <c r="A2006" s="5">
        <v>1.0</v>
      </c>
      <c r="B2006" s="1">
        <f t="shared" si="1"/>
        <v>2006</v>
      </c>
      <c r="C2006" s="1" t="s">
        <v>3515</v>
      </c>
      <c r="D2006" s="1" t="s">
        <v>3515</v>
      </c>
      <c r="E2006" s="1" t="s">
        <v>645</v>
      </c>
      <c r="G2006" s="1">
        <v>4.64793056E8</v>
      </c>
      <c r="H2006" s="2">
        <v>41956.0</v>
      </c>
      <c r="I2006" s="1" t="s">
        <v>710</v>
      </c>
      <c r="K2006" s="1" t="s">
        <v>710</v>
      </c>
      <c r="N2006" s="1" t="s">
        <v>647</v>
      </c>
      <c r="O2006" s="1">
        <v>1200.0</v>
      </c>
      <c r="P2006" s="1" t="s">
        <v>647</v>
      </c>
      <c r="Q2006" s="1" t="str">
        <f>IF(ISERROR(VLOOKUP(P2006,'unique fed agency names'!A:C,3,FALSE)),P2006,VLOOKUP(P2006,'unique fed agency names'!A:C,3,FALSE))
</f>
        <v>U.S. Department of Agriculture (USDA)</v>
      </c>
      <c r="R2006" s="1">
        <v>6533863.0</v>
      </c>
      <c r="S2006" s="1" t="s">
        <v>3194</v>
      </c>
      <c r="T2006" s="1" t="str">
        <f>IF(ISERROR(VLOOKUP(S2006,'unique org names'!A:C,3,FALSE)),S2006,VLOOKUP(S2006,'unique org names'!A:C,3,FALSE))
</f>
        <v>Roman Catholic Archdiocese of Detroit</v>
      </c>
      <c r="U2006" s="1" t="s">
        <v>3195</v>
      </c>
      <c r="V2006" s="1" t="s">
        <v>3196</v>
      </c>
      <c r="W2006" s="1" t="s">
        <v>44</v>
      </c>
      <c r="X2006" s="1" t="s">
        <v>45</v>
      </c>
      <c r="Y2006" s="1">
        <v>4.82261894E8</v>
      </c>
      <c r="AA2006" s="1" t="s">
        <v>3197</v>
      </c>
      <c r="AB2006" s="1" t="s">
        <v>45</v>
      </c>
      <c r="AC2006" s="1">
        <v>4.81339647E8</v>
      </c>
      <c r="AD2006" s="1">
        <v>6533863.0</v>
      </c>
      <c r="AF2006" s="1">
        <v>477256.11</v>
      </c>
      <c r="AG2006" s="2">
        <v>41956.0</v>
      </c>
      <c r="AH2006" s="1">
        <v>1200.0</v>
      </c>
      <c r="AI2006" s="1" t="s">
        <v>647</v>
      </c>
      <c r="AJ2006" s="1" t="s">
        <v>3687</v>
      </c>
      <c r="AK2006" s="1" t="s">
        <v>712</v>
      </c>
      <c r="AL2006" s="1">
        <v>1.0</v>
      </c>
      <c r="AM2006" s="1">
        <v>2015.0</v>
      </c>
      <c r="AN2006" s="1">
        <v>2015.0</v>
      </c>
      <c r="AO2006" s="1" t="s">
        <v>713</v>
      </c>
    </row>
    <row r="2007">
      <c r="A2007" s="5">
        <v>1.0</v>
      </c>
      <c r="B2007" s="1">
        <f t="shared" si="1"/>
        <v>2007</v>
      </c>
      <c r="C2007" s="1" t="s">
        <v>1913</v>
      </c>
      <c r="D2007" s="1" t="s">
        <v>1913</v>
      </c>
      <c r="E2007" s="1" t="s">
        <v>645</v>
      </c>
      <c r="G2007" s="1">
        <v>1.4642656E8</v>
      </c>
      <c r="H2007" s="2">
        <v>41956.0</v>
      </c>
      <c r="I2007" s="1" t="s">
        <v>710</v>
      </c>
      <c r="K2007" s="1" t="s">
        <v>710</v>
      </c>
      <c r="N2007" s="1" t="s">
        <v>647</v>
      </c>
      <c r="O2007" s="1">
        <v>1200.0</v>
      </c>
      <c r="P2007" s="1" t="s">
        <v>647</v>
      </c>
      <c r="Q2007" s="1" t="str">
        <f>IF(ISERROR(VLOOKUP(P2007,'unique fed agency names'!A:C,3,FALSE)),P2007,VLOOKUP(P2007,'unique fed agency names'!A:C,3,FALSE))
</f>
        <v>U.S. Department of Agriculture (USDA)</v>
      </c>
      <c r="R2007" s="1">
        <v>8.29630537E8</v>
      </c>
      <c r="S2007" s="1" t="s">
        <v>531</v>
      </c>
      <c r="T2007" s="1" t="str">
        <f>IF(ISERROR(VLOOKUP(S2007,'unique org names'!A:C,3,FALSE)),S2007,VLOOKUP(S2007,'unique org names'!A:C,3,FALSE))
</f>
        <v>DETROIT SERVICE LEARNING ACADEMY</v>
      </c>
      <c r="U2007" s="1" t="s">
        <v>532</v>
      </c>
      <c r="V2007" s="1" t="s">
        <v>533</v>
      </c>
      <c r="W2007" s="1" t="s">
        <v>44</v>
      </c>
      <c r="X2007" s="1" t="s">
        <v>45</v>
      </c>
      <c r="Y2007" s="1">
        <v>4.8219181E8</v>
      </c>
      <c r="AA2007" s="1" t="s">
        <v>44</v>
      </c>
      <c r="AB2007" s="1" t="s">
        <v>45</v>
      </c>
      <c r="AC2007" s="1">
        <v>4.8219181E8</v>
      </c>
      <c r="AF2007" s="1">
        <v>52561.62</v>
      </c>
      <c r="AG2007" s="2">
        <v>41956.0</v>
      </c>
      <c r="AH2007" s="1">
        <v>1200.0</v>
      </c>
      <c r="AI2007" s="1" t="s">
        <v>647</v>
      </c>
      <c r="AJ2007" s="1" t="s">
        <v>3688</v>
      </c>
      <c r="AK2007" s="1" t="s">
        <v>712</v>
      </c>
      <c r="AL2007" s="1">
        <v>1.0</v>
      </c>
      <c r="AM2007" s="1">
        <v>2015.0</v>
      </c>
      <c r="AN2007" s="1">
        <v>2015.0</v>
      </c>
      <c r="AO2007" s="1" t="s">
        <v>713</v>
      </c>
    </row>
    <row r="2008">
      <c r="A2008" s="5">
        <v>1.0</v>
      </c>
      <c r="B2008" s="1">
        <f t="shared" si="1"/>
        <v>2008</v>
      </c>
      <c r="C2008" s="1" t="s">
        <v>1913</v>
      </c>
      <c r="D2008" s="1" t="s">
        <v>1913</v>
      </c>
      <c r="E2008" s="1" t="s">
        <v>645</v>
      </c>
      <c r="G2008" s="1">
        <v>1.4642656E8</v>
      </c>
      <c r="H2008" s="2">
        <v>41984.0</v>
      </c>
      <c r="I2008" s="1" t="s">
        <v>710</v>
      </c>
      <c r="K2008" s="1" t="s">
        <v>710</v>
      </c>
      <c r="N2008" s="1" t="s">
        <v>647</v>
      </c>
      <c r="O2008" s="1">
        <v>1200.0</v>
      </c>
      <c r="P2008" s="1" t="s">
        <v>647</v>
      </c>
      <c r="Q2008" s="1" t="str">
        <f>IF(ISERROR(VLOOKUP(P2008,'unique fed agency names'!A:C,3,FALSE)),P2008,VLOOKUP(P2008,'unique fed agency names'!A:C,3,FALSE))
</f>
        <v>U.S. Department of Agriculture (USDA)</v>
      </c>
      <c r="R2008" s="1">
        <v>8.29503312E8</v>
      </c>
      <c r="S2008" s="1" t="s">
        <v>622</v>
      </c>
      <c r="T2008" s="1" t="str">
        <f>IF(ISERROR(VLOOKUP(S2008,'unique org names'!A:C,3,FALSE)),S2008,VLOOKUP(S2008,'unique org names'!A:C,3,FALSE))
</f>
        <v>GEORGE WASHINGTON CARVER ACADEMY</v>
      </c>
      <c r="V2008" s="1" t="s">
        <v>623</v>
      </c>
      <c r="W2008" s="1" t="s">
        <v>44</v>
      </c>
      <c r="X2008" s="1" t="s">
        <v>45</v>
      </c>
      <c r="Y2008" s="1">
        <v>4.82035715E8</v>
      </c>
      <c r="AA2008" s="1" t="s">
        <v>603</v>
      </c>
      <c r="AB2008" s="1" t="s">
        <v>45</v>
      </c>
      <c r="AC2008" s="1">
        <v>4.82035715E8</v>
      </c>
      <c r="AF2008" s="1">
        <v>66395.88</v>
      </c>
      <c r="AG2008" s="2">
        <v>41984.0</v>
      </c>
      <c r="AH2008" s="1">
        <v>1200.0</v>
      </c>
      <c r="AI2008" s="1" t="s">
        <v>647</v>
      </c>
      <c r="AJ2008" s="1" t="s">
        <v>3689</v>
      </c>
      <c r="AK2008" s="1" t="s">
        <v>712</v>
      </c>
      <c r="AL2008" s="1">
        <v>1.0</v>
      </c>
      <c r="AM2008" s="1">
        <v>2015.0</v>
      </c>
      <c r="AN2008" s="1">
        <v>2015.0</v>
      </c>
      <c r="AO2008" s="1" t="s">
        <v>713</v>
      </c>
    </row>
    <row r="2009">
      <c r="A2009" s="5">
        <v>1.0</v>
      </c>
      <c r="B2009" s="1">
        <f t="shared" si="1"/>
        <v>2009</v>
      </c>
      <c r="C2009" s="1" t="s">
        <v>1913</v>
      </c>
      <c r="D2009" s="1" t="s">
        <v>1913</v>
      </c>
      <c r="E2009" s="1" t="s">
        <v>645</v>
      </c>
      <c r="G2009" s="1">
        <v>1.4642656E8</v>
      </c>
      <c r="H2009" s="2">
        <v>41977.0</v>
      </c>
      <c r="I2009" s="1" t="s">
        <v>710</v>
      </c>
      <c r="K2009" s="1" t="s">
        <v>710</v>
      </c>
      <c r="N2009" s="1" t="s">
        <v>647</v>
      </c>
      <c r="O2009" s="1">
        <v>1200.0</v>
      </c>
      <c r="P2009" s="1" t="s">
        <v>647</v>
      </c>
      <c r="Q2009" s="1" t="str">
        <f>IF(ISERROR(VLOOKUP(P2009,'unique fed agency names'!A:C,3,FALSE)),P2009,VLOOKUP(P2009,'unique fed agency names'!A:C,3,FALSE))
</f>
        <v>U.S. Department of Agriculture (USDA)</v>
      </c>
      <c r="R2009" s="1">
        <v>7.93697355E8</v>
      </c>
      <c r="S2009" s="1" t="s">
        <v>691</v>
      </c>
      <c r="T2009" s="1" t="str">
        <f>IF(ISERROR(VLOOKUP(S2009,'unique org names'!A:C,3,FALSE)),S2009,VLOOKUP(S2009,'unique org names'!A:C,3,FALSE))
</f>
        <v>OAKLAND INTERNATIONAL ACADEMY</v>
      </c>
      <c r="U2009" s="1" t="s">
        <v>1194</v>
      </c>
      <c r="V2009" s="1" t="s">
        <v>692</v>
      </c>
      <c r="W2009" s="1" t="s">
        <v>44</v>
      </c>
      <c r="X2009" s="1" t="s">
        <v>45</v>
      </c>
      <c r="Y2009" s="1">
        <v>4.82111554E8</v>
      </c>
      <c r="AA2009" s="1" t="s">
        <v>44</v>
      </c>
      <c r="AB2009" s="1" t="s">
        <v>45</v>
      </c>
      <c r="AC2009" s="1">
        <v>4.82111552E8</v>
      </c>
      <c r="AF2009" s="1">
        <v>32394.98</v>
      </c>
      <c r="AG2009" s="2">
        <v>41977.0</v>
      </c>
      <c r="AH2009" s="1">
        <v>1200.0</v>
      </c>
      <c r="AI2009" s="1" t="s">
        <v>647</v>
      </c>
      <c r="AJ2009" s="1" t="s">
        <v>3690</v>
      </c>
      <c r="AK2009" s="1" t="s">
        <v>712</v>
      </c>
      <c r="AL2009" s="1">
        <v>1.0</v>
      </c>
      <c r="AM2009" s="1">
        <v>2015.0</v>
      </c>
      <c r="AN2009" s="1">
        <v>2015.0</v>
      </c>
      <c r="AO2009" s="1" t="s">
        <v>713</v>
      </c>
    </row>
    <row r="2010">
      <c r="A2010" s="5">
        <v>1.0</v>
      </c>
      <c r="B2010" s="1">
        <f t="shared" si="1"/>
        <v>2010</v>
      </c>
      <c r="C2010" s="1" t="s">
        <v>3310</v>
      </c>
      <c r="D2010" s="1" t="s">
        <v>3310</v>
      </c>
      <c r="E2010" s="1" t="s">
        <v>389</v>
      </c>
      <c r="G2010" s="1">
        <v>5.1970484E7</v>
      </c>
      <c r="H2010" s="2">
        <v>41918.0</v>
      </c>
      <c r="I2010" s="1" t="s">
        <v>1875</v>
      </c>
      <c r="K2010" s="1" t="s">
        <v>1875</v>
      </c>
      <c r="N2010" s="1" t="s">
        <v>391</v>
      </c>
      <c r="O2010" s="1">
        <v>1600.0</v>
      </c>
      <c r="P2010" s="1" t="s">
        <v>391</v>
      </c>
      <c r="Q2010" s="1" t="str">
        <f>IF(ISERROR(VLOOKUP(P2010,'unique fed agency names'!A:C,3,FALSE)),P2010,VLOOKUP(P2010,'unique fed agency names'!A:C,3,FALSE))
</f>
        <v>U.S. Department of Labor (DOL)</v>
      </c>
      <c r="R2010" s="1">
        <v>9.68755756E8</v>
      </c>
      <c r="S2010" s="1" t="s">
        <v>1806</v>
      </c>
      <c r="T2010" s="1" t="str">
        <f>IF(ISERROR(VLOOKUP(S2010,'unique org names'!A:C,3,FALSE)),S2010,VLOOKUP(S2010,'unique org names'!A:C,3,FALSE))
</f>
        <v>Detroit Employment Solutions Corporation</v>
      </c>
      <c r="V2010" s="1" t="s">
        <v>1807</v>
      </c>
      <c r="W2010" s="1" t="s">
        <v>44</v>
      </c>
      <c r="X2010" s="1" t="s">
        <v>45</v>
      </c>
      <c r="Y2010" s="1">
        <v>4.82262917E8</v>
      </c>
      <c r="AA2010" s="1" t="s">
        <v>46</v>
      </c>
      <c r="AB2010" s="1" t="s">
        <v>45</v>
      </c>
      <c r="AC2010" s="1">
        <v>4.82022943E8</v>
      </c>
      <c r="AF2010" s="1">
        <v>253394.0</v>
      </c>
      <c r="AG2010" s="2">
        <v>41918.0</v>
      </c>
      <c r="AH2010" s="1">
        <v>1600.0</v>
      </c>
      <c r="AI2010" s="1" t="s">
        <v>391</v>
      </c>
      <c r="AJ2010" s="1" t="s">
        <v>3691</v>
      </c>
      <c r="AK2010" s="1" t="s">
        <v>3692</v>
      </c>
      <c r="AL2010" s="1">
        <v>1.0</v>
      </c>
      <c r="AM2010" s="1">
        <v>2015.0</v>
      </c>
      <c r="AN2010" s="1">
        <v>2015.0</v>
      </c>
      <c r="AO2010" s="1" t="s">
        <v>1878</v>
      </c>
    </row>
    <row r="2011">
      <c r="A2011" s="5">
        <v>1.0</v>
      </c>
      <c r="B2011" s="1">
        <f t="shared" si="1"/>
        <v>2011</v>
      </c>
      <c r="C2011" s="1" t="s">
        <v>1913</v>
      </c>
      <c r="D2011" s="1" t="s">
        <v>1913</v>
      </c>
      <c r="E2011" s="1" t="s">
        <v>645</v>
      </c>
      <c r="G2011" s="1">
        <v>1.4642656E8</v>
      </c>
      <c r="H2011" s="2">
        <v>41977.0</v>
      </c>
      <c r="I2011" s="1" t="s">
        <v>710</v>
      </c>
      <c r="K2011" s="1" t="s">
        <v>710</v>
      </c>
      <c r="N2011" s="1" t="s">
        <v>647</v>
      </c>
      <c r="O2011" s="1">
        <v>1200.0</v>
      </c>
      <c r="P2011" s="1" t="s">
        <v>647</v>
      </c>
      <c r="Q2011" s="1" t="str">
        <f>IF(ISERROR(VLOOKUP(P2011,'unique fed agency names'!A:C,3,FALSE)),P2011,VLOOKUP(P2011,'unique fed agency names'!A:C,3,FALSE))
</f>
        <v>U.S. Department of Agriculture (USDA)</v>
      </c>
      <c r="R2011" s="1">
        <v>8.0463354E7</v>
      </c>
      <c r="S2011" s="1" t="s">
        <v>518</v>
      </c>
      <c r="T2011" s="1" t="str">
        <f>IF(ISERROR(VLOOKUP(S2011,'unique org names'!A:C,3,FALSE)),S2011,VLOOKUP(S2011,'unique org names'!A:C,3,FALSE))
</f>
        <v>UNIVERSAL ACADEMY</v>
      </c>
      <c r="V2011" s="1" t="s">
        <v>519</v>
      </c>
      <c r="W2011" s="1" t="s">
        <v>44</v>
      </c>
      <c r="X2011" s="1" t="s">
        <v>45</v>
      </c>
      <c r="Y2011" s="1">
        <v>4.82102105E8</v>
      </c>
      <c r="AA2011" s="1" t="s">
        <v>44</v>
      </c>
      <c r="AB2011" s="1" t="s">
        <v>45</v>
      </c>
      <c r="AC2011" s="1">
        <v>4.82102105E8</v>
      </c>
      <c r="AD2011" s="1">
        <v>8.0463354E7</v>
      </c>
      <c r="AE2011" s="1" t="s">
        <v>518</v>
      </c>
      <c r="AF2011" s="1">
        <v>54128.34</v>
      </c>
      <c r="AG2011" s="2">
        <v>41977.0</v>
      </c>
      <c r="AH2011" s="1">
        <v>1200.0</v>
      </c>
      <c r="AI2011" s="1" t="s">
        <v>647</v>
      </c>
      <c r="AJ2011" s="1" t="s">
        <v>3693</v>
      </c>
      <c r="AK2011" s="1" t="s">
        <v>712</v>
      </c>
      <c r="AL2011" s="1">
        <v>1.0</v>
      </c>
      <c r="AM2011" s="1">
        <v>2015.0</v>
      </c>
      <c r="AN2011" s="1">
        <v>2015.0</v>
      </c>
      <c r="AO2011" s="1" t="s">
        <v>713</v>
      </c>
    </row>
    <row r="2012">
      <c r="A2012" s="5">
        <v>1.0</v>
      </c>
      <c r="B2012" s="1">
        <f t="shared" si="1"/>
        <v>2012</v>
      </c>
      <c r="C2012" s="1" t="s">
        <v>1913</v>
      </c>
      <c r="D2012" s="1" t="s">
        <v>1913</v>
      </c>
      <c r="E2012" s="1" t="s">
        <v>645</v>
      </c>
      <c r="G2012" s="1">
        <v>1.4642656E8</v>
      </c>
      <c r="H2012" s="2">
        <v>41984.0</v>
      </c>
      <c r="I2012" s="1" t="s">
        <v>710</v>
      </c>
      <c r="K2012" s="1" t="s">
        <v>710</v>
      </c>
      <c r="N2012" s="1" t="s">
        <v>647</v>
      </c>
      <c r="O2012" s="1">
        <v>1200.0</v>
      </c>
      <c r="P2012" s="1" t="s">
        <v>647</v>
      </c>
      <c r="Q2012" s="1" t="str">
        <f>IF(ISERROR(VLOOKUP(P2012,'unique fed agency names'!A:C,3,FALSE)),P2012,VLOOKUP(P2012,'unique fed agency names'!A:C,3,FALSE))
</f>
        <v>U.S. Department of Agriculture (USDA)</v>
      </c>
      <c r="R2012" s="1">
        <v>1.17726252E8</v>
      </c>
      <c r="S2012" s="1" t="s">
        <v>512</v>
      </c>
      <c r="T2012" s="1" t="str">
        <f>IF(ISERROR(VLOOKUP(S2012,'unique org names'!A:C,3,FALSE)),S2012,VLOOKUP(S2012,'unique org names'!A:C,3,FALSE))
</f>
        <v>OLD REDFORD ACADEMY</v>
      </c>
      <c r="V2012" s="1" t="s">
        <v>513</v>
      </c>
      <c r="W2012" s="1" t="s">
        <v>44</v>
      </c>
      <c r="X2012" s="1" t="s">
        <v>45</v>
      </c>
      <c r="Y2012" s="1">
        <v>4.82193259E8</v>
      </c>
      <c r="AA2012" s="1" t="s">
        <v>44</v>
      </c>
      <c r="AB2012" s="1" t="s">
        <v>45</v>
      </c>
      <c r="AC2012" s="1">
        <v>4.82193259E8</v>
      </c>
      <c r="AF2012" s="1">
        <v>45150.42</v>
      </c>
      <c r="AG2012" s="2">
        <v>41984.0</v>
      </c>
      <c r="AH2012" s="1">
        <v>1200.0</v>
      </c>
      <c r="AI2012" s="1" t="s">
        <v>647</v>
      </c>
      <c r="AJ2012" s="1" t="s">
        <v>3694</v>
      </c>
      <c r="AK2012" s="1" t="s">
        <v>712</v>
      </c>
      <c r="AL2012" s="1">
        <v>1.0</v>
      </c>
      <c r="AM2012" s="1">
        <v>2015.0</v>
      </c>
      <c r="AN2012" s="1">
        <v>2015.0</v>
      </c>
      <c r="AO2012" s="1" t="s">
        <v>713</v>
      </c>
    </row>
    <row r="2013">
      <c r="A2013" s="5">
        <v>1.0</v>
      </c>
      <c r="B2013" s="1">
        <f t="shared" si="1"/>
        <v>2013</v>
      </c>
      <c r="C2013" s="1" t="s">
        <v>3397</v>
      </c>
      <c r="D2013" s="1" t="s">
        <v>3397</v>
      </c>
      <c r="E2013" s="1" t="s">
        <v>194</v>
      </c>
      <c r="G2013" s="1">
        <v>2.29266E7</v>
      </c>
      <c r="H2013" s="2">
        <v>41374.0</v>
      </c>
      <c r="I2013" s="1" t="s">
        <v>3398</v>
      </c>
      <c r="K2013" s="1" t="s">
        <v>3398</v>
      </c>
      <c r="N2013" s="1" t="s">
        <v>194</v>
      </c>
      <c r="O2013" s="1">
        <v>9100.0</v>
      </c>
      <c r="P2013" s="1" t="s">
        <v>194</v>
      </c>
      <c r="Q2013" s="1" t="str">
        <f>IF(ISERROR(VLOOKUP(P2013,'unique fed agency names'!A:C,3,FALSE)),P2013,VLOOKUP(P2013,'unique fed agency names'!A:C,3,FALSE))
</f>
        <v>U.S. Department of Education (ED)</v>
      </c>
      <c r="R2013" s="1">
        <v>6.02807237E8</v>
      </c>
      <c r="S2013" s="1" t="s">
        <v>3399</v>
      </c>
      <c r="T2013" s="1" t="str">
        <f>IF(ISERROR(VLOOKUP(S2013,'unique org names'!A:C,3,FALSE)),S2013,VLOOKUP(S2013,'unique org names'!A:C,3,FALSE))
</f>
        <v>Potters House Ministries</v>
      </c>
      <c r="V2013" s="1" t="s">
        <v>3400</v>
      </c>
      <c r="W2013" s="1" t="s">
        <v>44</v>
      </c>
      <c r="X2013" s="1" t="s">
        <v>45</v>
      </c>
      <c r="Y2013" s="1">
        <v>4.82273809E8</v>
      </c>
      <c r="AA2013" s="1" t="s">
        <v>46</v>
      </c>
      <c r="AB2013" s="1" t="s">
        <v>45</v>
      </c>
      <c r="AC2013" s="1">
        <v>4.82194068E8</v>
      </c>
      <c r="AF2013" s="1">
        <v>109997.0</v>
      </c>
      <c r="AG2013" s="2">
        <v>41374.0</v>
      </c>
      <c r="AH2013" s="1">
        <v>9100.0</v>
      </c>
      <c r="AI2013" s="1" t="s">
        <v>194</v>
      </c>
      <c r="AJ2013" s="1" t="s">
        <v>3695</v>
      </c>
      <c r="AK2013" s="1" t="s">
        <v>3402</v>
      </c>
      <c r="AL2013" s="1">
        <v>1.0</v>
      </c>
      <c r="AM2013" s="1">
        <v>2015.0</v>
      </c>
      <c r="AN2013" s="1">
        <v>2013.0</v>
      </c>
      <c r="AO2013" s="1" t="s">
        <v>3403</v>
      </c>
    </row>
    <row r="2014">
      <c r="A2014" s="5">
        <v>1.0</v>
      </c>
      <c r="B2014" s="1">
        <f t="shared" si="1"/>
        <v>2014</v>
      </c>
      <c r="C2014" s="1" t="s">
        <v>1913</v>
      </c>
      <c r="D2014" s="1" t="s">
        <v>1913</v>
      </c>
      <c r="E2014" s="1" t="s">
        <v>645</v>
      </c>
      <c r="G2014" s="1">
        <v>1.4642656E8</v>
      </c>
      <c r="H2014" s="2">
        <v>41984.0</v>
      </c>
      <c r="I2014" s="1" t="s">
        <v>710</v>
      </c>
      <c r="K2014" s="1" t="s">
        <v>710</v>
      </c>
      <c r="N2014" s="1" t="s">
        <v>647</v>
      </c>
      <c r="O2014" s="1">
        <v>1200.0</v>
      </c>
      <c r="P2014" s="1" t="s">
        <v>647</v>
      </c>
      <c r="Q2014" s="1" t="str">
        <f>IF(ISERROR(VLOOKUP(P2014,'unique fed agency names'!A:C,3,FALSE)),P2014,VLOOKUP(P2014,'unique fed agency names'!A:C,3,FALSE))
</f>
        <v>U.S. Department of Agriculture (USDA)</v>
      </c>
      <c r="R2014" s="1">
        <v>9.48021373E8</v>
      </c>
      <c r="S2014" s="1" t="s">
        <v>501</v>
      </c>
      <c r="T2014" s="1" t="str">
        <f>IF(ISERROR(VLOOKUP(S2014,'unique org names'!A:C,3,FALSE)),S2014,VLOOKUP(S2014,'unique org names'!A:C,3,FALSE))
</f>
        <v>WOODWARD ACADEMY</v>
      </c>
      <c r="V2014" s="1" t="s">
        <v>502</v>
      </c>
      <c r="W2014" s="1" t="s">
        <v>44</v>
      </c>
      <c r="X2014" s="1" t="s">
        <v>45</v>
      </c>
      <c r="Y2014" s="1">
        <v>4.82072901E8</v>
      </c>
      <c r="AA2014" s="1" t="s">
        <v>44</v>
      </c>
      <c r="AB2014" s="1" t="s">
        <v>45</v>
      </c>
      <c r="AC2014" s="1">
        <v>4.82072901E8</v>
      </c>
      <c r="AF2014" s="1">
        <v>65786.94</v>
      </c>
      <c r="AG2014" s="2">
        <v>41984.0</v>
      </c>
      <c r="AH2014" s="1">
        <v>1200.0</v>
      </c>
      <c r="AI2014" s="1" t="s">
        <v>647</v>
      </c>
      <c r="AJ2014" s="1" t="s">
        <v>3696</v>
      </c>
      <c r="AK2014" s="1" t="s">
        <v>712</v>
      </c>
      <c r="AL2014" s="1">
        <v>1.0</v>
      </c>
      <c r="AM2014" s="1">
        <v>2015.0</v>
      </c>
      <c r="AN2014" s="1">
        <v>2015.0</v>
      </c>
      <c r="AO2014" s="1" t="s">
        <v>713</v>
      </c>
    </row>
    <row r="2015">
      <c r="A2015" s="5">
        <v>1.0</v>
      </c>
      <c r="B2015" s="1">
        <f t="shared" si="1"/>
        <v>2015</v>
      </c>
      <c r="C2015" s="1" t="s">
        <v>3397</v>
      </c>
      <c r="D2015" s="1" t="s">
        <v>3397</v>
      </c>
      <c r="E2015" s="1" t="s">
        <v>194</v>
      </c>
      <c r="G2015" s="1">
        <v>2.29266E7</v>
      </c>
      <c r="H2015" s="2">
        <v>41374.0</v>
      </c>
      <c r="I2015" s="1" t="s">
        <v>3398</v>
      </c>
      <c r="K2015" s="1" t="s">
        <v>3398</v>
      </c>
      <c r="N2015" s="1" t="s">
        <v>194</v>
      </c>
      <c r="O2015" s="1">
        <v>9100.0</v>
      </c>
      <c r="P2015" s="1" t="s">
        <v>194</v>
      </c>
      <c r="Q2015" s="1" t="str">
        <f>IF(ISERROR(VLOOKUP(P2015,'unique fed agency names'!A:C,3,FALSE)),P2015,VLOOKUP(P2015,'unique fed agency names'!A:C,3,FALSE))
</f>
        <v>U.S. Department of Education (ED)</v>
      </c>
      <c r="R2015" s="1">
        <v>6.02807237E8</v>
      </c>
      <c r="S2015" s="1" t="s">
        <v>3399</v>
      </c>
      <c r="T2015" s="1" t="str">
        <f>IF(ISERROR(VLOOKUP(S2015,'unique org names'!A:C,3,FALSE)),S2015,VLOOKUP(S2015,'unique org names'!A:C,3,FALSE))
</f>
        <v>Potters House Ministries</v>
      </c>
      <c r="V2015" s="1" t="s">
        <v>3400</v>
      </c>
      <c r="W2015" s="1" t="s">
        <v>44</v>
      </c>
      <c r="X2015" s="1" t="s">
        <v>45</v>
      </c>
      <c r="Y2015" s="1">
        <v>4.82273809E8</v>
      </c>
      <c r="AA2015" s="1" t="s">
        <v>46</v>
      </c>
      <c r="AB2015" s="1" t="s">
        <v>45</v>
      </c>
      <c r="AC2015" s="1">
        <v>4.82194068E8</v>
      </c>
      <c r="AF2015" s="1">
        <v>109997.0</v>
      </c>
      <c r="AG2015" s="2">
        <v>41374.0</v>
      </c>
      <c r="AH2015" s="1">
        <v>9100.0</v>
      </c>
      <c r="AI2015" s="1" t="s">
        <v>194</v>
      </c>
      <c r="AJ2015" s="1" t="s">
        <v>3695</v>
      </c>
      <c r="AK2015" s="1" t="s">
        <v>3402</v>
      </c>
      <c r="AL2015" s="1">
        <v>1.0</v>
      </c>
      <c r="AM2015" s="1">
        <v>2015.0</v>
      </c>
      <c r="AN2015" s="1">
        <v>2013.0</v>
      </c>
      <c r="AO2015" s="1" t="s">
        <v>3403</v>
      </c>
    </row>
    <row r="2016">
      <c r="A2016" s="5">
        <v>1.0</v>
      </c>
      <c r="B2016" s="1">
        <f t="shared" si="1"/>
        <v>2016</v>
      </c>
      <c r="C2016" s="1" t="s">
        <v>3397</v>
      </c>
      <c r="D2016" s="1" t="s">
        <v>3397</v>
      </c>
      <c r="E2016" s="1" t="s">
        <v>194</v>
      </c>
      <c r="G2016" s="1">
        <v>2.29266E7</v>
      </c>
      <c r="H2016" s="2">
        <v>41858.0</v>
      </c>
      <c r="I2016" s="1" t="s">
        <v>3398</v>
      </c>
      <c r="K2016" s="1" t="s">
        <v>3398</v>
      </c>
      <c r="N2016" s="1" t="s">
        <v>194</v>
      </c>
      <c r="O2016" s="1">
        <v>9100.0</v>
      </c>
      <c r="P2016" s="1" t="s">
        <v>194</v>
      </c>
      <c r="Q2016" s="1" t="str">
        <f>IF(ISERROR(VLOOKUP(P2016,'unique fed agency names'!A:C,3,FALSE)),P2016,VLOOKUP(P2016,'unique fed agency names'!A:C,3,FALSE))
</f>
        <v>U.S. Department of Education (ED)</v>
      </c>
      <c r="R2016" s="1">
        <v>7.8583963E7</v>
      </c>
      <c r="S2016" s="1" t="s">
        <v>526</v>
      </c>
      <c r="T2016" s="1" t="str">
        <f>IF(ISERROR(VLOOKUP(S2016,'unique org names'!A:C,3,FALSE)),S2016,VLOOKUP(S2016,'unique org names'!A:C,3,FALSE))
</f>
        <v>WAY ACADEMY</v>
      </c>
      <c r="U2016" s="1" t="s">
        <v>3501</v>
      </c>
      <c r="V2016" s="1" t="s">
        <v>3020</v>
      </c>
      <c r="W2016" s="1" t="s">
        <v>44</v>
      </c>
      <c r="X2016" s="1" t="s">
        <v>45</v>
      </c>
      <c r="Y2016" s="1">
        <v>4.82091434E8</v>
      </c>
      <c r="AA2016" s="1" t="s">
        <v>46</v>
      </c>
      <c r="AB2016" s="1" t="s">
        <v>45</v>
      </c>
      <c r="AC2016" s="1">
        <v>4.82091434E8</v>
      </c>
      <c r="AD2016" s="1">
        <v>5.3665132E7</v>
      </c>
      <c r="AF2016" s="1">
        <v>400000.0</v>
      </c>
      <c r="AG2016" s="2">
        <v>41858.0</v>
      </c>
      <c r="AH2016" s="1">
        <v>9100.0</v>
      </c>
      <c r="AI2016" s="1" t="s">
        <v>194</v>
      </c>
      <c r="AJ2016" s="1" t="s">
        <v>3697</v>
      </c>
      <c r="AK2016" s="1" t="s">
        <v>3462</v>
      </c>
      <c r="AL2016" s="1">
        <v>1.0</v>
      </c>
      <c r="AM2016" s="1">
        <v>2015.0</v>
      </c>
      <c r="AN2016" s="1">
        <v>2014.0</v>
      </c>
      <c r="AO2016" s="1" t="s">
        <v>3403</v>
      </c>
    </row>
    <row r="2017">
      <c r="A2017" s="5">
        <v>1.0</v>
      </c>
      <c r="B2017" s="1">
        <f t="shared" si="1"/>
        <v>2017</v>
      </c>
      <c r="C2017" s="1" t="s">
        <v>1913</v>
      </c>
      <c r="D2017" s="1" t="s">
        <v>1913</v>
      </c>
      <c r="E2017" s="1" t="s">
        <v>645</v>
      </c>
      <c r="G2017" s="1">
        <v>1.4642656E8</v>
      </c>
      <c r="H2017" s="2">
        <v>41977.0</v>
      </c>
      <c r="I2017" s="1" t="s">
        <v>710</v>
      </c>
      <c r="K2017" s="1" t="s">
        <v>710</v>
      </c>
      <c r="N2017" s="1" t="s">
        <v>647</v>
      </c>
      <c r="O2017" s="1">
        <v>1200.0</v>
      </c>
      <c r="P2017" s="1" t="s">
        <v>647</v>
      </c>
      <c r="Q2017" s="1" t="str">
        <f>IF(ISERROR(VLOOKUP(P2017,'unique fed agency names'!A:C,3,FALSE)),P2017,VLOOKUP(P2017,'unique fed agency names'!A:C,3,FALSE))
</f>
        <v>U.S. Department of Agriculture (USDA)</v>
      </c>
      <c r="R2017" s="1">
        <v>9.62378779E8</v>
      </c>
      <c r="S2017" s="1" t="s">
        <v>478</v>
      </c>
      <c r="T2017" s="1" t="str">
        <f>IF(ISERROR(VLOOKUP(S2017,'unique org names'!A:C,3,FALSE)),S2017,VLOOKUP(S2017,'unique org names'!A:C,3,FALSE))
</f>
        <v>LEGACY CHARTER ACADEMY</v>
      </c>
      <c r="V2017" s="1" t="s">
        <v>479</v>
      </c>
      <c r="W2017" s="1" t="s">
        <v>44</v>
      </c>
      <c r="X2017" s="1" t="s">
        <v>45</v>
      </c>
      <c r="Y2017" s="1">
        <v>4.82342225E8</v>
      </c>
      <c r="AA2017" s="1" t="s">
        <v>44</v>
      </c>
      <c r="AB2017" s="1" t="s">
        <v>45</v>
      </c>
      <c r="AC2017" s="1">
        <v>4.82342225E8</v>
      </c>
      <c r="AF2017" s="1">
        <v>28210.81</v>
      </c>
      <c r="AG2017" s="2">
        <v>41977.0</v>
      </c>
      <c r="AH2017" s="1">
        <v>1200.0</v>
      </c>
      <c r="AI2017" s="1" t="s">
        <v>647</v>
      </c>
      <c r="AJ2017" s="1" t="s">
        <v>3698</v>
      </c>
      <c r="AK2017" s="1" t="s">
        <v>712</v>
      </c>
      <c r="AL2017" s="1">
        <v>1.0</v>
      </c>
      <c r="AM2017" s="1">
        <v>2015.0</v>
      </c>
      <c r="AN2017" s="1">
        <v>2015.0</v>
      </c>
      <c r="AO2017" s="1" t="s">
        <v>713</v>
      </c>
    </row>
    <row r="2018">
      <c r="A2018" s="5">
        <v>1.0</v>
      </c>
      <c r="B2018" s="1">
        <f t="shared" si="1"/>
        <v>2018</v>
      </c>
      <c r="C2018" s="1" t="s">
        <v>1913</v>
      </c>
      <c r="D2018" s="1" t="s">
        <v>1913</v>
      </c>
      <c r="E2018" s="1" t="s">
        <v>645</v>
      </c>
      <c r="G2018" s="1">
        <v>1.4642656E8</v>
      </c>
      <c r="H2018" s="2">
        <v>41999.0</v>
      </c>
      <c r="I2018" s="1" t="s">
        <v>710</v>
      </c>
      <c r="K2018" s="1" t="s">
        <v>710</v>
      </c>
      <c r="N2018" s="1" t="s">
        <v>647</v>
      </c>
      <c r="O2018" s="1">
        <v>1200.0</v>
      </c>
      <c r="P2018" s="1" t="s">
        <v>647</v>
      </c>
      <c r="Q2018" s="1" t="str">
        <f>IF(ISERROR(VLOOKUP(P2018,'unique fed agency names'!A:C,3,FALSE)),P2018,VLOOKUP(P2018,'unique fed agency names'!A:C,3,FALSE))
</f>
        <v>U.S. Department of Agriculture (USDA)</v>
      </c>
      <c r="R2018" s="1">
        <v>7.97531295E8</v>
      </c>
      <c r="S2018" s="1" t="s">
        <v>582</v>
      </c>
      <c r="T2018" s="1" t="str">
        <f>IF(ISERROR(VLOOKUP(S2018,'unique org names'!A:C,3,FALSE)),S2018,VLOOKUP(S2018,'unique org names'!A:C,3,FALSE))
</f>
        <v>FRONTIER INTERNATIONAL ACADEMY, THE</v>
      </c>
      <c r="V2018" s="1" t="s">
        <v>583</v>
      </c>
      <c r="W2018" s="1" t="s">
        <v>44</v>
      </c>
      <c r="X2018" s="1" t="s">
        <v>45</v>
      </c>
      <c r="Y2018" s="1">
        <v>4.82123452E8</v>
      </c>
      <c r="AA2018" s="1" t="s">
        <v>44</v>
      </c>
      <c r="AB2018" s="1" t="s">
        <v>45</v>
      </c>
      <c r="AC2018" s="1">
        <v>4.82123452E8</v>
      </c>
      <c r="AF2018" s="1">
        <v>52628.94</v>
      </c>
      <c r="AG2018" s="2">
        <v>41999.0</v>
      </c>
      <c r="AH2018" s="1">
        <v>1200.0</v>
      </c>
      <c r="AI2018" s="1" t="s">
        <v>647</v>
      </c>
      <c r="AJ2018" s="1" t="s">
        <v>3699</v>
      </c>
      <c r="AK2018" s="1" t="s">
        <v>712</v>
      </c>
      <c r="AL2018" s="1">
        <v>1.0</v>
      </c>
      <c r="AM2018" s="1">
        <v>2015.0</v>
      </c>
      <c r="AN2018" s="1">
        <v>2015.0</v>
      </c>
      <c r="AO2018" s="1" t="s">
        <v>713</v>
      </c>
    </row>
    <row r="2019">
      <c r="A2019" s="5">
        <v>1.0</v>
      </c>
      <c r="B2019" s="1">
        <f t="shared" si="1"/>
        <v>2019</v>
      </c>
      <c r="C2019" s="1" t="s">
        <v>3397</v>
      </c>
      <c r="D2019" s="1" t="s">
        <v>3397</v>
      </c>
      <c r="E2019" s="1" t="s">
        <v>194</v>
      </c>
      <c r="G2019" s="1">
        <v>2.29266E7</v>
      </c>
      <c r="H2019" s="2">
        <v>41334.0</v>
      </c>
      <c r="I2019" s="1" t="s">
        <v>3398</v>
      </c>
      <c r="K2019" s="1" t="s">
        <v>3398</v>
      </c>
      <c r="N2019" s="1" t="s">
        <v>194</v>
      </c>
      <c r="O2019" s="1">
        <v>9100.0</v>
      </c>
      <c r="P2019" s="1" t="s">
        <v>194</v>
      </c>
      <c r="Q2019" s="1" t="str">
        <f>IF(ISERROR(VLOOKUP(P2019,'unique fed agency names'!A:C,3,FALSE)),P2019,VLOOKUP(P2019,'unique fed agency names'!A:C,3,FALSE))
</f>
        <v>U.S. Department of Education (ED)</v>
      </c>
      <c r="R2019" s="1">
        <v>8582033.0</v>
      </c>
      <c r="S2019" s="1" t="s">
        <v>667</v>
      </c>
      <c r="T2019" s="1" t="str">
        <f>IF(ISERROR(VLOOKUP(S2019,'unique org names'!A:C,3,FALSE)),S2019,VLOOKUP(S2019,'unique org names'!A:C,3,FALSE))
</f>
        <v>Focus: HOPE</v>
      </c>
      <c r="U2019" s="1" t="s">
        <v>3700</v>
      </c>
      <c r="V2019" s="1" t="s">
        <v>3701</v>
      </c>
      <c r="W2019" s="1" t="s">
        <v>44</v>
      </c>
      <c r="X2019" s="1" t="s">
        <v>45</v>
      </c>
      <c r="Y2019" s="1">
        <v>4.82382848E8</v>
      </c>
      <c r="AA2019" s="1" t="s">
        <v>46</v>
      </c>
      <c r="AB2019" s="1" t="s">
        <v>45</v>
      </c>
      <c r="AC2019" s="1">
        <v>4.82382849E8</v>
      </c>
      <c r="AD2019" s="1">
        <v>7.2761299E7</v>
      </c>
      <c r="AE2019" s="1" t="s">
        <v>667</v>
      </c>
      <c r="AF2019" s="1">
        <v>106053.0</v>
      </c>
      <c r="AG2019" s="2">
        <v>41334.0</v>
      </c>
      <c r="AH2019" s="1">
        <v>9100.0</v>
      </c>
      <c r="AI2019" s="1" t="s">
        <v>194</v>
      </c>
      <c r="AJ2019" s="1" t="s">
        <v>3702</v>
      </c>
      <c r="AK2019" s="1" t="s">
        <v>3402</v>
      </c>
      <c r="AL2019" s="1">
        <v>1.0</v>
      </c>
      <c r="AM2019" s="1">
        <v>2015.0</v>
      </c>
      <c r="AN2019" s="1">
        <v>2013.0</v>
      </c>
      <c r="AO2019" s="1" t="s">
        <v>3403</v>
      </c>
    </row>
    <row r="2020">
      <c r="A2020" s="5">
        <v>1.0</v>
      </c>
      <c r="B2020" s="1">
        <f t="shared" si="1"/>
        <v>2020</v>
      </c>
      <c r="C2020" s="1" t="s">
        <v>3397</v>
      </c>
      <c r="D2020" s="1" t="s">
        <v>3397</v>
      </c>
      <c r="E2020" s="1" t="s">
        <v>194</v>
      </c>
      <c r="G2020" s="1">
        <v>2.29266E7</v>
      </c>
      <c r="H2020" s="2">
        <v>41660.0</v>
      </c>
      <c r="I2020" s="1" t="s">
        <v>3398</v>
      </c>
      <c r="K2020" s="1" t="s">
        <v>3398</v>
      </c>
      <c r="N2020" s="1" t="s">
        <v>194</v>
      </c>
      <c r="O2020" s="1">
        <v>9100.0</v>
      </c>
      <c r="P2020" s="1" t="s">
        <v>194</v>
      </c>
      <c r="Q2020" s="1" t="str">
        <f>IF(ISERROR(VLOOKUP(P2020,'unique fed agency names'!A:C,3,FALSE)),P2020,VLOOKUP(P2020,'unique fed agency names'!A:C,3,FALSE))
</f>
        <v>U.S. Department of Education (ED)</v>
      </c>
      <c r="R2020" s="1">
        <v>1.0030049E8</v>
      </c>
      <c r="S2020" s="1" t="s">
        <v>461</v>
      </c>
      <c r="T2020" s="1" t="str">
        <f>IF(ISERROR(VLOOKUP(S2020,'unique org names'!A:C,3,FALSE)),S2020,VLOOKUP(S2020,'unique org names'!A:C,3,FALSE))
</f>
        <v>BOARD OF EDUCATION OF THE CITY OF DETROIT</v>
      </c>
      <c r="U2020" s="1" t="s">
        <v>570</v>
      </c>
      <c r="V2020" s="1" t="s">
        <v>571</v>
      </c>
      <c r="W2020" s="1" t="s">
        <v>44</v>
      </c>
      <c r="X2020" s="1" t="s">
        <v>45</v>
      </c>
      <c r="Y2020" s="1">
        <v>4.82382941E8</v>
      </c>
      <c r="AA2020" s="1" t="s">
        <v>44</v>
      </c>
      <c r="AB2020" s="1" t="s">
        <v>45</v>
      </c>
      <c r="AC2020" s="1">
        <v>4.82382947E8</v>
      </c>
      <c r="AF2020" s="1">
        <v>125000.0</v>
      </c>
      <c r="AG2020" s="2">
        <v>41660.0</v>
      </c>
      <c r="AH2020" s="1">
        <v>9100.0</v>
      </c>
      <c r="AI2020" s="1" t="s">
        <v>194</v>
      </c>
      <c r="AJ2020" s="1" t="s">
        <v>3703</v>
      </c>
      <c r="AK2020" s="1" t="s">
        <v>3402</v>
      </c>
      <c r="AL2020" s="1">
        <v>1.0</v>
      </c>
      <c r="AM2020" s="1">
        <v>2015.0</v>
      </c>
      <c r="AN2020" s="1">
        <v>2014.0</v>
      </c>
      <c r="AO2020" s="1" t="s">
        <v>3403</v>
      </c>
    </row>
    <row r="2021">
      <c r="A2021" s="5">
        <v>1.0</v>
      </c>
      <c r="B2021" s="1">
        <f t="shared" si="1"/>
        <v>2021</v>
      </c>
      <c r="C2021" s="1" t="s">
        <v>3413</v>
      </c>
      <c r="D2021" s="1" t="s">
        <v>3413</v>
      </c>
      <c r="E2021" s="1" t="s">
        <v>194</v>
      </c>
      <c r="G2021" s="1">
        <v>5.21188032E8</v>
      </c>
      <c r="H2021" s="2">
        <v>41988.0</v>
      </c>
      <c r="I2021" s="1" t="s">
        <v>1168</v>
      </c>
      <c r="K2021" s="1" t="s">
        <v>1168</v>
      </c>
      <c r="N2021" s="1" t="s">
        <v>194</v>
      </c>
      <c r="O2021" s="1">
        <v>9100.0</v>
      </c>
      <c r="P2021" s="1" t="s">
        <v>194</v>
      </c>
      <c r="Q2021" s="1" t="str">
        <f>IF(ISERROR(VLOOKUP(P2021,'unique fed agency names'!A:C,3,FALSE)),P2021,VLOOKUP(P2021,'unique fed agency names'!A:C,3,FALSE))
</f>
        <v>U.S. Department of Education (ED)</v>
      </c>
      <c r="R2021" s="1">
        <v>8.76992343E8</v>
      </c>
      <c r="S2021" s="1" t="s">
        <v>550</v>
      </c>
      <c r="T2021" s="1" t="str">
        <f>IF(ISERROR(VLOOKUP(S2021,'unique org names'!A:C,3,FALSE)),S2021,VLOOKUP(S2021,'unique org names'!A:C,3,FALSE))
</f>
        <v>VOYAGEUR ACADEMY</v>
      </c>
      <c r="U2021" s="1" t="s">
        <v>3704</v>
      </c>
      <c r="V2021" s="1" t="s">
        <v>551</v>
      </c>
      <c r="W2021" s="1" t="s">
        <v>44</v>
      </c>
      <c r="X2021" s="1" t="s">
        <v>45</v>
      </c>
      <c r="Y2021" s="1">
        <v>4.82102451E8</v>
      </c>
      <c r="AA2021" s="1" t="s">
        <v>44</v>
      </c>
      <c r="AB2021" s="1" t="s">
        <v>45</v>
      </c>
      <c r="AC2021" s="1">
        <v>4.82102451E8</v>
      </c>
      <c r="AD2021" s="1">
        <v>8.3939306E7</v>
      </c>
      <c r="AE2021" s="1" t="s">
        <v>3705</v>
      </c>
      <c r="AF2021" s="1">
        <v>696432.0</v>
      </c>
      <c r="AG2021" s="2">
        <v>41988.0</v>
      </c>
      <c r="AH2021" s="1">
        <v>9100.0</v>
      </c>
      <c r="AI2021" s="1" t="s">
        <v>194</v>
      </c>
      <c r="AJ2021" s="1" t="s">
        <v>3706</v>
      </c>
      <c r="AK2021" s="1" t="s">
        <v>1170</v>
      </c>
      <c r="AL2021" s="1">
        <v>1.0</v>
      </c>
      <c r="AM2021" s="1">
        <v>2015.0</v>
      </c>
      <c r="AN2021" s="1">
        <v>2015.0</v>
      </c>
      <c r="AO2021" s="1" t="s">
        <v>1171</v>
      </c>
    </row>
    <row r="2022">
      <c r="A2022" s="5">
        <v>1.0</v>
      </c>
      <c r="B2022" s="1">
        <f t="shared" si="1"/>
        <v>2022</v>
      </c>
      <c r="C2022" s="1" t="s">
        <v>3413</v>
      </c>
      <c r="D2022" s="1" t="s">
        <v>3413</v>
      </c>
      <c r="E2022" s="1" t="s">
        <v>194</v>
      </c>
      <c r="G2022" s="1">
        <v>5.21188032E8</v>
      </c>
      <c r="H2022" s="2">
        <v>41886.0</v>
      </c>
      <c r="I2022" s="1" t="s">
        <v>1168</v>
      </c>
      <c r="K2022" s="1" t="s">
        <v>1168</v>
      </c>
      <c r="N2022" s="1" t="s">
        <v>194</v>
      </c>
      <c r="O2022" s="1">
        <v>9100.0</v>
      </c>
      <c r="P2022" s="1" t="s">
        <v>194</v>
      </c>
      <c r="Q2022" s="1" t="str">
        <f>IF(ISERROR(VLOOKUP(P2022,'unique fed agency names'!A:C,3,FALSE)),P2022,VLOOKUP(P2022,'unique fed agency names'!A:C,3,FALSE))
</f>
        <v>U.S. Department of Education (ED)</v>
      </c>
      <c r="R2022" s="1">
        <v>2.496865E7</v>
      </c>
      <c r="S2022" s="1" t="s">
        <v>609</v>
      </c>
      <c r="T2022" s="1" t="str">
        <f>IF(ISERROR(VLOOKUP(S2022,'unique org names'!A:C,3,FALSE)),S2022,VLOOKUP(S2022,'unique org names'!A:C,3,FALSE))
</f>
        <v>Jalen Rose Leadership Academy</v>
      </c>
      <c r="V2022" s="1" t="s">
        <v>610</v>
      </c>
      <c r="W2022" s="1" t="s">
        <v>44</v>
      </c>
      <c r="X2022" s="1" t="s">
        <v>45</v>
      </c>
      <c r="Y2022" s="1">
        <v>4.8235168E8</v>
      </c>
      <c r="AA2022" s="1" t="s">
        <v>46</v>
      </c>
      <c r="AB2022" s="1" t="s">
        <v>45</v>
      </c>
      <c r="AC2022" s="1">
        <v>4.8235168E8</v>
      </c>
      <c r="AF2022" s="1">
        <v>155386.0</v>
      </c>
      <c r="AG2022" s="2">
        <v>41886.0</v>
      </c>
      <c r="AH2022" s="1">
        <v>9100.0</v>
      </c>
      <c r="AI2022" s="1" t="s">
        <v>194</v>
      </c>
      <c r="AJ2022" s="1" t="s">
        <v>3707</v>
      </c>
      <c r="AK2022" s="1" t="s">
        <v>3000</v>
      </c>
      <c r="AL2022" s="1">
        <v>1.0</v>
      </c>
      <c r="AM2022" s="1">
        <v>2015.0</v>
      </c>
      <c r="AN2022" s="1">
        <v>2014.0</v>
      </c>
      <c r="AO2022" s="1" t="s">
        <v>1171</v>
      </c>
    </row>
    <row r="2023">
      <c r="A2023" s="5">
        <v>1.0</v>
      </c>
      <c r="B2023" s="1">
        <f t="shared" si="1"/>
        <v>2023</v>
      </c>
      <c r="C2023" s="1" t="s">
        <v>3413</v>
      </c>
      <c r="D2023" s="1" t="s">
        <v>3413</v>
      </c>
      <c r="E2023" s="1" t="s">
        <v>194</v>
      </c>
      <c r="G2023" s="1">
        <v>5.21188032E8</v>
      </c>
      <c r="H2023" s="2">
        <v>41982.0</v>
      </c>
      <c r="I2023" s="1" t="s">
        <v>1168</v>
      </c>
      <c r="K2023" s="1" t="s">
        <v>1168</v>
      </c>
      <c r="N2023" s="1" t="s">
        <v>194</v>
      </c>
      <c r="O2023" s="1">
        <v>9100.0</v>
      </c>
      <c r="P2023" s="1" t="s">
        <v>194</v>
      </c>
      <c r="Q2023" s="1" t="str">
        <f>IF(ISERROR(VLOOKUP(P2023,'unique fed agency names'!A:C,3,FALSE)),P2023,VLOOKUP(P2023,'unique fed agency names'!A:C,3,FALSE))
</f>
        <v>U.S. Department of Education (ED)</v>
      </c>
      <c r="R2023" s="1">
        <v>9.6910162E8</v>
      </c>
      <c r="S2023" s="1" t="s">
        <v>579</v>
      </c>
      <c r="T2023" s="1" t="str">
        <f>IF(ISERROR(VLOOKUP(S2023,'unique org names'!A:C,3,FALSE)),S2023,VLOOKUP(S2023,'unique org names'!A:C,3,FALSE))
</f>
        <v>AMERICAN INTERNATIONAL ACADEMY, INC.</v>
      </c>
      <c r="U2023" s="1" t="s">
        <v>3708</v>
      </c>
      <c r="V2023" s="1" t="s">
        <v>580</v>
      </c>
      <c r="W2023" s="1" t="s">
        <v>44</v>
      </c>
      <c r="X2023" s="1" t="s">
        <v>45</v>
      </c>
      <c r="Y2023" s="1">
        <v>4.82283905E8</v>
      </c>
      <c r="AA2023" s="1" t="s">
        <v>287</v>
      </c>
      <c r="AB2023" s="1" t="s">
        <v>45</v>
      </c>
      <c r="AC2023" s="1">
        <v>4.82283905E8</v>
      </c>
      <c r="AD2023" s="1">
        <v>4.0578882E7</v>
      </c>
      <c r="AE2023" s="1" t="s">
        <v>3709</v>
      </c>
      <c r="AF2023" s="1">
        <v>356989.0</v>
      </c>
      <c r="AG2023" s="2">
        <v>41982.0</v>
      </c>
      <c r="AH2023" s="1">
        <v>9100.0</v>
      </c>
      <c r="AI2023" s="1" t="s">
        <v>194</v>
      </c>
      <c r="AJ2023" s="1" t="s">
        <v>3710</v>
      </c>
      <c r="AK2023" s="1" t="s">
        <v>1170</v>
      </c>
      <c r="AL2023" s="1">
        <v>1.0</v>
      </c>
      <c r="AM2023" s="1">
        <v>2015.0</v>
      </c>
      <c r="AN2023" s="1">
        <v>2015.0</v>
      </c>
      <c r="AO2023" s="1" t="s">
        <v>1171</v>
      </c>
    </row>
    <row r="2024">
      <c r="A2024" s="5">
        <v>1.0</v>
      </c>
      <c r="B2024" s="1">
        <f t="shared" si="1"/>
        <v>2024</v>
      </c>
      <c r="C2024" s="1" t="s">
        <v>1913</v>
      </c>
      <c r="D2024" s="1" t="s">
        <v>1913</v>
      </c>
      <c r="E2024" s="1" t="s">
        <v>645</v>
      </c>
      <c r="G2024" s="1">
        <v>1.4642656E8</v>
      </c>
      <c r="H2024" s="2">
        <v>41977.0</v>
      </c>
      <c r="I2024" s="1" t="s">
        <v>710</v>
      </c>
      <c r="K2024" s="1" t="s">
        <v>710</v>
      </c>
      <c r="N2024" s="1" t="s">
        <v>647</v>
      </c>
      <c r="O2024" s="1">
        <v>1200.0</v>
      </c>
      <c r="P2024" s="1" t="s">
        <v>647</v>
      </c>
      <c r="Q2024" s="1" t="str">
        <f>IF(ISERROR(VLOOKUP(P2024,'unique fed agency names'!A:C,3,FALSE)),P2024,VLOOKUP(P2024,'unique fed agency names'!A:C,3,FALSE))
</f>
        <v>U.S. Department of Agriculture (USDA)</v>
      </c>
      <c r="R2024" s="1">
        <v>1.52807538E8</v>
      </c>
      <c r="S2024" s="1" t="s">
        <v>591</v>
      </c>
      <c r="T2024" s="1" t="str">
        <f>IF(ISERROR(VLOOKUP(S2024,'unique org names'!A:C,3,FALSE)),S2024,VLOOKUP(S2024,'unique org names'!A:C,3,FALSE))
</f>
        <v>WESTON TECHNICAL ACADEMY</v>
      </c>
      <c r="V2024" s="1" t="s">
        <v>592</v>
      </c>
      <c r="W2024" s="1" t="s">
        <v>44</v>
      </c>
      <c r="X2024" s="1" t="s">
        <v>45</v>
      </c>
      <c r="Y2024" s="1">
        <v>4.82191161E8</v>
      </c>
      <c r="AA2024" s="1" t="s">
        <v>44</v>
      </c>
      <c r="AB2024" s="1" t="s">
        <v>45</v>
      </c>
      <c r="AC2024" s="1">
        <v>4.82191161E8</v>
      </c>
      <c r="AF2024" s="1">
        <v>28583.46</v>
      </c>
      <c r="AG2024" s="2">
        <v>41977.0</v>
      </c>
      <c r="AH2024" s="1">
        <v>1200.0</v>
      </c>
      <c r="AI2024" s="1" t="s">
        <v>647</v>
      </c>
      <c r="AJ2024" s="1" t="s">
        <v>3711</v>
      </c>
      <c r="AK2024" s="1" t="s">
        <v>712</v>
      </c>
      <c r="AL2024" s="1">
        <v>1.0</v>
      </c>
      <c r="AM2024" s="1">
        <v>2015.0</v>
      </c>
      <c r="AN2024" s="1">
        <v>2015.0</v>
      </c>
      <c r="AO2024" s="1" t="s">
        <v>713</v>
      </c>
    </row>
    <row r="2025">
      <c r="A2025" s="5">
        <v>1.0</v>
      </c>
      <c r="B2025" s="1">
        <f t="shared" si="1"/>
        <v>2025</v>
      </c>
      <c r="C2025" s="1" t="s">
        <v>3413</v>
      </c>
      <c r="D2025" s="1" t="s">
        <v>3413</v>
      </c>
      <c r="E2025" s="1" t="s">
        <v>194</v>
      </c>
      <c r="G2025" s="1">
        <v>5.21188032E8</v>
      </c>
      <c r="H2025" s="2">
        <v>41948.0</v>
      </c>
      <c r="I2025" s="1" t="s">
        <v>1168</v>
      </c>
      <c r="K2025" s="1" t="s">
        <v>1168</v>
      </c>
      <c r="N2025" s="1" t="s">
        <v>194</v>
      </c>
      <c r="O2025" s="1">
        <v>9100.0</v>
      </c>
      <c r="P2025" s="1" t="s">
        <v>194</v>
      </c>
      <c r="Q2025" s="1" t="str">
        <f>IF(ISERROR(VLOOKUP(P2025,'unique fed agency names'!A:C,3,FALSE)),P2025,VLOOKUP(P2025,'unique fed agency names'!A:C,3,FALSE))
</f>
        <v>U.S. Department of Education (ED)</v>
      </c>
      <c r="R2025" s="1">
        <v>7.6340843E7</v>
      </c>
      <c r="S2025" s="1" t="s">
        <v>461</v>
      </c>
      <c r="T2025" s="1" t="str">
        <f>IF(ISERROR(VLOOKUP(S2025,'unique org names'!A:C,3,FALSE)),S2025,VLOOKUP(S2025,'unique org names'!A:C,3,FALSE))
</f>
        <v>BOARD OF EDUCATION OF THE CITY OF DETROIT</v>
      </c>
      <c r="V2025" s="1" t="s">
        <v>1599</v>
      </c>
      <c r="W2025" s="1" t="s">
        <v>44</v>
      </c>
      <c r="X2025" s="1" t="s">
        <v>45</v>
      </c>
      <c r="Y2025" s="1">
        <v>4.8202301E8</v>
      </c>
      <c r="AA2025" s="1" t="s">
        <v>44</v>
      </c>
      <c r="AB2025" s="1" t="s">
        <v>45</v>
      </c>
      <c r="AC2025" s="1">
        <v>4.82023096E8</v>
      </c>
      <c r="AD2025" s="1">
        <v>7.6340843E7</v>
      </c>
      <c r="AE2025" s="1" t="s">
        <v>461</v>
      </c>
      <c r="AF2025" s="1">
        <v>200587.0</v>
      </c>
      <c r="AG2025" s="2">
        <v>41948.0</v>
      </c>
      <c r="AH2025" s="1">
        <v>9100.0</v>
      </c>
      <c r="AI2025" s="1" t="s">
        <v>194</v>
      </c>
      <c r="AJ2025" s="1" t="s">
        <v>3712</v>
      </c>
      <c r="AK2025" s="1" t="s">
        <v>1170</v>
      </c>
      <c r="AL2025" s="1">
        <v>1.0</v>
      </c>
      <c r="AM2025" s="1">
        <v>2015.0</v>
      </c>
      <c r="AN2025" s="1">
        <v>2015.0</v>
      </c>
      <c r="AO2025" s="1" t="s">
        <v>1171</v>
      </c>
    </row>
    <row r="2026">
      <c r="A2026" s="5">
        <v>1.0</v>
      </c>
      <c r="B2026" s="1">
        <f t="shared" si="1"/>
        <v>2026</v>
      </c>
      <c r="C2026" s="1" t="s">
        <v>3413</v>
      </c>
      <c r="D2026" s="1" t="s">
        <v>3413</v>
      </c>
      <c r="E2026" s="1" t="s">
        <v>194</v>
      </c>
      <c r="G2026" s="1">
        <v>5.21188032E8</v>
      </c>
      <c r="H2026" s="2">
        <v>41955.0</v>
      </c>
      <c r="I2026" s="1" t="s">
        <v>1168</v>
      </c>
      <c r="K2026" s="1" t="s">
        <v>1168</v>
      </c>
      <c r="N2026" s="1" t="s">
        <v>194</v>
      </c>
      <c r="O2026" s="1">
        <v>9100.0</v>
      </c>
      <c r="P2026" s="1" t="s">
        <v>194</v>
      </c>
      <c r="Q2026" s="1" t="str">
        <f>IF(ISERROR(VLOOKUP(P2026,'unique fed agency names'!A:C,3,FALSE)),P2026,VLOOKUP(P2026,'unique fed agency names'!A:C,3,FALSE))
</f>
        <v>U.S. Department of Education (ED)</v>
      </c>
      <c r="R2026" s="1">
        <v>5.2874042E7</v>
      </c>
      <c r="S2026" s="1" t="s">
        <v>538</v>
      </c>
      <c r="T2026" s="1" t="str">
        <f>IF(ISERROR(VLOOKUP(S2026,'unique org names'!A:C,3,FALSE)),S2026,VLOOKUP(S2026,'unique org names'!A:C,3,FALSE))
</f>
        <v>CESAR CHAVEZ ACADEMY</v>
      </c>
      <c r="U2026" s="1" t="s">
        <v>3713</v>
      </c>
      <c r="V2026" s="1" t="s">
        <v>539</v>
      </c>
      <c r="W2026" s="1" t="s">
        <v>44</v>
      </c>
      <c r="X2026" s="1" t="s">
        <v>45</v>
      </c>
      <c r="Y2026" s="1">
        <v>4.82091524E8</v>
      </c>
      <c r="AA2026" s="1" t="s">
        <v>44</v>
      </c>
      <c r="AB2026" s="1" t="s">
        <v>45</v>
      </c>
      <c r="AC2026" s="1">
        <v>4.82091524E8</v>
      </c>
      <c r="AD2026" s="1">
        <v>1.3032514E8</v>
      </c>
      <c r="AE2026" s="1" t="s">
        <v>819</v>
      </c>
      <c r="AF2026" s="1">
        <v>1485116.0</v>
      </c>
      <c r="AG2026" s="2">
        <v>41955.0</v>
      </c>
      <c r="AH2026" s="1">
        <v>9100.0</v>
      </c>
      <c r="AI2026" s="1" t="s">
        <v>194</v>
      </c>
      <c r="AJ2026" s="1" t="s">
        <v>3714</v>
      </c>
      <c r="AK2026" s="1" t="s">
        <v>1170</v>
      </c>
      <c r="AL2026" s="1">
        <v>1.0</v>
      </c>
      <c r="AM2026" s="1">
        <v>2015.0</v>
      </c>
      <c r="AN2026" s="1">
        <v>2015.0</v>
      </c>
      <c r="AO2026" s="1" t="s">
        <v>1171</v>
      </c>
    </row>
    <row r="2027">
      <c r="A2027" s="5">
        <v>1.0</v>
      </c>
      <c r="B2027" s="1">
        <f t="shared" si="1"/>
        <v>2027</v>
      </c>
      <c r="C2027" s="1" t="s">
        <v>3413</v>
      </c>
      <c r="D2027" s="1" t="s">
        <v>3413</v>
      </c>
      <c r="E2027" s="1" t="s">
        <v>194</v>
      </c>
      <c r="G2027" s="1">
        <v>5.21188032E8</v>
      </c>
      <c r="H2027" s="2">
        <v>41968.0</v>
      </c>
      <c r="I2027" s="1" t="s">
        <v>1168</v>
      </c>
      <c r="K2027" s="1" t="s">
        <v>1168</v>
      </c>
      <c r="N2027" s="1" t="s">
        <v>194</v>
      </c>
      <c r="O2027" s="1">
        <v>9100.0</v>
      </c>
      <c r="P2027" s="1" t="s">
        <v>194</v>
      </c>
      <c r="Q2027" s="1" t="str">
        <f>IF(ISERROR(VLOOKUP(P2027,'unique fed agency names'!A:C,3,FALSE)),P2027,VLOOKUP(P2027,'unique fed agency names'!A:C,3,FALSE))
</f>
        <v>U.S. Department of Education (ED)</v>
      </c>
      <c r="R2027" s="1">
        <v>7.97531279E8</v>
      </c>
      <c r="S2027" s="1" t="s">
        <v>496</v>
      </c>
      <c r="T2027" s="1" t="str">
        <f>IF(ISERROR(VLOOKUP(S2027,'unique org names'!A:C,3,FALSE)),S2027,VLOOKUP(S2027,'unique org names'!A:C,3,FALSE))
</f>
        <v>BRIDGE ACADEMY</v>
      </c>
      <c r="U2027" s="1" t="s">
        <v>3357</v>
      </c>
      <c r="V2027" s="1" t="s">
        <v>497</v>
      </c>
      <c r="W2027" s="1" t="s">
        <v>44</v>
      </c>
      <c r="X2027" s="1" t="s">
        <v>45</v>
      </c>
      <c r="Y2027" s="1">
        <v>4.82123323E8</v>
      </c>
      <c r="AA2027" s="1" t="s">
        <v>498</v>
      </c>
      <c r="AB2027" s="1" t="s">
        <v>45</v>
      </c>
      <c r="AC2027" s="1">
        <v>4.82123323E8</v>
      </c>
      <c r="AD2027" s="1">
        <v>1.00035849E8</v>
      </c>
      <c r="AF2027" s="1">
        <v>447806.0</v>
      </c>
      <c r="AG2027" s="2">
        <v>41968.0</v>
      </c>
      <c r="AH2027" s="1">
        <v>9100.0</v>
      </c>
      <c r="AI2027" s="1" t="s">
        <v>194</v>
      </c>
      <c r="AJ2027" s="1" t="s">
        <v>3715</v>
      </c>
      <c r="AK2027" s="1" t="s">
        <v>1170</v>
      </c>
      <c r="AL2027" s="1">
        <v>1.0</v>
      </c>
      <c r="AM2027" s="1">
        <v>2015.0</v>
      </c>
      <c r="AN2027" s="1">
        <v>2015.0</v>
      </c>
      <c r="AO2027" s="1" t="s">
        <v>1171</v>
      </c>
    </row>
    <row r="2028">
      <c r="A2028" s="5">
        <v>1.0</v>
      </c>
      <c r="B2028" s="1">
        <f t="shared" si="1"/>
        <v>2028</v>
      </c>
      <c r="C2028" s="1" t="s">
        <v>1913</v>
      </c>
      <c r="D2028" s="1" t="s">
        <v>1913</v>
      </c>
      <c r="E2028" s="1" t="s">
        <v>645</v>
      </c>
      <c r="G2028" s="1">
        <v>1.4642656E8</v>
      </c>
      <c r="H2028" s="2">
        <v>41984.0</v>
      </c>
      <c r="I2028" s="1" t="s">
        <v>710</v>
      </c>
      <c r="K2028" s="1" t="s">
        <v>710</v>
      </c>
      <c r="N2028" s="1" t="s">
        <v>647</v>
      </c>
      <c r="O2028" s="1">
        <v>1200.0</v>
      </c>
      <c r="P2028" s="1" t="s">
        <v>647</v>
      </c>
      <c r="Q2028" s="1" t="str">
        <f>IF(ISERROR(VLOOKUP(P2028,'unique fed agency names'!A:C,3,FALSE)),P2028,VLOOKUP(P2028,'unique fed agency names'!A:C,3,FALSE))
</f>
        <v>U.S. Department of Agriculture (USDA)</v>
      </c>
      <c r="R2028" s="1">
        <v>1.47777952E8</v>
      </c>
      <c r="S2028" s="1" t="s">
        <v>459</v>
      </c>
      <c r="T2028" s="1" t="str">
        <f>IF(ISERROR(VLOOKUP(S2028,'unique org names'!A:C,3,FALSE)),S2028,VLOOKUP(S2028,'unique org names'!A:C,3,FALSE))
</f>
        <v>DETROIT PUBLIC SCHOOLS</v>
      </c>
      <c r="U2028" s="1" t="s">
        <v>626</v>
      </c>
      <c r="V2028" s="1" t="s">
        <v>627</v>
      </c>
      <c r="W2028" s="1" t="s">
        <v>44</v>
      </c>
      <c r="X2028" s="1" t="s">
        <v>45</v>
      </c>
      <c r="Y2028" s="1">
        <v>4.82072112E8</v>
      </c>
      <c r="AA2028" s="1" t="s">
        <v>44</v>
      </c>
      <c r="AB2028" s="1" t="s">
        <v>45</v>
      </c>
      <c r="AC2028" s="1">
        <v>4.82072112E8</v>
      </c>
      <c r="AD2028" s="1">
        <v>7.6340843E7</v>
      </c>
      <c r="AE2028" s="1" t="s">
        <v>461</v>
      </c>
      <c r="AF2028" s="1">
        <v>48258.56</v>
      </c>
      <c r="AG2028" s="2">
        <v>41984.0</v>
      </c>
      <c r="AH2028" s="1">
        <v>1200.0</v>
      </c>
      <c r="AI2028" s="1" t="s">
        <v>647</v>
      </c>
      <c r="AJ2028" s="1" t="s">
        <v>3716</v>
      </c>
      <c r="AK2028" s="1" t="s">
        <v>712</v>
      </c>
      <c r="AL2028" s="1">
        <v>1.0</v>
      </c>
      <c r="AM2028" s="1">
        <v>2015.0</v>
      </c>
      <c r="AN2028" s="1">
        <v>2015.0</v>
      </c>
      <c r="AO2028" s="1" t="s">
        <v>713</v>
      </c>
    </row>
    <row r="2029">
      <c r="A2029" s="5">
        <v>1.0</v>
      </c>
      <c r="B2029" s="1">
        <f t="shared" si="1"/>
        <v>2029</v>
      </c>
      <c r="C2029" s="1" t="s">
        <v>3413</v>
      </c>
      <c r="D2029" s="1" t="s">
        <v>3413</v>
      </c>
      <c r="E2029" s="1" t="s">
        <v>194</v>
      </c>
      <c r="G2029" s="1">
        <v>5.21188032E8</v>
      </c>
      <c r="H2029" s="2">
        <v>41934.0</v>
      </c>
      <c r="I2029" s="1" t="s">
        <v>1168</v>
      </c>
      <c r="K2029" s="1" t="s">
        <v>1168</v>
      </c>
      <c r="N2029" s="1" t="s">
        <v>194</v>
      </c>
      <c r="O2029" s="1">
        <v>9100.0</v>
      </c>
      <c r="P2029" s="1" t="s">
        <v>194</v>
      </c>
      <c r="Q2029" s="1" t="str">
        <f>IF(ISERROR(VLOOKUP(P2029,'unique fed agency names'!A:C,3,FALSE)),P2029,VLOOKUP(P2029,'unique fed agency names'!A:C,3,FALSE))
</f>
        <v>U.S. Department of Education (ED)</v>
      </c>
      <c r="R2029" s="1">
        <v>7.8346351E7</v>
      </c>
      <c r="S2029" s="1" t="s">
        <v>615</v>
      </c>
      <c r="T2029" s="1" t="str">
        <f>IF(ISERROR(VLOOKUP(S2029,'unique org names'!A:C,3,FALSE)),S2029,VLOOKUP(S2029,'unique org names'!A:C,3,FALSE))
</f>
        <v>Education Achievement Authority</v>
      </c>
      <c r="V2029" s="1" t="s">
        <v>1708</v>
      </c>
      <c r="W2029" s="1" t="s">
        <v>44</v>
      </c>
      <c r="X2029" s="1" t="s">
        <v>45</v>
      </c>
      <c r="Y2029" s="1">
        <v>4.82074457E8</v>
      </c>
      <c r="AA2029" s="1" t="s">
        <v>44</v>
      </c>
      <c r="AB2029" s="1" t="s">
        <v>45</v>
      </c>
      <c r="AC2029" s="1">
        <v>4.82074298E8</v>
      </c>
      <c r="AD2029" s="1">
        <v>1.00035435E8</v>
      </c>
      <c r="AE2029" s="1" t="s">
        <v>3717</v>
      </c>
      <c r="AF2029" s="1">
        <v>1.4677955E7</v>
      </c>
      <c r="AG2029" s="2">
        <v>41934.0</v>
      </c>
      <c r="AH2029" s="1">
        <v>9100.0</v>
      </c>
      <c r="AI2029" s="1" t="s">
        <v>194</v>
      </c>
      <c r="AJ2029" s="1" t="s">
        <v>3718</v>
      </c>
      <c r="AK2029" s="1" t="s">
        <v>1170</v>
      </c>
      <c r="AL2029" s="1">
        <v>1.0</v>
      </c>
      <c r="AM2029" s="1">
        <v>2015.0</v>
      </c>
      <c r="AN2029" s="1">
        <v>2015.0</v>
      </c>
      <c r="AO2029" s="1" t="s">
        <v>1171</v>
      </c>
    </row>
    <row r="2030">
      <c r="A2030" s="5">
        <v>1.0</v>
      </c>
      <c r="B2030" s="1">
        <f t="shared" si="1"/>
        <v>2030</v>
      </c>
      <c r="C2030" s="1" t="s">
        <v>1913</v>
      </c>
      <c r="D2030" s="1" t="s">
        <v>1913</v>
      </c>
      <c r="E2030" s="1" t="s">
        <v>645</v>
      </c>
      <c r="G2030" s="1">
        <v>1.4642656E8</v>
      </c>
      <c r="H2030" s="2">
        <v>42006.0</v>
      </c>
      <c r="I2030" s="1" t="s">
        <v>710</v>
      </c>
      <c r="K2030" s="1" t="s">
        <v>710</v>
      </c>
      <c r="N2030" s="1" t="s">
        <v>647</v>
      </c>
      <c r="O2030" s="1">
        <v>1200.0</v>
      </c>
      <c r="P2030" s="1" t="s">
        <v>647</v>
      </c>
      <c r="Q2030" s="1" t="str">
        <f>IF(ISERROR(VLOOKUP(P2030,'unique fed agency names'!A:C,3,FALSE)),P2030,VLOOKUP(P2030,'unique fed agency names'!A:C,3,FALSE))
</f>
        <v>U.S. Department of Agriculture (USDA)</v>
      </c>
      <c r="R2030" s="1">
        <v>8.30649195E8</v>
      </c>
      <c r="S2030" s="1" t="s">
        <v>545</v>
      </c>
      <c r="T2030" s="1" t="str">
        <f>IF(ISERROR(VLOOKUP(S2030,'unique org names'!A:C,3,FALSE)),S2030,VLOOKUP(S2030,'unique org names'!A:C,3,FALSE))
</f>
        <v>PLYMOUTH EDUCATIONAL CENTER CHARTER SCHOOL</v>
      </c>
      <c r="V2030" s="1" t="s">
        <v>547</v>
      </c>
      <c r="W2030" s="1" t="s">
        <v>44</v>
      </c>
      <c r="X2030" s="1" t="s">
        <v>45</v>
      </c>
      <c r="Y2030" s="1">
        <v>4.82071E8</v>
      </c>
      <c r="AA2030" s="1" t="s">
        <v>44</v>
      </c>
      <c r="AB2030" s="1" t="s">
        <v>45</v>
      </c>
      <c r="AC2030" s="1">
        <v>4.82071E8</v>
      </c>
      <c r="AF2030" s="1">
        <v>68183.04</v>
      </c>
      <c r="AG2030" s="2">
        <v>42006.0</v>
      </c>
      <c r="AH2030" s="1">
        <v>1200.0</v>
      </c>
      <c r="AI2030" s="1" t="s">
        <v>647</v>
      </c>
      <c r="AJ2030" s="1" t="s">
        <v>3719</v>
      </c>
      <c r="AK2030" s="1" t="s">
        <v>712</v>
      </c>
      <c r="AL2030" s="1">
        <v>1.0</v>
      </c>
      <c r="AM2030" s="1">
        <v>2015.0</v>
      </c>
      <c r="AN2030" s="1">
        <v>2015.0</v>
      </c>
      <c r="AO2030" s="1" t="s">
        <v>713</v>
      </c>
    </row>
    <row r="2031">
      <c r="A2031" s="5">
        <v>1.0</v>
      </c>
      <c r="B2031" s="1">
        <f t="shared" si="1"/>
        <v>2031</v>
      </c>
      <c r="C2031" s="1" t="s">
        <v>3413</v>
      </c>
      <c r="D2031" s="1" t="s">
        <v>3413</v>
      </c>
      <c r="E2031" s="1" t="s">
        <v>194</v>
      </c>
      <c r="G2031" s="1">
        <v>5.21188032E8</v>
      </c>
      <c r="H2031" s="2">
        <v>41922.0</v>
      </c>
      <c r="I2031" s="1" t="s">
        <v>1168</v>
      </c>
      <c r="K2031" s="1" t="s">
        <v>1168</v>
      </c>
      <c r="N2031" s="1" t="s">
        <v>194</v>
      </c>
      <c r="O2031" s="1">
        <v>9100.0</v>
      </c>
      <c r="P2031" s="1" t="s">
        <v>194</v>
      </c>
      <c r="Q2031" s="1" t="str">
        <f>IF(ISERROR(VLOOKUP(P2031,'unique fed agency names'!A:C,3,FALSE)),P2031,VLOOKUP(P2031,'unique fed agency names'!A:C,3,FALSE))
</f>
        <v>U.S. Department of Education (ED)</v>
      </c>
      <c r="R2031" s="1">
        <v>7.3832607E7</v>
      </c>
      <c r="S2031" s="1" t="s">
        <v>482</v>
      </c>
      <c r="T2031" s="1" t="str">
        <f>IF(ISERROR(VLOOKUP(S2031,'unique org names'!A:C,3,FALSE)),S2031,VLOOKUP(S2031,'unique org names'!A:C,3,FALSE))
</f>
        <v>DETROIT ACADEMY OF ARTS AND SCIENCES</v>
      </c>
      <c r="U2031" s="1" t="s">
        <v>3720</v>
      </c>
      <c r="V2031" s="1" t="s">
        <v>483</v>
      </c>
      <c r="W2031" s="1" t="s">
        <v>44</v>
      </c>
      <c r="X2031" s="1" t="s">
        <v>45</v>
      </c>
      <c r="Y2031" s="1">
        <v>4.82074288E8</v>
      </c>
      <c r="AA2031" s="1" t="s">
        <v>44</v>
      </c>
      <c r="AB2031" s="1" t="s">
        <v>45</v>
      </c>
      <c r="AC2031" s="1">
        <v>4.82074288E8</v>
      </c>
      <c r="AD2031" s="1">
        <v>1.23474314E8</v>
      </c>
      <c r="AE2031" s="1" t="s">
        <v>3721</v>
      </c>
      <c r="AF2031" s="1">
        <v>1076417.0</v>
      </c>
      <c r="AG2031" s="2">
        <v>41922.0</v>
      </c>
      <c r="AH2031" s="1">
        <v>9100.0</v>
      </c>
      <c r="AI2031" s="1" t="s">
        <v>194</v>
      </c>
      <c r="AJ2031" s="1" t="s">
        <v>3722</v>
      </c>
      <c r="AK2031" s="1" t="s">
        <v>1170</v>
      </c>
      <c r="AL2031" s="1">
        <v>1.0</v>
      </c>
      <c r="AM2031" s="1">
        <v>2015.0</v>
      </c>
      <c r="AN2031" s="1">
        <v>2015.0</v>
      </c>
      <c r="AO2031" s="1" t="s">
        <v>1171</v>
      </c>
    </row>
    <row r="2032">
      <c r="A2032" s="5">
        <v>1.0</v>
      </c>
      <c r="B2032" s="1">
        <f t="shared" si="1"/>
        <v>2032</v>
      </c>
      <c r="C2032" s="1" t="s">
        <v>1913</v>
      </c>
      <c r="D2032" s="1" t="s">
        <v>1913</v>
      </c>
      <c r="E2032" s="1" t="s">
        <v>645</v>
      </c>
      <c r="G2032" s="1">
        <v>1.4642656E8</v>
      </c>
      <c r="H2032" s="2">
        <v>41999.0</v>
      </c>
      <c r="I2032" s="1" t="s">
        <v>710</v>
      </c>
      <c r="K2032" s="1" t="s">
        <v>710</v>
      </c>
      <c r="N2032" s="1" t="s">
        <v>647</v>
      </c>
      <c r="O2032" s="1">
        <v>1200.0</v>
      </c>
      <c r="P2032" s="1" t="s">
        <v>647</v>
      </c>
      <c r="Q2032" s="1" t="str">
        <f>IF(ISERROR(VLOOKUP(P2032,'unique fed agency names'!A:C,3,FALSE)),P2032,VLOOKUP(P2032,'unique fed agency names'!A:C,3,FALSE))
</f>
        <v>U.S. Department of Agriculture (USDA)</v>
      </c>
      <c r="R2032" s="1">
        <v>4.2136734E7</v>
      </c>
      <c r="S2032" s="1" t="s">
        <v>557</v>
      </c>
      <c r="T2032" s="1" t="str">
        <f>IF(ISERROR(VLOOKUP(S2032,'unique org names'!A:C,3,FALSE)),S2032,VLOOKUP(S2032,'unique org names'!A:C,3,FALSE))
</f>
        <v>GEORGE CROCKETT ACADEMY</v>
      </c>
      <c r="V2032" s="1" t="s">
        <v>558</v>
      </c>
      <c r="W2032" s="1" t="s">
        <v>44</v>
      </c>
      <c r="X2032" s="1" t="s">
        <v>45</v>
      </c>
      <c r="Y2032" s="1">
        <v>4.82082204E8</v>
      </c>
      <c r="AA2032" s="1" t="s">
        <v>44</v>
      </c>
      <c r="AB2032" s="1" t="s">
        <v>45</v>
      </c>
      <c r="AC2032" s="1">
        <v>4.82082204E8</v>
      </c>
      <c r="AF2032" s="1">
        <v>27052.81</v>
      </c>
      <c r="AG2032" s="2">
        <v>41999.0</v>
      </c>
      <c r="AH2032" s="1">
        <v>1200.0</v>
      </c>
      <c r="AI2032" s="1" t="s">
        <v>647</v>
      </c>
      <c r="AJ2032" s="1" t="s">
        <v>3723</v>
      </c>
      <c r="AK2032" s="1" t="s">
        <v>712</v>
      </c>
      <c r="AL2032" s="1">
        <v>1.0</v>
      </c>
      <c r="AM2032" s="1">
        <v>2015.0</v>
      </c>
      <c r="AN2032" s="1">
        <v>2015.0</v>
      </c>
      <c r="AO2032" s="1" t="s">
        <v>713</v>
      </c>
    </row>
    <row r="2033">
      <c r="A2033" s="5">
        <v>1.0</v>
      </c>
      <c r="B2033" s="1">
        <f t="shared" si="1"/>
        <v>2033</v>
      </c>
      <c r="C2033" s="1" t="s">
        <v>1913</v>
      </c>
      <c r="D2033" s="1" t="s">
        <v>1913</v>
      </c>
      <c r="E2033" s="1" t="s">
        <v>645</v>
      </c>
      <c r="G2033" s="1">
        <v>1.4642656E8</v>
      </c>
      <c r="H2033" s="2">
        <v>41999.0</v>
      </c>
      <c r="I2033" s="1" t="s">
        <v>710</v>
      </c>
      <c r="K2033" s="1" t="s">
        <v>710</v>
      </c>
      <c r="N2033" s="1" t="s">
        <v>647</v>
      </c>
      <c r="O2033" s="1">
        <v>1200.0</v>
      </c>
      <c r="P2033" s="1" t="s">
        <v>647</v>
      </c>
      <c r="Q2033" s="1" t="str">
        <f>IF(ISERROR(VLOOKUP(P2033,'unique fed agency names'!A:C,3,FALSE)),P2033,VLOOKUP(P2033,'unique fed agency names'!A:C,3,FALSE))
</f>
        <v>U.S. Department of Agriculture (USDA)</v>
      </c>
      <c r="R2033" s="1">
        <v>7.97531279E8</v>
      </c>
      <c r="S2033" s="1" t="s">
        <v>496</v>
      </c>
      <c r="T2033" s="1" t="str">
        <f>IF(ISERROR(VLOOKUP(S2033,'unique org names'!A:C,3,FALSE)),S2033,VLOOKUP(S2033,'unique org names'!A:C,3,FALSE))
</f>
        <v>BRIDGE ACADEMY</v>
      </c>
      <c r="V2033" s="1" t="s">
        <v>497</v>
      </c>
      <c r="W2033" s="1" t="s">
        <v>44</v>
      </c>
      <c r="X2033" s="1" t="s">
        <v>45</v>
      </c>
      <c r="Y2033" s="1">
        <v>4.82123323E8</v>
      </c>
      <c r="AA2033" s="1" t="s">
        <v>498</v>
      </c>
      <c r="AB2033" s="1" t="s">
        <v>45</v>
      </c>
      <c r="AC2033" s="1">
        <v>4.82123323E8</v>
      </c>
      <c r="AF2033" s="1">
        <v>79706.88</v>
      </c>
      <c r="AG2033" s="2">
        <v>41999.0</v>
      </c>
      <c r="AH2033" s="1">
        <v>1200.0</v>
      </c>
      <c r="AI2033" s="1" t="s">
        <v>647</v>
      </c>
      <c r="AJ2033" s="1" t="s">
        <v>3724</v>
      </c>
      <c r="AK2033" s="1" t="s">
        <v>712</v>
      </c>
      <c r="AL2033" s="1">
        <v>1.0</v>
      </c>
      <c r="AM2033" s="1">
        <v>2015.0</v>
      </c>
      <c r="AN2033" s="1">
        <v>2015.0</v>
      </c>
      <c r="AO2033" s="1" t="s">
        <v>713</v>
      </c>
    </row>
    <row r="2034">
      <c r="A2034" s="5">
        <v>1.0</v>
      </c>
      <c r="B2034" s="1">
        <f t="shared" si="1"/>
        <v>2034</v>
      </c>
      <c r="C2034" s="1" t="s">
        <v>3413</v>
      </c>
      <c r="D2034" s="1" t="s">
        <v>3413</v>
      </c>
      <c r="E2034" s="1" t="s">
        <v>194</v>
      </c>
      <c r="G2034" s="1">
        <v>5.21188032E8</v>
      </c>
      <c r="H2034" s="2">
        <v>41904.0</v>
      </c>
      <c r="I2034" s="1" t="s">
        <v>1168</v>
      </c>
      <c r="K2034" s="1" t="s">
        <v>1168</v>
      </c>
      <c r="N2034" s="1" t="s">
        <v>194</v>
      </c>
      <c r="O2034" s="1">
        <v>9100.0</v>
      </c>
      <c r="P2034" s="1" t="s">
        <v>194</v>
      </c>
      <c r="Q2034" s="1" t="str">
        <f>IF(ISERROR(VLOOKUP(P2034,'unique fed agency names'!A:C,3,FALSE)),P2034,VLOOKUP(P2034,'unique fed agency names'!A:C,3,FALSE))
</f>
        <v>U.S. Department of Education (ED)</v>
      </c>
      <c r="R2034" s="1">
        <v>1.47552186E8</v>
      </c>
      <c r="S2034" s="1" t="s">
        <v>822</v>
      </c>
      <c r="T2034" s="1" t="str">
        <f>IF(ISERROR(VLOOKUP(S2034,'unique org names'!A:C,3,FALSE)),S2034,VLOOKUP(S2034,'unique org names'!A:C,3,FALSE))
</f>
        <v>NATAKI TALIBAH SCHOOLHOUSE OF DETROIT</v>
      </c>
      <c r="V2034" s="1" t="s">
        <v>823</v>
      </c>
      <c r="W2034" s="1" t="s">
        <v>44</v>
      </c>
      <c r="X2034" s="1" t="s">
        <v>45</v>
      </c>
      <c r="Y2034" s="1">
        <v>4.82191857E8</v>
      </c>
      <c r="AA2034" s="1" t="s">
        <v>44</v>
      </c>
      <c r="AB2034" s="1" t="s">
        <v>45</v>
      </c>
      <c r="AC2034" s="1">
        <v>4.82191857E8</v>
      </c>
      <c r="AD2034" s="1">
        <v>5.56790715E8</v>
      </c>
      <c r="AE2034" s="1" t="s">
        <v>3725</v>
      </c>
      <c r="AF2034" s="1">
        <v>163750.0</v>
      </c>
      <c r="AG2034" s="2">
        <v>41904.0</v>
      </c>
      <c r="AH2034" s="1">
        <v>9100.0</v>
      </c>
      <c r="AI2034" s="1" t="s">
        <v>194</v>
      </c>
      <c r="AJ2034" s="1" t="s">
        <v>3726</v>
      </c>
      <c r="AK2034" s="1" t="s">
        <v>1170</v>
      </c>
      <c r="AL2034" s="1">
        <v>1.0</v>
      </c>
      <c r="AM2034" s="1">
        <v>2015.0</v>
      </c>
      <c r="AN2034" s="1">
        <v>2014.0</v>
      </c>
      <c r="AO2034" s="1" t="s">
        <v>1171</v>
      </c>
    </row>
    <row r="2035">
      <c r="A2035" s="5">
        <v>1.0</v>
      </c>
      <c r="B2035" s="1">
        <f t="shared" si="1"/>
        <v>2035</v>
      </c>
      <c r="C2035" s="1" t="s">
        <v>1913</v>
      </c>
      <c r="D2035" s="1" t="s">
        <v>1913</v>
      </c>
      <c r="E2035" s="1" t="s">
        <v>645</v>
      </c>
      <c r="G2035" s="1">
        <v>1.4642656E8</v>
      </c>
      <c r="H2035" s="2">
        <v>41977.0</v>
      </c>
      <c r="I2035" s="1" t="s">
        <v>710</v>
      </c>
      <c r="K2035" s="1" t="s">
        <v>710</v>
      </c>
      <c r="N2035" s="1" t="s">
        <v>647</v>
      </c>
      <c r="O2035" s="1">
        <v>1200.0</v>
      </c>
      <c r="P2035" s="1" t="s">
        <v>647</v>
      </c>
      <c r="Q2035" s="1" t="str">
        <f>IF(ISERROR(VLOOKUP(P2035,'unique fed agency names'!A:C,3,FALSE)),P2035,VLOOKUP(P2035,'unique fed agency names'!A:C,3,FALSE))
</f>
        <v>U.S. Department of Agriculture (USDA)</v>
      </c>
      <c r="R2035" s="1">
        <v>1.38064923E8</v>
      </c>
      <c r="S2035" s="1" t="s">
        <v>585</v>
      </c>
      <c r="T2035" s="1" t="str">
        <f>IF(ISERROR(VLOOKUP(S2035,'unique org names'!A:C,3,FALSE)),S2035,VLOOKUP(S2035,'unique org names'!A:C,3,FALSE))
</f>
        <v>DETROIT MERIT CHARTER ACADEMY</v>
      </c>
      <c r="V2035" s="1" t="s">
        <v>586</v>
      </c>
      <c r="W2035" s="1" t="s">
        <v>44</v>
      </c>
      <c r="X2035" s="1" t="s">
        <v>45</v>
      </c>
      <c r="Y2035" s="1">
        <v>4.82152861E8</v>
      </c>
      <c r="AA2035" s="1" t="s">
        <v>44</v>
      </c>
      <c r="AB2035" s="1" t="s">
        <v>45</v>
      </c>
      <c r="AC2035" s="1">
        <v>4.82152861E8</v>
      </c>
      <c r="AD2035" s="1">
        <v>9.60742484E8</v>
      </c>
      <c r="AF2035" s="1">
        <v>63143.1</v>
      </c>
      <c r="AG2035" s="2">
        <v>41977.0</v>
      </c>
      <c r="AH2035" s="1">
        <v>1200.0</v>
      </c>
      <c r="AI2035" s="1" t="s">
        <v>647</v>
      </c>
      <c r="AJ2035" s="1" t="s">
        <v>3727</v>
      </c>
      <c r="AK2035" s="1" t="s">
        <v>712</v>
      </c>
      <c r="AL2035" s="1">
        <v>1.0</v>
      </c>
      <c r="AM2035" s="1">
        <v>2015.0</v>
      </c>
      <c r="AN2035" s="1">
        <v>2015.0</v>
      </c>
      <c r="AO2035" s="1" t="s">
        <v>713</v>
      </c>
    </row>
    <row r="2036">
      <c r="A2036" s="5">
        <v>1.0</v>
      </c>
      <c r="B2036" s="1">
        <f t="shared" si="1"/>
        <v>2036</v>
      </c>
      <c r="C2036" s="1" t="s">
        <v>1913</v>
      </c>
      <c r="D2036" s="1" t="s">
        <v>1913</v>
      </c>
      <c r="E2036" s="1" t="s">
        <v>645</v>
      </c>
      <c r="G2036" s="1">
        <v>1.4642656E8</v>
      </c>
      <c r="H2036" s="2">
        <v>41991.0</v>
      </c>
      <c r="I2036" s="1" t="s">
        <v>710</v>
      </c>
      <c r="K2036" s="1" t="s">
        <v>710</v>
      </c>
      <c r="N2036" s="1" t="s">
        <v>647</v>
      </c>
      <c r="O2036" s="1">
        <v>1200.0</v>
      </c>
      <c r="P2036" s="1" t="s">
        <v>647</v>
      </c>
      <c r="Q2036" s="1" t="str">
        <f>IF(ISERROR(VLOOKUP(P2036,'unique fed agency names'!A:C,3,FALSE)),P2036,VLOOKUP(P2036,'unique fed agency names'!A:C,3,FALSE))
</f>
        <v>U.S. Department of Agriculture (USDA)</v>
      </c>
      <c r="R2036" s="1">
        <v>9.62104118E8</v>
      </c>
      <c r="S2036" s="1" t="s">
        <v>634</v>
      </c>
      <c r="T2036" s="1" t="str">
        <f>IF(ISERROR(VLOOKUP(S2036,'unique org names'!A:C,3,FALSE)),S2036,VLOOKUP(S2036,'unique org names'!A:C,3,FALSE))
</f>
        <v>UNIVERSITY YES ACADEMY</v>
      </c>
      <c r="V2036" s="1" t="s">
        <v>635</v>
      </c>
      <c r="W2036" s="1" t="s">
        <v>44</v>
      </c>
      <c r="X2036" s="1" t="s">
        <v>45</v>
      </c>
      <c r="Y2036" s="1">
        <v>4.82351111E8</v>
      </c>
      <c r="AA2036" s="1" t="s">
        <v>46</v>
      </c>
      <c r="AB2036" s="1" t="s">
        <v>45</v>
      </c>
      <c r="AC2036" s="1">
        <v>4.82351111E8</v>
      </c>
      <c r="AF2036" s="1">
        <v>38825.81</v>
      </c>
      <c r="AG2036" s="2">
        <v>41991.0</v>
      </c>
      <c r="AH2036" s="1">
        <v>1200.0</v>
      </c>
      <c r="AI2036" s="1" t="s">
        <v>647</v>
      </c>
      <c r="AJ2036" s="1" t="s">
        <v>3728</v>
      </c>
      <c r="AK2036" s="1" t="s">
        <v>712</v>
      </c>
      <c r="AL2036" s="1">
        <v>1.0</v>
      </c>
      <c r="AM2036" s="1">
        <v>2015.0</v>
      </c>
      <c r="AN2036" s="1">
        <v>2015.0</v>
      </c>
      <c r="AO2036" s="1" t="s">
        <v>713</v>
      </c>
    </row>
    <row r="2037">
      <c r="A2037" s="5">
        <v>1.0</v>
      </c>
      <c r="B2037" s="1">
        <f t="shared" si="1"/>
        <v>2037</v>
      </c>
      <c r="C2037" s="1" t="s">
        <v>1913</v>
      </c>
      <c r="D2037" s="1" t="s">
        <v>1913</v>
      </c>
      <c r="E2037" s="1" t="s">
        <v>645</v>
      </c>
      <c r="G2037" s="1">
        <v>1.4642656E8</v>
      </c>
      <c r="H2037" s="2">
        <v>42006.0</v>
      </c>
      <c r="I2037" s="1" t="s">
        <v>710</v>
      </c>
      <c r="K2037" s="1" t="s">
        <v>710</v>
      </c>
      <c r="N2037" s="1" t="s">
        <v>647</v>
      </c>
      <c r="O2037" s="1">
        <v>1200.0</v>
      </c>
      <c r="P2037" s="1" t="s">
        <v>647</v>
      </c>
      <c r="Q2037" s="1" t="str">
        <f>IF(ISERROR(VLOOKUP(P2037,'unique fed agency names'!A:C,3,FALSE)),P2037,VLOOKUP(P2037,'unique fed agency names'!A:C,3,FALSE))
</f>
        <v>U.S. Department of Agriculture (USDA)</v>
      </c>
      <c r="R2037" s="1">
        <v>6.6707493E7</v>
      </c>
      <c r="S2037" s="1" t="s">
        <v>541</v>
      </c>
      <c r="T2037" s="1" t="str">
        <f>IF(ISERROR(VLOOKUP(S2037,'unique org names'!A:C,3,FALSE)),S2037,VLOOKUP(S2037,'unique org names'!A:C,3,FALSE))
</f>
        <v>HOPE OF DETROIT ACADEMY</v>
      </c>
      <c r="V2037" s="1" t="s">
        <v>542</v>
      </c>
      <c r="W2037" s="1" t="s">
        <v>44</v>
      </c>
      <c r="X2037" s="1" t="s">
        <v>45</v>
      </c>
      <c r="Y2037" s="1">
        <v>4.8210252E8</v>
      </c>
      <c r="AA2037" s="1" t="s">
        <v>44</v>
      </c>
      <c r="AB2037" s="1" t="s">
        <v>45</v>
      </c>
      <c r="AC2037" s="1">
        <v>4.8210252E8</v>
      </c>
      <c r="AF2037" s="1">
        <v>69720.96</v>
      </c>
      <c r="AG2037" s="2">
        <v>42006.0</v>
      </c>
      <c r="AH2037" s="1">
        <v>1200.0</v>
      </c>
      <c r="AI2037" s="1" t="s">
        <v>647</v>
      </c>
      <c r="AJ2037" s="1" t="s">
        <v>3729</v>
      </c>
      <c r="AK2037" s="1" t="s">
        <v>712</v>
      </c>
      <c r="AL2037" s="1">
        <v>1.0</v>
      </c>
      <c r="AM2037" s="1">
        <v>2015.0</v>
      </c>
      <c r="AN2037" s="1">
        <v>2015.0</v>
      </c>
      <c r="AO2037" s="1" t="s">
        <v>713</v>
      </c>
    </row>
    <row r="2038">
      <c r="A2038" s="5">
        <v>1.0</v>
      </c>
      <c r="B2038" s="1">
        <f t="shared" si="1"/>
        <v>2038</v>
      </c>
      <c r="C2038" s="1" t="s">
        <v>1913</v>
      </c>
      <c r="D2038" s="1" t="s">
        <v>1913</v>
      </c>
      <c r="E2038" s="1" t="s">
        <v>645</v>
      </c>
      <c r="G2038" s="1">
        <v>1.4642656E8</v>
      </c>
      <c r="H2038" s="2">
        <v>41977.0</v>
      </c>
      <c r="I2038" s="1" t="s">
        <v>710</v>
      </c>
      <c r="K2038" s="1" t="s">
        <v>710</v>
      </c>
      <c r="N2038" s="1" t="s">
        <v>647</v>
      </c>
      <c r="O2038" s="1">
        <v>1200.0</v>
      </c>
      <c r="P2038" s="1" t="s">
        <v>647</v>
      </c>
      <c r="Q2038" s="1" t="str">
        <f>IF(ISERROR(VLOOKUP(P2038,'unique fed agency names'!A:C,3,FALSE)),P2038,VLOOKUP(P2038,'unique fed agency names'!A:C,3,FALSE))
</f>
        <v>U.S. Department of Agriculture (USDA)</v>
      </c>
      <c r="R2038" s="1">
        <v>9.65349769E8</v>
      </c>
      <c r="S2038" s="1" t="s">
        <v>465</v>
      </c>
      <c r="T2038" s="1" t="str">
        <f>IF(ISERROR(VLOOKUP(S2038,'unique org names'!A:C,3,FALSE)),S2038,VLOOKUP(S2038,'unique org names'!A:C,3,FALSE))
</f>
        <v>Public School Academies of Detroit</v>
      </c>
      <c r="U2038" s="1" t="s">
        <v>466</v>
      </c>
      <c r="V2038" s="1" t="s">
        <v>467</v>
      </c>
      <c r="W2038" s="1" t="s">
        <v>44</v>
      </c>
      <c r="X2038" s="1" t="s">
        <v>45</v>
      </c>
      <c r="Y2038" s="1">
        <v>4.8202322E8</v>
      </c>
      <c r="AA2038" s="1" t="s">
        <v>44</v>
      </c>
      <c r="AB2038" s="1" t="s">
        <v>45</v>
      </c>
      <c r="AC2038" s="1">
        <v>4.8202322E8</v>
      </c>
      <c r="AD2038" s="1">
        <v>1.6338926E8</v>
      </c>
      <c r="AE2038" s="1" t="s">
        <v>465</v>
      </c>
      <c r="AF2038" s="1">
        <v>71717.7</v>
      </c>
      <c r="AG2038" s="2">
        <v>41977.0</v>
      </c>
      <c r="AH2038" s="1">
        <v>1200.0</v>
      </c>
      <c r="AI2038" s="1" t="s">
        <v>647</v>
      </c>
      <c r="AJ2038" s="1" t="s">
        <v>3730</v>
      </c>
      <c r="AK2038" s="1" t="s">
        <v>712</v>
      </c>
      <c r="AL2038" s="1">
        <v>1.0</v>
      </c>
      <c r="AM2038" s="1">
        <v>2015.0</v>
      </c>
      <c r="AN2038" s="1">
        <v>2015.0</v>
      </c>
      <c r="AO2038" s="1" t="s">
        <v>713</v>
      </c>
    </row>
    <row r="2039">
      <c r="A2039" s="5">
        <v>1.0</v>
      </c>
      <c r="B2039" s="1">
        <f t="shared" si="1"/>
        <v>2039</v>
      </c>
      <c r="C2039" s="1" t="s">
        <v>3413</v>
      </c>
      <c r="D2039" s="1" t="s">
        <v>3413</v>
      </c>
      <c r="E2039" s="1" t="s">
        <v>194</v>
      </c>
      <c r="G2039" s="1">
        <v>5.21188032E8</v>
      </c>
      <c r="H2039" s="2">
        <v>41878.0</v>
      </c>
      <c r="I2039" s="1" t="s">
        <v>1168</v>
      </c>
      <c r="K2039" s="1" t="s">
        <v>1168</v>
      </c>
      <c r="N2039" s="1" t="s">
        <v>194</v>
      </c>
      <c r="O2039" s="1">
        <v>9100.0</v>
      </c>
      <c r="P2039" s="1" t="s">
        <v>194</v>
      </c>
      <c r="Q2039" s="1" t="str">
        <f>IF(ISERROR(VLOOKUP(P2039,'unique fed agency names'!A:C,3,FALSE)),P2039,VLOOKUP(P2039,'unique fed agency names'!A:C,3,FALSE))
</f>
        <v>U.S. Department of Education (ED)</v>
      </c>
      <c r="R2039" s="1">
        <v>8.31014068E8</v>
      </c>
      <c r="S2039" s="1" t="s">
        <v>515</v>
      </c>
      <c r="T2039" s="1" t="str">
        <f>IF(ISERROR(VLOOKUP(S2039,'unique org names'!A:C,3,FALSE)),S2039,VLOOKUP(S2039,'unique org names'!A:C,3,FALSE))
</f>
        <v>DETROIT PREMIER ACADEMY</v>
      </c>
      <c r="U2039" s="1" t="s">
        <v>3731</v>
      </c>
      <c r="V2039" s="1" t="s">
        <v>516</v>
      </c>
      <c r="W2039" s="1" t="s">
        <v>44</v>
      </c>
      <c r="X2039" s="1" t="s">
        <v>45</v>
      </c>
      <c r="Y2039" s="1">
        <v>4.82283685E8</v>
      </c>
      <c r="AA2039" s="1" t="s">
        <v>46</v>
      </c>
      <c r="AB2039" s="1" t="s">
        <v>45</v>
      </c>
      <c r="AC2039" s="1">
        <v>4.82283685E8</v>
      </c>
      <c r="AD2039" s="1">
        <v>9.60742484E8</v>
      </c>
      <c r="AF2039" s="1">
        <v>456037.0</v>
      </c>
      <c r="AG2039" s="2">
        <v>41878.0</v>
      </c>
      <c r="AH2039" s="1">
        <v>9100.0</v>
      </c>
      <c r="AI2039" s="1" t="s">
        <v>194</v>
      </c>
      <c r="AJ2039" s="1" t="s">
        <v>3732</v>
      </c>
      <c r="AK2039" s="1" t="s">
        <v>1170</v>
      </c>
      <c r="AL2039" s="1">
        <v>1.0</v>
      </c>
      <c r="AM2039" s="1">
        <v>2015.0</v>
      </c>
      <c r="AN2039" s="1">
        <v>2014.0</v>
      </c>
      <c r="AO2039" s="1" t="s">
        <v>1171</v>
      </c>
    </row>
    <row r="2040">
      <c r="A2040" s="5">
        <v>1.0</v>
      </c>
      <c r="B2040" s="1">
        <f t="shared" si="1"/>
        <v>2040</v>
      </c>
      <c r="C2040" s="1" t="s">
        <v>3413</v>
      </c>
      <c r="D2040" s="1" t="s">
        <v>3413</v>
      </c>
      <c r="E2040" s="1" t="s">
        <v>194</v>
      </c>
      <c r="G2040" s="1">
        <v>5.21188032E8</v>
      </c>
      <c r="H2040" s="2">
        <v>41878.0</v>
      </c>
      <c r="I2040" s="1" t="s">
        <v>1168</v>
      </c>
      <c r="K2040" s="1" t="s">
        <v>1168</v>
      </c>
      <c r="N2040" s="1" t="s">
        <v>194</v>
      </c>
      <c r="O2040" s="1">
        <v>9100.0</v>
      </c>
      <c r="P2040" s="1" t="s">
        <v>194</v>
      </c>
      <c r="Q2040" s="1" t="str">
        <f>IF(ISERROR(VLOOKUP(P2040,'unique fed agency names'!A:C,3,FALSE)),P2040,VLOOKUP(P2040,'unique fed agency names'!A:C,3,FALSE))
</f>
        <v>U.S. Department of Education (ED)</v>
      </c>
      <c r="R2040" s="1">
        <v>1.38064923E8</v>
      </c>
      <c r="S2040" s="1" t="s">
        <v>585</v>
      </c>
      <c r="T2040" s="1" t="str">
        <f>IF(ISERROR(VLOOKUP(S2040,'unique org names'!A:C,3,FALSE)),S2040,VLOOKUP(S2040,'unique org names'!A:C,3,FALSE))
</f>
        <v>DETROIT MERIT CHARTER ACADEMY</v>
      </c>
      <c r="V2040" s="1" t="s">
        <v>586</v>
      </c>
      <c r="W2040" s="1" t="s">
        <v>44</v>
      </c>
      <c r="X2040" s="1" t="s">
        <v>45</v>
      </c>
      <c r="Y2040" s="1">
        <v>4.82152861E8</v>
      </c>
      <c r="AA2040" s="1" t="s">
        <v>44</v>
      </c>
      <c r="AB2040" s="1" t="s">
        <v>45</v>
      </c>
      <c r="AC2040" s="1">
        <v>4.82152861E8</v>
      </c>
      <c r="AD2040" s="1">
        <v>9.60742484E8</v>
      </c>
      <c r="AF2040" s="1">
        <v>389506.0</v>
      </c>
      <c r="AG2040" s="2">
        <v>41878.0</v>
      </c>
      <c r="AH2040" s="1">
        <v>9100.0</v>
      </c>
      <c r="AI2040" s="1" t="s">
        <v>194</v>
      </c>
      <c r="AJ2040" s="1" t="s">
        <v>3733</v>
      </c>
      <c r="AK2040" s="1" t="s">
        <v>1170</v>
      </c>
      <c r="AL2040" s="1">
        <v>1.0</v>
      </c>
      <c r="AM2040" s="1">
        <v>2015.0</v>
      </c>
      <c r="AN2040" s="1">
        <v>2014.0</v>
      </c>
      <c r="AO2040" s="1" t="s">
        <v>1171</v>
      </c>
    </row>
    <row r="2041">
      <c r="A2041" s="5">
        <v>1.0</v>
      </c>
      <c r="B2041" s="1">
        <f t="shared" si="1"/>
        <v>2041</v>
      </c>
      <c r="C2041" s="1" t="s">
        <v>3413</v>
      </c>
      <c r="D2041" s="1" t="s">
        <v>3413</v>
      </c>
      <c r="E2041" s="1" t="s">
        <v>194</v>
      </c>
      <c r="G2041" s="1">
        <v>5.21188032E8</v>
      </c>
      <c r="H2041" s="2">
        <v>41960.0</v>
      </c>
      <c r="I2041" s="1" t="s">
        <v>1168</v>
      </c>
      <c r="K2041" s="1" t="s">
        <v>1168</v>
      </c>
      <c r="N2041" s="1" t="s">
        <v>194</v>
      </c>
      <c r="O2041" s="1">
        <v>9100.0</v>
      </c>
      <c r="P2041" s="1" t="s">
        <v>194</v>
      </c>
      <c r="Q2041" s="1" t="str">
        <f>IF(ISERROR(VLOOKUP(P2041,'unique fed agency names'!A:C,3,FALSE)),P2041,VLOOKUP(P2041,'unique fed agency names'!A:C,3,FALSE))
</f>
        <v>U.S. Department of Education (ED)</v>
      </c>
      <c r="R2041" s="1">
        <v>1.0030049E8</v>
      </c>
      <c r="S2041" s="1" t="s">
        <v>461</v>
      </c>
      <c r="T2041" s="1" t="str">
        <f>IF(ISERROR(VLOOKUP(S2041,'unique org names'!A:C,3,FALSE)),S2041,VLOOKUP(S2041,'unique org names'!A:C,3,FALSE))
</f>
        <v>BOARD OF EDUCATION OF THE CITY OF DETROIT</v>
      </c>
      <c r="U2041" s="1" t="s">
        <v>570</v>
      </c>
      <c r="V2041" s="1" t="s">
        <v>571</v>
      </c>
      <c r="W2041" s="1" t="s">
        <v>44</v>
      </c>
      <c r="X2041" s="1" t="s">
        <v>45</v>
      </c>
      <c r="Y2041" s="1">
        <v>4.82382941E8</v>
      </c>
      <c r="AA2041" s="1" t="s">
        <v>44</v>
      </c>
      <c r="AB2041" s="1" t="s">
        <v>45</v>
      </c>
      <c r="AC2041" s="1">
        <v>4.82382941E8</v>
      </c>
      <c r="AF2041" s="1">
        <v>200634.0</v>
      </c>
      <c r="AG2041" s="2">
        <v>41960.0</v>
      </c>
      <c r="AH2041" s="1">
        <v>9100.0</v>
      </c>
      <c r="AI2041" s="1" t="s">
        <v>194</v>
      </c>
      <c r="AJ2041" s="1" t="s">
        <v>3734</v>
      </c>
      <c r="AK2041" s="1" t="s">
        <v>3000</v>
      </c>
      <c r="AL2041" s="1">
        <v>1.0</v>
      </c>
      <c r="AM2041" s="1">
        <v>2015.0</v>
      </c>
      <c r="AN2041" s="1">
        <v>2015.0</v>
      </c>
      <c r="AO2041" s="1" t="s">
        <v>1171</v>
      </c>
    </row>
    <row r="2042">
      <c r="A2042" s="5">
        <v>1.0</v>
      </c>
      <c r="B2042" s="1">
        <f t="shared" si="1"/>
        <v>2042</v>
      </c>
      <c r="C2042" s="1" t="s">
        <v>1913</v>
      </c>
      <c r="D2042" s="1" t="s">
        <v>1913</v>
      </c>
      <c r="E2042" s="1" t="s">
        <v>645</v>
      </c>
      <c r="G2042" s="1">
        <v>1.4642656E8</v>
      </c>
      <c r="H2042" s="2">
        <v>41977.0</v>
      </c>
      <c r="I2042" s="1" t="s">
        <v>710</v>
      </c>
      <c r="K2042" s="1" t="s">
        <v>710</v>
      </c>
      <c r="N2042" s="1" t="s">
        <v>647</v>
      </c>
      <c r="O2042" s="1">
        <v>1200.0</v>
      </c>
      <c r="P2042" s="1" t="s">
        <v>647</v>
      </c>
      <c r="Q2042" s="1" t="str">
        <f>IF(ISERROR(VLOOKUP(P2042,'unique fed agency names'!A:C,3,FALSE)),P2042,VLOOKUP(P2042,'unique fed agency names'!A:C,3,FALSE))
</f>
        <v>U.S. Department of Agriculture (USDA)</v>
      </c>
      <c r="R2042" s="1">
        <v>8.30792151E8</v>
      </c>
      <c r="S2042" s="1" t="s">
        <v>594</v>
      </c>
      <c r="T2042" s="1" t="str">
        <f>IF(ISERROR(VLOOKUP(S2042,'unique org names'!A:C,3,FALSE)),S2042,VLOOKUP(S2042,'unique org names'!A:C,3,FALSE))
</f>
        <v>FLAGSHIP CHARTER ACADEMY</v>
      </c>
      <c r="V2042" s="1" t="s">
        <v>596</v>
      </c>
      <c r="W2042" s="1" t="s">
        <v>44</v>
      </c>
      <c r="X2042" s="1" t="s">
        <v>45</v>
      </c>
      <c r="Y2042" s="1">
        <v>4.82382356E8</v>
      </c>
      <c r="AA2042" s="1" t="s">
        <v>44</v>
      </c>
      <c r="AB2042" s="1" t="s">
        <v>45</v>
      </c>
      <c r="AC2042" s="1">
        <v>4.82382356E8</v>
      </c>
      <c r="AD2042" s="1">
        <v>9.60742484E8</v>
      </c>
      <c r="AF2042" s="1">
        <v>64385.46</v>
      </c>
      <c r="AG2042" s="2">
        <v>41977.0</v>
      </c>
      <c r="AH2042" s="1">
        <v>1200.0</v>
      </c>
      <c r="AI2042" s="1" t="s">
        <v>647</v>
      </c>
      <c r="AJ2042" s="1" t="s">
        <v>3735</v>
      </c>
      <c r="AK2042" s="1" t="s">
        <v>712</v>
      </c>
      <c r="AL2042" s="1">
        <v>1.0</v>
      </c>
      <c r="AM2042" s="1">
        <v>2015.0</v>
      </c>
      <c r="AN2042" s="1">
        <v>2015.0</v>
      </c>
      <c r="AO2042" s="1" t="s">
        <v>713</v>
      </c>
    </row>
    <row r="2043">
      <c r="A2043" s="5">
        <v>1.0</v>
      </c>
      <c r="B2043" s="1">
        <f t="shared" si="1"/>
        <v>2043</v>
      </c>
      <c r="C2043" s="1" t="s">
        <v>3413</v>
      </c>
      <c r="D2043" s="1" t="s">
        <v>3413</v>
      </c>
      <c r="E2043" s="1" t="s">
        <v>194</v>
      </c>
      <c r="G2043" s="1">
        <v>5.21188032E8</v>
      </c>
      <c r="H2043" s="2">
        <v>41949.0</v>
      </c>
      <c r="I2043" s="1" t="s">
        <v>1168</v>
      </c>
      <c r="K2043" s="1" t="s">
        <v>1168</v>
      </c>
      <c r="N2043" s="1" t="s">
        <v>194</v>
      </c>
      <c r="O2043" s="1">
        <v>9100.0</v>
      </c>
      <c r="P2043" s="1" t="s">
        <v>194</v>
      </c>
      <c r="Q2043" s="1" t="str">
        <f>IF(ISERROR(VLOOKUP(P2043,'unique fed agency names'!A:C,3,FALSE)),P2043,VLOOKUP(P2043,'unique fed agency names'!A:C,3,FALSE))
</f>
        <v>U.S. Department of Education (ED)</v>
      </c>
      <c r="R2043" s="1">
        <v>2.2561935E7</v>
      </c>
      <c r="S2043" s="1" t="s">
        <v>2631</v>
      </c>
      <c r="T2043" s="1" t="str">
        <f>IF(ISERROR(VLOOKUP(S2043,'unique org names'!A:C,3,FALSE)),S2043,VLOOKUP(S2043,'unique org names'!A:C,3,FALSE))
</f>
        <v>JOY PREPARATORY ACADEMY</v>
      </c>
      <c r="V2043" s="1" t="s">
        <v>2632</v>
      </c>
      <c r="W2043" s="1" t="s">
        <v>44</v>
      </c>
      <c r="X2043" s="1" t="s">
        <v>45</v>
      </c>
      <c r="Y2043" s="1">
        <v>4.8238E8</v>
      </c>
      <c r="AA2043" s="1" t="s">
        <v>44</v>
      </c>
      <c r="AB2043" s="1" t="s">
        <v>45</v>
      </c>
      <c r="AC2043" s="1">
        <v>4.82382124E8</v>
      </c>
      <c r="AF2043" s="1">
        <v>284889.0</v>
      </c>
      <c r="AG2043" s="2">
        <v>41949.0</v>
      </c>
      <c r="AH2043" s="1">
        <v>9100.0</v>
      </c>
      <c r="AI2043" s="1" t="s">
        <v>194</v>
      </c>
      <c r="AJ2043" s="1" t="s">
        <v>3736</v>
      </c>
      <c r="AK2043" s="1" t="s">
        <v>3000</v>
      </c>
      <c r="AL2043" s="1">
        <v>1.0</v>
      </c>
      <c r="AM2043" s="1">
        <v>2015.0</v>
      </c>
      <c r="AN2043" s="1">
        <v>2015.0</v>
      </c>
      <c r="AO2043" s="1" t="s">
        <v>1171</v>
      </c>
    </row>
    <row r="2044">
      <c r="A2044" s="5">
        <v>1.0</v>
      </c>
      <c r="B2044" s="1">
        <f t="shared" si="1"/>
        <v>2044</v>
      </c>
      <c r="C2044" s="1" t="s">
        <v>1913</v>
      </c>
      <c r="D2044" s="1" t="s">
        <v>1913</v>
      </c>
      <c r="E2044" s="1" t="s">
        <v>645</v>
      </c>
      <c r="G2044" s="1">
        <v>1.4642656E8</v>
      </c>
      <c r="H2044" s="2">
        <v>41977.0</v>
      </c>
      <c r="I2044" s="1" t="s">
        <v>710</v>
      </c>
      <c r="K2044" s="1" t="s">
        <v>710</v>
      </c>
      <c r="N2044" s="1" t="s">
        <v>647</v>
      </c>
      <c r="O2044" s="1">
        <v>1200.0</v>
      </c>
      <c r="P2044" s="1" t="s">
        <v>647</v>
      </c>
      <c r="Q2044" s="1" t="str">
        <f>IF(ISERROR(VLOOKUP(P2044,'unique fed agency names'!A:C,3,FALSE)),P2044,VLOOKUP(P2044,'unique fed agency names'!A:C,3,FALSE))
</f>
        <v>U.S. Department of Agriculture (USDA)</v>
      </c>
      <c r="R2044" s="1">
        <v>7.93697355E8</v>
      </c>
      <c r="S2044" s="1" t="s">
        <v>691</v>
      </c>
      <c r="T2044" s="1" t="str">
        <f>IF(ISERROR(VLOOKUP(S2044,'unique org names'!A:C,3,FALSE)),S2044,VLOOKUP(S2044,'unique org names'!A:C,3,FALSE))
</f>
        <v>OAKLAND INTERNATIONAL ACADEMY</v>
      </c>
      <c r="U2044" s="1" t="s">
        <v>1194</v>
      </c>
      <c r="V2044" s="1" t="s">
        <v>692</v>
      </c>
      <c r="W2044" s="1" t="s">
        <v>44</v>
      </c>
      <c r="X2044" s="1" t="s">
        <v>45</v>
      </c>
      <c r="Y2044" s="1">
        <v>4.82111554E8</v>
      </c>
      <c r="AA2044" s="1" t="s">
        <v>44</v>
      </c>
      <c r="AB2044" s="1" t="s">
        <v>45</v>
      </c>
      <c r="AC2044" s="1">
        <v>4.82111552E8</v>
      </c>
      <c r="AF2044" s="1">
        <v>65857.32</v>
      </c>
      <c r="AG2044" s="2">
        <v>41977.0</v>
      </c>
      <c r="AH2044" s="1">
        <v>1200.0</v>
      </c>
      <c r="AI2044" s="1" t="s">
        <v>647</v>
      </c>
      <c r="AJ2044" s="1" t="s">
        <v>3737</v>
      </c>
      <c r="AK2044" s="1" t="s">
        <v>712</v>
      </c>
      <c r="AL2044" s="1">
        <v>1.0</v>
      </c>
      <c r="AM2044" s="1">
        <v>2015.0</v>
      </c>
      <c r="AN2044" s="1">
        <v>2015.0</v>
      </c>
      <c r="AO2044" s="1" t="s">
        <v>713</v>
      </c>
    </row>
    <row r="2045">
      <c r="A2045" s="5">
        <v>1.0</v>
      </c>
      <c r="B2045" s="1">
        <f t="shared" si="1"/>
        <v>2045</v>
      </c>
      <c r="C2045" s="1" t="s">
        <v>3472</v>
      </c>
      <c r="D2045" s="1" t="s">
        <v>3472</v>
      </c>
      <c r="E2045" s="1" t="s">
        <v>194</v>
      </c>
      <c r="G2045" s="1">
        <v>8.9168336E7</v>
      </c>
      <c r="H2045" s="2">
        <v>41955.0</v>
      </c>
      <c r="I2045" s="1" t="s">
        <v>458</v>
      </c>
      <c r="K2045" s="1" t="s">
        <v>458</v>
      </c>
      <c r="N2045" s="1" t="s">
        <v>194</v>
      </c>
      <c r="O2045" s="1">
        <v>9100.0</v>
      </c>
      <c r="P2045" s="1" t="s">
        <v>194</v>
      </c>
      <c r="Q2045" s="1" t="str">
        <f>IF(ISERROR(VLOOKUP(P2045,'unique fed agency names'!A:C,3,FALSE)),P2045,VLOOKUP(P2045,'unique fed agency names'!A:C,3,FALSE))
</f>
        <v>U.S. Department of Education (ED)</v>
      </c>
      <c r="R2045" s="1">
        <v>5.2874042E7</v>
      </c>
      <c r="S2045" s="1" t="s">
        <v>538</v>
      </c>
      <c r="T2045" s="1" t="str">
        <f>IF(ISERROR(VLOOKUP(S2045,'unique org names'!A:C,3,FALSE)),S2045,VLOOKUP(S2045,'unique org names'!A:C,3,FALSE))
</f>
        <v>CESAR CHAVEZ ACADEMY</v>
      </c>
      <c r="U2045" s="1" t="s">
        <v>3659</v>
      </c>
      <c r="V2045" s="1" t="s">
        <v>539</v>
      </c>
      <c r="W2045" s="1" t="s">
        <v>44</v>
      </c>
      <c r="X2045" s="1" t="s">
        <v>45</v>
      </c>
      <c r="Y2045" s="1">
        <v>4.82091524E8</v>
      </c>
      <c r="AA2045" s="1" t="s">
        <v>44</v>
      </c>
      <c r="AB2045" s="1" t="s">
        <v>45</v>
      </c>
      <c r="AC2045" s="1">
        <v>4.82091524E8</v>
      </c>
      <c r="AD2045" s="1">
        <v>9.60742484E8</v>
      </c>
      <c r="AF2045" s="1">
        <v>273139.0</v>
      </c>
      <c r="AG2045" s="2">
        <v>41955.0</v>
      </c>
      <c r="AH2045" s="1">
        <v>9100.0</v>
      </c>
      <c r="AI2045" s="1" t="s">
        <v>194</v>
      </c>
      <c r="AJ2045" s="1" t="s">
        <v>3738</v>
      </c>
      <c r="AK2045" s="1" t="s">
        <v>463</v>
      </c>
      <c r="AL2045" s="1">
        <v>1.0</v>
      </c>
      <c r="AM2045" s="1">
        <v>2015.0</v>
      </c>
      <c r="AN2045" s="1">
        <v>2015.0</v>
      </c>
      <c r="AO2045" s="1" t="s">
        <v>277</v>
      </c>
    </row>
    <row r="2046">
      <c r="A2046" s="5">
        <v>1.0</v>
      </c>
      <c r="B2046" s="1">
        <f t="shared" si="1"/>
        <v>2046</v>
      </c>
      <c r="C2046" s="1" t="s">
        <v>3472</v>
      </c>
      <c r="D2046" s="1" t="s">
        <v>3472</v>
      </c>
      <c r="E2046" s="1" t="s">
        <v>194</v>
      </c>
      <c r="G2046" s="1">
        <v>8.9168336E7</v>
      </c>
      <c r="H2046" s="2">
        <v>41949.0</v>
      </c>
      <c r="I2046" s="1" t="s">
        <v>458</v>
      </c>
      <c r="K2046" s="1" t="s">
        <v>458</v>
      </c>
      <c r="N2046" s="1" t="s">
        <v>194</v>
      </c>
      <c r="O2046" s="1">
        <v>9100.0</v>
      </c>
      <c r="P2046" s="1" t="s">
        <v>194</v>
      </c>
      <c r="Q2046" s="1" t="str">
        <f>IF(ISERROR(VLOOKUP(P2046,'unique fed agency names'!A:C,3,FALSE)),P2046,VLOOKUP(P2046,'unique fed agency names'!A:C,3,FALSE))
</f>
        <v>U.S. Department of Education (ED)</v>
      </c>
      <c r="R2046" s="1">
        <v>9.62949843E8</v>
      </c>
      <c r="S2046" s="1" t="s">
        <v>619</v>
      </c>
      <c r="T2046" s="1" t="str">
        <f>IF(ISERROR(VLOOKUP(S2046,'unique org names'!A:C,3,FALSE)),S2046,VLOOKUP(S2046,'unique org names'!A:C,3,FALSE))
</f>
        <v>ALLEN ACADEMY</v>
      </c>
      <c r="U2046" s="1" t="s">
        <v>3357</v>
      </c>
      <c r="V2046" s="1" t="s">
        <v>620</v>
      </c>
      <c r="W2046" s="1" t="s">
        <v>44</v>
      </c>
      <c r="X2046" s="1" t="s">
        <v>45</v>
      </c>
      <c r="Y2046" s="1">
        <v>4.82042306E8</v>
      </c>
      <c r="AA2046" s="1" t="s">
        <v>44</v>
      </c>
      <c r="AB2046" s="1" t="s">
        <v>45</v>
      </c>
      <c r="AC2046" s="1">
        <v>4.82042306E8</v>
      </c>
      <c r="AD2046" s="1">
        <v>1.00035849E8</v>
      </c>
      <c r="AF2046" s="1">
        <v>40209.0</v>
      </c>
      <c r="AG2046" s="2">
        <v>41949.0</v>
      </c>
      <c r="AH2046" s="1">
        <v>9100.0</v>
      </c>
      <c r="AI2046" s="1" t="s">
        <v>194</v>
      </c>
      <c r="AJ2046" s="1" t="s">
        <v>3739</v>
      </c>
      <c r="AK2046" s="1" t="s">
        <v>463</v>
      </c>
      <c r="AL2046" s="1">
        <v>1.0</v>
      </c>
      <c r="AM2046" s="1">
        <v>2015.0</v>
      </c>
      <c r="AN2046" s="1">
        <v>2015.0</v>
      </c>
      <c r="AO2046" s="1" t="s">
        <v>277</v>
      </c>
    </row>
    <row r="2047">
      <c r="A2047" s="5">
        <v>1.0</v>
      </c>
      <c r="B2047" s="1">
        <f t="shared" si="1"/>
        <v>2047</v>
      </c>
      <c r="C2047" s="1" t="s">
        <v>1913</v>
      </c>
      <c r="D2047" s="1" t="s">
        <v>1913</v>
      </c>
      <c r="E2047" s="1" t="s">
        <v>645</v>
      </c>
      <c r="G2047" s="1">
        <v>1.4642656E8</v>
      </c>
      <c r="H2047" s="2">
        <v>41991.0</v>
      </c>
      <c r="I2047" s="1" t="s">
        <v>710</v>
      </c>
      <c r="K2047" s="1" t="s">
        <v>710</v>
      </c>
      <c r="N2047" s="1" t="s">
        <v>647</v>
      </c>
      <c r="O2047" s="1">
        <v>1200.0</v>
      </c>
      <c r="P2047" s="1" t="s">
        <v>647</v>
      </c>
      <c r="Q2047" s="1" t="str">
        <f>IF(ISERROR(VLOOKUP(P2047,'unique fed agency names'!A:C,3,FALSE)),P2047,VLOOKUP(P2047,'unique fed agency names'!A:C,3,FALSE))
</f>
        <v>U.S. Department of Agriculture (USDA)</v>
      </c>
      <c r="R2047" s="1">
        <v>9.0912429E7</v>
      </c>
      <c r="S2047" s="1" t="s">
        <v>521</v>
      </c>
      <c r="T2047" s="1" t="str">
        <f>IF(ISERROR(VLOOKUP(S2047,'unique org names'!A:C,3,FALSE)),S2047,VLOOKUP(S2047,'unique org names'!A:C,3,FALSE))
</f>
        <v>DETROIT COMMUNITY SCHOOLS</v>
      </c>
      <c r="V2047" s="1" t="s">
        <v>522</v>
      </c>
      <c r="W2047" s="1" t="s">
        <v>44</v>
      </c>
      <c r="X2047" s="1" t="s">
        <v>45</v>
      </c>
      <c r="Y2047" s="1">
        <v>4.82233314E8</v>
      </c>
      <c r="AA2047" s="1" t="s">
        <v>44</v>
      </c>
      <c r="AB2047" s="1" t="s">
        <v>45</v>
      </c>
      <c r="AC2047" s="1">
        <v>4.82233314E8</v>
      </c>
      <c r="AF2047" s="1">
        <v>59171.22</v>
      </c>
      <c r="AG2047" s="2">
        <v>41991.0</v>
      </c>
      <c r="AH2047" s="1">
        <v>1200.0</v>
      </c>
      <c r="AI2047" s="1" t="s">
        <v>647</v>
      </c>
      <c r="AJ2047" s="1" t="s">
        <v>3740</v>
      </c>
      <c r="AK2047" s="1" t="s">
        <v>712</v>
      </c>
      <c r="AL2047" s="1">
        <v>1.0</v>
      </c>
      <c r="AM2047" s="1">
        <v>2015.0</v>
      </c>
      <c r="AN2047" s="1">
        <v>2015.0</v>
      </c>
      <c r="AO2047" s="1" t="s">
        <v>713</v>
      </c>
    </row>
    <row r="2048">
      <c r="A2048" s="5">
        <v>1.0</v>
      </c>
      <c r="B2048" s="1">
        <f t="shared" si="1"/>
        <v>2048</v>
      </c>
      <c r="C2048" s="1" t="s">
        <v>1913</v>
      </c>
      <c r="D2048" s="1" t="s">
        <v>1913</v>
      </c>
      <c r="E2048" s="1" t="s">
        <v>645</v>
      </c>
      <c r="G2048" s="1">
        <v>1.4642656E8</v>
      </c>
      <c r="H2048" s="2">
        <v>41977.0</v>
      </c>
      <c r="I2048" s="1" t="s">
        <v>710</v>
      </c>
      <c r="K2048" s="1" t="s">
        <v>710</v>
      </c>
      <c r="N2048" s="1" t="s">
        <v>647</v>
      </c>
      <c r="O2048" s="1">
        <v>1200.0</v>
      </c>
      <c r="P2048" s="1" t="s">
        <v>647</v>
      </c>
      <c r="Q2048" s="1" t="str">
        <f>IF(ISERROR(VLOOKUP(P2048,'unique fed agency names'!A:C,3,FALSE)),P2048,VLOOKUP(P2048,'unique fed agency names'!A:C,3,FALSE))
</f>
        <v>U.S. Department of Agriculture (USDA)</v>
      </c>
      <c r="R2048" s="1">
        <v>3.7602699E7</v>
      </c>
      <c r="S2048" s="1" t="s">
        <v>535</v>
      </c>
      <c r="T2048" s="1" t="str">
        <f>IF(ISERROR(VLOOKUP(S2048,'unique org names'!A:C,3,FALSE)),S2048,VLOOKUP(S2048,'unique org names'!A:C,3,FALSE))
</f>
        <v>REGENT PARK SCHOLARS CHARTER ACADEMY</v>
      </c>
      <c r="V2048" s="1" t="s">
        <v>536</v>
      </c>
      <c r="W2048" s="1" t="s">
        <v>44</v>
      </c>
      <c r="X2048" s="1" t="s">
        <v>45</v>
      </c>
      <c r="Y2048" s="1">
        <v>4.82052545E8</v>
      </c>
      <c r="AA2048" s="1" t="s">
        <v>46</v>
      </c>
      <c r="AB2048" s="1" t="s">
        <v>45</v>
      </c>
      <c r="AC2048" s="1">
        <v>4.82052545E8</v>
      </c>
      <c r="AF2048" s="1">
        <v>67020.12</v>
      </c>
      <c r="AG2048" s="2">
        <v>41977.0</v>
      </c>
      <c r="AH2048" s="1">
        <v>1200.0</v>
      </c>
      <c r="AI2048" s="1" t="s">
        <v>647</v>
      </c>
      <c r="AJ2048" s="1" t="s">
        <v>3741</v>
      </c>
      <c r="AK2048" s="1" t="s">
        <v>712</v>
      </c>
      <c r="AL2048" s="1">
        <v>1.0</v>
      </c>
      <c r="AM2048" s="1">
        <v>2015.0</v>
      </c>
      <c r="AN2048" s="1">
        <v>2015.0</v>
      </c>
      <c r="AO2048" s="1" t="s">
        <v>713</v>
      </c>
    </row>
    <row r="2049">
      <c r="A2049" s="5">
        <v>1.0</v>
      </c>
      <c r="B2049" s="1">
        <f t="shared" si="1"/>
        <v>2049</v>
      </c>
      <c r="C2049" s="1" t="s">
        <v>3472</v>
      </c>
      <c r="D2049" s="1" t="s">
        <v>3472</v>
      </c>
      <c r="E2049" s="1" t="s">
        <v>194</v>
      </c>
      <c r="G2049" s="1">
        <v>8.9168336E7</v>
      </c>
      <c r="H2049" s="2">
        <v>41897.0</v>
      </c>
      <c r="I2049" s="1" t="s">
        <v>458</v>
      </c>
      <c r="K2049" s="1" t="s">
        <v>458</v>
      </c>
      <c r="N2049" s="1" t="s">
        <v>194</v>
      </c>
      <c r="O2049" s="1">
        <v>9100.0</v>
      </c>
      <c r="P2049" s="1" t="s">
        <v>194</v>
      </c>
      <c r="Q2049" s="1" t="str">
        <f>IF(ISERROR(VLOOKUP(P2049,'unique fed agency names'!A:C,3,FALSE)),P2049,VLOOKUP(P2049,'unique fed agency names'!A:C,3,FALSE))
</f>
        <v>U.S. Department of Education (ED)</v>
      </c>
      <c r="R2049" s="1">
        <v>7.0381949E7</v>
      </c>
      <c r="S2049" s="1" t="s">
        <v>605</v>
      </c>
      <c r="T2049" s="1" t="str">
        <f>IF(ISERROR(VLOOKUP(S2049,'unique org names'!A:C,3,FALSE)),S2049,VLOOKUP(S2049,'unique org names'!A:C,3,FALSE))
</f>
        <v>Liberty Caniff Academy</v>
      </c>
      <c r="V2049" s="1" t="s">
        <v>606</v>
      </c>
      <c r="W2049" s="1" t="s">
        <v>44</v>
      </c>
      <c r="X2049" s="1" t="s">
        <v>45</v>
      </c>
      <c r="Y2049" s="1">
        <v>4.82123033E8</v>
      </c>
      <c r="AA2049" s="1" t="s">
        <v>607</v>
      </c>
      <c r="AB2049" s="1" t="s">
        <v>45</v>
      </c>
      <c r="AC2049" s="1">
        <v>4.82123033E8</v>
      </c>
      <c r="AF2049" s="1">
        <v>34812.0</v>
      </c>
      <c r="AG2049" s="2">
        <v>41897.0</v>
      </c>
      <c r="AH2049" s="1">
        <v>9100.0</v>
      </c>
      <c r="AI2049" s="1" t="s">
        <v>194</v>
      </c>
      <c r="AJ2049" s="1" t="s">
        <v>3742</v>
      </c>
      <c r="AK2049" s="1" t="s">
        <v>463</v>
      </c>
      <c r="AL2049" s="1">
        <v>1.0</v>
      </c>
      <c r="AM2049" s="1">
        <v>2015.0</v>
      </c>
      <c r="AN2049" s="1">
        <v>2014.0</v>
      </c>
      <c r="AO2049" s="1" t="s">
        <v>277</v>
      </c>
    </row>
    <row r="2050">
      <c r="A2050" s="5">
        <v>1.0</v>
      </c>
      <c r="B2050" s="1">
        <f t="shared" si="1"/>
        <v>2050</v>
      </c>
      <c r="C2050" s="1" t="s">
        <v>3472</v>
      </c>
      <c r="D2050" s="1" t="s">
        <v>3472</v>
      </c>
      <c r="E2050" s="1" t="s">
        <v>194</v>
      </c>
      <c r="G2050" s="1">
        <v>8.9168336E7</v>
      </c>
      <c r="H2050" s="2">
        <v>41934.0</v>
      </c>
      <c r="I2050" s="1" t="s">
        <v>458</v>
      </c>
      <c r="K2050" s="1" t="s">
        <v>458</v>
      </c>
      <c r="N2050" s="1" t="s">
        <v>194</v>
      </c>
      <c r="O2050" s="1">
        <v>9100.0</v>
      </c>
      <c r="P2050" s="1" t="s">
        <v>194</v>
      </c>
      <c r="Q2050" s="1" t="str">
        <f>IF(ISERROR(VLOOKUP(P2050,'unique fed agency names'!A:C,3,FALSE)),P2050,VLOOKUP(P2050,'unique fed agency names'!A:C,3,FALSE))
</f>
        <v>U.S. Department of Education (ED)</v>
      </c>
      <c r="R2050" s="1">
        <v>7.8346351E7</v>
      </c>
      <c r="S2050" s="1" t="s">
        <v>615</v>
      </c>
      <c r="T2050" s="1" t="str">
        <f>IF(ISERROR(VLOOKUP(S2050,'unique org names'!A:C,3,FALSE)),S2050,VLOOKUP(S2050,'unique org names'!A:C,3,FALSE))
</f>
        <v>Education Achievement Authority</v>
      </c>
      <c r="V2050" s="1" t="s">
        <v>1708</v>
      </c>
      <c r="W2050" s="1" t="s">
        <v>44</v>
      </c>
      <c r="X2050" s="1" t="s">
        <v>45</v>
      </c>
      <c r="Y2050" s="1">
        <v>4.82074457E8</v>
      </c>
      <c r="AA2050" s="1" t="s">
        <v>44</v>
      </c>
      <c r="AB2050" s="1" t="s">
        <v>45</v>
      </c>
      <c r="AC2050" s="1">
        <v>4.82074298E8</v>
      </c>
      <c r="AD2050" s="1">
        <v>9.67815499E8</v>
      </c>
      <c r="AE2050" s="1" t="s">
        <v>3743</v>
      </c>
      <c r="AF2050" s="1">
        <v>2237903.0</v>
      </c>
      <c r="AG2050" s="2">
        <v>41934.0</v>
      </c>
      <c r="AH2050" s="1">
        <v>9100.0</v>
      </c>
      <c r="AI2050" s="1" t="s">
        <v>194</v>
      </c>
      <c r="AJ2050" s="1" t="s">
        <v>3744</v>
      </c>
      <c r="AK2050" s="1" t="s">
        <v>463</v>
      </c>
      <c r="AL2050" s="1">
        <v>1.0</v>
      </c>
      <c r="AM2050" s="1">
        <v>2015.0</v>
      </c>
      <c r="AN2050" s="1">
        <v>2015.0</v>
      </c>
      <c r="AO2050" s="1" t="s">
        <v>277</v>
      </c>
    </row>
    <row r="2051">
      <c r="A2051" s="5">
        <v>1.0</v>
      </c>
      <c r="B2051" s="1">
        <f t="shared" si="1"/>
        <v>2051</v>
      </c>
      <c r="C2051" s="1" t="s">
        <v>3472</v>
      </c>
      <c r="D2051" s="1" t="s">
        <v>3472</v>
      </c>
      <c r="E2051" s="1" t="s">
        <v>194</v>
      </c>
      <c r="G2051" s="1">
        <v>8.9168336E7</v>
      </c>
      <c r="H2051" s="2">
        <v>41935.0</v>
      </c>
      <c r="I2051" s="1" t="s">
        <v>458</v>
      </c>
      <c r="K2051" s="1" t="s">
        <v>458</v>
      </c>
      <c r="N2051" s="1" t="s">
        <v>194</v>
      </c>
      <c r="O2051" s="1">
        <v>9100.0</v>
      </c>
      <c r="P2051" s="1" t="s">
        <v>194</v>
      </c>
      <c r="Q2051" s="1" t="str">
        <f>IF(ISERROR(VLOOKUP(P2051,'unique fed agency names'!A:C,3,FALSE)),P2051,VLOOKUP(P2051,'unique fed agency names'!A:C,3,FALSE))
</f>
        <v>U.S. Department of Education (ED)</v>
      </c>
      <c r="R2051" s="1">
        <v>9.65778702E8</v>
      </c>
      <c r="S2051" s="1" t="s">
        <v>493</v>
      </c>
      <c r="T2051" s="1" t="str">
        <f>IF(ISERROR(VLOOKUP(S2051,'unique org names'!A:C,3,FALSE)),S2051,VLOOKUP(S2051,'unique org names'!A:C,3,FALSE))
</f>
        <v>COVENANT HOUSE ACADEMY CENTRAL</v>
      </c>
      <c r="U2051" s="1" t="s">
        <v>3745</v>
      </c>
      <c r="V2051" s="1" t="s">
        <v>494</v>
      </c>
      <c r="W2051" s="1" t="s">
        <v>44</v>
      </c>
      <c r="X2051" s="1" t="s">
        <v>45</v>
      </c>
      <c r="Y2051" s="1">
        <v>4.82082475E8</v>
      </c>
      <c r="AA2051" s="1" t="s">
        <v>44</v>
      </c>
      <c r="AB2051" s="1" t="s">
        <v>45</v>
      </c>
      <c r="AC2051" s="1">
        <v>4.82082475E8</v>
      </c>
      <c r="AD2051" s="1">
        <v>4.0917864E7</v>
      </c>
      <c r="AF2051" s="1">
        <v>30745.0</v>
      </c>
      <c r="AG2051" s="2">
        <v>41935.0</v>
      </c>
      <c r="AH2051" s="1">
        <v>9100.0</v>
      </c>
      <c r="AI2051" s="1" t="s">
        <v>194</v>
      </c>
      <c r="AJ2051" s="1" t="s">
        <v>3746</v>
      </c>
      <c r="AK2051" s="1" t="s">
        <v>463</v>
      </c>
      <c r="AL2051" s="1">
        <v>1.0</v>
      </c>
      <c r="AM2051" s="1">
        <v>2015.0</v>
      </c>
      <c r="AN2051" s="1">
        <v>2015.0</v>
      </c>
      <c r="AO2051" s="1" t="s">
        <v>277</v>
      </c>
    </row>
    <row r="2052">
      <c r="A2052" s="5">
        <v>1.0</v>
      </c>
      <c r="B2052" s="1">
        <f t="shared" si="1"/>
        <v>2052</v>
      </c>
      <c r="C2052" s="1" t="s">
        <v>3472</v>
      </c>
      <c r="D2052" s="1" t="s">
        <v>3472</v>
      </c>
      <c r="E2052" s="1" t="s">
        <v>194</v>
      </c>
      <c r="G2052" s="1">
        <v>8.9168336E7</v>
      </c>
      <c r="H2052" s="2">
        <v>41932.0</v>
      </c>
      <c r="I2052" s="1" t="s">
        <v>458</v>
      </c>
      <c r="K2052" s="1" t="s">
        <v>458</v>
      </c>
      <c r="N2052" s="1" t="s">
        <v>194</v>
      </c>
      <c r="O2052" s="1">
        <v>9100.0</v>
      </c>
      <c r="P2052" s="1" t="s">
        <v>194</v>
      </c>
      <c r="Q2052" s="1" t="str">
        <f>IF(ISERROR(VLOOKUP(P2052,'unique fed agency names'!A:C,3,FALSE)),P2052,VLOOKUP(P2052,'unique fed agency names'!A:C,3,FALSE))
</f>
        <v>U.S. Department of Education (ED)</v>
      </c>
      <c r="R2052" s="1">
        <v>3537326.0</v>
      </c>
      <c r="S2052" s="1" t="s">
        <v>560</v>
      </c>
      <c r="T2052" s="1" t="str">
        <f>IF(ISERROR(VLOOKUP(S2052,'unique org names'!A:C,3,FALSE)),S2052,VLOOKUP(S2052,'unique org names'!A:C,3,FALSE))
</f>
        <v>COMMONWEALTH COMMUNITY DEVELOPMENT ACADEMY</v>
      </c>
      <c r="V2052" s="1" t="s">
        <v>561</v>
      </c>
      <c r="W2052" s="1" t="s">
        <v>44</v>
      </c>
      <c r="X2052" s="1" t="s">
        <v>45</v>
      </c>
      <c r="Y2052" s="1">
        <v>4.8212177E8</v>
      </c>
      <c r="AA2052" s="1" t="s">
        <v>498</v>
      </c>
      <c r="AB2052" s="1" t="s">
        <v>45</v>
      </c>
      <c r="AC2052" s="1">
        <v>4.82121754E8</v>
      </c>
      <c r="AD2052" s="1">
        <v>3537326.0</v>
      </c>
      <c r="AE2052" s="1" t="s">
        <v>560</v>
      </c>
      <c r="AF2052" s="1">
        <v>64833.0</v>
      </c>
      <c r="AG2052" s="2">
        <v>41932.0</v>
      </c>
      <c r="AH2052" s="1">
        <v>9100.0</v>
      </c>
      <c r="AI2052" s="1" t="s">
        <v>194</v>
      </c>
      <c r="AJ2052" s="1" t="s">
        <v>3747</v>
      </c>
      <c r="AK2052" s="1" t="s">
        <v>463</v>
      </c>
      <c r="AL2052" s="1">
        <v>1.0</v>
      </c>
      <c r="AM2052" s="1">
        <v>2015.0</v>
      </c>
      <c r="AN2052" s="1">
        <v>2015.0</v>
      </c>
      <c r="AO2052" s="1" t="s">
        <v>277</v>
      </c>
    </row>
    <row r="2053">
      <c r="A2053" s="5">
        <v>1.0</v>
      </c>
      <c r="B2053" s="1">
        <f t="shared" si="1"/>
        <v>2053</v>
      </c>
      <c r="C2053" s="1" t="s">
        <v>3472</v>
      </c>
      <c r="D2053" s="1" t="s">
        <v>3472</v>
      </c>
      <c r="E2053" s="1" t="s">
        <v>194</v>
      </c>
      <c r="G2053" s="1">
        <v>8.9168336E7</v>
      </c>
      <c r="H2053" s="2">
        <v>41922.0</v>
      </c>
      <c r="I2053" s="1" t="s">
        <v>458</v>
      </c>
      <c r="K2053" s="1" t="s">
        <v>458</v>
      </c>
      <c r="N2053" s="1" t="s">
        <v>194</v>
      </c>
      <c r="O2053" s="1">
        <v>9100.0</v>
      </c>
      <c r="P2053" s="1" t="s">
        <v>194</v>
      </c>
      <c r="Q2053" s="1" t="str">
        <f>IF(ISERROR(VLOOKUP(P2053,'unique fed agency names'!A:C,3,FALSE)),P2053,VLOOKUP(P2053,'unique fed agency names'!A:C,3,FALSE))
</f>
        <v>U.S. Department of Education (ED)</v>
      </c>
      <c r="R2053" s="1">
        <v>7.8583963E7</v>
      </c>
      <c r="S2053" s="1" t="s">
        <v>526</v>
      </c>
      <c r="T2053" s="1" t="str">
        <f>IF(ISERROR(VLOOKUP(S2053,'unique org names'!A:C,3,FALSE)),S2053,VLOOKUP(S2053,'unique org names'!A:C,3,FALSE))
</f>
        <v>WAY ACADEMY</v>
      </c>
      <c r="U2053" s="1" t="s">
        <v>3501</v>
      </c>
      <c r="V2053" s="1" t="s">
        <v>3020</v>
      </c>
      <c r="W2053" s="1" t="s">
        <v>44</v>
      </c>
      <c r="X2053" s="1" t="s">
        <v>45</v>
      </c>
      <c r="Y2053" s="1">
        <v>4.82091434E8</v>
      </c>
      <c r="AA2053" s="1" t="s">
        <v>46</v>
      </c>
      <c r="AB2053" s="1" t="s">
        <v>45</v>
      </c>
      <c r="AC2053" s="1">
        <v>4.82091434E8</v>
      </c>
      <c r="AD2053" s="1">
        <v>5.3665132E7</v>
      </c>
      <c r="AF2053" s="1">
        <v>59640.0</v>
      </c>
      <c r="AG2053" s="2">
        <v>41922.0</v>
      </c>
      <c r="AH2053" s="1">
        <v>9100.0</v>
      </c>
      <c r="AI2053" s="1" t="s">
        <v>194</v>
      </c>
      <c r="AJ2053" s="1" t="s">
        <v>3748</v>
      </c>
      <c r="AK2053" s="1" t="s">
        <v>463</v>
      </c>
      <c r="AL2053" s="1">
        <v>1.0</v>
      </c>
      <c r="AM2053" s="1">
        <v>2015.0</v>
      </c>
      <c r="AN2053" s="1">
        <v>2015.0</v>
      </c>
      <c r="AO2053" s="1" t="s">
        <v>277</v>
      </c>
    </row>
    <row r="2054">
      <c r="A2054" s="5">
        <v>1.0</v>
      </c>
      <c r="B2054" s="1">
        <f t="shared" si="1"/>
        <v>2054</v>
      </c>
      <c r="C2054" s="1" t="s">
        <v>1913</v>
      </c>
      <c r="D2054" s="1" t="s">
        <v>1913</v>
      </c>
      <c r="E2054" s="1" t="s">
        <v>645</v>
      </c>
      <c r="G2054" s="1">
        <v>1.4642656E8</v>
      </c>
      <c r="H2054" s="2">
        <v>41977.0</v>
      </c>
      <c r="I2054" s="1" t="s">
        <v>710</v>
      </c>
      <c r="K2054" s="1" t="s">
        <v>710</v>
      </c>
      <c r="N2054" s="1" t="s">
        <v>647</v>
      </c>
      <c r="O2054" s="1">
        <v>1200.0</v>
      </c>
      <c r="P2054" s="1" t="s">
        <v>647</v>
      </c>
      <c r="Q2054" s="1" t="str">
        <f>IF(ISERROR(VLOOKUP(P2054,'unique fed agency names'!A:C,3,FALSE)),P2054,VLOOKUP(P2054,'unique fed agency names'!A:C,3,FALSE))
</f>
        <v>U.S. Department of Agriculture (USDA)</v>
      </c>
      <c r="R2054" s="1">
        <v>8.31014068E8</v>
      </c>
      <c r="S2054" s="1" t="s">
        <v>515</v>
      </c>
      <c r="T2054" s="1" t="str">
        <f>IF(ISERROR(VLOOKUP(S2054,'unique org names'!A:C,3,FALSE)),S2054,VLOOKUP(S2054,'unique org names'!A:C,3,FALSE))
</f>
        <v>DETROIT PREMIER ACADEMY</v>
      </c>
      <c r="V2054" s="1" t="s">
        <v>516</v>
      </c>
      <c r="W2054" s="1" t="s">
        <v>44</v>
      </c>
      <c r="X2054" s="1" t="s">
        <v>45</v>
      </c>
      <c r="Y2054" s="1">
        <v>4.82283685E8</v>
      </c>
      <c r="AA2054" s="1" t="s">
        <v>46</v>
      </c>
      <c r="AB2054" s="1" t="s">
        <v>45</v>
      </c>
      <c r="AC2054" s="1">
        <v>4.82283685E8</v>
      </c>
      <c r="AD2054" s="1">
        <v>9.60742484E8</v>
      </c>
      <c r="AF2054" s="1">
        <v>68332.86</v>
      </c>
      <c r="AG2054" s="2">
        <v>41977.0</v>
      </c>
      <c r="AH2054" s="1">
        <v>1200.0</v>
      </c>
      <c r="AI2054" s="1" t="s">
        <v>647</v>
      </c>
      <c r="AJ2054" s="1" t="s">
        <v>3749</v>
      </c>
      <c r="AK2054" s="1" t="s">
        <v>712</v>
      </c>
      <c r="AL2054" s="1">
        <v>1.0</v>
      </c>
      <c r="AM2054" s="1">
        <v>2015.0</v>
      </c>
      <c r="AN2054" s="1">
        <v>2015.0</v>
      </c>
      <c r="AO2054" s="1" t="s">
        <v>713</v>
      </c>
    </row>
    <row r="2055">
      <c r="A2055" s="5">
        <v>1.0</v>
      </c>
      <c r="B2055" s="1">
        <f t="shared" si="1"/>
        <v>2055</v>
      </c>
      <c r="C2055" s="1" t="s">
        <v>3750</v>
      </c>
      <c r="D2055" s="1" t="s">
        <v>3750</v>
      </c>
      <c r="E2055" s="1" t="s">
        <v>129</v>
      </c>
      <c r="G2055" s="1">
        <v>2.466944E7</v>
      </c>
      <c r="H2055" s="2">
        <v>41913.0</v>
      </c>
      <c r="I2055" s="1" t="s">
        <v>3751</v>
      </c>
      <c r="K2055" s="1" t="s">
        <v>3751</v>
      </c>
      <c r="N2055" s="1" t="s">
        <v>40</v>
      </c>
      <c r="O2055" s="1">
        <v>7500.0</v>
      </c>
      <c r="P2055" s="1" t="s">
        <v>40</v>
      </c>
      <c r="Q2055" s="1" t="str">
        <f>IF(ISERROR(VLOOKUP(P2055,'unique fed agency names'!A:C,3,FALSE)),P2055,VLOOKUP(P2055,'unique fed agency names'!A:C,3,FALSE))
</f>
        <v>U.S. Department of Health and Human Services (DHHS)</v>
      </c>
      <c r="R2055" s="1">
        <v>7.8074923E8</v>
      </c>
      <c r="S2055" s="1" t="s">
        <v>419</v>
      </c>
      <c r="T2055" s="1" t="str">
        <f>IF(ISERROR(VLOOKUP(S2055,'unique org names'!A:C,3,FALSE)),S2055,VLOOKUP(S2055,'unique org names'!A:C,3,FALSE))
</f>
        <v>ALTERNATIVES FOR GIRLS</v>
      </c>
      <c r="V2055" s="1" t="s">
        <v>420</v>
      </c>
      <c r="W2055" s="1" t="s">
        <v>44</v>
      </c>
      <c r="X2055" s="1" t="s">
        <v>45</v>
      </c>
      <c r="Y2055" s="1">
        <v>4.82082365E8</v>
      </c>
      <c r="AA2055" s="1" t="s">
        <v>44</v>
      </c>
      <c r="AB2055" s="1" t="s">
        <v>45</v>
      </c>
      <c r="AC2055" s="1">
        <v>4.82082365E8</v>
      </c>
      <c r="AF2055" s="1">
        <v>177320.0</v>
      </c>
      <c r="AG2055" s="2">
        <v>41913.0</v>
      </c>
      <c r="AH2055" s="1">
        <v>7500.0</v>
      </c>
      <c r="AI2055" s="1" t="s">
        <v>40</v>
      </c>
      <c r="AJ2055" s="1" t="s">
        <v>2817</v>
      </c>
      <c r="AK2055" s="1" t="s">
        <v>3752</v>
      </c>
      <c r="AL2055" s="1">
        <v>11.0</v>
      </c>
      <c r="AM2055" s="1">
        <v>2014.0</v>
      </c>
      <c r="AN2055" s="1">
        <v>2015.0</v>
      </c>
      <c r="AO2055" s="1" t="s">
        <v>1275</v>
      </c>
    </row>
    <row r="2056">
      <c r="A2056" s="5">
        <v>1.0</v>
      </c>
      <c r="B2056" s="1">
        <f t="shared" si="1"/>
        <v>2056</v>
      </c>
      <c r="C2056" s="1" t="s">
        <v>3472</v>
      </c>
      <c r="D2056" s="1" t="s">
        <v>3472</v>
      </c>
      <c r="E2056" s="1" t="s">
        <v>194</v>
      </c>
      <c r="G2056" s="1">
        <v>8.9168336E7</v>
      </c>
      <c r="H2056" s="2">
        <v>41897.0</v>
      </c>
      <c r="I2056" s="1" t="s">
        <v>458</v>
      </c>
      <c r="K2056" s="1" t="s">
        <v>458</v>
      </c>
      <c r="N2056" s="1" t="s">
        <v>194</v>
      </c>
      <c r="O2056" s="1">
        <v>9100.0</v>
      </c>
      <c r="P2056" s="1" t="s">
        <v>194</v>
      </c>
      <c r="Q2056" s="1" t="str">
        <f>IF(ISERROR(VLOOKUP(P2056,'unique fed agency names'!A:C,3,FALSE)),P2056,VLOOKUP(P2056,'unique fed agency names'!A:C,3,FALSE))
</f>
        <v>U.S. Department of Education (ED)</v>
      </c>
      <c r="R2056" s="1">
        <v>1.17726252E8</v>
      </c>
      <c r="S2056" s="1" t="s">
        <v>512</v>
      </c>
      <c r="T2056" s="1" t="str">
        <f>IF(ISERROR(VLOOKUP(S2056,'unique org names'!A:C,3,FALSE)),S2056,VLOOKUP(S2056,'unique org names'!A:C,3,FALSE))
</f>
        <v>OLD REDFORD ACADEMY</v>
      </c>
      <c r="V2056" s="1" t="s">
        <v>513</v>
      </c>
      <c r="W2056" s="1" t="s">
        <v>44</v>
      </c>
      <c r="X2056" s="1" t="s">
        <v>45</v>
      </c>
      <c r="Y2056" s="1">
        <v>4.82193259E8</v>
      </c>
      <c r="AA2056" s="1" t="s">
        <v>44</v>
      </c>
      <c r="AB2056" s="1" t="s">
        <v>45</v>
      </c>
      <c r="AC2056" s="1">
        <v>4.82193259E8</v>
      </c>
      <c r="AD2056" s="1">
        <v>5.56790715E8</v>
      </c>
      <c r="AE2056" s="1" t="s">
        <v>3725</v>
      </c>
      <c r="AF2056" s="1">
        <v>26000.0</v>
      </c>
      <c r="AG2056" s="2">
        <v>41897.0</v>
      </c>
      <c r="AH2056" s="1">
        <v>9100.0</v>
      </c>
      <c r="AI2056" s="1" t="s">
        <v>194</v>
      </c>
      <c r="AJ2056" s="1" t="s">
        <v>3753</v>
      </c>
      <c r="AK2056" s="1" t="s">
        <v>463</v>
      </c>
      <c r="AL2056" s="1">
        <v>1.0</v>
      </c>
      <c r="AM2056" s="1">
        <v>2015.0</v>
      </c>
      <c r="AN2056" s="1">
        <v>2014.0</v>
      </c>
      <c r="AO2056" s="1" t="s">
        <v>277</v>
      </c>
    </row>
    <row r="2057">
      <c r="A2057" s="5">
        <v>1.0</v>
      </c>
      <c r="B2057" s="1">
        <f t="shared" si="1"/>
        <v>2057</v>
      </c>
      <c r="C2057" s="1" t="s">
        <v>3472</v>
      </c>
      <c r="D2057" s="1" t="s">
        <v>3472</v>
      </c>
      <c r="E2057" s="1" t="s">
        <v>194</v>
      </c>
      <c r="G2057" s="1">
        <v>8.9168336E7</v>
      </c>
      <c r="H2057" s="2">
        <v>41891.0</v>
      </c>
      <c r="I2057" s="1" t="s">
        <v>458</v>
      </c>
      <c r="K2057" s="1" t="s">
        <v>458</v>
      </c>
      <c r="N2057" s="1" t="s">
        <v>194</v>
      </c>
      <c r="O2057" s="1">
        <v>9100.0</v>
      </c>
      <c r="P2057" s="1" t="s">
        <v>194</v>
      </c>
      <c r="Q2057" s="1" t="str">
        <f>IF(ISERROR(VLOOKUP(P2057,'unique fed agency names'!A:C,3,FALSE)),P2057,VLOOKUP(P2057,'unique fed agency names'!A:C,3,FALSE))
</f>
        <v>U.S. Department of Education (ED)</v>
      </c>
      <c r="R2057" s="1">
        <v>9.62104118E8</v>
      </c>
      <c r="S2057" s="1" t="s">
        <v>634</v>
      </c>
      <c r="T2057" s="1" t="str">
        <f>IF(ISERROR(VLOOKUP(S2057,'unique org names'!A:C,3,FALSE)),S2057,VLOOKUP(S2057,'unique org names'!A:C,3,FALSE))
</f>
        <v>UNIVERSITY YES ACADEMY</v>
      </c>
      <c r="V2057" s="1" t="s">
        <v>635</v>
      </c>
      <c r="W2057" s="1" t="s">
        <v>44</v>
      </c>
      <c r="X2057" s="1" t="s">
        <v>45</v>
      </c>
      <c r="Y2057" s="1">
        <v>4.82351111E8</v>
      </c>
      <c r="AA2057" s="1" t="s">
        <v>46</v>
      </c>
      <c r="AB2057" s="1" t="s">
        <v>45</v>
      </c>
      <c r="AC2057" s="1">
        <v>4.82351111E8</v>
      </c>
      <c r="AD2057" s="1">
        <v>8.5899185E7</v>
      </c>
      <c r="AE2057" s="1" t="s">
        <v>3444</v>
      </c>
      <c r="AF2057" s="1">
        <v>27852.0</v>
      </c>
      <c r="AG2057" s="2">
        <v>41891.0</v>
      </c>
      <c r="AH2057" s="1">
        <v>9100.0</v>
      </c>
      <c r="AI2057" s="1" t="s">
        <v>194</v>
      </c>
      <c r="AJ2057" s="1" t="s">
        <v>3754</v>
      </c>
      <c r="AK2057" s="1" t="s">
        <v>463</v>
      </c>
      <c r="AL2057" s="1">
        <v>1.0</v>
      </c>
      <c r="AM2057" s="1">
        <v>2015.0</v>
      </c>
      <c r="AN2057" s="1">
        <v>2014.0</v>
      </c>
      <c r="AO2057" s="1" t="s">
        <v>277</v>
      </c>
    </row>
    <row r="2058">
      <c r="A2058" s="5">
        <v>1.0</v>
      </c>
      <c r="B2058" s="1">
        <f t="shared" si="1"/>
        <v>2058</v>
      </c>
      <c r="C2058" s="1" t="s">
        <v>3472</v>
      </c>
      <c r="D2058" s="1" t="s">
        <v>3472</v>
      </c>
      <c r="E2058" s="1" t="s">
        <v>194</v>
      </c>
      <c r="G2058" s="1">
        <v>8.9168336E7</v>
      </c>
      <c r="H2058" s="2">
        <v>41878.0</v>
      </c>
      <c r="I2058" s="1" t="s">
        <v>458</v>
      </c>
      <c r="K2058" s="1" t="s">
        <v>458</v>
      </c>
      <c r="N2058" s="1" t="s">
        <v>194</v>
      </c>
      <c r="O2058" s="1">
        <v>9100.0</v>
      </c>
      <c r="P2058" s="1" t="s">
        <v>194</v>
      </c>
      <c r="Q2058" s="1" t="str">
        <f>IF(ISERROR(VLOOKUP(P2058,'unique fed agency names'!A:C,3,FALSE)),P2058,VLOOKUP(P2058,'unique fed agency names'!A:C,3,FALSE))
</f>
        <v>U.S. Department of Education (ED)</v>
      </c>
      <c r="R2058" s="1">
        <v>8.31014068E8</v>
      </c>
      <c r="S2058" s="1" t="s">
        <v>515</v>
      </c>
      <c r="T2058" s="1" t="str">
        <f>IF(ISERROR(VLOOKUP(S2058,'unique org names'!A:C,3,FALSE)),S2058,VLOOKUP(S2058,'unique org names'!A:C,3,FALSE))
</f>
        <v>DETROIT PREMIER ACADEMY</v>
      </c>
      <c r="V2058" s="1" t="s">
        <v>516</v>
      </c>
      <c r="W2058" s="1" t="s">
        <v>44</v>
      </c>
      <c r="X2058" s="1" t="s">
        <v>45</v>
      </c>
      <c r="Y2058" s="1">
        <v>4.82283685E8</v>
      </c>
      <c r="AA2058" s="1" t="s">
        <v>46</v>
      </c>
      <c r="AB2058" s="1" t="s">
        <v>45</v>
      </c>
      <c r="AC2058" s="1">
        <v>4.82283685E8</v>
      </c>
      <c r="AD2058" s="1">
        <v>9.60742484E8</v>
      </c>
      <c r="AF2058" s="1">
        <v>28105.0</v>
      </c>
      <c r="AG2058" s="2">
        <v>41878.0</v>
      </c>
      <c r="AH2058" s="1">
        <v>9100.0</v>
      </c>
      <c r="AI2058" s="1" t="s">
        <v>194</v>
      </c>
      <c r="AJ2058" s="1" t="s">
        <v>3755</v>
      </c>
      <c r="AK2058" s="1" t="s">
        <v>463</v>
      </c>
      <c r="AL2058" s="1">
        <v>1.0</v>
      </c>
      <c r="AM2058" s="1">
        <v>2015.0</v>
      </c>
      <c r="AN2058" s="1">
        <v>2014.0</v>
      </c>
      <c r="AO2058" s="1" t="s">
        <v>277</v>
      </c>
    </row>
    <row r="2059">
      <c r="A2059" s="5">
        <v>1.0</v>
      </c>
      <c r="B2059" s="1">
        <f t="shared" si="1"/>
        <v>2059</v>
      </c>
      <c r="C2059" s="1" t="s">
        <v>3472</v>
      </c>
      <c r="D2059" s="1" t="s">
        <v>3472</v>
      </c>
      <c r="E2059" s="1" t="s">
        <v>194</v>
      </c>
      <c r="G2059" s="1">
        <v>8.9168336E7</v>
      </c>
      <c r="H2059" s="2">
        <v>41886.0</v>
      </c>
      <c r="I2059" s="1" t="s">
        <v>458</v>
      </c>
      <c r="K2059" s="1" t="s">
        <v>458</v>
      </c>
      <c r="N2059" s="1" t="s">
        <v>194</v>
      </c>
      <c r="O2059" s="1">
        <v>9100.0</v>
      </c>
      <c r="P2059" s="1" t="s">
        <v>194</v>
      </c>
      <c r="Q2059" s="1" t="str">
        <f>IF(ISERROR(VLOOKUP(P2059,'unique fed agency names'!A:C,3,FALSE)),P2059,VLOOKUP(P2059,'unique fed agency names'!A:C,3,FALSE))
</f>
        <v>U.S. Department of Education (ED)</v>
      </c>
      <c r="R2059" s="1">
        <v>7.8811813E7</v>
      </c>
      <c r="S2059" s="1" t="s">
        <v>2629</v>
      </c>
      <c r="T2059" s="1" t="str">
        <f>IF(ISERROR(VLOOKUP(S2059,'unique org names'!A:C,3,FALSE)),S2059,VLOOKUP(S2059,'unique org names'!A:C,3,FALSE))
</f>
        <v>Rutherford Winans Academy</v>
      </c>
      <c r="V2059" s="1">
        <v>16411.0</v>
      </c>
      <c r="W2059" s="1" t="s">
        <v>44</v>
      </c>
      <c r="X2059" s="1" t="s">
        <v>45</v>
      </c>
      <c r="Y2059" s="1">
        <v>48225.0</v>
      </c>
      <c r="AA2059" s="1" t="s">
        <v>46</v>
      </c>
      <c r="AB2059" s="1" t="s">
        <v>45</v>
      </c>
      <c r="AC2059" s="1">
        <v>4.8238E8</v>
      </c>
      <c r="AF2059" s="1">
        <v>38715.0</v>
      </c>
      <c r="AG2059" s="2">
        <v>41886.0</v>
      </c>
      <c r="AH2059" s="1">
        <v>9100.0</v>
      </c>
      <c r="AI2059" s="1" t="s">
        <v>194</v>
      </c>
      <c r="AJ2059" s="1" t="s">
        <v>3756</v>
      </c>
      <c r="AK2059" s="1" t="s">
        <v>463</v>
      </c>
      <c r="AL2059" s="1">
        <v>1.0</v>
      </c>
      <c r="AM2059" s="1">
        <v>2015.0</v>
      </c>
      <c r="AN2059" s="1">
        <v>2014.0</v>
      </c>
      <c r="AO2059" s="1" t="s">
        <v>277</v>
      </c>
    </row>
    <row r="2060">
      <c r="A2060" s="5">
        <v>1.0</v>
      </c>
      <c r="B2060" s="1">
        <f t="shared" si="1"/>
        <v>2060</v>
      </c>
      <c r="C2060" s="1" t="s">
        <v>3472</v>
      </c>
      <c r="D2060" s="1" t="s">
        <v>3472</v>
      </c>
      <c r="E2060" s="1" t="s">
        <v>194</v>
      </c>
      <c r="G2060" s="1">
        <v>8.9168336E7</v>
      </c>
      <c r="H2060" s="2">
        <v>41984.0</v>
      </c>
      <c r="I2060" s="1" t="s">
        <v>458</v>
      </c>
      <c r="K2060" s="1" t="s">
        <v>458</v>
      </c>
      <c r="N2060" s="1" t="s">
        <v>194</v>
      </c>
      <c r="O2060" s="1">
        <v>9100.0</v>
      </c>
      <c r="P2060" s="1" t="s">
        <v>194</v>
      </c>
      <c r="Q2060" s="1" t="str">
        <f>IF(ISERROR(VLOOKUP(P2060,'unique fed agency names'!A:C,3,FALSE)),P2060,VLOOKUP(P2060,'unique fed agency names'!A:C,3,FALSE))
</f>
        <v>U.S. Department of Education (ED)</v>
      </c>
      <c r="R2060" s="1">
        <v>8.29503312E8</v>
      </c>
      <c r="S2060" s="1" t="s">
        <v>622</v>
      </c>
      <c r="T2060" s="1" t="str">
        <f>IF(ISERROR(VLOOKUP(S2060,'unique org names'!A:C,3,FALSE)),S2060,VLOOKUP(S2060,'unique org names'!A:C,3,FALSE))
</f>
        <v>GEORGE WASHINGTON CARVER ACADEMY</v>
      </c>
      <c r="U2060" s="1" t="s">
        <v>3757</v>
      </c>
      <c r="V2060" s="1" t="s">
        <v>623</v>
      </c>
      <c r="W2060" s="1" t="s">
        <v>44</v>
      </c>
      <c r="X2060" s="1" t="s">
        <v>45</v>
      </c>
      <c r="Y2060" s="1">
        <v>4.82035715E8</v>
      </c>
      <c r="AA2060" s="1" t="s">
        <v>603</v>
      </c>
      <c r="AB2060" s="1" t="s">
        <v>45</v>
      </c>
      <c r="AC2060" s="1">
        <v>4.82035715E8</v>
      </c>
      <c r="AD2060" s="1">
        <v>7.927615E7</v>
      </c>
      <c r="AE2060" s="1" t="s">
        <v>3641</v>
      </c>
      <c r="AF2060" s="1">
        <v>119510.0</v>
      </c>
      <c r="AG2060" s="2">
        <v>41984.0</v>
      </c>
      <c r="AH2060" s="1">
        <v>9100.0</v>
      </c>
      <c r="AI2060" s="1" t="s">
        <v>194</v>
      </c>
      <c r="AJ2060" s="1" t="s">
        <v>3758</v>
      </c>
      <c r="AK2060" s="1" t="s">
        <v>463</v>
      </c>
      <c r="AL2060" s="1">
        <v>1.0</v>
      </c>
      <c r="AM2060" s="1">
        <v>2015.0</v>
      </c>
      <c r="AN2060" s="1">
        <v>2015.0</v>
      </c>
      <c r="AO2060" s="1" t="s">
        <v>277</v>
      </c>
    </row>
    <row r="2061">
      <c r="A2061" s="5">
        <v>1.0</v>
      </c>
      <c r="B2061" s="1">
        <f t="shared" si="1"/>
        <v>2061</v>
      </c>
      <c r="C2061" s="1" t="s">
        <v>3515</v>
      </c>
      <c r="D2061" s="1" t="s">
        <v>3515</v>
      </c>
      <c r="E2061" s="1" t="s">
        <v>645</v>
      </c>
      <c r="G2061" s="1">
        <v>4.64793056E8</v>
      </c>
      <c r="H2061" s="2">
        <v>41963.0</v>
      </c>
      <c r="I2061" s="1" t="s">
        <v>710</v>
      </c>
      <c r="K2061" s="1" t="s">
        <v>710</v>
      </c>
      <c r="N2061" s="1" t="s">
        <v>647</v>
      </c>
      <c r="O2061" s="1">
        <v>1200.0</v>
      </c>
      <c r="P2061" s="1" t="s">
        <v>647</v>
      </c>
      <c r="Q2061" s="1" t="str">
        <f>IF(ISERROR(VLOOKUP(P2061,'unique fed agency names'!A:C,3,FALSE)),P2061,VLOOKUP(P2061,'unique fed agency names'!A:C,3,FALSE))
</f>
        <v>U.S. Department of Agriculture (USDA)</v>
      </c>
      <c r="R2061" s="1">
        <v>9.62949843E8</v>
      </c>
      <c r="S2061" s="1" t="s">
        <v>619</v>
      </c>
      <c r="T2061" s="1" t="str">
        <f>IF(ISERROR(VLOOKUP(S2061,'unique org names'!A:C,3,FALSE)),S2061,VLOOKUP(S2061,'unique org names'!A:C,3,FALSE))
</f>
        <v>ALLEN ACADEMY</v>
      </c>
      <c r="V2061" s="1" t="s">
        <v>620</v>
      </c>
      <c r="W2061" s="1" t="s">
        <v>44</v>
      </c>
      <c r="X2061" s="1" t="s">
        <v>45</v>
      </c>
      <c r="Y2061" s="1">
        <v>4.82042306E8</v>
      </c>
      <c r="AA2061" s="1" t="s">
        <v>44</v>
      </c>
      <c r="AB2061" s="1" t="s">
        <v>45</v>
      </c>
      <c r="AC2061" s="1">
        <v>4.82042306E8</v>
      </c>
      <c r="AD2061" s="1">
        <v>6.0187978E7</v>
      </c>
      <c r="AE2061" s="1" t="s">
        <v>480</v>
      </c>
      <c r="AF2061" s="1">
        <v>44709.29</v>
      </c>
      <c r="AG2061" s="2">
        <v>41963.0</v>
      </c>
      <c r="AH2061" s="1">
        <v>1200.0</v>
      </c>
      <c r="AI2061" s="1" t="s">
        <v>647</v>
      </c>
      <c r="AJ2061" s="1" t="s">
        <v>3759</v>
      </c>
      <c r="AK2061" s="1" t="s">
        <v>712</v>
      </c>
      <c r="AL2061" s="1">
        <v>1.0</v>
      </c>
      <c r="AM2061" s="1">
        <v>2015.0</v>
      </c>
      <c r="AN2061" s="1">
        <v>2015.0</v>
      </c>
      <c r="AO2061" s="1" t="s">
        <v>713</v>
      </c>
    </row>
    <row r="2062">
      <c r="A2062" s="5">
        <v>1.0</v>
      </c>
      <c r="B2062" s="1">
        <f t="shared" si="1"/>
        <v>2062</v>
      </c>
      <c r="C2062" s="1" t="s">
        <v>3515</v>
      </c>
      <c r="D2062" s="1" t="s">
        <v>3515</v>
      </c>
      <c r="E2062" s="1" t="s">
        <v>645</v>
      </c>
      <c r="G2062" s="1">
        <v>4.64793056E8</v>
      </c>
      <c r="H2062" s="2">
        <v>41928.0</v>
      </c>
      <c r="I2062" s="1" t="s">
        <v>710</v>
      </c>
      <c r="K2062" s="1" t="s">
        <v>710</v>
      </c>
      <c r="N2062" s="1" t="s">
        <v>647</v>
      </c>
      <c r="O2062" s="1">
        <v>1200.0</v>
      </c>
      <c r="P2062" s="1" t="s">
        <v>647</v>
      </c>
      <c r="Q2062" s="1" t="str">
        <f>IF(ISERROR(VLOOKUP(P2062,'unique fed agency names'!A:C,3,FALSE)),P2062,VLOOKUP(P2062,'unique fed agency names'!A:C,3,FALSE))
</f>
        <v>U.S. Department of Agriculture (USDA)</v>
      </c>
      <c r="R2062" s="1">
        <v>9.62104118E8</v>
      </c>
      <c r="S2062" s="1" t="s">
        <v>634</v>
      </c>
      <c r="T2062" s="1" t="str">
        <f>IF(ISERROR(VLOOKUP(S2062,'unique org names'!A:C,3,FALSE)),S2062,VLOOKUP(S2062,'unique org names'!A:C,3,FALSE))
</f>
        <v>UNIVERSITY YES ACADEMY</v>
      </c>
      <c r="V2062" s="1" t="s">
        <v>635</v>
      </c>
      <c r="W2062" s="1" t="s">
        <v>44</v>
      </c>
      <c r="X2062" s="1" t="s">
        <v>45</v>
      </c>
      <c r="Y2062" s="1">
        <v>4.82351111E8</v>
      </c>
      <c r="AA2062" s="1" t="s">
        <v>46</v>
      </c>
      <c r="AB2062" s="1" t="s">
        <v>45</v>
      </c>
      <c r="AC2062" s="1">
        <v>4.82351111E8</v>
      </c>
      <c r="AD2062" s="1">
        <v>2.0906988E7</v>
      </c>
      <c r="AE2062" s="1" t="s">
        <v>3760</v>
      </c>
      <c r="AF2062" s="1">
        <v>286121.72</v>
      </c>
      <c r="AG2062" s="2">
        <v>41928.0</v>
      </c>
      <c r="AH2062" s="1">
        <v>1200.0</v>
      </c>
      <c r="AI2062" s="1" t="s">
        <v>647</v>
      </c>
      <c r="AJ2062" s="1" t="s">
        <v>3761</v>
      </c>
      <c r="AK2062" s="1" t="s">
        <v>712</v>
      </c>
      <c r="AL2062" s="1">
        <v>1.0</v>
      </c>
      <c r="AM2062" s="1">
        <v>2015.0</v>
      </c>
      <c r="AN2062" s="1">
        <v>2015.0</v>
      </c>
      <c r="AO2062" s="1" t="s">
        <v>713</v>
      </c>
    </row>
    <row r="2063">
      <c r="A2063" s="5">
        <v>1.0</v>
      </c>
      <c r="B2063" s="1">
        <f t="shared" si="1"/>
        <v>2063</v>
      </c>
      <c r="C2063" s="1" t="s">
        <v>3515</v>
      </c>
      <c r="D2063" s="1" t="s">
        <v>3515</v>
      </c>
      <c r="E2063" s="1" t="s">
        <v>645</v>
      </c>
      <c r="G2063" s="1">
        <v>4.64793056E8</v>
      </c>
      <c r="H2063" s="2">
        <v>41928.0</v>
      </c>
      <c r="I2063" s="1" t="s">
        <v>710</v>
      </c>
      <c r="K2063" s="1" t="s">
        <v>710</v>
      </c>
      <c r="N2063" s="1" t="s">
        <v>647</v>
      </c>
      <c r="O2063" s="1">
        <v>1200.0</v>
      </c>
      <c r="P2063" s="1" t="s">
        <v>647</v>
      </c>
      <c r="Q2063" s="1" t="str">
        <f>IF(ISERROR(VLOOKUP(P2063,'unique fed agency names'!A:C,3,FALSE)),P2063,VLOOKUP(P2063,'unique fed agency names'!A:C,3,FALSE))
</f>
        <v>U.S. Department of Agriculture (USDA)</v>
      </c>
      <c r="R2063" s="1">
        <v>9.62949843E8</v>
      </c>
      <c r="S2063" s="1" t="s">
        <v>619</v>
      </c>
      <c r="T2063" s="1" t="str">
        <f>IF(ISERROR(VLOOKUP(S2063,'unique org names'!A:C,3,FALSE)),S2063,VLOOKUP(S2063,'unique org names'!A:C,3,FALSE))
</f>
        <v>ALLEN ACADEMY</v>
      </c>
      <c r="U2063" s="1" t="s">
        <v>3762</v>
      </c>
      <c r="V2063" s="1" t="s">
        <v>620</v>
      </c>
      <c r="W2063" s="1" t="s">
        <v>44</v>
      </c>
      <c r="X2063" s="1" t="s">
        <v>45</v>
      </c>
      <c r="Y2063" s="1">
        <v>4.82042306E8</v>
      </c>
      <c r="AA2063" s="1" t="s">
        <v>44</v>
      </c>
      <c r="AB2063" s="1" t="s">
        <v>45</v>
      </c>
      <c r="AC2063" s="1">
        <v>4.82042306E8</v>
      </c>
      <c r="AD2063" s="1">
        <v>1.0860328E7</v>
      </c>
      <c r="AE2063" s="1" t="s">
        <v>3763</v>
      </c>
      <c r="AF2063" s="1">
        <v>351821.88</v>
      </c>
      <c r="AG2063" s="2">
        <v>41928.0</v>
      </c>
      <c r="AH2063" s="1">
        <v>1200.0</v>
      </c>
      <c r="AI2063" s="1" t="s">
        <v>647</v>
      </c>
      <c r="AJ2063" s="1" t="s">
        <v>3764</v>
      </c>
      <c r="AK2063" s="1" t="s">
        <v>712</v>
      </c>
      <c r="AL2063" s="1">
        <v>1.0</v>
      </c>
      <c r="AM2063" s="1">
        <v>2015.0</v>
      </c>
      <c r="AN2063" s="1">
        <v>2015.0</v>
      </c>
      <c r="AO2063" s="1" t="s">
        <v>713</v>
      </c>
    </row>
    <row r="2064">
      <c r="A2064" s="5">
        <v>1.0</v>
      </c>
      <c r="B2064" s="1">
        <f t="shared" si="1"/>
        <v>2064</v>
      </c>
      <c r="C2064" s="1" t="s">
        <v>3515</v>
      </c>
      <c r="D2064" s="1" t="s">
        <v>3515</v>
      </c>
      <c r="E2064" s="1" t="s">
        <v>645</v>
      </c>
      <c r="G2064" s="1">
        <v>4.64793056E8</v>
      </c>
      <c r="H2064" s="2">
        <v>41935.0</v>
      </c>
      <c r="I2064" s="1" t="s">
        <v>710</v>
      </c>
      <c r="K2064" s="1" t="s">
        <v>710</v>
      </c>
      <c r="N2064" s="1" t="s">
        <v>647</v>
      </c>
      <c r="O2064" s="1">
        <v>1200.0</v>
      </c>
      <c r="P2064" s="1" t="s">
        <v>647</v>
      </c>
      <c r="Q2064" s="1" t="str">
        <f>IF(ISERROR(VLOOKUP(P2064,'unique fed agency names'!A:C,3,FALSE)),P2064,VLOOKUP(P2064,'unique fed agency names'!A:C,3,FALSE))
</f>
        <v>U.S. Department of Agriculture (USDA)</v>
      </c>
      <c r="R2064" s="1">
        <v>9.48021373E8</v>
      </c>
      <c r="S2064" s="1" t="s">
        <v>501</v>
      </c>
      <c r="T2064" s="1" t="str">
        <f>IF(ISERROR(VLOOKUP(S2064,'unique org names'!A:C,3,FALSE)),S2064,VLOOKUP(S2064,'unique org names'!A:C,3,FALSE))
</f>
        <v>WOODWARD ACADEMY</v>
      </c>
      <c r="V2064" s="1" t="s">
        <v>502</v>
      </c>
      <c r="W2064" s="1" t="s">
        <v>44</v>
      </c>
      <c r="X2064" s="1" t="s">
        <v>45</v>
      </c>
      <c r="Y2064" s="1">
        <v>4.82072901E8</v>
      </c>
      <c r="AA2064" s="1" t="s">
        <v>44</v>
      </c>
      <c r="AB2064" s="1" t="s">
        <v>45</v>
      </c>
      <c r="AC2064" s="1">
        <v>4.82072901E8</v>
      </c>
      <c r="AF2064" s="1">
        <v>140355.51</v>
      </c>
      <c r="AG2064" s="2">
        <v>41935.0</v>
      </c>
      <c r="AH2064" s="1">
        <v>1200.0</v>
      </c>
      <c r="AI2064" s="1" t="s">
        <v>647</v>
      </c>
      <c r="AJ2064" s="1" t="s">
        <v>3765</v>
      </c>
      <c r="AK2064" s="1" t="s">
        <v>712</v>
      </c>
      <c r="AL2064" s="1">
        <v>1.0</v>
      </c>
      <c r="AM2064" s="1">
        <v>2015.0</v>
      </c>
      <c r="AN2064" s="1">
        <v>2015.0</v>
      </c>
      <c r="AO2064" s="1" t="s">
        <v>713</v>
      </c>
    </row>
    <row r="2065">
      <c r="A2065" s="5">
        <v>1.0</v>
      </c>
      <c r="B2065" s="1">
        <f t="shared" si="1"/>
        <v>2065</v>
      </c>
      <c r="C2065" s="1" t="s">
        <v>3515</v>
      </c>
      <c r="D2065" s="1" t="s">
        <v>3515</v>
      </c>
      <c r="E2065" s="1" t="s">
        <v>645</v>
      </c>
      <c r="G2065" s="1">
        <v>4.64793056E8</v>
      </c>
      <c r="H2065" s="2">
        <v>41809.0</v>
      </c>
      <c r="I2065" s="1" t="s">
        <v>710</v>
      </c>
      <c r="K2065" s="1" t="s">
        <v>710</v>
      </c>
      <c r="N2065" s="1" t="s">
        <v>647</v>
      </c>
      <c r="O2065" s="1">
        <v>1200.0</v>
      </c>
      <c r="P2065" s="1" t="s">
        <v>647</v>
      </c>
      <c r="Q2065" s="1" t="str">
        <f>IF(ISERROR(VLOOKUP(P2065,'unique fed agency names'!A:C,3,FALSE)),P2065,VLOOKUP(P2065,'unique fed agency names'!A:C,3,FALSE))
</f>
        <v>U.S. Department of Agriculture (USDA)</v>
      </c>
      <c r="R2065" s="1">
        <v>8.76992343E8</v>
      </c>
      <c r="S2065" s="1" t="s">
        <v>550</v>
      </c>
      <c r="T2065" s="1" t="str">
        <f>IF(ISERROR(VLOOKUP(S2065,'unique org names'!A:C,3,FALSE)),S2065,VLOOKUP(S2065,'unique org names'!A:C,3,FALSE))
</f>
        <v>VOYAGEUR ACADEMY</v>
      </c>
      <c r="V2065" s="1" t="s">
        <v>551</v>
      </c>
      <c r="W2065" s="1" t="s">
        <v>44</v>
      </c>
      <c r="X2065" s="1" t="s">
        <v>45</v>
      </c>
      <c r="Y2065" s="1">
        <v>4.82102451E8</v>
      </c>
      <c r="AA2065" s="1" t="s">
        <v>44</v>
      </c>
      <c r="AB2065" s="1" t="s">
        <v>45</v>
      </c>
      <c r="AC2065" s="1">
        <v>4.82102451E8</v>
      </c>
      <c r="AF2065" s="1">
        <v>253805.03</v>
      </c>
      <c r="AG2065" s="2">
        <v>41809.0</v>
      </c>
      <c r="AH2065" s="1">
        <v>1200.0</v>
      </c>
      <c r="AI2065" s="1" t="s">
        <v>647</v>
      </c>
      <c r="AJ2065" s="1" t="s">
        <v>3766</v>
      </c>
      <c r="AK2065" s="1" t="s">
        <v>712</v>
      </c>
      <c r="AL2065" s="1">
        <v>1.0</v>
      </c>
      <c r="AM2065" s="1">
        <v>2015.0</v>
      </c>
      <c r="AN2065" s="1">
        <v>2014.0</v>
      </c>
      <c r="AO2065" s="1" t="s">
        <v>713</v>
      </c>
    </row>
    <row r="2066">
      <c r="A2066" s="5">
        <v>1.0</v>
      </c>
      <c r="B2066" s="1">
        <f t="shared" si="1"/>
        <v>2066</v>
      </c>
      <c r="C2066" s="1" t="s">
        <v>3515</v>
      </c>
      <c r="D2066" s="1" t="s">
        <v>3515</v>
      </c>
      <c r="E2066" s="1" t="s">
        <v>645</v>
      </c>
      <c r="G2066" s="1">
        <v>4.64793056E8</v>
      </c>
      <c r="H2066" s="2">
        <v>41977.0</v>
      </c>
      <c r="I2066" s="1" t="s">
        <v>710</v>
      </c>
      <c r="K2066" s="1" t="s">
        <v>710</v>
      </c>
      <c r="N2066" s="1" t="s">
        <v>647</v>
      </c>
      <c r="O2066" s="1">
        <v>1200.0</v>
      </c>
      <c r="P2066" s="1" t="s">
        <v>647</v>
      </c>
      <c r="Q2066" s="1" t="str">
        <f>IF(ISERROR(VLOOKUP(P2066,'unique fed agency names'!A:C,3,FALSE)),P2066,VLOOKUP(P2066,'unique fed agency names'!A:C,3,FALSE))
</f>
        <v>U.S. Department of Agriculture (USDA)</v>
      </c>
      <c r="R2066" s="1">
        <v>9.26909602E8</v>
      </c>
      <c r="S2066" s="1" t="s">
        <v>897</v>
      </c>
      <c r="T2066" s="1" t="str">
        <f>IF(ISERROR(VLOOKUP(S2066,'unique org names'!A:C,3,FALSE)),S2066,VLOOKUP(S2066,'unique org names'!A:C,3,FALSE))
</f>
        <v>Brightminds Childcare Center</v>
      </c>
      <c r="V2066" s="1" t="s">
        <v>898</v>
      </c>
      <c r="W2066" s="1" t="s">
        <v>44</v>
      </c>
      <c r="X2066" s="1" t="s">
        <v>45</v>
      </c>
      <c r="Y2066" s="1">
        <v>4.82283509E8</v>
      </c>
      <c r="AA2066" s="1" t="s">
        <v>44</v>
      </c>
      <c r="AB2066" s="1" t="s">
        <v>45</v>
      </c>
      <c r="AC2066" s="1">
        <v>4.82283509E8</v>
      </c>
      <c r="AD2066" s="1">
        <v>9.4552361E7</v>
      </c>
      <c r="AE2066" s="1" t="s">
        <v>3767</v>
      </c>
      <c r="AF2066" s="1">
        <v>48260.0</v>
      </c>
      <c r="AG2066" s="2">
        <v>41977.0</v>
      </c>
      <c r="AH2066" s="1">
        <v>1200.0</v>
      </c>
      <c r="AI2066" s="1" t="s">
        <v>647</v>
      </c>
      <c r="AJ2066" s="1" t="s">
        <v>3768</v>
      </c>
      <c r="AK2066" s="1" t="s">
        <v>712</v>
      </c>
      <c r="AL2066" s="1">
        <v>1.0</v>
      </c>
      <c r="AM2066" s="1">
        <v>2015.0</v>
      </c>
      <c r="AN2066" s="1">
        <v>2015.0</v>
      </c>
      <c r="AO2066" s="1" t="s">
        <v>713</v>
      </c>
    </row>
    <row r="2067">
      <c r="A2067" s="5">
        <v>1.0</v>
      </c>
      <c r="B2067" s="1">
        <f t="shared" si="1"/>
        <v>2067</v>
      </c>
      <c r="C2067" s="1" t="s">
        <v>3515</v>
      </c>
      <c r="D2067" s="1" t="s">
        <v>3515</v>
      </c>
      <c r="E2067" s="1" t="s">
        <v>645</v>
      </c>
      <c r="G2067" s="1">
        <v>4.64793056E8</v>
      </c>
      <c r="H2067" s="2">
        <v>41809.0</v>
      </c>
      <c r="I2067" s="1" t="s">
        <v>710</v>
      </c>
      <c r="K2067" s="1" t="s">
        <v>710</v>
      </c>
      <c r="N2067" s="1" t="s">
        <v>647</v>
      </c>
      <c r="O2067" s="1">
        <v>1200.0</v>
      </c>
      <c r="P2067" s="1" t="s">
        <v>647</v>
      </c>
      <c r="Q2067" s="1" t="str">
        <f>IF(ISERROR(VLOOKUP(P2067,'unique fed agency names'!A:C,3,FALSE)),P2067,VLOOKUP(P2067,'unique fed agency names'!A:C,3,FALSE))
</f>
        <v>U.S. Department of Agriculture (USDA)</v>
      </c>
      <c r="R2067" s="1">
        <v>8.76992343E8</v>
      </c>
      <c r="S2067" s="1" t="s">
        <v>550</v>
      </c>
      <c r="T2067" s="1" t="str">
        <f>IF(ISERROR(VLOOKUP(S2067,'unique org names'!A:C,3,FALSE)),S2067,VLOOKUP(S2067,'unique org names'!A:C,3,FALSE))
</f>
        <v>VOYAGEUR ACADEMY</v>
      </c>
      <c r="U2067" s="1" t="s">
        <v>626</v>
      </c>
      <c r="V2067" s="1" t="s">
        <v>551</v>
      </c>
      <c r="W2067" s="1" t="s">
        <v>44</v>
      </c>
      <c r="X2067" s="1" t="s">
        <v>45</v>
      </c>
      <c r="Y2067" s="1">
        <v>4.82102451E8</v>
      </c>
      <c r="AA2067" s="1" t="s">
        <v>44</v>
      </c>
      <c r="AB2067" s="1" t="s">
        <v>45</v>
      </c>
      <c r="AC2067" s="1">
        <v>4.82102451E8</v>
      </c>
      <c r="AD2067" s="1">
        <v>7.6340843E7</v>
      </c>
      <c r="AE2067" s="1" t="s">
        <v>461</v>
      </c>
      <c r="AF2067" s="1">
        <v>59728.16</v>
      </c>
      <c r="AG2067" s="2">
        <v>41809.0</v>
      </c>
      <c r="AH2067" s="1">
        <v>1200.0</v>
      </c>
      <c r="AI2067" s="1" t="s">
        <v>647</v>
      </c>
      <c r="AJ2067" s="1" t="s">
        <v>3769</v>
      </c>
      <c r="AK2067" s="1" t="s">
        <v>712</v>
      </c>
      <c r="AL2067" s="1">
        <v>1.0</v>
      </c>
      <c r="AM2067" s="1">
        <v>2015.0</v>
      </c>
      <c r="AN2067" s="1">
        <v>2014.0</v>
      </c>
      <c r="AO2067" s="1" t="s">
        <v>713</v>
      </c>
    </row>
    <row r="2068">
      <c r="A2068" s="5">
        <v>1.0</v>
      </c>
      <c r="B2068" s="1">
        <f t="shared" si="1"/>
        <v>2068</v>
      </c>
      <c r="C2068" s="1" t="s">
        <v>3515</v>
      </c>
      <c r="D2068" s="1" t="s">
        <v>3515</v>
      </c>
      <c r="E2068" s="1" t="s">
        <v>645</v>
      </c>
      <c r="G2068" s="1">
        <v>4.64793056E8</v>
      </c>
      <c r="H2068" s="2">
        <v>41914.0</v>
      </c>
      <c r="I2068" s="1" t="s">
        <v>710</v>
      </c>
      <c r="K2068" s="1" t="s">
        <v>710</v>
      </c>
      <c r="N2068" s="1" t="s">
        <v>647</v>
      </c>
      <c r="O2068" s="1">
        <v>1200.0</v>
      </c>
      <c r="P2068" s="1" t="s">
        <v>647</v>
      </c>
      <c r="Q2068" s="1" t="str">
        <f>IF(ISERROR(VLOOKUP(P2068,'unique fed agency names'!A:C,3,FALSE)),P2068,VLOOKUP(P2068,'unique fed agency names'!A:C,3,FALSE))
</f>
        <v>U.S. Department of Agriculture (USDA)</v>
      </c>
      <c r="R2068" s="1">
        <v>8.30649195E8</v>
      </c>
      <c r="S2068" s="1" t="s">
        <v>545</v>
      </c>
      <c r="T2068" s="1" t="str">
        <f>IF(ISERROR(VLOOKUP(S2068,'unique org names'!A:C,3,FALSE)),S2068,VLOOKUP(S2068,'unique org names'!A:C,3,FALSE))
</f>
        <v>PLYMOUTH EDUCATIONAL CENTER CHARTER SCHOOL</v>
      </c>
      <c r="V2068" s="1" t="s">
        <v>547</v>
      </c>
      <c r="W2068" s="1" t="s">
        <v>44</v>
      </c>
      <c r="X2068" s="1" t="s">
        <v>45</v>
      </c>
      <c r="Y2068" s="1">
        <v>4.82071E8</v>
      </c>
      <c r="AA2068" s="1" t="s">
        <v>44</v>
      </c>
      <c r="AB2068" s="1" t="s">
        <v>45</v>
      </c>
      <c r="AC2068" s="1">
        <v>4.82071E8</v>
      </c>
      <c r="AD2068" s="1">
        <v>7.2582877E7</v>
      </c>
      <c r="AE2068" s="1" t="s">
        <v>3770</v>
      </c>
      <c r="AF2068" s="1">
        <v>154370.46</v>
      </c>
      <c r="AG2068" s="2">
        <v>41914.0</v>
      </c>
      <c r="AH2068" s="1">
        <v>1200.0</v>
      </c>
      <c r="AI2068" s="1" t="s">
        <v>647</v>
      </c>
      <c r="AJ2068" s="1" t="s">
        <v>3771</v>
      </c>
      <c r="AK2068" s="1" t="s">
        <v>712</v>
      </c>
      <c r="AL2068" s="1">
        <v>1.0</v>
      </c>
      <c r="AM2068" s="1">
        <v>2015.0</v>
      </c>
      <c r="AN2068" s="1">
        <v>2015.0</v>
      </c>
      <c r="AO2068" s="1" t="s">
        <v>713</v>
      </c>
    </row>
    <row r="2069">
      <c r="A2069" s="5">
        <v>1.0</v>
      </c>
      <c r="B2069" s="1">
        <f t="shared" si="1"/>
        <v>2069</v>
      </c>
      <c r="C2069" s="1" t="s">
        <v>3515</v>
      </c>
      <c r="D2069" s="1" t="s">
        <v>3515</v>
      </c>
      <c r="E2069" s="1" t="s">
        <v>645</v>
      </c>
      <c r="G2069" s="1">
        <v>4.64793056E8</v>
      </c>
      <c r="H2069" s="2">
        <v>41914.0</v>
      </c>
      <c r="I2069" s="1" t="s">
        <v>710</v>
      </c>
      <c r="K2069" s="1" t="s">
        <v>710</v>
      </c>
      <c r="N2069" s="1" t="s">
        <v>647</v>
      </c>
      <c r="O2069" s="1">
        <v>1200.0</v>
      </c>
      <c r="P2069" s="1" t="s">
        <v>647</v>
      </c>
      <c r="Q2069" s="1" t="str">
        <f>IF(ISERROR(VLOOKUP(P2069,'unique fed agency names'!A:C,3,FALSE)),P2069,VLOOKUP(P2069,'unique fed agency names'!A:C,3,FALSE))
</f>
        <v>U.S. Department of Agriculture (USDA)</v>
      </c>
      <c r="R2069" s="1">
        <v>8.08238237E8</v>
      </c>
      <c r="S2069" s="1" t="s">
        <v>807</v>
      </c>
      <c r="T2069" s="1" t="str">
        <f>IF(ISERROR(VLOOKUP(S2069,'unique org names'!A:C,3,FALSE)),S2069,VLOOKUP(S2069,'unique org names'!A:C,3,FALSE))
</f>
        <v>Greystone Enterprises</v>
      </c>
      <c r="V2069" s="1" t="s">
        <v>808</v>
      </c>
      <c r="W2069" s="1" t="s">
        <v>44</v>
      </c>
      <c r="X2069" s="1" t="s">
        <v>45</v>
      </c>
      <c r="Y2069" s="1">
        <v>4.82242744E8</v>
      </c>
      <c r="AA2069" s="1" t="s">
        <v>44</v>
      </c>
      <c r="AB2069" s="1" t="s">
        <v>45</v>
      </c>
      <c r="AC2069" s="1">
        <v>4.82242744E8</v>
      </c>
      <c r="AD2069" s="1">
        <v>9.4558137E7</v>
      </c>
      <c r="AE2069" s="1" t="s">
        <v>3772</v>
      </c>
      <c r="AF2069" s="1">
        <v>62307.49</v>
      </c>
      <c r="AG2069" s="2">
        <v>41914.0</v>
      </c>
      <c r="AH2069" s="1">
        <v>1200.0</v>
      </c>
      <c r="AI2069" s="1" t="s">
        <v>647</v>
      </c>
      <c r="AJ2069" s="1" t="s">
        <v>3773</v>
      </c>
      <c r="AK2069" s="1" t="s">
        <v>712</v>
      </c>
      <c r="AL2069" s="1">
        <v>1.0</v>
      </c>
      <c r="AM2069" s="1">
        <v>2015.0</v>
      </c>
      <c r="AN2069" s="1">
        <v>2015.0</v>
      </c>
      <c r="AO2069" s="1" t="s">
        <v>713</v>
      </c>
    </row>
    <row r="2070">
      <c r="A2070" s="5">
        <v>1.0</v>
      </c>
      <c r="B2070" s="1">
        <f t="shared" si="1"/>
        <v>2070</v>
      </c>
      <c r="C2070" s="1" t="s">
        <v>3515</v>
      </c>
      <c r="D2070" s="1" t="s">
        <v>3515</v>
      </c>
      <c r="E2070" s="1" t="s">
        <v>645</v>
      </c>
      <c r="G2070" s="1">
        <v>4.64793056E8</v>
      </c>
      <c r="H2070" s="2">
        <v>41956.0</v>
      </c>
      <c r="I2070" s="1" t="s">
        <v>710</v>
      </c>
      <c r="K2070" s="1" t="s">
        <v>710</v>
      </c>
      <c r="N2070" s="1" t="s">
        <v>647</v>
      </c>
      <c r="O2070" s="1">
        <v>1200.0</v>
      </c>
      <c r="P2070" s="1" t="s">
        <v>647</v>
      </c>
      <c r="Q2070" s="1" t="str">
        <f>IF(ISERROR(VLOOKUP(P2070,'unique fed agency names'!A:C,3,FALSE)),P2070,VLOOKUP(P2070,'unique fed agency names'!A:C,3,FALSE))
</f>
        <v>U.S. Department of Agriculture (USDA)</v>
      </c>
      <c r="R2070" s="1">
        <v>7.97531295E8</v>
      </c>
      <c r="S2070" s="1" t="s">
        <v>582</v>
      </c>
      <c r="T2070" s="1" t="str">
        <f>IF(ISERROR(VLOOKUP(S2070,'unique org names'!A:C,3,FALSE)),S2070,VLOOKUP(S2070,'unique org names'!A:C,3,FALSE))
</f>
        <v>FRONTIER INTERNATIONAL ACADEMY, THE</v>
      </c>
      <c r="V2070" s="1" t="s">
        <v>583</v>
      </c>
      <c r="W2070" s="1" t="s">
        <v>44</v>
      </c>
      <c r="X2070" s="1" t="s">
        <v>45</v>
      </c>
      <c r="Y2070" s="1">
        <v>4.82123452E8</v>
      </c>
      <c r="AA2070" s="1" t="s">
        <v>44</v>
      </c>
      <c r="AB2070" s="1" t="s">
        <v>45</v>
      </c>
      <c r="AC2070" s="1">
        <v>4.82123452E8</v>
      </c>
      <c r="AF2070" s="1">
        <v>205935.95</v>
      </c>
      <c r="AG2070" s="2">
        <v>41956.0</v>
      </c>
      <c r="AH2070" s="1">
        <v>1200.0</v>
      </c>
      <c r="AI2070" s="1" t="s">
        <v>647</v>
      </c>
      <c r="AJ2070" s="1" t="s">
        <v>3774</v>
      </c>
      <c r="AK2070" s="1" t="s">
        <v>712</v>
      </c>
      <c r="AL2070" s="1">
        <v>1.0</v>
      </c>
      <c r="AM2070" s="1">
        <v>2015.0</v>
      </c>
      <c r="AN2070" s="1">
        <v>2015.0</v>
      </c>
      <c r="AO2070" s="1" t="s">
        <v>713</v>
      </c>
    </row>
    <row r="2071">
      <c r="A2071" s="5">
        <v>1.0</v>
      </c>
      <c r="B2071" s="1">
        <f t="shared" si="1"/>
        <v>2071</v>
      </c>
      <c r="C2071" s="1" t="s">
        <v>3515</v>
      </c>
      <c r="D2071" s="1" t="s">
        <v>3515</v>
      </c>
      <c r="E2071" s="1" t="s">
        <v>645</v>
      </c>
      <c r="G2071" s="1">
        <v>4.64793056E8</v>
      </c>
      <c r="H2071" s="2">
        <v>41942.0</v>
      </c>
      <c r="I2071" s="1" t="s">
        <v>710</v>
      </c>
      <c r="K2071" s="1" t="s">
        <v>710</v>
      </c>
      <c r="N2071" s="1" t="s">
        <v>647</v>
      </c>
      <c r="O2071" s="1">
        <v>1200.0</v>
      </c>
      <c r="P2071" s="1" t="s">
        <v>647</v>
      </c>
      <c r="Q2071" s="1" t="str">
        <f>IF(ISERROR(VLOOKUP(P2071,'unique fed agency names'!A:C,3,FALSE)),P2071,VLOOKUP(P2071,'unique fed agency names'!A:C,3,FALSE))
</f>
        <v>U.S. Department of Agriculture (USDA)</v>
      </c>
      <c r="R2071" s="1">
        <v>7.93697942E8</v>
      </c>
      <c r="S2071" s="1" t="s">
        <v>459</v>
      </c>
      <c r="T2071" s="1" t="str">
        <f>IF(ISERROR(VLOOKUP(S2071,'unique org names'!A:C,3,FALSE)),S2071,VLOOKUP(S2071,'unique org names'!A:C,3,FALSE))
</f>
        <v>DETROIT PUBLIC SCHOOLS</v>
      </c>
      <c r="V2071" s="1" t="s">
        <v>460</v>
      </c>
      <c r="W2071" s="1" t="s">
        <v>44</v>
      </c>
      <c r="X2071" s="1" t="s">
        <v>45</v>
      </c>
      <c r="Y2071" s="1">
        <v>4.82141601E8</v>
      </c>
      <c r="AA2071" s="1" t="s">
        <v>44</v>
      </c>
      <c r="AB2071" s="1" t="s">
        <v>45</v>
      </c>
      <c r="AC2071" s="1">
        <v>4.82141601E8</v>
      </c>
      <c r="AD2071" s="1">
        <v>7.6340843E7</v>
      </c>
      <c r="AE2071" s="1" t="s">
        <v>461</v>
      </c>
      <c r="AF2071" s="1">
        <v>138354.5</v>
      </c>
      <c r="AG2071" s="2">
        <v>41942.0</v>
      </c>
      <c r="AH2071" s="1">
        <v>1200.0</v>
      </c>
      <c r="AI2071" s="1" t="s">
        <v>647</v>
      </c>
      <c r="AJ2071" s="1" t="s">
        <v>3775</v>
      </c>
      <c r="AK2071" s="1" t="s">
        <v>712</v>
      </c>
      <c r="AL2071" s="1">
        <v>1.0</v>
      </c>
      <c r="AM2071" s="1">
        <v>2015.0</v>
      </c>
      <c r="AN2071" s="1">
        <v>2015.0</v>
      </c>
      <c r="AO2071" s="1" t="s">
        <v>713</v>
      </c>
    </row>
    <row r="2072">
      <c r="A2072" s="5">
        <v>1.0</v>
      </c>
      <c r="B2072" s="1">
        <f t="shared" si="1"/>
        <v>2072</v>
      </c>
      <c r="C2072" s="1" t="s">
        <v>3515</v>
      </c>
      <c r="D2072" s="1" t="s">
        <v>3515</v>
      </c>
      <c r="E2072" s="1" t="s">
        <v>645</v>
      </c>
      <c r="G2072" s="1">
        <v>4.64793056E8</v>
      </c>
      <c r="H2072" s="2">
        <v>41921.0</v>
      </c>
      <c r="I2072" s="1" t="s">
        <v>710</v>
      </c>
      <c r="K2072" s="1" t="s">
        <v>710</v>
      </c>
      <c r="N2072" s="1" t="s">
        <v>647</v>
      </c>
      <c r="O2072" s="1">
        <v>1200.0</v>
      </c>
      <c r="P2072" s="1" t="s">
        <v>647</v>
      </c>
      <c r="Q2072" s="1" t="str">
        <f>IF(ISERROR(VLOOKUP(P2072,'unique fed agency names'!A:C,3,FALSE)),P2072,VLOOKUP(P2072,'unique fed agency names'!A:C,3,FALSE))
</f>
        <v>U.S. Department of Agriculture (USDA)</v>
      </c>
      <c r="R2072" s="1">
        <v>6.07448487E8</v>
      </c>
      <c r="S2072" s="1" t="s">
        <v>938</v>
      </c>
      <c r="T2072" s="1" t="str">
        <f>IF(ISERROR(VLOOKUP(S2072,'unique org names'!A:C,3,FALSE)),S2072,VLOOKUP(S2072,'unique org names'!A:C,3,FALSE))
</f>
        <v>Greater Mt Zion Baptist Church</v>
      </c>
      <c r="V2072" s="1" t="s">
        <v>939</v>
      </c>
      <c r="W2072" s="1" t="s">
        <v>44</v>
      </c>
      <c r="X2072" s="1" t="s">
        <v>45</v>
      </c>
      <c r="Y2072" s="1">
        <v>4.82242829E8</v>
      </c>
      <c r="AA2072" s="1" t="s">
        <v>44</v>
      </c>
      <c r="AB2072" s="1" t="s">
        <v>45</v>
      </c>
      <c r="AC2072" s="1">
        <v>4.82242829E8</v>
      </c>
      <c r="AD2072" s="1">
        <v>6.07448487E8</v>
      </c>
      <c r="AF2072" s="1">
        <v>54461.67</v>
      </c>
      <c r="AG2072" s="2">
        <v>41921.0</v>
      </c>
      <c r="AH2072" s="1">
        <v>1200.0</v>
      </c>
      <c r="AI2072" s="1" t="s">
        <v>647</v>
      </c>
      <c r="AJ2072" s="1" t="s">
        <v>3776</v>
      </c>
      <c r="AK2072" s="1" t="s">
        <v>712</v>
      </c>
      <c r="AL2072" s="1">
        <v>1.0</v>
      </c>
      <c r="AM2072" s="1">
        <v>2015.0</v>
      </c>
      <c r="AN2072" s="1">
        <v>2015.0</v>
      </c>
      <c r="AO2072" s="1" t="s">
        <v>713</v>
      </c>
    </row>
    <row r="2073">
      <c r="A2073" s="5">
        <v>1.0</v>
      </c>
      <c r="B2073" s="1">
        <f t="shared" si="1"/>
        <v>2073</v>
      </c>
      <c r="C2073" s="1" t="s">
        <v>3515</v>
      </c>
      <c r="D2073" s="1" t="s">
        <v>3515</v>
      </c>
      <c r="E2073" s="1" t="s">
        <v>645</v>
      </c>
      <c r="G2073" s="1">
        <v>4.64793056E8</v>
      </c>
      <c r="H2073" s="2">
        <v>41914.0</v>
      </c>
      <c r="I2073" s="1" t="s">
        <v>710</v>
      </c>
      <c r="K2073" s="1" t="s">
        <v>710</v>
      </c>
      <c r="N2073" s="1" t="s">
        <v>647</v>
      </c>
      <c r="O2073" s="1">
        <v>1200.0</v>
      </c>
      <c r="P2073" s="1" t="s">
        <v>647</v>
      </c>
      <c r="Q2073" s="1" t="str">
        <f>IF(ISERROR(VLOOKUP(P2073,'unique fed agency names'!A:C,3,FALSE)),P2073,VLOOKUP(P2073,'unique fed agency names'!A:C,3,FALSE))
</f>
        <v>U.S. Department of Agriculture (USDA)</v>
      </c>
      <c r="R2073" s="1">
        <v>6.02722873E8</v>
      </c>
      <c r="S2073" s="1" t="s">
        <v>839</v>
      </c>
      <c r="T2073" s="1" t="str">
        <f>IF(ISERROR(VLOOKUP(S2073,'unique org names'!A:C,3,FALSE)),S2073,VLOOKUP(S2073,'unique org names'!A:C,3,FALSE))
</f>
        <v>Kingdom Kids Montessori</v>
      </c>
      <c r="V2073" s="1" t="s">
        <v>840</v>
      </c>
      <c r="W2073" s="1" t="s">
        <v>44</v>
      </c>
      <c r="X2073" s="1" t="s">
        <v>45</v>
      </c>
      <c r="Y2073" s="1">
        <v>4.82381157E8</v>
      </c>
      <c r="AA2073" s="1" t="s">
        <v>44</v>
      </c>
      <c r="AB2073" s="1" t="s">
        <v>45</v>
      </c>
      <c r="AC2073" s="1">
        <v>4.82381157E8</v>
      </c>
      <c r="AD2073" s="1">
        <v>4912929.0</v>
      </c>
      <c r="AF2073" s="1">
        <v>31180.47</v>
      </c>
      <c r="AG2073" s="2">
        <v>41914.0</v>
      </c>
      <c r="AH2073" s="1">
        <v>1200.0</v>
      </c>
      <c r="AI2073" s="1" t="s">
        <v>647</v>
      </c>
      <c r="AJ2073" s="1" t="s">
        <v>3777</v>
      </c>
      <c r="AK2073" s="1" t="s">
        <v>712</v>
      </c>
      <c r="AL2073" s="1">
        <v>1.0</v>
      </c>
      <c r="AM2073" s="1">
        <v>2015.0</v>
      </c>
      <c r="AN2073" s="1">
        <v>2015.0</v>
      </c>
      <c r="AO2073" s="1" t="s">
        <v>713</v>
      </c>
    </row>
    <row r="2074">
      <c r="A2074" s="5">
        <v>1.0</v>
      </c>
      <c r="B2074" s="1">
        <f t="shared" si="1"/>
        <v>2074</v>
      </c>
      <c r="C2074" s="1" t="s">
        <v>3515</v>
      </c>
      <c r="D2074" s="1" t="s">
        <v>3515</v>
      </c>
      <c r="E2074" s="1" t="s">
        <v>645</v>
      </c>
      <c r="G2074" s="1">
        <v>4.64793056E8</v>
      </c>
      <c r="H2074" s="2">
        <v>41919.0</v>
      </c>
      <c r="I2074" s="1" t="s">
        <v>710</v>
      </c>
      <c r="K2074" s="1" t="s">
        <v>710</v>
      </c>
      <c r="N2074" s="1" t="s">
        <v>647</v>
      </c>
      <c r="O2074" s="1">
        <v>1200.0</v>
      </c>
      <c r="P2074" s="1" t="s">
        <v>647</v>
      </c>
      <c r="Q2074" s="1" t="str">
        <f>IF(ISERROR(VLOOKUP(P2074,'unique fed agency names'!A:C,3,FALSE)),P2074,VLOOKUP(P2074,'unique fed agency names'!A:C,3,FALSE))
</f>
        <v>U.S. Department of Agriculture (USDA)</v>
      </c>
      <c r="R2074" s="1">
        <v>1.95837232E8</v>
      </c>
      <c r="S2074" s="1" t="s">
        <v>785</v>
      </c>
      <c r="T2074" s="1" t="str">
        <f>IF(ISERROR(VLOOKUP(S2074,'unique org names'!A:C,3,FALSE)),S2074,VLOOKUP(S2074,'unique org names'!A:C,3,FALSE))
</f>
        <v>WOLVERINE HUMAN SERVICES</v>
      </c>
      <c r="U2074" s="1" t="s">
        <v>786</v>
      </c>
      <c r="V2074" s="1" t="s">
        <v>787</v>
      </c>
      <c r="W2074" s="1" t="s">
        <v>44</v>
      </c>
      <c r="X2074" s="1" t="s">
        <v>45</v>
      </c>
      <c r="Y2074" s="1">
        <v>4.82242358E8</v>
      </c>
      <c r="AA2074" s="1" t="s">
        <v>44</v>
      </c>
      <c r="AB2074" s="1" t="s">
        <v>45</v>
      </c>
      <c r="AC2074" s="1">
        <v>4.82152667E8</v>
      </c>
      <c r="AD2074" s="1">
        <v>1.95837232E8</v>
      </c>
      <c r="AE2074" s="1" t="s">
        <v>785</v>
      </c>
      <c r="AF2074" s="1">
        <v>29025.09</v>
      </c>
      <c r="AG2074" s="2">
        <v>41919.0</v>
      </c>
      <c r="AH2074" s="1">
        <v>1200.0</v>
      </c>
      <c r="AI2074" s="1" t="s">
        <v>647</v>
      </c>
      <c r="AJ2074" s="1" t="s">
        <v>3778</v>
      </c>
      <c r="AK2074" s="1" t="s">
        <v>712</v>
      </c>
      <c r="AL2074" s="1">
        <v>1.0</v>
      </c>
      <c r="AM2074" s="1">
        <v>2015.0</v>
      </c>
      <c r="AN2074" s="1">
        <v>2015.0</v>
      </c>
      <c r="AO2074" s="1" t="s">
        <v>713</v>
      </c>
    </row>
    <row r="2075">
      <c r="A2075" s="5">
        <v>1.0</v>
      </c>
      <c r="B2075" s="1">
        <f t="shared" si="1"/>
        <v>2075</v>
      </c>
      <c r="C2075" s="1" t="s">
        <v>3515</v>
      </c>
      <c r="D2075" s="1" t="s">
        <v>3515</v>
      </c>
      <c r="E2075" s="1" t="s">
        <v>645</v>
      </c>
      <c r="G2075" s="1">
        <v>4.64793056E8</v>
      </c>
      <c r="H2075" s="2">
        <v>41921.0</v>
      </c>
      <c r="I2075" s="1" t="s">
        <v>710</v>
      </c>
      <c r="K2075" s="1" t="s">
        <v>710</v>
      </c>
      <c r="N2075" s="1" t="s">
        <v>647</v>
      </c>
      <c r="O2075" s="1">
        <v>1200.0</v>
      </c>
      <c r="P2075" s="1" t="s">
        <v>647</v>
      </c>
      <c r="Q2075" s="1" t="str">
        <f>IF(ISERROR(VLOOKUP(P2075,'unique fed agency names'!A:C,3,FALSE)),P2075,VLOOKUP(P2075,'unique fed agency names'!A:C,3,FALSE))
</f>
        <v>U.S. Department of Agriculture (USDA)</v>
      </c>
      <c r="R2075" s="1">
        <v>1.68568132E8</v>
      </c>
      <c r="S2075" s="1" t="s">
        <v>588</v>
      </c>
      <c r="T2075" s="1" t="str">
        <f>IF(ISERROR(VLOOKUP(S2075,'unique org names'!A:C,3,FALSE)),S2075,VLOOKUP(S2075,'unique org names'!A:C,3,FALSE))
</f>
        <v>DETROIT ENTERPRISE ACADEMY</v>
      </c>
      <c r="V2075" s="1" t="s">
        <v>589</v>
      </c>
      <c r="W2075" s="1" t="s">
        <v>44</v>
      </c>
      <c r="X2075" s="1" t="s">
        <v>45</v>
      </c>
      <c r="Y2075" s="1">
        <v>4.82143323E8</v>
      </c>
      <c r="AA2075" s="1" t="s">
        <v>44</v>
      </c>
      <c r="AB2075" s="1" t="s">
        <v>45</v>
      </c>
      <c r="AC2075" s="1">
        <v>4.82143323E8</v>
      </c>
      <c r="AD2075" s="1">
        <v>9.60742484E8</v>
      </c>
      <c r="AF2075" s="1">
        <v>52963.94</v>
      </c>
      <c r="AG2075" s="2">
        <v>41921.0</v>
      </c>
      <c r="AH2075" s="1">
        <v>1200.0</v>
      </c>
      <c r="AI2075" s="1" t="s">
        <v>647</v>
      </c>
      <c r="AJ2075" s="1" t="s">
        <v>3779</v>
      </c>
      <c r="AK2075" s="1" t="s">
        <v>712</v>
      </c>
      <c r="AL2075" s="1">
        <v>1.0</v>
      </c>
      <c r="AM2075" s="1">
        <v>2015.0</v>
      </c>
      <c r="AN2075" s="1">
        <v>2015.0</v>
      </c>
      <c r="AO2075" s="1" t="s">
        <v>713</v>
      </c>
    </row>
    <row r="2076">
      <c r="A2076" s="5">
        <v>1.0</v>
      </c>
      <c r="B2076" s="1">
        <f t="shared" si="1"/>
        <v>2076</v>
      </c>
      <c r="C2076" s="1" t="s">
        <v>3515</v>
      </c>
      <c r="D2076" s="1" t="s">
        <v>3515</v>
      </c>
      <c r="E2076" s="1" t="s">
        <v>645</v>
      </c>
      <c r="G2076" s="1">
        <v>4.64793056E8</v>
      </c>
      <c r="H2076" s="2">
        <v>41977.0</v>
      </c>
      <c r="I2076" s="1" t="s">
        <v>710</v>
      </c>
      <c r="K2076" s="1" t="s">
        <v>710</v>
      </c>
      <c r="N2076" s="1" t="s">
        <v>647</v>
      </c>
      <c r="O2076" s="1">
        <v>1200.0</v>
      </c>
      <c r="P2076" s="1" t="s">
        <v>647</v>
      </c>
      <c r="Q2076" s="1" t="str">
        <f>IF(ISERROR(VLOOKUP(P2076,'unique fed agency names'!A:C,3,FALSE)),P2076,VLOOKUP(P2076,'unique fed agency names'!A:C,3,FALSE))
</f>
        <v>U.S. Department of Agriculture (USDA)</v>
      </c>
      <c r="R2076" s="1">
        <v>1.6338926E8</v>
      </c>
      <c r="S2076" s="1" t="s">
        <v>465</v>
      </c>
      <c r="T2076" s="1" t="str">
        <f>IF(ISERROR(VLOOKUP(S2076,'unique org names'!A:C,3,FALSE)),S2076,VLOOKUP(S2076,'unique org names'!A:C,3,FALSE))
</f>
        <v>Public School Academies of Detroit</v>
      </c>
      <c r="U2076" s="1" t="s">
        <v>598</v>
      </c>
      <c r="V2076" s="1" t="s">
        <v>599</v>
      </c>
      <c r="W2076" s="1" t="s">
        <v>44</v>
      </c>
      <c r="X2076" s="1" t="s">
        <v>45</v>
      </c>
      <c r="Y2076" s="1">
        <v>4.82023457E8</v>
      </c>
      <c r="AA2076" s="1" t="s">
        <v>44</v>
      </c>
      <c r="AB2076" s="1" t="s">
        <v>45</v>
      </c>
      <c r="AC2076" s="1">
        <v>4.82023457E8</v>
      </c>
      <c r="AD2076" s="1">
        <v>1.6338926E8</v>
      </c>
      <c r="AE2076" s="1" t="s">
        <v>465</v>
      </c>
      <c r="AF2076" s="1">
        <v>62708.92</v>
      </c>
      <c r="AG2076" s="2">
        <v>41977.0</v>
      </c>
      <c r="AH2076" s="1">
        <v>1200.0</v>
      </c>
      <c r="AI2076" s="1" t="s">
        <v>647</v>
      </c>
      <c r="AJ2076" s="1" t="s">
        <v>3780</v>
      </c>
      <c r="AK2076" s="1" t="s">
        <v>712</v>
      </c>
      <c r="AL2076" s="1">
        <v>1.0</v>
      </c>
      <c r="AM2076" s="1">
        <v>2015.0</v>
      </c>
      <c r="AN2076" s="1">
        <v>2015.0</v>
      </c>
      <c r="AO2076" s="1" t="s">
        <v>713</v>
      </c>
    </row>
    <row r="2077">
      <c r="A2077" s="5">
        <v>1.0</v>
      </c>
      <c r="B2077" s="1">
        <f t="shared" si="1"/>
        <v>2077</v>
      </c>
      <c r="C2077" s="1" t="s">
        <v>3515</v>
      </c>
      <c r="D2077" s="1" t="s">
        <v>3515</v>
      </c>
      <c r="E2077" s="1" t="s">
        <v>645</v>
      </c>
      <c r="G2077" s="1">
        <v>4.64793056E8</v>
      </c>
      <c r="H2077" s="2">
        <v>41928.0</v>
      </c>
      <c r="I2077" s="1" t="s">
        <v>710</v>
      </c>
      <c r="K2077" s="1" t="s">
        <v>710</v>
      </c>
      <c r="N2077" s="1" t="s">
        <v>647</v>
      </c>
      <c r="O2077" s="1">
        <v>1200.0</v>
      </c>
      <c r="P2077" s="1" t="s">
        <v>647</v>
      </c>
      <c r="Q2077" s="1" t="str">
        <f>IF(ISERROR(VLOOKUP(P2077,'unique fed agency names'!A:C,3,FALSE)),P2077,VLOOKUP(P2077,'unique fed agency names'!A:C,3,FALSE))
</f>
        <v>U.S. Department of Agriculture (USDA)</v>
      </c>
      <c r="R2077" s="1">
        <v>1.9859919E7</v>
      </c>
      <c r="S2077" s="1" t="s">
        <v>1657</v>
      </c>
      <c r="T2077" s="1" t="str">
        <f>IF(ISERROR(VLOOKUP(S2077,'unique org names'!A:C,3,FALSE)),S2077,VLOOKUP(S2077,'unique org names'!A:C,3,FALSE))
</f>
        <v>Cornerstone Health High School</v>
      </c>
      <c r="V2077" s="1" t="s">
        <v>1173</v>
      </c>
      <c r="W2077" s="1" t="s">
        <v>44</v>
      </c>
      <c r="X2077" s="1" t="s">
        <v>45</v>
      </c>
      <c r="Y2077" s="1">
        <v>4.82191263E8</v>
      </c>
      <c r="AA2077" s="1" t="s">
        <v>46</v>
      </c>
      <c r="AB2077" s="1" t="s">
        <v>45</v>
      </c>
      <c r="AC2077" s="1">
        <v>4.8235E8</v>
      </c>
      <c r="AF2077" s="1">
        <v>33090.57</v>
      </c>
      <c r="AG2077" s="2">
        <v>41928.0</v>
      </c>
      <c r="AH2077" s="1">
        <v>1200.0</v>
      </c>
      <c r="AI2077" s="1" t="s">
        <v>647</v>
      </c>
      <c r="AJ2077" s="1" t="s">
        <v>3781</v>
      </c>
      <c r="AK2077" s="1" t="s">
        <v>712</v>
      </c>
      <c r="AL2077" s="1">
        <v>1.0</v>
      </c>
      <c r="AM2077" s="1">
        <v>2015.0</v>
      </c>
      <c r="AN2077" s="1">
        <v>2015.0</v>
      </c>
      <c r="AO2077" s="1" t="s">
        <v>713</v>
      </c>
    </row>
    <row r="2078">
      <c r="A2078" s="5">
        <v>1.0</v>
      </c>
      <c r="B2078" s="1">
        <f t="shared" si="1"/>
        <v>2078</v>
      </c>
      <c r="C2078" s="1" t="s">
        <v>3515</v>
      </c>
      <c r="D2078" s="1" t="s">
        <v>3515</v>
      </c>
      <c r="E2078" s="1" t="s">
        <v>645</v>
      </c>
      <c r="G2078" s="1">
        <v>4.64793056E8</v>
      </c>
      <c r="H2078" s="2">
        <v>41935.0</v>
      </c>
      <c r="I2078" s="1" t="s">
        <v>710</v>
      </c>
      <c r="K2078" s="1" t="s">
        <v>710</v>
      </c>
      <c r="N2078" s="1" t="s">
        <v>647</v>
      </c>
      <c r="O2078" s="1">
        <v>1200.0</v>
      </c>
      <c r="P2078" s="1" t="s">
        <v>647</v>
      </c>
      <c r="Q2078" s="1" t="str">
        <f>IF(ISERROR(VLOOKUP(P2078,'unique fed agency names'!A:C,3,FALSE)),P2078,VLOOKUP(P2078,'unique fed agency names'!A:C,3,FALSE))
</f>
        <v>U.S. Department of Agriculture (USDA)</v>
      </c>
      <c r="R2078" s="1">
        <v>1.52807538E8</v>
      </c>
      <c r="S2078" s="1" t="s">
        <v>591</v>
      </c>
      <c r="T2078" s="1" t="str">
        <f>IF(ISERROR(VLOOKUP(S2078,'unique org names'!A:C,3,FALSE)),S2078,VLOOKUP(S2078,'unique org names'!A:C,3,FALSE))
</f>
        <v>WESTON TECHNICAL ACADEMY</v>
      </c>
      <c r="V2078" s="1" t="s">
        <v>592</v>
      </c>
      <c r="W2078" s="1" t="s">
        <v>44</v>
      </c>
      <c r="X2078" s="1" t="s">
        <v>45</v>
      </c>
      <c r="Y2078" s="1">
        <v>4.82191161E8</v>
      </c>
      <c r="AA2078" s="1" t="s">
        <v>44</v>
      </c>
      <c r="AB2078" s="1" t="s">
        <v>45</v>
      </c>
      <c r="AC2078" s="1">
        <v>4.82191161E8</v>
      </c>
      <c r="AD2078" s="1">
        <v>4.317335E7</v>
      </c>
      <c r="AE2078" s="1" t="s">
        <v>3782</v>
      </c>
      <c r="AF2078" s="1">
        <v>114213.64</v>
      </c>
      <c r="AG2078" s="2">
        <v>41935.0</v>
      </c>
      <c r="AH2078" s="1">
        <v>1200.0</v>
      </c>
      <c r="AI2078" s="1" t="s">
        <v>647</v>
      </c>
      <c r="AJ2078" s="1" t="s">
        <v>3783</v>
      </c>
      <c r="AK2078" s="1" t="s">
        <v>712</v>
      </c>
      <c r="AL2078" s="1">
        <v>1.0</v>
      </c>
      <c r="AM2078" s="1">
        <v>2015.0</v>
      </c>
      <c r="AN2078" s="1">
        <v>2015.0</v>
      </c>
      <c r="AO2078" s="1" t="s">
        <v>713</v>
      </c>
    </row>
    <row r="2079">
      <c r="A2079" s="5">
        <v>1.0</v>
      </c>
      <c r="B2079" s="1">
        <f t="shared" si="1"/>
        <v>2079</v>
      </c>
      <c r="C2079" s="1" t="s">
        <v>3515</v>
      </c>
      <c r="D2079" s="1" t="s">
        <v>3515</v>
      </c>
      <c r="E2079" s="1" t="s">
        <v>645</v>
      </c>
      <c r="G2079" s="1">
        <v>4.64793056E8</v>
      </c>
      <c r="H2079" s="2">
        <v>41969.0</v>
      </c>
      <c r="I2079" s="1" t="s">
        <v>710</v>
      </c>
      <c r="K2079" s="1" t="s">
        <v>710</v>
      </c>
      <c r="N2079" s="1" t="s">
        <v>647</v>
      </c>
      <c r="O2079" s="1">
        <v>1200.0</v>
      </c>
      <c r="P2079" s="1" t="s">
        <v>647</v>
      </c>
      <c r="Q2079" s="1" t="str">
        <f>IF(ISERROR(VLOOKUP(P2079,'unique fed agency names'!A:C,3,FALSE)),P2079,VLOOKUP(P2079,'unique fed agency names'!A:C,3,FALSE))
</f>
        <v>U.S. Department of Agriculture (USDA)</v>
      </c>
      <c r="R2079" s="1">
        <v>3.9866801E7</v>
      </c>
      <c r="S2079" s="1" t="s">
        <v>612</v>
      </c>
      <c r="T2079" s="1" t="str">
        <f>IF(ISERROR(VLOOKUP(S2079,'unique org names'!A:C,3,FALSE)),S2079,VLOOKUP(S2079,'unique org names'!A:C,3,FALSE))
</f>
        <v>HAMTRAMCK PUBLIC SCHOOLS</v>
      </c>
      <c r="V2079" s="1" t="s">
        <v>613</v>
      </c>
      <c r="W2079" s="1" t="s">
        <v>44</v>
      </c>
      <c r="X2079" s="1" t="s">
        <v>45</v>
      </c>
      <c r="Y2079" s="1">
        <v>4.8212E8</v>
      </c>
      <c r="AA2079" s="1" t="s">
        <v>607</v>
      </c>
      <c r="AB2079" s="1" t="s">
        <v>45</v>
      </c>
      <c r="AC2079" s="1">
        <v>4.82120012E8</v>
      </c>
      <c r="AD2079" s="1">
        <v>3.9866801E7</v>
      </c>
      <c r="AE2079" s="1" t="s">
        <v>612</v>
      </c>
      <c r="AF2079" s="1">
        <v>1048749.57</v>
      </c>
      <c r="AG2079" s="2">
        <v>41969.0</v>
      </c>
      <c r="AH2079" s="1">
        <v>1200.0</v>
      </c>
      <c r="AI2079" s="1" t="s">
        <v>647</v>
      </c>
      <c r="AJ2079" s="1" t="s">
        <v>3784</v>
      </c>
      <c r="AK2079" s="1" t="s">
        <v>712</v>
      </c>
      <c r="AL2079" s="1">
        <v>1.0</v>
      </c>
      <c r="AM2079" s="1">
        <v>2015.0</v>
      </c>
      <c r="AN2079" s="1">
        <v>2015.0</v>
      </c>
      <c r="AO2079" s="1" t="s">
        <v>713</v>
      </c>
    </row>
    <row r="2080">
      <c r="A2080" s="5">
        <v>1.0</v>
      </c>
      <c r="B2080" s="1">
        <f t="shared" si="1"/>
        <v>2080</v>
      </c>
      <c r="C2080" s="1" t="s">
        <v>3515</v>
      </c>
      <c r="D2080" s="1" t="s">
        <v>3515</v>
      </c>
      <c r="E2080" s="1" t="s">
        <v>645</v>
      </c>
      <c r="G2080" s="1">
        <v>4.64793056E8</v>
      </c>
      <c r="H2080" s="2">
        <v>41928.0</v>
      </c>
      <c r="I2080" s="1" t="s">
        <v>710</v>
      </c>
      <c r="K2080" s="1" t="s">
        <v>710</v>
      </c>
      <c r="N2080" s="1" t="s">
        <v>647</v>
      </c>
      <c r="O2080" s="1">
        <v>1200.0</v>
      </c>
      <c r="P2080" s="1" t="s">
        <v>647</v>
      </c>
      <c r="Q2080" s="1" t="str">
        <f>IF(ISERROR(VLOOKUP(P2080,'unique fed agency names'!A:C,3,FALSE)),P2080,VLOOKUP(P2080,'unique fed agency names'!A:C,3,FALSE))
</f>
        <v>U.S. Department of Agriculture (USDA)</v>
      </c>
      <c r="R2080" s="1">
        <v>1.3032514E8</v>
      </c>
      <c r="S2080" s="1" t="s">
        <v>819</v>
      </c>
      <c r="T2080" s="1" t="str">
        <f>IF(ISERROR(VLOOKUP(S2080,'unique org names'!A:C,3,FALSE)),S2080,VLOOKUP(S2080,'unique org names'!A:C,3,FALSE))
</f>
        <v>ROSS HILL ACADEMY SCHOOL DISTRICT</v>
      </c>
      <c r="U2080" s="1" t="s">
        <v>3427</v>
      </c>
      <c r="V2080" s="1" t="s">
        <v>820</v>
      </c>
      <c r="W2080" s="1" t="s">
        <v>44</v>
      </c>
      <c r="X2080" s="1" t="s">
        <v>45</v>
      </c>
      <c r="Y2080" s="1">
        <v>4.82072418E8</v>
      </c>
      <c r="AA2080" s="1" t="s">
        <v>44</v>
      </c>
      <c r="AB2080" s="1" t="s">
        <v>45</v>
      </c>
      <c r="AC2080" s="1">
        <v>4.82072418E8</v>
      </c>
      <c r="AD2080" s="1">
        <v>1.3032514E8</v>
      </c>
      <c r="AE2080" s="1" t="s">
        <v>819</v>
      </c>
      <c r="AF2080" s="1">
        <v>52199.65</v>
      </c>
      <c r="AG2080" s="2">
        <v>41928.0</v>
      </c>
      <c r="AH2080" s="1">
        <v>1200.0</v>
      </c>
      <c r="AI2080" s="1" t="s">
        <v>647</v>
      </c>
      <c r="AJ2080" s="1" t="s">
        <v>3785</v>
      </c>
      <c r="AK2080" s="1" t="s">
        <v>712</v>
      </c>
      <c r="AL2080" s="1">
        <v>1.0</v>
      </c>
      <c r="AM2080" s="1">
        <v>2015.0</v>
      </c>
      <c r="AN2080" s="1">
        <v>2015.0</v>
      </c>
      <c r="AO2080" s="1" t="s">
        <v>713</v>
      </c>
    </row>
    <row r="2081">
      <c r="A2081" s="5">
        <v>1.0</v>
      </c>
      <c r="B2081" s="1">
        <f t="shared" si="1"/>
        <v>2081</v>
      </c>
      <c r="C2081" s="1" t="s">
        <v>3515</v>
      </c>
      <c r="D2081" s="1" t="s">
        <v>3515</v>
      </c>
      <c r="E2081" s="1" t="s">
        <v>645</v>
      </c>
      <c r="G2081" s="1">
        <v>4.64793056E8</v>
      </c>
      <c r="H2081" s="2">
        <v>41928.0</v>
      </c>
      <c r="I2081" s="1" t="s">
        <v>710</v>
      </c>
      <c r="K2081" s="1" t="s">
        <v>710</v>
      </c>
      <c r="N2081" s="1" t="s">
        <v>647</v>
      </c>
      <c r="O2081" s="1">
        <v>1200.0</v>
      </c>
      <c r="P2081" s="1" t="s">
        <v>647</v>
      </c>
      <c r="Q2081" s="1" t="str">
        <f>IF(ISERROR(VLOOKUP(P2081,'unique fed agency names'!A:C,3,FALSE)),P2081,VLOOKUP(P2081,'unique fed agency names'!A:C,3,FALSE))
</f>
        <v>U.S. Department of Agriculture (USDA)</v>
      </c>
      <c r="R2081" s="1">
        <v>1.35155112E8</v>
      </c>
      <c r="S2081" s="1" t="s">
        <v>836</v>
      </c>
      <c r="T2081" s="1" t="str">
        <f>IF(ISERROR(VLOOKUP(S2081,'unique org names'!A:C,3,FALSE)),S2081,VLOOKUP(S2081,'unique org names'!A:C,3,FALSE))
</f>
        <v>Our Kidz World Learning Center</v>
      </c>
      <c r="V2081" s="1" t="s">
        <v>837</v>
      </c>
      <c r="W2081" s="1" t="s">
        <v>44</v>
      </c>
      <c r="X2081" s="1" t="s">
        <v>45</v>
      </c>
      <c r="Y2081" s="1">
        <v>4.82052542E8</v>
      </c>
      <c r="AA2081" s="1" t="s">
        <v>44</v>
      </c>
      <c r="AB2081" s="1" t="s">
        <v>45</v>
      </c>
      <c r="AC2081" s="1">
        <v>4.82052542E8</v>
      </c>
      <c r="AD2081" s="1">
        <v>1.47737217E8</v>
      </c>
      <c r="AE2081" s="1" t="s">
        <v>3786</v>
      </c>
      <c r="AF2081" s="1">
        <v>35364.92</v>
      </c>
      <c r="AG2081" s="2">
        <v>41928.0</v>
      </c>
      <c r="AH2081" s="1">
        <v>1200.0</v>
      </c>
      <c r="AI2081" s="1" t="s">
        <v>647</v>
      </c>
      <c r="AJ2081" s="1" t="s">
        <v>3787</v>
      </c>
      <c r="AK2081" s="1" t="s">
        <v>712</v>
      </c>
      <c r="AL2081" s="1">
        <v>1.0</v>
      </c>
      <c r="AM2081" s="1">
        <v>2015.0</v>
      </c>
      <c r="AN2081" s="1">
        <v>2015.0</v>
      </c>
      <c r="AO2081" s="1" t="s">
        <v>713</v>
      </c>
    </row>
    <row r="2082">
      <c r="A2082" s="5">
        <v>1.0</v>
      </c>
      <c r="B2082" s="1">
        <f t="shared" si="1"/>
        <v>2082</v>
      </c>
      <c r="C2082" s="1" t="s">
        <v>3515</v>
      </c>
      <c r="D2082" s="1" t="s">
        <v>3515</v>
      </c>
      <c r="E2082" s="1" t="s">
        <v>645</v>
      </c>
      <c r="G2082" s="1">
        <v>4.64793056E8</v>
      </c>
      <c r="H2082" s="2">
        <v>41928.0</v>
      </c>
      <c r="I2082" s="1" t="s">
        <v>710</v>
      </c>
      <c r="K2082" s="1" t="s">
        <v>710</v>
      </c>
      <c r="N2082" s="1" t="s">
        <v>647</v>
      </c>
      <c r="O2082" s="1">
        <v>1200.0</v>
      </c>
      <c r="P2082" s="1" t="s">
        <v>647</v>
      </c>
      <c r="Q2082" s="1" t="str">
        <f>IF(ISERROR(VLOOKUP(P2082,'unique fed agency names'!A:C,3,FALSE)),P2082,VLOOKUP(P2082,'unique fed agency names'!A:C,3,FALSE))
</f>
        <v>U.S. Department of Agriculture (USDA)</v>
      </c>
      <c r="R2082" s="1">
        <v>1.23577707E8</v>
      </c>
      <c r="S2082" s="1" t="s">
        <v>563</v>
      </c>
      <c r="T2082" s="1" t="str">
        <f>IF(ISERROR(VLOOKUP(S2082,'unique org names'!A:C,3,FALSE)),S2082,VLOOKUP(S2082,'unique org names'!A:C,3,FALSE))
</f>
        <v>WARRENDALE CHARTER ACADEMY</v>
      </c>
      <c r="U2082" s="1" t="s">
        <v>1181</v>
      </c>
      <c r="V2082" s="1" t="s">
        <v>565</v>
      </c>
      <c r="W2082" s="1" t="s">
        <v>44</v>
      </c>
      <c r="X2082" s="1" t="s">
        <v>45</v>
      </c>
      <c r="Y2082" s="1">
        <v>4.8228333E8</v>
      </c>
      <c r="AA2082" s="1" t="s">
        <v>44</v>
      </c>
      <c r="AB2082" s="1" t="s">
        <v>45</v>
      </c>
      <c r="AC2082" s="1">
        <v>4.82283396E8</v>
      </c>
      <c r="AD2082" s="1">
        <v>9.60742484E8</v>
      </c>
      <c r="AF2082" s="1">
        <v>289594.38</v>
      </c>
      <c r="AG2082" s="2">
        <v>41928.0</v>
      </c>
      <c r="AH2082" s="1">
        <v>1200.0</v>
      </c>
      <c r="AI2082" s="1" t="s">
        <v>647</v>
      </c>
      <c r="AJ2082" s="1" t="s">
        <v>3788</v>
      </c>
      <c r="AK2082" s="1" t="s">
        <v>712</v>
      </c>
      <c r="AL2082" s="1">
        <v>1.0</v>
      </c>
      <c r="AM2082" s="1">
        <v>2015.0</v>
      </c>
      <c r="AN2082" s="1">
        <v>2015.0</v>
      </c>
      <c r="AO2082" s="1" t="s">
        <v>713</v>
      </c>
    </row>
    <row r="2083">
      <c r="A2083" s="5">
        <v>1.0</v>
      </c>
      <c r="B2083" s="1">
        <f t="shared" si="1"/>
        <v>2083</v>
      </c>
      <c r="C2083" s="1" t="s">
        <v>3515</v>
      </c>
      <c r="D2083" s="1" t="s">
        <v>3515</v>
      </c>
      <c r="E2083" s="1" t="s">
        <v>645</v>
      </c>
      <c r="G2083" s="1">
        <v>4.64793056E8</v>
      </c>
      <c r="H2083" s="2">
        <v>41921.0</v>
      </c>
      <c r="I2083" s="1" t="s">
        <v>710</v>
      </c>
      <c r="K2083" s="1" t="s">
        <v>710</v>
      </c>
      <c r="N2083" s="1" t="s">
        <v>647</v>
      </c>
      <c r="O2083" s="1">
        <v>1200.0</v>
      </c>
      <c r="P2083" s="1" t="s">
        <v>647</v>
      </c>
      <c r="Q2083" s="1" t="str">
        <f>IF(ISERROR(VLOOKUP(P2083,'unique fed agency names'!A:C,3,FALSE)),P2083,VLOOKUP(P2083,'unique fed agency names'!A:C,3,FALSE))
</f>
        <v>U.S. Department of Agriculture (USDA)</v>
      </c>
      <c r="R2083" s="1">
        <v>1.10601841E8</v>
      </c>
      <c r="S2083" s="1" t="s">
        <v>915</v>
      </c>
      <c r="T2083" s="1" t="str">
        <f>IF(ISERROR(VLOOKUP(S2083,'unique org names'!A:C,3,FALSE)),S2083,VLOOKUP(S2083,'unique org names'!A:C,3,FALSE))
</f>
        <v>A&amp;W DAY CARE ,INC</v>
      </c>
      <c r="U2083" s="1" t="s">
        <v>916</v>
      </c>
      <c r="V2083" s="1" t="s">
        <v>917</v>
      </c>
      <c r="W2083" s="1" t="s">
        <v>44</v>
      </c>
      <c r="X2083" s="1" t="s">
        <v>45</v>
      </c>
      <c r="Y2083" s="1">
        <v>4.82283719E8</v>
      </c>
      <c r="AA2083" s="1" t="s">
        <v>44</v>
      </c>
      <c r="AB2083" s="1" t="s">
        <v>45</v>
      </c>
      <c r="AC2083" s="1">
        <v>4.82283719E8</v>
      </c>
      <c r="AD2083" s="1">
        <v>7.6340843E7</v>
      </c>
      <c r="AE2083" s="1" t="s">
        <v>461</v>
      </c>
      <c r="AF2083" s="1">
        <v>73949.2</v>
      </c>
      <c r="AG2083" s="2">
        <v>41921.0</v>
      </c>
      <c r="AH2083" s="1">
        <v>1200.0</v>
      </c>
      <c r="AI2083" s="1" t="s">
        <v>647</v>
      </c>
      <c r="AJ2083" s="1" t="s">
        <v>3789</v>
      </c>
      <c r="AK2083" s="1" t="s">
        <v>712</v>
      </c>
      <c r="AL2083" s="1">
        <v>1.0</v>
      </c>
      <c r="AM2083" s="1">
        <v>2015.0</v>
      </c>
      <c r="AN2083" s="1">
        <v>2015.0</v>
      </c>
      <c r="AO2083" s="1" t="s">
        <v>713</v>
      </c>
    </row>
    <row r="2084">
      <c r="A2084" s="5">
        <v>1.0</v>
      </c>
      <c r="B2084" s="1">
        <f t="shared" si="1"/>
        <v>2084</v>
      </c>
      <c r="C2084" s="1" t="s">
        <v>3515</v>
      </c>
      <c r="D2084" s="1" t="s">
        <v>3515</v>
      </c>
      <c r="E2084" s="1" t="s">
        <v>645</v>
      </c>
      <c r="G2084" s="1">
        <v>4.64793056E8</v>
      </c>
      <c r="H2084" s="2">
        <v>41928.0</v>
      </c>
      <c r="I2084" s="1" t="s">
        <v>710</v>
      </c>
      <c r="K2084" s="1" t="s">
        <v>710</v>
      </c>
      <c r="N2084" s="1" t="s">
        <v>647</v>
      </c>
      <c r="O2084" s="1">
        <v>1200.0</v>
      </c>
      <c r="P2084" s="1" t="s">
        <v>647</v>
      </c>
      <c r="Q2084" s="1" t="str">
        <f>IF(ISERROR(VLOOKUP(P2084,'unique fed agency names'!A:C,3,FALSE)),P2084,VLOOKUP(P2084,'unique fed agency names'!A:C,3,FALSE))
</f>
        <v>U.S. Department of Agriculture (USDA)</v>
      </c>
      <c r="R2084" s="1">
        <v>9.0912429E7</v>
      </c>
      <c r="S2084" s="1" t="s">
        <v>521</v>
      </c>
      <c r="T2084" s="1" t="str">
        <f>IF(ISERROR(VLOOKUP(S2084,'unique org names'!A:C,3,FALSE)),S2084,VLOOKUP(S2084,'unique org names'!A:C,3,FALSE))
</f>
        <v>DETROIT COMMUNITY SCHOOLS</v>
      </c>
      <c r="V2084" s="1" t="s">
        <v>522</v>
      </c>
      <c r="W2084" s="1" t="s">
        <v>44</v>
      </c>
      <c r="X2084" s="1" t="s">
        <v>45</v>
      </c>
      <c r="Y2084" s="1">
        <v>4.82233314E8</v>
      </c>
      <c r="AA2084" s="1" t="s">
        <v>44</v>
      </c>
      <c r="AB2084" s="1" t="s">
        <v>45</v>
      </c>
      <c r="AC2084" s="1">
        <v>4.82233314E8</v>
      </c>
      <c r="AF2084" s="1">
        <v>99669.17</v>
      </c>
      <c r="AG2084" s="2">
        <v>41928.0</v>
      </c>
      <c r="AH2084" s="1">
        <v>1200.0</v>
      </c>
      <c r="AI2084" s="1" t="s">
        <v>647</v>
      </c>
      <c r="AJ2084" s="1" t="s">
        <v>3790</v>
      </c>
      <c r="AK2084" s="1" t="s">
        <v>712</v>
      </c>
      <c r="AL2084" s="1">
        <v>1.0</v>
      </c>
      <c r="AM2084" s="1">
        <v>2015.0</v>
      </c>
      <c r="AN2084" s="1">
        <v>2015.0</v>
      </c>
      <c r="AO2084" s="1" t="s">
        <v>713</v>
      </c>
    </row>
    <row r="2085">
      <c r="A2085" s="5">
        <v>1.0</v>
      </c>
      <c r="B2085" s="1">
        <f t="shared" si="1"/>
        <v>2085</v>
      </c>
      <c r="C2085" s="1" t="s">
        <v>3515</v>
      </c>
      <c r="D2085" s="1" t="s">
        <v>3515</v>
      </c>
      <c r="E2085" s="1" t="s">
        <v>645</v>
      </c>
      <c r="G2085" s="1">
        <v>4.64793056E8</v>
      </c>
      <c r="H2085" s="2">
        <v>41942.0</v>
      </c>
      <c r="I2085" s="1" t="s">
        <v>710</v>
      </c>
      <c r="K2085" s="1" t="s">
        <v>710</v>
      </c>
      <c r="N2085" s="1" t="s">
        <v>647</v>
      </c>
      <c r="O2085" s="1">
        <v>1200.0</v>
      </c>
      <c r="P2085" s="1" t="s">
        <v>647</v>
      </c>
      <c r="Q2085" s="1" t="str">
        <f>IF(ISERROR(VLOOKUP(P2085,'unique fed agency names'!A:C,3,FALSE)),P2085,VLOOKUP(P2085,'unique fed agency names'!A:C,3,FALSE))
</f>
        <v>U.S. Department of Agriculture (USDA)</v>
      </c>
      <c r="R2085" s="1">
        <v>7.2761299E7</v>
      </c>
      <c r="S2085" s="1" t="s">
        <v>667</v>
      </c>
      <c r="T2085" s="1" t="str">
        <f>IF(ISERROR(VLOOKUP(S2085,'unique org names'!A:C,3,FALSE)),S2085,VLOOKUP(S2085,'unique org names'!A:C,3,FALSE))
</f>
        <v>Focus: HOPE</v>
      </c>
      <c r="V2085" s="1" t="s">
        <v>668</v>
      </c>
      <c r="W2085" s="1" t="s">
        <v>44</v>
      </c>
      <c r="X2085" s="1" t="s">
        <v>45</v>
      </c>
      <c r="Y2085" s="1">
        <v>4.82382849E8</v>
      </c>
      <c r="AA2085" s="1" t="s">
        <v>44</v>
      </c>
      <c r="AB2085" s="1" t="s">
        <v>45</v>
      </c>
      <c r="AC2085" s="1">
        <v>4.8238E8</v>
      </c>
      <c r="AD2085" s="1">
        <v>7.2761299E7</v>
      </c>
      <c r="AE2085" s="1" t="s">
        <v>667</v>
      </c>
      <c r="AF2085" s="1">
        <v>54599.92</v>
      </c>
      <c r="AG2085" s="2">
        <v>41942.0</v>
      </c>
      <c r="AH2085" s="1">
        <v>1200.0</v>
      </c>
      <c r="AI2085" s="1" t="s">
        <v>647</v>
      </c>
      <c r="AJ2085" s="1" t="s">
        <v>3791</v>
      </c>
      <c r="AK2085" s="1" t="s">
        <v>712</v>
      </c>
      <c r="AL2085" s="1">
        <v>1.0</v>
      </c>
      <c r="AM2085" s="1">
        <v>2015.0</v>
      </c>
      <c r="AN2085" s="1">
        <v>2015.0</v>
      </c>
      <c r="AO2085" s="1" t="s">
        <v>713</v>
      </c>
    </row>
    <row r="2086">
      <c r="A2086" s="5">
        <v>1.0</v>
      </c>
      <c r="B2086" s="1">
        <f t="shared" si="1"/>
        <v>2086</v>
      </c>
      <c r="C2086" s="1" t="s">
        <v>3515</v>
      </c>
      <c r="D2086" s="1" t="s">
        <v>3515</v>
      </c>
      <c r="E2086" s="1" t="s">
        <v>645</v>
      </c>
      <c r="G2086" s="1">
        <v>4.64793056E8</v>
      </c>
      <c r="H2086" s="2">
        <v>41928.0</v>
      </c>
      <c r="I2086" s="1" t="s">
        <v>710</v>
      </c>
      <c r="K2086" s="1" t="s">
        <v>710</v>
      </c>
      <c r="N2086" s="1" t="s">
        <v>647</v>
      </c>
      <c r="O2086" s="1">
        <v>1200.0</v>
      </c>
      <c r="P2086" s="1" t="s">
        <v>647</v>
      </c>
      <c r="Q2086" s="1" t="str">
        <f>IF(ISERROR(VLOOKUP(P2086,'unique fed agency names'!A:C,3,FALSE)),P2086,VLOOKUP(P2086,'unique fed agency names'!A:C,3,FALSE))
</f>
        <v>U.S. Department of Agriculture (USDA)</v>
      </c>
      <c r="R2086" s="1">
        <v>8.5464519E7</v>
      </c>
      <c r="S2086" s="1" t="s">
        <v>704</v>
      </c>
      <c r="T2086" s="1" t="str">
        <f>IF(ISERROR(VLOOKUP(S2086,'unique org names'!A:C,3,FALSE)),S2086,VLOOKUP(S2086,'unique org names'!A:C,3,FALSE))
</f>
        <v>Children's Center of Wayne County Inc.</v>
      </c>
      <c r="U2086" s="1" t="s">
        <v>705</v>
      </c>
      <c r="V2086" s="1" t="s">
        <v>706</v>
      </c>
      <c r="W2086" s="1" t="s">
        <v>44</v>
      </c>
      <c r="X2086" s="1" t="s">
        <v>45</v>
      </c>
      <c r="Y2086" s="1">
        <v>4.82012015E8</v>
      </c>
      <c r="AA2086" s="1" t="s">
        <v>44</v>
      </c>
      <c r="AB2086" s="1" t="s">
        <v>45</v>
      </c>
      <c r="AC2086" s="1">
        <v>4.82192044E8</v>
      </c>
      <c r="AF2086" s="1">
        <v>163218.98</v>
      </c>
      <c r="AG2086" s="2">
        <v>41928.0</v>
      </c>
      <c r="AH2086" s="1">
        <v>1200.0</v>
      </c>
      <c r="AI2086" s="1" t="s">
        <v>647</v>
      </c>
      <c r="AJ2086" s="1" t="s">
        <v>3792</v>
      </c>
      <c r="AK2086" s="1" t="s">
        <v>712</v>
      </c>
      <c r="AL2086" s="1">
        <v>1.0</v>
      </c>
      <c r="AM2086" s="1">
        <v>2015.0</v>
      </c>
      <c r="AN2086" s="1">
        <v>2015.0</v>
      </c>
      <c r="AO2086" s="1" t="s">
        <v>713</v>
      </c>
    </row>
    <row r="2087">
      <c r="A2087" s="5">
        <v>1.0</v>
      </c>
      <c r="B2087" s="1">
        <f t="shared" si="1"/>
        <v>2087</v>
      </c>
      <c r="C2087" s="1" t="s">
        <v>3515</v>
      </c>
      <c r="D2087" s="1" t="s">
        <v>3515</v>
      </c>
      <c r="E2087" s="1" t="s">
        <v>645</v>
      </c>
      <c r="G2087" s="1">
        <v>4.64793056E8</v>
      </c>
      <c r="H2087" s="2">
        <v>41919.0</v>
      </c>
      <c r="I2087" s="1" t="s">
        <v>710</v>
      </c>
      <c r="K2087" s="1" t="s">
        <v>710</v>
      </c>
      <c r="N2087" s="1" t="s">
        <v>647</v>
      </c>
      <c r="O2087" s="1">
        <v>1200.0</v>
      </c>
      <c r="P2087" s="1" t="s">
        <v>647</v>
      </c>
      <c r="Q2087" s="1" t="str">
        <f>IF(ISERROR(VLOOKUP(P2087,'unique fed agency names'!A:C,3,FALSE)),P2087,VLOOKUP(P2087,'unique fed agency names'!A:C,3,FALSE))
</f>
        <v>U.S. Department of Agriculture (USDA)</v>
      </c>
      <c r="R2087" s="1">
        <v>8.0463354E7</v>
      </c>
      <c r="S2087" s="1" t="s">
        <v>518</v>
      </c>
      <c r="T2087" s="1" t="str">
        <f>IF(ISERROR(VLOOKUP(S2087,'unique org names'!A:C,3,FALSE)),S2087,VLOOKUP(S2087,'unique org names'!A:C,3,FALSE))
</f>
        <v>UNIVERSAL ACADEMY</v>
      </c>
      <c r="V2087" s="1" t="s">
        <v>519</v>
      </c>
      <c r="W2087" s="1" t="s">
        <v>44</v>
      </c>
      <c r="X2087" s="1" t="s">
        <v>45</v>
      </c>
      <c r="Y2087" s="1">
        <v>4.82102105E8</v>
      </c>
      <c r="AA2087" s="1" t="s">
        <v>44</v>
      </c>
      <c r="AB2087" s="1" t="s">
        <v>45</v>
      </c>
      <c r="AC2087" s="1">
        <v>4.82102105E8</v>
      </c>
      <c r="AD2087" s="1">
        <v>8.0463354E7</v>
      </c>
      <c r="AE2087" s="1" t="s">
        <v>518</v>
      </c>
      <c r="AF2087" s="1">
        <v>69033.87</v>
      </c>
      <c r="AG2087" s="2">
        <v>41919.0</v>
      </c>
      <c r="AH2087" s="1">
        <v>1200.0</v>
      </c>
      <c r="AI2087" s="1" t="s">
        <v>647</v>
      </c>
      <c r="AJ2087" s="1" t="s">
        <v>3793</v>
      </c>
      <c r="AK2087" s="1" t="s">
        <v>712</v>
      </c>
      <c r="AL2087" s="1">
        <v>1.0</v>
      </c>
      <c r="AM2087" s="1">
        <v>2015.0</v>
      </c>
      <c r="AN2087" s="1">
        <v>2015.0</v>
      </c>
      <c r="AO2087" s="1" t="s">
        <v>713</v>
      </c>
    </row>
    <row r="2088">
      <c r="A2088" s="5">
        <v>1.0</v>
      </c>
      <c r="B2088" s="1">
        <f t="shared" si="1"/>
        <v>2088</v>
      </c>
      <c r="C2088" s="1" t="s">
        <v>3515</v>
      </c>
      <c r="D2088" s="1" t="s">
        <v>3515</v>
      </c>
      <c r="E2088" s="1" t="s">
        <v>645</v>
      </c>
      <c r="G2088" s="1">
        <v>4.64793056E8</v>
      </c>
      <c r="H2088" s="2">
        <v>41921.0</v>
      </c>
      <c r="I2088" s="1" t="s">
        <v>710</v>
      </c>
      <c r="K2088" s="1" t="s">
        <v>710</v>
      </c>
      <c r="N2088" s="1" t="s">
        <v>647</v>
      </c>
      <c r="O2088" s="1">
        <v>1200.0</v>
      </c>
      <c r="P2088" s="1" t="s">
        <v>647</v>
      </c>
      <c r="Q2088" s="1" t="str">
        <f>IF(ISERROR(VLOOKUP(P2088,'unique fed agency names'!A:C,3,FALSE)),P2088,VLOOKUP(P2088,'unique fed agency names'!A:C,3,FALSE))
</f>
        <v>U.S. Department of Agriculture (USDA)</v>
      </c>
      <c r="R2088" s="1">
        <v>7.9198523E7</v>
      </c>
      <c r="S2088" s="1" t="s">
        <v>3794</v>
      </c>
      <c r="T2088" s="1" t="str">
        <f>IF(ISERROR(VLOOKUP(S2088,'unique org names'!A:C,3,FALSE)),S2088,VLOOKUP(S2088,'unique org names'!A:C,3,FALSE))
</f>
        <v>Creative Learning Childrens College LLC</v>
      </c>
      <c r="V2088" s="1" t="s">
        <v>3795</v>
      </c>
      <c r="W2088" s="1" t="s">
        <v>44</v>
      </c>
      <c r="X2088" s="1" t="s">
        <v>45</v>
      </c>
      <c r="Y2088" s="1">
        <v>4.82351872E8</v>
      </c>
      <c r="AA2088" s="1" t="s">
        <v>44</v>
      </c>
      <c r="AB2088" s="1" t="s">
        <v>45</v>
      </c>
      <c r="AC2088" s="1">
        <v>4.82351872E8</v>
      </c>
      <c r="AD2088" s="1">
        <v>1.00036375E8</v>
      </c>
      <c r="AE2088" s="1" t="s">
        <v>471</v>
      </c>
      <c r="AF2088" s="1">
        <v>26402.88</v>
      </c>
      <c r="AG2088" s="2">
        <v>41921.0</v>
      </c>
      <c r="AH2088" s="1">
        <v>1200.0</v>
      </c>
      <c r="AI2088" s="1" t="s">
        <v>647</v>
      </c>
      <c r="AJ2088" s="1" t="s">
        <v>3796</v>
      </c>
      <c r="AK2088" s="1" t="s">
        <v>712</v>
      </c>
      <c r="AL2088" s="1">
        <v>1.0</v>
      </c>
      <c r="AM2088" s="1">
        <v>2015.0</v>
      </c>
      <c r="AN2088" s="1">
        <v>2015.0</v>
      </c>
      <c r="AO2088" s="1" t="s">
        <v>713</v>
      </c>
    </row>
    <row r="2089">
      <c r="A2089" s="5">
        <v>1.0</v>
      </c>
      <c r="B2089" s="1">
        <f t="shared" si="1"/>
        <v>2089</v>
      </c>
      <c r="C2089" s="1" t="s">
        <v>3515</v>
      </c>
      <c r="D2089" s="1" t="s">
        <v>3515</v>
      </c>
      <c r="E2089" s="1" t="s">
        <v>645</v>
      </c>
      <c r="G2089" s="1">
        <v>4.64793056E8</v>
      </c>
      <c r="H2089" s="2">
        <v>41977.0</v>
      </c>
      <c r="I2089" s="1" t="s">
        <v>710</v>
      </c>
      <c r="K2089" s="1" t="s">
        <v>710</v>
      </c>
      <c r="N2089" s="1" t="s">
        <v>647</v>
      </c>
      <c r="O2089" s="1">
        <v>1200.0</v>
      </c>
      <c r="P2089" s="1" t="s">
        <v>647</v>
      </c>
      <c r="Q2089" s="1" t="str">
        <f>IF(ISERROR(VLOOKUP(P2089,'unique fed agency names'!A:C,3,FALSE)),P2089,VLOOKUP(P2089,'unique fed agency names'!A:C,3,FALSE))
</f>
        <v>U.S. Department of Agriculture (USDA)</v>
      </c>
      <c r="R2089" s="1">
        <v>7.8465647E7</v>
      </c>
      <c r="S2089" s="1" t="s">
        <v>1176</v>
      </c>
      <c r="T2089" s="1" t="str">
        <f>IF(ISERROR(VLOOKUP(S2089,'unique org names'!A:C,3,FALSE)),S2089,VLOOKUP(S2089,'unique org names'!A:C,3,FALSE))
</f>
        <v>DETROIT INNOVATION ACADEMY</v>
      </c>
      <c r="V2089" s="1" t="s">
        <v>1178</v>
      </c>
      <c r="W2089" s="1" t="s">
        <v>44</v>
      </c>
      <c r="X2089" s="1" t="s">
        <v>45</v>
      </c>
      <c r="Y2089" s="1">
        <v>4.82281142E8</v>
      </c>
      <c r="AA2089" s="1" t="s">
        <v>44</v>
      </c>
      <c r="AB2089" s="1" t="s">
        <v>45</v>
      </c>
      <c r="AC2089" s="1">
        <v>4.82281142E8</v>
      </c>
      <c r="AD2089" s="1">
        <v>7.0979992E7</v>
      </c>
      <c r="AF2089" s="1">
        <v>60019.82</v>
      </c>
      <c r="AG2089" s="2">
        <v>41977.0</v>
      </c>
      <c r="AH2089" s="1">
        <v>1200.0</v>
      </c>
      <c r="AI2089" s="1" t="s">
        <v>647</v>
      </c>
      <c r="AJ2089" s="1" t="s">
        <v>3797</v>
      </c>
      <c r="AK2089" s="1" t="s">
        <v>712</v>
      </c>
      <c r="AL2089" s="1">
        <v>1.0</v>
      </c>
      <c r="AM2089" s="1">
        <v>2015.0</v>
      </c>
      <c r="AN2089" s="1">
        <v>2015.0</v>
      </c>
      <c r="AO2089" s="1" t="s">
        <v>713</v>
      </c>
    </row>
    <row r="2090">
      <c r="A2090" s="5">
        <v>1.0</v>
      </c>
      <c r="B2090" s="1">
        <f t="shared" si="1"/>
        <v>2090</v>
      </c>
      <c r="C2090" s="1" t="s">
        <v>3515</v>
      </c>
      <c r="D2090" s="1" t="s">
        <v>3515</v>
      </c>
      <c r="E2090" s="1" t="s">
        <v>645</v>
      </c>
      <c r="G2090" s="1">
        <v>4.64793056E8</v>
      </c>
      <c r="H2090" s="2">
        <v>41977.0</v>
      </c>
      <c r="I2090" s="1" t="s">
        <v>710</v>
      </c>
      <c r="K2090" s="1" t="s">
        <v>710</v>
      </c>
      <c r="N2090" s="1" t="s">
        <v>647</v>
      </c>
      <c r="O2090" s="1">
        <v>1200.0</v>
      </c>
      <c r="P2090" s="1" t="s">
        <v>647</v>
      </c>
      <c r="Q2090" s="1" t="str">
        <f>IF(ISERROR(VLOOKUP(P2090,'unique fed agency names'!A:C,3,FALSE)),P2090,VLOOKUP(P2090,'unique fed agency names'!A:C,3,FALSE))
</f>
        <v>U.S. Department of Agriculture (USDA)</v>
      </c>
      <c r="R2090" s="1">
        <v>7.8465647E7</v>
      </c>
      <c r="S2090" s="1" t="s">
        <v>1176</v>
      </c>
      <c r="T2090" s="1" t="str">
        <f>IF(ISERROR(VLOOKUP(S2090,'unique org names'!A:C,3,FALSE)),S2090,VLOOKUP(S2090,'unique org names'!A:C,3,FALSE))
</f>
        <v>DETROIT INNOVATION ACADEMY</v>
      </c>
      <c r="V2090" s="1" t="s">
        <v>1178</v>
      </c>
      <c r="W2090" s="1" t="s">
        <v>44</v>
      </c>
      <c r="X2090" s="1" t="s">
        <v>45</v>
      </c>
      <c r="Y2090" s="1">
        <v>4.82281142E8</v>
      </c>
      <c r="AA2090" s="1" t="s">
        <v>44</v>
      </c>
      <c r="AB2090" s="1" t="s">
        <v>45</v>
      </c>
      <c r="AC2090" s="1">
        <v>4.82281142E8</v>
      </c>
      <c r="AF2090" s="1">
        <v>90417.33</v>
      </c>
      <c r="AG2090" s="2">
        <v>41977.0</v>
      </c>
      <c r="AH2090" s="1">
        <v>1200.0</v>
      </c>
      <c r="AI2090" s="1" t="s">
        <v>647</v>
      </c>
      <c r="AJ2090" s="1" t="s">
        <v>3798</v>
      </c>
      <c r="AK2090" s="1" t="s">
        <v>712</v>
      </c>
      <c r="AL2090" s="1">
        <v>1.0</v>
      </c>
      <c r="AM2090" s="1">
        <v>2015.0</v>
      </c>
      <c r="AN2090" s="1">
        <v>2015.0</v>
      </c>
      <c r="AO2090" s="1" t="s">
        <v>713</v>
      </c>
    </row>
    <row r="2091">
      <c r="A2091" s="5">
        <v>1.0</v>
      </c>
      <c r="B2091" s="1">
        <f t="shared" si="1"/>
        <v>2091</v>
      </c>
      <c r="C2091" s="1" t="s">
        <v>3515</v>
      </c>
      <c r="D2091" s="1" t="s">
        <v>3515</v>
      </c>
      <c r="E2091" s="1" t="s">
        <v>645</v>
      </c>
      <c r="G2091" s="1">
        <v>4.64793056E8</v>
      </c>
      <c r="H2091" s="2">
        <v>41977.0</v>
      </c>
      <c r="I2091" s="1" t="s">
        <v>710</v>
      </c>
      <c r="K2091" s="1" t="s">
        <v>710</v>
      </c>
      <c r="N2091" s="1" t="s">
        <v>647</v>
      </c>
      <c r="O2091" s="1">
        <v>1200.0</v>
      </c>
      <c r="P2091" s="1" t="s">
        <v>647</v>
      </c>
      <c r="Q2091" s="1" t="str">
        <f>IF(ISERROR(VLOOKUP(P2091,'unique fed agency names'!A:C,3,FALSE)),P2091,VLOOKUP(P2091,'unique fed agency names'!A:C,3,FALSE))
</f>
        <v>U.S. Department of Agriculture (USDA)</v>
      </c>
      <c r="R2091" s="1">
        <v>7.6340843E7</v>
      </c>
      <c r="S2091" s="1" t="s">
        <v>461</v>
      </c>
      <c r="T2091" s="1" t="str">
        <f>IF(ISERROR(VLOOKUP(S2091,'unique org names'!A:C,3,FALSE)),S2091,VLOOKUP(S2091,'unique org names'!A:C,3,FALSE))
</f>
        <v>BOARD OF EDUCATION OF THE CITY OF DETROIT</v>
      </c>
      <c r="V2091" s="1" t="s">
        <v>1599</v>
      </c>
      <c r="W2091" s="1" t="s">
        <v>44</v>
      </c>
      <c r="X2091" s="1" t="s">
        <v>45</v>
      </c>
      <c r="Y2091" s="1">
        <v>4.8202301E8</v>
      </c>
      <c r="AA2091" s="1" t="s">
        <v>44</v>
      </c>
      <c r="AB2091" s="1" t="s">
        <v>45</v>
      </c>
      <c r="AC2091" s="1">
        <v>4.82023096E8</v>
      </c>
      <c r="AD2091" s="1">
        <v>7.6340843E7</v>
      </c>
      <c r="AE2091" s="1" t="s">
        <v>461</v>
      </c>
      <c r="AF2091" s="3">
        <v>2.312940366E7</v>
      </c>
      <c r="AG2091" s="2">
        <v>41977.0</v>
      </c>
      <c r="AH2091" s="1">
        <v>1200.0</v>
      </c>
      <c r="AI2091" s="1" t="s">
        <v>647</v>
      </c>
      <c r="AJ2091" s="1" t="s">
        <v>3799</v>
      </c>
      <c r="AK2091" s="1" t="s">
        <v>712</v>
      </c>
      <c r="AL2091" s="1">
        <v>1.0</v>
      </c>
      <c r="AM2091" s="1">
        <v>2015.0</v>
      </c>
      <c r="AN2091" s="1">
        <v>2015.0</v>
      </c>
      <c r="AO2091" s="1" t="s">
        <v>713</v>
      </c>
    </row>
    <row r="2092">
      <c r="A2092" s="5">
        <v>1.0</v>
      </c>
      <c r="B2092" s="1">
        <f t="shared" si="1"/>
        <v>2092</v>
      </c>
      <c r="C2092" s="1" t="s">
        <v>3515</v>
      </c>
      <c r="D2092" s="1" t="s">
        <v>3515</v>
      </c>
      <c r="E2092" s="1" t="s">
        <v>645</v>
      </c>
      <c r="G2092" s="1">
        <v>4.64793056E8</v>
      </c>
      <c r="H2092" s="2">
        <v>41928.0</v>
      </c>
      <c r="I2092" s="1" t="s">
        <v>710</v>
      </c>
      <c r="K2092" s="1" t="s">
        <v>710</v>
      </c>
      <c r="N2092" s="1" t="s">
        <v>647</v>
      </c>
      <c r="O2092" s="1">
        <v>1200.0</v>
      </c>
      <c r="P2092" s="1" t="s">
        <v>647</v>
      </c>
      <c r="Q2092" s="1" t="str">
        <f>IF(ISERROR(VLOOKUP(P2092,'unique fed agency names'!A:C,3,FALSE)),P2092,VLOOKUP(P2092,'unique fed agency names'!A:C,3,FALSE))
</f>
        <v>U.S. Department of Agriculture (USDA)</v>
      </c>
      <c r="R2092" s="1">
        <v>6.6707493E7</v>
      </c>
      <c r="S2092" s="1" t="s">
        <v>541</v>
      </c>
      <c r="T2092" s="1" t="str">
        <f>IF(ISERROR(VLOOKUP(S2092,'unique org names'!A:C,3,FALSE)),S2092,VLOOKUP(S2092,'unique org names'!A:C,3,FALSE))
</f>
        <v>HOPE OF DETROIT ACADEMY</v>
      </c>
      <c r="V2092" s="1" t="s">
        <v>542</v>
      </c>
      <c r="W2092" s="1" t="s">
        <v>44</v>
      </c>
      <c r="X2092" s="1" t="s">
        <v>45</v>
      </c>
      <c r="Y2092" s="1">
        <v>4.8210252E8</v>
      </c>
      <c r="AA2092" s="1" t="s">
        <v>44</v>
      </c>
      <c r="AB2092" s="1" t="s">
        <v>45</v>
      </c>
      <c r="AC2092" s="1">
        <v>4.8210252E8</v>
      </c>
      <c r="AF2092" s="1">
        <v>27155.92</v>
      </c>
      <c r="AG2092" s="2">
        <v>41928.0</v>
      </c>
      <c r="AH2092" s="1">
        <v>1200.0</v>
      </c>
      <c r="AI2092" s="1" t="s">
        <v>647</v>
      </c>
      <c r="AJ2092" s="1" t="s">
        <v>3800</v>
      </c>
      <c r="AK2092" s="1" t="s">
        <v>712</v>
      </c>
      <c r="AL2092" s="1">
        <v>1.0</v>
      </c>
      <c r="AM2092" s="1">
        <v>2015.0</v>
      </c>
      <c r="AN2092" s="1">
        <v>2015.0</v>
      </c>
      <c r="AO2092" s="1" t="s">
        <v>713</v>
      </c>
    </row>
    <row r="2093">
      <c r="A2093" s="5">
        <v>1.0</v>
      </c>
      <c r="B2093" s="1">
        <f t="shared" si="1"/>
        <v>2093</v>
      </c>
      <c r="C2093" s="1" t="s">
        <v>3515</v>
      </c>
      <c r="D2093" s="1" t="s">
        <v>3515</v>
      </c>
      <c r="E2093" s="1" t="s">
        <v>645</v>
      </c>
      <c r="G2093" s="1">
        <v>4.64793056E8</v>
      </c>
      <c r="H2093" s="2">
        <v>41935.0</v>
      </c>
      <c r="I2093" s="1" t="s">
        <v>710</v>
      </c>
      <c r="K2093" s="1" t="s">
        <v>710</v>
      </c>
      <c r="N2093" s="1" t="s">
        <v>647</v>
      </c>
      <c r="O2093" s="1">
        <v>1200.0</v>
      </c>
      <c r="P2093" s="1" t="s">
        <v>647</v>
      </c>
      <c r="Q2093" s="1" t="str">
        <f>IF(ISERROR(VLOOKUP(P2093,'unique fed agency names'!A:C,3,FALSE)),P2093,VLOOKUP(P2093,'unique fed agency names'!A:C,3,FALSE))
</f>
        <v>U.S. Department of Agriculture (USDA)</v>
      </c>
      <c r="R2093" s="1">
        <v>5.667795E7</v>
      </c>
      <c r="S2093" s="1" t="s">
        <v>3108</v>
      </c>
      <c r="T2093" s="1" t="str">
        <f>IF(ISERROR(VLOOKUP(S2093,'unique org names'!A:C,3,FALSE)),S2093,VLOOKUP(S2093,'unique org names'!A:C,3,FALSE))
</f>
        <v>Village Of Shiny Stars</v>
      </c>
      <c r="U2093" s="1" t="s">
        <v>3801</v>
      </c>
      <c r="V2093" s="1" t="s">
        <v>3109</v>
      </c>
      <c r="W2093" s="1" t="s">
        <v>44</v>
      </c>
      <c r="X2093" s="1" t="s">
        <v>45</v>
      </c>
      <c r="Y2093" s="1">
        <v>4.82061134E8</v>
      </c>
      <c r="AA2093" s="1" t="s">
        <v>44</v>
      </c>
      <c r="AB2093" s="1" t="s">
        <v>45</v>
      </c>
      <c r="AC2093" s="1">
        <v>4.82231612E8</v>
      </c>
      <c r="AD2093" s="1">
        <v>8.5901098E7</v>
      </c>
      <c r="AF2093" s="1">
        <v>33720.28</v>
      </c>
      <c r="AG2093" s="2">
        <v>41935.0</v>
      </c>
      <c r="AH2093" s="1">
        <v>1200.0</v>
      </c>
      <c r="AI2093" s="1" t="s">
        <v>647</v>
      </c>
      <c r="AJ2093" s="1" t="s">
        <v>3802</v>
      </c>
      <c r="AK2093" s="1" t="s">
        <v>712</v>
      </c>
      <c r="AL2093" s="1">
        <v>1.0</v>
      </c>
      <c r="AM2093" s="1">
        <v>2015.0</v>
      </c>
      <c r="AN2093" s="1">
        <v>2015.0</v>
      </c>
      <c r="AO2093" s="1" t="s">
        <v>713</v>
      </c>
    </row>
    <row r="2094">
      <c r="A2094" s="5">
        <v>1.0</v>
      </c>
      <c r="B2094" s="1">
        <f t="shared" si="1"/>
        <v>2094</v>
      </c>
      <c r="C2094" s="1" t="s">
        <v>3515</v>
      </c>
      <c r="D2094" s="1" t="s">
        <v>3515</v>
      </c>
      <c r="E2094" s="1" t="s">
        <v>645</v>
      </c>
      <c r="G2094" s="1">
        <v>4.64793056E8</v>
      </c>
      <c r="H2094" s="2">
        <v>41949.0</v>
      </c>
      <c r="I2094" s="1" t="s">
        <v>710</v>
      </c>
      <c r="K2094" s="1" t="s">
        <v>710</v>
      </c>
      <c r="N2094" s="1" t="s">
        <v>647</v>
      </c>
      <c r="O2094" s="1">
        <v>1200.0</v>
      </c>
      <c r="P2094" s="1" t="s">
        <v>647</v>
      </c>
      <c r="Q2094" s="1" t="str">
        <f>IF(ISERROR(VLOOKUP(P2094,'unique fed agency names'!A:C,3,FALSE)),P2094,VLOOKUP(P2094,'unique fed agency names'!A:C,3,FALSE))
</f>
        <v>U.S. Department of Agriculture (USDA)</v>
      </c>
      <c r="R2094" s="1">
        <v>3.0098093E7</v>
      </c>
      <c r="S2094" s="1" t="s">
        <v>816</v>
      </c>
      <c r="T2094" s="1" t="str">
        <f>IF(ISERROR(VLOOKUP(S2094,'unique org names'!A:C,3,FALSE)),S2094,VLOOKUP(S2094,'unique org names'!A:C,3,FALSE))
</f>
        <v>Growing Minds Learning Center</v>
      </c>
      <c r="V2094" s="1" t="s">
        <v>817</v>
      </c>
      <c r="W2094" s="1" t="s">
        <v>44</v>
      </c>
      <c r="X2094" s="1" t="s">
        <v>45</v>
      </c>
      <c r="Y2094" s="1">
        <v>4.82243226E8</v>
      </c>
      <c r="AA2094" s="1" t="s">
        <v>44</v>
      </c>
      <c r="AB2094" s="1" t="s">
        <v>45</v>
      </c>
      <c r="AC2094" s="1">
        <v>4.82243226E8</v>
      </c>
      <c r="AF2094" s="1">
        <v>67481.21</v>
      </c>
      <c r="AG2094" s="2">
        <v>41949.0</v>
      </c>
      <c r="AH2094" s="1">
        <v>1200.0</v>
      </c>
      <c r="AI2094" s="1" t="s">
        <v>647</v>
      </c>
      <c r="AJ2094" s="1" t="s">
        <v>3803</v>
      </c>
      <c r="AK2094" s="1" t="s">
        <v>712</v>
      </c>
      <c r="AL2094" s="1">
        <v>1.0</v>
      </c>
      <c r="AM2094" s="1">
        <v>2015.0</v>
      </c>
      <c r="AN2094" s="1">
        <v>2015.0</v>
      </c>
      <c r="AO2094" s="1" t="s">
        <v>713</v>
      </c>
    </row>
    <row r="2095">
      <c r="A2095" s="5">
        <v>1.0</v>
      </c>
      <c r="B2095" s="1">
        <f t="shared" si="1"/>
        <v>2095</v>
      </c>
      <c r="C2095" s="1" t="s">
        <v>3515</v>
      </c>
      <c r="D2095" s="1" t="s">
        <v>3515</v>
      </c>
      <c r="E2095" s="1" t="s">
        <v>645</v>
      </c>
      <c r="G2095" s="1">
        <v>4.64793056E8</v>
      </c>
      <c r="H2095" s="2">
        <v>41942.0</v>
      </c>
      <c r="I2095" s="1" t="s">
        <v>710</v>
      </c>
      <c r="K2095" s="1" t="s">
        <v>710</v>
      </c>
      <c r="N2095" s="1" t="s">
        <v>647</v>
      </c>
      <c r="O2095" s="1">
        <v>1200.0</v>
      </c>
      <c r="P2095" s="1" t="s">
        <v>647</v>
      </c>
      <c r="Q2095" s="1" t="str">
        <f>IF(ISERROR(VLOOKUP(P2095,'unique fed agency names'!A:C,3,FALSE)),P2095,VLOOKUP(P2095,'unique fed agency names'!A:C,3,FALSE))
</f>
        <v>U.S. Department of Agriculture (USDA)</v>
      </c>
      <c r="R2095" s="1">
        <v>2.5773859E7</v>
      </c>
      <c r="S2095" s="1" t="s">
        <v>872</v>
      </c>
      <c r="T2095" s="1" t="str">
        <f>IF(ISERROR(VLOOKUP(S2095,'unique org names'!A:C,3,FALSE)),S2095,VLOOKUP(S2095,'unique org names'!A:C,3,FALSE))
</f>
        <v>HOPE ACADEMY</v>
      </c>
      <c r="V2095" s="1" t="s">
        <v>873</v>
      </c>
      <c r="W2095" s="1" t="s">
        <v>44</v>
      </c>
      <c r="X2095" s="1" t="s">
        <v>45</v>
      </c>
      <c r="Y2095" s="1">
        <v>4.82042042E8</v>
      </c>
      <c r="AA2095" s="1" t="s">
        <v>44</v>
      </c>
      <c r="AB2095" s="1" t="s">
        <v>45</v>
      </c>
      <c r="AC2095" s="1">
        <v>4.82042042E8</v>
      </c>
      <c r="AF2095" s="1">
        <v>212663.51</v>
      </c>
      <c r="AG2095" s="2">
        <v>41942.0</v>
      </c>
      <c r="AH2095" s="1">
        <v>1200.0</v>
      </c>
      <c r="AI2095" s="1" t="s">
        <v>647</v>
      </c>
      <c r="AJ2095" s="1" t="s">
        <v>3804</v>
      </c>
      <c r="AK2095" s="1" t="s">
        <v>712</v>
      </c>
      <c r="AL2095" s="1">
        <v>1.0</v>
      </c>
      <c r="AM2095" s="1">
        <v>2015.0</v>
      </c>
      <c r="AN2095" s="1">
        <v>2015.0</v>
      </c>
      <c r="AO2095" s="1" t="s">
        <v>713</v>
      </c>
    </row>
    <row r="2096">
      <c r="A2096" s="5">
        <v>1.0</v>
      </c>
      <c r="B2096" s="1">
        <f t="shared" si="1"/>
        <v>2096</v>
      </c>
      <c r="C2096" s="1" t="s">
        <v>3515</v>
      </c>
      <c r="D2096" s="1" t="s">
        <v>3515</v>
      </c>
      <c r="E2096" s="1" t="s">
        <v>645</v>
      </c>
      <c r="G2096" s="1">
        <v>4.64793056E8</v>
      </c>
      <c r="H2096" s="2">
        <v>41921.0</v>
      </c>
      <c r="I2096" s="1" t="s">
        <v>710</v>
      </c>
      <c r="K2096" s="1" t="s">
        <v>710</v>
      </c>
      <c r="N2096" s="1" t="s">
        <v>647</v>
      </c>
      <c r="O2096" s="1">
        <v>1200.0</v>
      </c>
      <c r="P2096" s="1" t="s">
        <v>647</v>
      </c>
      <c r="Q2096" s="1" t="str">
        <f>IF(ISERROR(VLOOKUP(P2096,'unique fed agency names'!A:C,3,FALSE)),P2096,VLOOKUP(P2096,'unique fed agency names'!A:C,3,FALSE))
</f>
        <v>U.S. Department of Agriculture (USDA)</v>
      </c>
      <c r="R2096" s="1">
        <v>2.0830303E7</v>
      </c>
      <c r="S2096" s="1" t="s">
        <v>424</v>
      </c>
      <c r="T2096" s="1" t="str">
        <f>IF(ISERROR(VLOOKUP(S2096,'unique org names'!A:C,3,FALSE)),S2096,VLOOKUP(S2096,'unique org names'!A:C,3,FALSE))
</f>
        <v>MATRIX HUMAN SERVICES</v>
      </c>
      <c r="U2096" s="1" t="s">
        <v>425</v>
      </c>
      <c r="V2096" s="1" t="s">
        <v>426</v>
      </c>
      <c r="W2096" s="1" t="s">
        <v>44</v>
      </c>
      <c r="X2096" s="1" t="s">
        <v>45</v>
      </c>
      <c r="Y2096" s="1">
        <v>4.82012002E8</v>
      </c>
      <c r="AA2096" s="1" t="s">
        <v>44</v>
      </c>
      <c r="AB2096" s="1" t="s">
        <v>45</v>
      </c>
      <c r="AC2096" s="1">
        <v>4.82022012E8</v>
      </c>
      <c r="AD2096" s="1">
        <v>2.0830303E7</v>
      </c>
      <c r="AE2096" s="1" t="s">
        <v>424</v>
      </c>
      <c r="AF2096" s="1">
        <v>479235.63</v>
      </c>
      <c r="AG2096" s="2">
        <v>41921.0</v>
      </c>
      <c r="AH2096" s="1">
        <v>1200.0</v>
      </c>
      <c r="AI2096" s="1" t="s">
        <v>647</v>
      </c>
      <c r="AJ2096" s="1" t="s">
        <v>3805</v>
      </c>
      <c r="AK2096" s="1" t="s">
        <v>712</v>
      </c>
      <c r="AL2096" s="1">
        <v>1.0</v>
      </c>
      <c r="AM2096" s="1">
        <v>2015.0</v>
      </c>
      <c r="AN2096" s="1">
        <v>2015.0</v>
      </c>
      <c r="AO2096" s="1" t="s">
        <v>713</v>
      </c>
    </row>
    <row r="2097">
      <c r="A2097" s="5">
        <v>1.0</v>
      </c>
      <c r="B2097" s="1">
        <f t="shared" si="1"/>
        <v>2097</v>
      </c>
      <c r="C2097" s="1" t="s">
        <v>3515</v>
      </c>
      <c r="D2097" s="1" t="s">
        <v>3515</v>
      </c>
      <c r="E2097" s="1" t="s">
        <v>645</v>
      </c>
      <c r="G2097" s="1">
        <v>4.64793056E8</v>
      </c>
      <c r="H2097" s="2">
        <v>41919.0</v>
      </c>
      <c r="I2097" s="1" t="s">
        <v>710</v>
      </c>
      <c r="K2097" s="1" t="s">
        <v>710</v>
      </c>
      <c r="N2097" s="1" t="s">
        <v>647</v>
      </c>
      <c r="O2097" s="1">
        <v>1200.0</v>
      </c>
      <c r="P2097" s="1" t="s">
        <v>647</v>
      </c>
      <c r="Q2097" s="1" t="str">
        <f>IF(ISERROR(VLOOKUP(P2097,'unique fed agency names'!A:C,3,FALSE)),P2097,VLOOKUP(P2097,'unique fed agency names'!A:C,3,FALSE))
</f>
        <v>U.S. Department of Agriculture (USDA)</v>
      </c>
      <c r="R2097" s="1">
        <v>1.6388758E7</v>
      </c>
      <c r="S2097" s="1" t="s">
        <v>3139</v>
      </c>
      <c r="T2097" s="1" t="str">
        <f>IF(ISERROR(VLOOKUP(S2097,'unique org names'!A:C,3,FALSE)),S2097,VLOOKUP(S2097,'unique org names'!A:C,3,FALSE))
</f>
        <v>CALUMET CENTER</v>
      </c>
      <c r="U2097" s="1" t="s">
        <v>3140</v>
      </c>
      <c r="V2097" s="1" t="s">
        <v>281</v>
      </c>
      <c r="W2097" s="1" t="s">
        <v>44</v>
      </c>
      <c r="X2097" s="1" t="s">
        <v>45</v>
      </c>
      <c r="Y2097" s="1">
        <v>4.82033277E8</v>
      </c>
      <c r="AA2097" s="1" t="s">
        <v>603</v>
      </c>
      <c r="AB2097" s="1" t="s">
        <v>45</v>
      </c>
      <c r="AC2097" s="1">
        <v>4.82033277E8</v>
      </c>
      <c r="AF2097" s="1">
        <v>159745.89</v>
      </c>
      <c r="AG2097" s="2">
        <v>41919.0</v>
      </c>
      <c r="AH2097" s="1">
        <v>1200.0</v>
      </c>
      <c r="AI2097" s="1" t="s">
        <v>647</v>
      </c>
      <c r="AJ2097" s="1" t="s">
        <v>3806</v>
      </c>
      <c r="AK2097" s="1" t="s">
        <v>712</v>
      </c>
      <c r="AL2097" s="1">
        <v>1.0</v>
      </c>
      <c r="AM2097" s="1">
        <v>2015.0</v>
      </c>
      <c r="AN2097" s="1">
        <v>2015.0</v>
      </c>
      <c r="AO2097" s="1" t="s">
        <v>713</v>
      </c>
    </row>
    <row r="2098">
      <c r="A2098" s="5">
        <v>1.0</v>
      </c>
      <c r="B2098" s="1">
        <f t="shared" si="1"/>
        <v>2098</v>
      </c>
      <c r="C2098" s="1" t="s">
        <v>3515</v>
      </c>
      <c r="D2098" s="1" t="s">
        <v>3515</v>
      </c>
      <c r="E2098" s="1" t="s">
        <v>645</v>
      </c>
      <c r="G2098" s="1">
        <v>4.64793056E8</v>
      </c>
      <c r="H2098" s="2">
        <v>41921.0</v>
      </c>
      <c r="I2098" s="1" t="s">
        <v>710</v>
      </c>
      <c r="K2098" s="1" t="s">
        <v>710</v>
      </c>
      <c r="N2098" s="1" t="s">
        <v>647</v>
      </c>
      <c r="O2098" s="1">
        <v>1200.0</v>
      </c>
      <c r="P2098" s="1" t="s">
        <v>647</v>
      </c>
      <c r="Q2098" s="1" t="str">
        <f>IF(ISERROR(VLOOKUP(P2098,'unique fed agency names'!A:C,3,FALSE)),P2098,VLOOKUP(P2098,'unique fed agency names'!A:C,3,FALSE))
</f>
        <v>U.S. Department of Agriculture (USDA)</v>
      </c>
      <c r="R2098" s="1">
        <v>5.57263386E8</v>
      </c>
      <c r="S2098" s="1" t="s">
        <v>727</v>
      </c>
      <c r="T2098" s="1" t="str">
        <f>IF(ISERROR(VLOOKUP(S2098,'unique org names'!A:C,3,FALSE)),S2098,VLOOKUP(S2098,'unique org names'!A:C,3,FALSE))
</f>
        <v>LITTLE SCHOLARS DAY CARE</v>
      </c>
      <c r="V2098" s="1" t="s">
        <v>728</v>
      </c>
      <c r="W2098" s="1" t="s">
        <v>44</v>
      </c>
      <c r="X2098" s="1" t="s">
        <v>45</v>
      </c>
      <c r="Y2098" s="1">
        <v>4.82231703E8</v>
      </c>
      <c r="AA2098" s="1" t="s">
        <v>46</v>
      </c>
      <c r="AB2098" s="1" t="s">
        <v>45</v>
      </c>
      <c r="AC2098" s="1">
        <v>4.8223E8</v>
      </c>
      <c r="AF2098" s="1">
        <v>83832.9</v>
      </c>
      <c r="AG2098" s="2">
        <v>41921.0</v>
      </c>
      <c r="AH2098" s="1">
        <v>1200.0</v>
      </c>
      <c r="AI2098" s="1" t="s">
        <v>647</v>
      </c>
      <c r="AJ2098" s="1" t="s">
        <v>3807</v>
      </c>
      <c r="AK2098" s="1" t="s">
        <v>712</v>
      </c>
      <c r="AL2098" s="1">
        <v>1.0</v>
      </c>
      <c r="AM2098" s="1">
        <v>2015.0</v>
      </c>
      <c r="AN2098" s="1">
        <v>2015.0</v>
      </c>
      <c r="AO2098" s="1" t="s">
        <v>713</v>
      </c>
    </row>
    <row r="2099">
      <c r="A2099" s="5">
        <v>1.0</v>
      </c>
      <c r="B2099" s="1">
        <f t="shared" si="1"/>
        <v>2099</v>
      </c>
      <c r="C2099" s="1" t="s">
        <v>3515</v>
      </c>
      <c r="D2099" s="1" t="s">
        <v>3515</v>
      </c>
      <c r="E2099" s="1" t="s">
        <v>645</v>
      </c>
      <c r="G2099" s="1">
        <v>4.64793056E8</v>
      </c>
      <c r="H2099" s="2">
        <v>41956.0</v>
      </c>
      <c r="I2099" s="1" t="s">
        <v>710</v>
      </c>
      <c r="K2099" s="1" t="s">
        <v>710</v>
      </c>
      <c r="N2099" s="1" t="s">
        <v>647</v>
      </c>
      <c r="O2099" s="1">
        <v>1200.0</v>
      </c>
      <c r="P2099" s="1" t="s">
        <v>647</v>
      </c>
      <c r="Q2099" s="1" t="str">
        <f>IF(ISERROR(VLOOKUP(P2099,'unique fed agency names'!A:C,3,FALSE)),P2099,VLOOKUP(P2099,'unique fed agency names'!A:C,3,FALSE))
</f>
        <v>U.S. Department of Agriculture (USDA)</v>
      </c>
      <c r="R2099" s="1">
        <v>6533863.0</v>
      </c>
      <c r="S2099" s="1" t="s">
        <v>3194</v>
      </c>
      <c r="T2099" s="1" t="str">
        <f>IF(ISERROR(VLOOKUP(S2099,'unique org names'!A:C,3,FALSE)),S2099,VLOOKUP(S2099,'unique org names'!A:C,3,FALSE))
</f>
        <v>Roman Catholic Archdiocese of Detroit</v>
      </c>
      <c r="U2099" s="1" t="s">
        <v>3195</v>
      </c>
      <c r="V2099" s="1" t="s">
        <v>3196</v>
      </c>
      <c r="W2099" s="1" t="s">
        <v>44</v>
      </c>
      <c r="X2099" s="1" t="s">
        <v>45</v>
      </c>
      <c r="Y2099" s="1">
        <v>4.82261894E8</v>
      </c>
      <c r="AA2099" s="1" t="s">
        <v>3197</v>
      </c>
      <c r="AB2099" s="1" t="s">
        <v>45</v>
      </c>
      <c r="AC2099" s="1">
        <v>4.81339647E8</v>
      </c>
      <c r="AD2099" s="1">
        <v>6533863.0</v>
      </c>
      <c r="AF2099" s="1">
        <v>87355.65</v>
      </c>
      <c r="AG2099" s="2">
        <v>41956.0</v>
      </c>
      <c r="AH2099" s="1">
        <v>1200.0</v>
      </c>
      <c r="AI2099" s="1" t="s">
        <v>647</v>
      </c>
      <c r="AJ2099" s="1" t="s">
        <v>3808</v>
      </c>
      <c r="AK2099" s="1" t="s">
        <v>712</v>
      </c>
      <c r="AL2099" s="1">
        <v>1.0</v>
      </c>
      <c r="AM2099" s="1">
        <v>2015.0</v>
      </c>
      <c r="AN2099" s="1">
        <v>2015.0</v>
      </c>
      <c r="AO2099" s="1" t="s">
        <v>713</v>
      </c>
    </row>
    <row r="2100">
      <c r="A2100" s="5">
        <v>1.0</v>
      </c>
      <c r="B2100" s="1">
        <f t="shared" si="1"/>
        <v>2100</v>
      </c>
      <c r="C2100" s="1" t="s">
        <v>3515</v>
      </c>
      <c r="D2100" s="1" t="s">
        <v>3515</v>
      </c>
      <c r="E2100" s="1" t="s">
        <v>645</v>
      </c>
      <c r="G2100" s="1">
        <v>4.64793056E8</v>
      </c>
      <c r="H2100" s="2">
        <v>41928.0</v>
      </c>
      <c r="I2100" s="1" t="s">
        <v>710</v>
      </c>
      <c r="K2100" s="1" t="s">
        <v>710</v>
      </c>
      <c r="N2100" s="1" t="s">
        <v>647</v>
      </c>
      <c r="O2100" s="1">
        <v>1200.0</v>
      </c>
      <c r="P2100" s="1" t="s">
        <v>647</v>
      </c>
      <c r="Q2100" s="1" t="str">
        <f>IF(ISERROR(VLOOKUP(P2100,'unique fed agency names'!A:C,3,FALSE)),P2100,VLOOKUP(P2100,'unique fed agency names'!A:C,3,FALSE))
</f>
        <v>U.S. Department of Agriculture (USDA)</v>
      </c>
      <c r="R2100" s="1">
        <v>3537326.0</v>
      </c>
      <c r="S2100" s="1" t="s">
        <v>560</v>
      </c>
      <c r="T2100" s="1" t="str">
        <f>IF(ISERROR(VLOOKUP(S2100,'unique org names'!A:C,3,FALSE)),S2100,VLOOKUP(S2100,'unique org names'!A:C,3,FALSE))
</f>
        <v>COMMONWEALTH COMMUNITY DEVELOPMENT ACADEMY</v>
      </c>
      <c r="V2100" s="1" t="s">
        <v>561</v>
      </c>
      <c r="W2100" s="1" t="s">
        <v>44</v>
      </c>
      <c r="X2100" s="1" t="s">
        <v>45</v>
      </c>
      <c r="Y2100" s="1">
        <v>4.8212177E8</v>
      </c>
      <c r="AA2100" s="1" t="s">
        <v>498</v>
      </c>
      <c r="AB2100" s="1" t="s">
        <v>45</v>
      </c>
      <c r="AC2100" s="1">
        <v>4.82121754E8</v>
      </c>
      <c r="AD2100" s="1">
        <v>3537326.0</v>
      </c>
      <c r="AE2100" s="1" t="s">
        <v>560</v>
      </c>
      <c r="AF2100" s="1">
        <v>78747.97</v>
      </c>
      <c r="AG2100" s="2">
        <v>41928.0</v>
      </c>
      <c r="AH2100" s="1">
        <v>1200.0</v>
      </c>
      <c r="AI2100" s="1" t="s">
        <v>647</v>
      </c>
      <c r="AJ2100" s="1" t="s">
        <v>3809</v>
      </c>
      <c r="AK2100" s="1" t="s">
        <v>712</v>
      </c>
      <c r="AL2100" s="1">
        <v>1.0</v>
      </c>
      <c r="AM2100" s="1">
        <v>2015.0</v>
      </c>
      <c r="AN2100" s="1">
        <v>2015.0</v>
      </c>
      <c r="AO2100" s="1" t="s">
        <v>713</v>
      </c>
    </row>
    <row r="2101">
      <c r="A2101" s="5">
        <v>1.0</v>
      </c>
      <c r="B2101" s="1">
        <f t="shared" si="1"/>
        <v>2101</v>
      </c>
      <c r="C2101" s="1" t="s">
        <v>1913</v>
      </c>
      <c r="D2101" s="1" t="s">
        <v>1913</v>
      </c>
      <c r="E2101" s="1" t="s">
        <v>645</v>
      </c>
      <c r="G2101" s="1">
        <v>1.4642656E8</v>
      </c>
      <c r="H2101" s="2">
        <v>41999.0</v>
      </c>
      <c r="I2101" s="1" t="s">
        <v>710</v>
      </c>
      <c r="K2101" s="1" t="s">
        <v>710</v>
      </c>
      <c r="N2101" s="1" t="s">
        <v>647</v>
      </c>
      <c r="O2101" s="1">
        <v>1200.0</v>
      </c>
      <c r="P2101" s="1" t="s">
        <v>647</v>
      </c>
      <c r="Q2101" s="1" t="str">
        <f>IF(ISERROR(VLOOKUP(P2101,'unique fed agency names'!A:C,3,FALSE)),P2101,VLOOKUP(P2101,'unique fed agency names'!A:C,3,FALSE))
</f>
        <v>U.S. Department of Agriculture (USDA)</v>
      </c>
      <c r="R2101" s="1">
        <v>7.6340843E7</v>
      </c>
      <c r="S2101" s="1" t="s">
        <v>461</v>
      </c>
      <c r="T2101" s="1" t="str">
        <f>IF(ISERROR(VLOOKUP(S2101,'unique org names'!A:C,3,FALSE)),S2101,VLOOKUP(S2101,'unique org names'!A:C,3,FALSE))
</f>
        <v>BOARD OF EDUCATION OF THE CITY OF DETROIT</v>
      </c>
      <c r="V2101" s="1" t="s">
        <v>1599</v>
      </c>
      <c r="W2101" s="1" t="s">
        <v>44</v>
      </c>
      <c r="X2101" s="1" t="s">
        <v>45</v>
      </c>
      <c r="Y2101" s="1">
        <v>4.8202301E8</v>
      </c>
      <c r="AA2101" s="1" t="s">
        <v>44</v>
      </c>
      <c r="AB2101" s="1" t="s">
        <v>45</v>
      </c>
      <c r="AC2101" s="1">
        <v>4.82023096E8</v>
      </c>
      <c r="AD2101" s="1">
        <v>7.6340843E7</v>
      </c>
      <c r="AE2101" s="1" t="s">
        <v>461</v>
      </c>
      <c r="AF2101" s="1">
        <v>175110.24</v>
      </c>
      <c r="AG2101" s="2">
        <v>41999.0</v>
      </c>
      <c r="AH2101" s="1">
        <v>1200.0</v>
      </c>
      <c r="AI2101" s="1" t="s">
        <v>647</v>
      </c>
      <c r="AJ2101" s="1" t="s">
        <v>3810</v>
      </c>
      <c r="AK2101" s="1" t="s">
        <v>712</v>
      </c>
      <c r="AL2101" s="1">
        <v>1.0</v>
      </c>
      <c r="AM2101" s="1">
        <v>2015.0</v>
      </c>
      <c r="AN2101" s="1">
        <v>2015.0</v>
      </c>
      <c r="AO2101" s="1" t="s">
        <v>713</v>
      </c>
    </row>
    <row r="2102">
      <c r="A2102" s="5">
        <v>1.0</v>
      </c>
      <c r="B2102" s="1">
        <f t="shared" si="1"/>
        <v>2102</v>
      </c>
      <c r="C2102" s="1" t="s">
        <v>1913</v>
      </c>
      <c r="D2102" s="1" t="s">
        <v>1913</v>
      </c>
      <c r="E2102" s="1" t="s">
        <v>645</v>
      </c>
      <c r="G2102" s="1">
        <v>1.4642656E8</v>
      </c>
      <c r="H2102" s="2">
        <v>42006.0</v>
      </c>
      <c r="I2102" s="1" t="s">
        <v>710</v>
      </c>
      <c r="K2102" s="1" t="s">
        <v>710</v>
      </c>
      <c r="N2102" s="1" t="s">
        <v>647</v>
      </c>
      <c r="O2102" s="1">
        <v>1200.0</v>
      </c>
      <c r="P2102" s="1" t="s">
        <v>647</v>
      </c>
      <c r="Q2102" s="1" t="str">
        <f>IF(ISERROR(VLOOKUP(P2102,'unique fed agency names'!A:C,3,FALSE)),P2102,VLOOKUP(P2102,'unique fed agency names'!A:C,3,FALSE))
</f>
        <v>U.S. Department of Agriculture (USDA)</v>
      </c>
      <c r="R2102" s="1">
        <v>8.30649195E8</v>
      </c>
      <c r="S2102" s="1" t="s">
        <v>545</v>
      </c>
      <c r="T2102" s="1" t="str">
        <f>IF(ISERROR(VLOOKUP(S2102,'unique org names'!A:C,3,FALSE)),S2102,VLOOKUP(S2102,'unique org names'!A:C,3,FALSE))
</f>
        <v>PLYMOUTH EDUCATIONAL CENTER CHARTER SCHOOL</v>
      </c>
      <c r="V2102" s="1" t="s">
        <v>547</v>
      </c>
      <c r="W2102" s="1" t="s">
        <v>44</v>
      </c>
      <c r="X2102" s="1" t="s">
        <v>45</v>
      </c>
      <c r="Y2102" s="1">
        <v>4.82071E8</v>
      </c>
      <c r="AA2102" s="1" t="s">
        <v>44</v>
      </c>
      <c r="AB2102" s="1" t="s">
        <v>45</v>
      </c>
      <c r="AC2102" s="1">
        <v>4.82071E8</v>
      </c>
      <c r="AF2102" s="1">
        <v>133627.14</v>
      </c>
      <c r="AG2102" s="2">
        <v>42006.0</v>
      </c>
      <c r="AH2102" s="1">
        <v>1200.0</v>
      </c>
      <c r="AI2102" s="1" t="s">
        <v>647</v>
      </c>
      <c r="AJ2102" s="1" t="s">
        <v>3811</v>
      </c>
      <c r="AK2102" s="1" t="s">
        <v>712</v>
      </c>
      <c r="AL2102" s="1">
        <v>1.0</v>
      </c>
      <c r="AM2102" s="1">
        <v>2015.0</v>
      </c>
      <c r="AN2102" s="1">
        <v>2015.0</v>
      </c>
      <c r="AO2102" s="1" t="s">
        <v>713</v>
      </c>
    </row>
    <row r="2103">
      <c r="A2103" s="5">
        <v>1.0</v>
      </c>
      <c r="B2103" s="1">
        <f t="shared" si="1"/>
        <v>2103</v>
      </c>
      <c r="C2103" s="1" t="s">
        <v>1913</v>
      </c>
      <c r="D2103" s="1" t="s">
        <v>1913</v>
      </c>
      <c r="E2103" s="1" t="s">
        <v>645</v>
      </c>
      <c r="G2103" s="1">
        <v>1.4642656E8</v>
      </c>
      <c r="H2103" s="2">
        <v>41991.0</v>
      </c>
      <c r="I2103" s="1" t="s">
        <v>710</v>
      </c>
      <c r="K2103" s="1" t="s">
        <v>710</v>
      </c>
      <c r="N2103" s="1" t="s">
        <v>647</v>
      </c>
      <c r="O2103" s="1">
        <v>1200.0</v>
      </c>
      <c r="P2103" s="1" t="s">
        <v>647</v>
      </c>
      <c r="Q2103" s="1" t="str">
        <f>IF(ISERROR(VLOOKUP(P2103,'unique fed agency names'!A:C,3,FALSE)),P2103,VLOOKUP(P2103,'unique fed agency names'!A:C,3,FALSE))
</f>
        <v>U.S. Department of Agriculture (USDA)</v>
      </c>
      <c r="R2103" s="1">
        <v>2.0830303E7</v>
      </c>
      <c r="S2103" s="1" t="s">
        <v>424</v>
      </c>
      <c r="T2103" s="1" t="str">
        <f>IF(ISERROR(VLOOKUP(S2103,'unique org names'!A:C,3,FALSE)),S2103,VLOOKUP(S2103,'unique org names'!A:C,3,FALSE))
</f>
        <v>MATRIX HUMAN SERVICES</v>
      </c>
      <c r="U2103" s="1" t="s">
        <v>425</v>
      </c>
      <c r="V2103" s="1" t="s">
        <v>426</v>
      </c>
      <c r="W2103" s="1" t="s">
        <v>44</v>
      </c>
      <c r="X2103" s="1" t="s">
        <v>45</v>
      </c>
      <c r="Y2103" s="1">
        <v>4.82012002E8</v>
      </c>
      <c r="AA2103" s="1" t="s">
        <v>44</v>
      </c>
      <c r="AB2103" s="1" t="s">
        <v>45</v>
      </c>
      <c r="AC2103" s="1">
        <v>4.82022012E8</v>
      </c>
      <c r="AD2103" s="1">
        <v>2.0830303E7</v>
      </c>
      <c r="AE2103" s="1" t="s">
        <v>424</v>
      </c>
      <c r="AF2103" s="1">
        <v>72233.14</v>
      </c>
      <c r="AG2103" s="2">
        <v>41991.0</v>
      </c>
      <c r="AH2103" s="1">
        <v>1200.0</v>
      </c>
      <c r="AI2103" s="1" t="s">
        <v>647</v>
      </c>
      <c r="AJ2103" s="1" t="s">
        <v>3812</v>
      </c>
      <c r="AK2103" s="1" t="s">
        <v>712</v>
      </c>
      <c r="AL2103" s="1">
        <v>1.0</v>
      </c>
      <c r="AM2103" s="1">
        <v>2015.0</v>
      </c>
      <c r="AN2103" s="1">
        <v>2015.0</v>
      </c>
      <c r="AO2103" s="1" t="s">
        <v>713</v>
      </c>
    </row>
    <row r="2104">
      <c r="A2104" s="5">
        <v>1.0</v>
      </c>
      <c r="B2104" s="1">
        <f t="shared" si="1"/>
        <v>2104</v>
      </c>
      <c r="C2104" s="1" t="s">
        <v>1913</v>
      </c>
      <c r="D2104" s="1" t="s">
        <v>1913</v>
      </c>
      <c r="E2104" s="1" t="s">
        <v>645</v>
      </c>
      <c r="G2104" s="1">
        <v>1.4642656E8</v>
      </c>
      <c r="H2104" s="2">
        <v>41984.0</v>
      </c>
      <c r="I2104" s="1" t="s">
        <v>710</v>
      </c>
      <c r="K2104" s="1" t="s">
        <v>710</v>
      </c>
      <c r="N2104" s="1" t="s">
        <v>647</v>
      </c>
      <c r="O2104" s="1">
        <v>1200.0</v>
      </c>
      <c r="P2104" s="1" t="s">
        <v>647</v>
      </c>
      <c r="Q2104" s="1" t="str">
        <f>IF(ISERROR(VLOOKUP(P2104,'unique fed agency names'!A:C,3,FALSE)),P2104,VLOOKUP(P2104,'unique fed agency names'!A:C,3,FALSE))
</f>
        <v>U.S. Department of Agriculture (USDA)</v>
      </c>
      <c r="R2104" s="1">
        <v>9.62949843E8</v>
      </c>
      <c r="S2104" s="1" t="s">
        <v>619</v>
      </c>
      <c r="T2104" s="1" t="str">
        <f>IF(ISERROR(VLOOKUP(S2104,'unique org names'!A:C,3,FALSE)),S2104,VLOOKUP(S2104,'unique org names'!A:C,3,FALSE))
</f>
        <v>ALLEN ACADEMY</v>
      </c>
      <c r="V2104" s="1" t="s">
        <v>620</v>
      </c>
      <c r="W2104" s="1" t="s">
        <v>44</v>
      </c>
      <c r="X2104" s="1" t="s">
        <v>45</v>
      </c>
      <c r="Y2104" s="1">
        <v>4.82042306E8</v>
      </c>
      <c r="AA2104" s="1" t="s">
        <v>44</v>
      </c>
      <c r="AB2104" s="1" t="s">
        <v>45</v>
      </c>
      <c r="AC2104" s="1">
        <v>4.82042306E8</v>
      </c>
      <c r="AF2104" s="1">
        <v>81879.48</v>
      </c>
      <c r="AG2104" s="2">
        <v>41984.0</v>
      </c>
      <c r="AH2104" s="1">
        <v>1200.0</v>
      </c>
      <c r="AI2104" s="1" t="s">
        <v>647</v>
      </c>
      <c r="AJ2104" s="1" t="s">
        <v>3813</v>
      </c>
      <c r="AK2104" s="1" t="s">
        <v>712</v>
      </c>
      <c r="AL2104" s="1">
        <v>1.0</v>
      </c>
      <c r="AM2104" s="1">
        <v>2015.0</v>
      </c>
      <c r="AN2104" s="1">
        <v>2015.0</v>
      </c>
      <c r="AO2104" s="1" t="s">
        <v>713</v>
      </c>
    </row>
    <row r="2105">
      <c r="A2105" s="5">
        <v>1.0</v>
      </c>
      <c r="B2105" s="1">
        <f t="shared" si="1"/>
        <v>2105</v>
      </c>
      <c r="C2105" s="1" t="s">
        <v>1913</v>
      </c>
      <c r="D2105" s="1" t="s">
        <v>1913</v>
      </c>
      <c r="E2105" s="1" t="s">
        <v>645</v>
      </c>
      <c r="G2105" s="1">
        <v>1.4642656E8</v>
      </c>
      <c r="H2105" s="2">
        <v>41977.0</v>
      </c>
      <c r="I2105" s="1" t="s">
        <v>710</v>
      </c>
      <c r="K2105" s="1" t="s">
        <v>710</v>
      </c>
      <c r="N2105" s="1" t="s">
        <v>647</v>
      </c>
      <c r="O2105" s="1">
        <v>1200.0</v>
      </c>
      <c r="P2105" s="1" t="s">
        <v>647</v>
      </c>
      <c r="Q2105" s="1" t="str">
        <f>IF(ISERROR(VLOOKUP(P2105,'unique fed agency names'!A:C,3,FALSE)),P2105,VLOOKUP(P2105,'unique fed agency names'!A:C,3,FALSE))
</f>
        <v>U.S. Department of Agriculture (USDA)</v>
      </c>
      <c r="R2105" s="1">
        <v>1.68568132E8</v>
      </c>
      <c r="S2105" s="1" t="s">
        <v>588</v>
      </c>
      <c r="T2105" s="1" t="str">
        <f>IF(ISERROR(VLOOKUP(S2105,'unique org names'!A:C,3,FALSE)),S2105,VLOOKUP(S2105,'unique org names'!A:C,3,FALSE))
</f>
        <v>DETROIT ENTERPRISE ACADEMY</v>
      </c>
      <c r="V2105" s="1" t="s">
        <v>589</v>
      </c>
      <c r="W2105" s="1" t="s">
        <v>44</v>
      </c>
      <c r="X2105" s="1" t="s">
        <v>45</v>
      </c>
      <c r="Y2105" s="1">
        <v>4.82143323E8</v>
      </c>
      <c r="AA2105" s="1" t="s">
        <v>44</v>
      </c>
      <c r="AB2105" s="1" t="s">
        <v>45</v>
      </c>
      <c r="AC2105" s="1">
        <v>4.82143323E8</v>
      </c>
      <c r="AD2105" s="1">
        <v>9.60742484E8</v>
      </c>
      <c r="AF2105" s="1">
        <v>48657.06</v>
      </c>
      <c r="AG2105" s="2">
        <v>41977.0</v>
      </c>
      <c r="AH2105" s="1">
        <v>1200.0</v>
      </c>
      <c r="AI2105" s="1" t="s">
        <v>647</v>
      </c>
      <c r="AJ2105" s="1" t="s">
        <v>3814</v>
      </c>
      <c r="AK2105" s="1" t="s">
        <v>712</v>
      </c>
      <c r="AL2105" s="1">
        <v>1.0</v>
      </c>
      <c r="AM2105" s="1">
        <v>2015.0</v>
      </c>
      <c r="AN2105" s="1">
        <v>2015.0</v>
      </c>
      <c r="AO2105" s="1" t="s">
        <v>713</v>
      </c>
    </row>
    <row r="2106">
      <c r="A2106" s="5">
        <v>1.0</v>
      </c>
      <c r="B2106" s="1">
        <f t="shared" si="1"/>
        <v>2106</v>
      </c>
      <c r="C2106" s="1" t="s">
        <v>1913</v>
      </c>
      <c r="D2106" s="1" t="s">
        <v>1913</v>
      </c>
      <c r="E2106" s="1" t="s">
        <v>645</v>
      </c>
      <c r="G2106" s="1">
        <v>1.4642656E8</v>
      </c>
      <c r="H2106" s="2">
        <v>41977.0</v>
      </c>
      <c r="I2106" s="1" t="s">
        <v>710</v>
      </c>
      <c r="K2106" s="1" t="s">
        <v>710</v>
      </c>
      <c r="N2106" s="1" t="s">
        <v>647</v>
      </c>
      <c r="O2106" s="1">
        <v>1200.0</v>
      </c>
      <c r="P2106" s="1" t="s">
        <v>647</v>
      </c>
      <c r="Q2106" s="1" t="str">
        <f>IF(ISERROR(VLOOKUP(P2106,'unique fed agency names'!A:C,3,FALSE)),P2106,VLOOKUP(P2106,'unique fed agency names'!A:C,3,FALSE))
</f>
        <v>U.S. Department of Agriculture (USDA)</v>
      </c>
      <c r="R2106" s="1">
        <v>8.31014068E8</v>
      </c>
      <c r="S2106" s="1" t="s">
        <v>515</v>
      </c>
      <c r="T2106" s="1" t="str">
        <f>IF(ISERROR(VLOOKUP(S2106,'unique org names'!A:C,3,FALSE)),S2106,VLOOKUP(S2106,'unique org names'!A:C,3,FALSE))
</f>
        <v>DETROIT PREMIER ACADEMY</v>
      </c>
      <c r="V2106" s="1" t="s">
        <v>516</v>
      </c>
      <c r="W2106" s="1" t="s">
        <v>44</v>
      </c>
      <c r="X2106" s="1" t="s">
        <v>45</v>
      </c>
      <c r="Y2106" s="1">
        <v>4.82283685E8</v>
      </c>
      <c r="AA2106" s="1" t="s">
        <v>46</v>
      </c>
      <c r="AB2106" s="1" t="s">
        <v>45</v>
      </c>
      <c r="AC2106" s="1">
        <v>4.82283685E8</v>
      </c>
      <c r="AD2106" s="1">
        <v>9.60742484E8</v>
      </c>
      <c r="AF2106" s="1">
        <v>34191.88</v>
      </c>
      <c r="AG2106" s="2">
        <v>41977.0</v>
      </c>
      <c r="AH2106" s="1">
        <v>1200.0</v>
      </c>
      <c r="AI2106" s="1" t="s">
        <v>647</v>
      </c>
      <c r="AJ2106" s="1" t="s">
        <v>3815</v>
      </c>
      <c r="AK2106" s="1" t="s">
        <v>712</v>
      </c>
      <c r="AL2106" s="1">
        <v>1.0</v>
      </c>
      <c r="AM2106" s="1">
        <v>2015.0</v>
      </c>
      <c r="AN2106" s="1">
        <v>2015.0</v>
      </c>
      <c r="AO2106" s="1" t="s">
        <v>713</v>
      </c>
    </row>
    <row r="2107">
      <c r="A2107" s="5">
        <v>1.0</v>
      </c>
      <c r="B2107" s="1">
        <f t="shared" si="1"/>
        <v>2107</v>
      </c>
      <c r="C2107" s="1" t="s">
        <v>1913</v>
      </c>
      <c r="D2107" s="1" t="s">
        <v>1913</v>
      </c>
      <c r="E2107" s="1" t="s">
        <v>645</v>
      </c>
      <c r="G2107" s="1">
        <v>1.4642656E8</v>
      </c>
      <c r="H2107" s="2">
        <v>41977.0</v>
      </c>
      <c r="I2107" s="1" t="s">
        <v>710</v>
      </c>
      <c r="K2107" s="1" t="s">
        <v>710</v>
      </c>
      <c r="N2107" s="1" t="s">
        <v>647</v>
      </c>
      <c r="O2107" s="1">
        <v>1200.0</v>
      </c>
      <c r="P2107" s="1" t="s">
        <v>647</v>
      </c>
      <c r="Q2107" s="1" t="str">
        <f>IF(ISERROR(VLOOKUP(P2107,'unique fed agency names'!A:C,3,FALSE)),P2107,VLOOKUP(P2107,'unique fed agency names'!A:C,3,FALSE))
</f>
        <v>U.S. Department of Agriculture (USDA)</v>
      </c>
      <c r="R2107" s="1">
        <v>1.6388758E7</v>
      </c>
      <c r="S2107" s="1" t="s">
        <v>3139</v>
      </c>
      <c r="T2107" s="1" t="str">
        <f>IF(ISERROR(VLOOKUP(S2107,'unique org names'!A:C,3,FALSE)),S2107,VLOOKUP(S2107,'unique org names'!A:C,3,FALSE))
</f>
        <v>CALUMET CENTER</v>
      </c>
      <c r="U2107" s="1" t="s">
        <v>3140</v>
      </c>
      <c r="V2107" s="1" t="s">
        <v>281</v>
      </c>
      <c r="W2107" s="1" t="s">
        <v>44</v>
      </c>
      <c r="X2107" s="1" t="s">
        <v>45</v>
      </c>
      <c r="Y2107" s="1">
        <v>4.82033277E8</v>
      </c>
      <c r="AA2107" s="1" t="s">
        <v>603</v>
      </c>
      <c r="AB2107" s="1" t="s">
        <v>45</v>
      </c>
      <c r="AC2107" s="1">
        <v>4.82033277E8</v>
      </c>
      <c r="AF2107" s="1">
        <v>26563.86</v>
      </c>
      <c r="AG2107" s="2">
        <v>41977.0</v>
      </c>
      <c r="AH2107" s="1">
        <v>1200.0</v>
      </c>
      <c r="AI2107" s="1" t="s">
        <v>647</v>
      </c>
      <c r="AJ2107" s="1" t="s">
        <v>3816</v>
      </c>
      <c r="AK2107" s="1" t="s">
        <v>712</v>
      </c>
      <c r="AL2107" s="1">
        <v>1.0</v>
      </c>
      <c r="AM2107" s="1">
        <v>2015.0</v>
      </c>
      <c r="AN2107" s="1">
        <v>2015.0</v>
      </c>
      <c r="AO2107" s="1" t="s">
        <v>713</v>
      </c>
    </row>
    <row r="2108">
      <c r="A2108" s="5">
        <v>1.0</v>
      </c>
      <c r="B2108" s="1">
        <f t="shared" si="1"/>
        <v>2108</v>
      </c>
      <c r="C2108" s="1" t="s">
        <v>1913</v>
      </c>
      <c r="D2108" s="1" t="s">
        <v>1913</v>
      </c>
      <c r="E2108" s="1" t="s">
        <v>645</v>
      </c>
      <c r="G2108" s="1">
        <v>1.4642656E8</v>
      </c>
      <c r="H2108" s="2">
        <v>41984.0</v>
      </c>
      <c r="I2108" s="1" t="s">
        <v>710</v>
      </c>
      <c r="K2108" s="1" t="s">
        <v>710</v>
      </c>
      <c r="N2108" s="1" t="s">
        <v>647</v>
      </c>
      <c r="O2108" s="1">
        <v>1200.0</v>
      </c>
      <c r="P2108" s="1" t="s">
        <v>647</v>
      </c>
      <c r="Q2108" s="1" t="str">
        <f>IF(ISERROR(VLOOKUP(P2108,'unique fed agency names'!A:C,3,FALSE)),P2108,VLOOKUP(P2108,'unique fed agency names'!A:C,3,FALSE))
</f>
        <v>U.S. Department of Agriculture (USDA)</v>
      </c>
      <c r="R2108" s="1">
        <v>5.2874042E7</v>
      </c>
      <c r="S2108" s="1" t="s">
        <v>538</v>
      </c>
      <c r="T2108" s="1" t="str">
        <f>IF(ISERROR(VLOOKUP(S2108,'unique org names'!A:C,3,FALSE)),S2108,VLOOKUP(S2108,'unique org names'!A:C,3,FALSE))
</f>
        <v>CESAR CHAVEZ ACADEMY</v>
      </c>
      <c r="V2108" s="1" t="s">
        <v>539</v>
      </c>
      <c r="W2108" s="1" t="s">
        <v>44</v>
      </c>
      <c r="X2108" s="1" t="s">
        <v>45</v>
      </c>
      <c r="Y2108" s="1">
        <v>4.82091524E8</v>
      </c>
      <c r="AA2108" s="1" t="s">
        <v>44</v>
      </c>
      <c r="AB2108" s="1" t="s">
        <v>45</v>
      </c>
      <c r="AC2108" s="1">
        <v>4.82091524E8</v>
      </c>
      <c r="AF2108" s="1">
        <v>198030.6</v>
      </c>
      <c r="AG2108" s="2">
        <v>41984.0</v>
      </c>
      <c r="AH2108" s="1">
        <v>1200.0</v>
      </c>
      <c r="AI2108" s="1" t="s">
        <v>647</v>
      </c>
      <c r="AJ2108" s="1" t="s">
        <v>3817</v>
      </c>
      <c r="AK2108" s="1" t="s">
        <v>712</v>
      </c>
      <c r="AL2108" s="1">
        <v>1.0</v>
      </c>
      <c r="AM2108" s="1">
        <v>2015.0</v>
      </c>
      <c r="AN2108" s="1">
        <v>2015.0</v>
      </c>
      <c r="AO2108" s="1" t="s">
        <v>713</v>
      </c>
    </row>
    <row r="2109">
      <c r="A2109" s="5">
        <v>1.0</v>
      </c>
      <c r="B2109" s="1">
        <f t="shared" si="1"/>
        <v>2109</v>
      </c>
      <c r="C2109" s="1" t="s">
        <v>1913</v>
      </c>
      <c r="D2109" s="1" t="s">
        <v>1913</v>
      </c>
      <c r="E2109" s="1" t="s">
        <v>645</v>
      </c>
      <c r="G2109" s="1">
        <v>1.4642656E8</v>
      </c>
      <c r="H2109" s="2">
        <v>41984.0</v>
      </c>
      <c r="I2109" s="1" t="s">
        <v>710</v>
      </c>
      <c r="K2109" s="1" t="s">
        <v>710</v>
      </c>
      <c r="N2109" s="1" t="s">
        <v>647</v>
      </c>
      <c r="O2109" s="1">
        <v>1200.0</v>
      </c>
      <c r="P2109" s="1" t="s">
        <v>647</v>
      </c>
      <c r="Q2109" s="1" t="str">
        <f>IF(ISERROR(VLOOKUP(P2109,'unique fed agency names'!A:C,3,FALSE)),P2109,VLOOKUP(P2109,'unique fed agency names'!A:C,3,FALSE))
</f>
        <v>U.S. Department of Agriculture (USDA)</v>
      </c>
      <c r="R2109" s="1">
        <v>7.8634042E7</v>
      </c>
      <c r="S2109" s="1" t="s">
        <v>2998</v>
      </c>
      <c r="T2109" s="1" t="str">
        <f>IF(ISERROR(VLOOKUP(S2109,'unique org names'!A:C,3,FALSE)),S2109,VLOOKUP(S2109,'unique org names'!A:C,3,FALSE))
</f>
        <v>Hamilton Academy</v>
      </c>
      <c r="V2109" s="1" t="s">
        <v>475</v>
      </c>
      <c r="W2109" s="1" t="s">
        <v>44</v>
      </c>
      <c r="X2109" s="1" t="s">
        <v>45</v>
      </c>
      <c r="Y2109" s="1">
        <v>4.82133744E8</v>
      </c>
      <c r="AA2109" s="1" t="s">
        <v>46</v>
      </c>
      <c r="AB2109" s="1" t="s">
        <v>45</v>
      </c>
      <c r="AC2109" s="1">
        <v>4.8213E8</v>
      </c>
      <c r="AF2109" s="1">
        <v>28194.84</v>
      </c>
      <c r="AG2109" s="2">
        <v>41984.0</v>
      </c>
      <c r="AH2109" s="1">
        <v>1200.0</v>
      </c>
      <c r="AI2109" s="1" t="s">
        <v>647</v>
      </c>
      <c r="AJ2109" s="1" t="s">
        <v>3818</v>
      </c>
      <c r="AK2109" s="1" t="s">
        <v>712</v>
      </c>
      <c r="AL2109" s="1">
        <v>1.0</v>
      </c>
      <c r="AM2109" s="1">
        <v>2015.0</v>
      </c>
      <c r="AN2109" s="1">
        <v>2015.0</v>
      </c>
      <c r="AO2109" s="1" t="s">
        <v>713</v>
      </c>
    </row>
    <row r="2110">
      <c r="A2110" s="5">
        <v>1.0</v>
      </c>
      <c r="B2110" s="1">
        <f t="shared" si="1"/>
        <v>2110</v>
      </c>
      <c r="C2110" s="1" t="s">
        <v>1913</v>
      </c>
      <c r="D2110" s="1" t="s">
        <v>1913</v>
      </c>
      <c r="E2110" s="1" t="s">
        <v>645</v>
      </c>
      <c r="G2110" s="1">
        <v>1.4642656E8</v>
      </c>
      <c r="H2110" s="2">
        <v>41991.0</v>
      </c>
      <c r="I2110" s="1" t="s">
        <v>710</v>
      </c>
      <c r="K2110" s="1" t="s">
        <v>710</v>
      </c>
      <c r="N2110" s="1" t="s">
        <v>647</v>
      </c>
      <c r="O2110" s="1">
        <v>1200.0</v>
      </c>
      <c r="P2110" s="1" t="s">
        <v>647</v>
      </c>
      <c r="Q2110" s="1" t="str">
        <f>IF(ISERROR(VLOOKUP(P2110,'unique fed agency names'!A:C,3,FALSE)),P2110,VLOOKUP(P2110,'unique fed agency names'!A:C,3,FALSE))
</f>
        <v>U.S. Department of Agriculture (USDA)</v>
      </c>
      <c r="R2110" s="1">
        <v>2.5773859E7</v>
      </c>
      <c r="S2110" s="1" t="s">
        <v>872</v>
      </c>
      <c r="T2110" s="1" t="str">
        <f>IF(ISERROR(VLOOKUP(S2110,'unique org names'!A:C,3,FALSE)),S2110,VLOOKUP(S2110,'unique org names'!A:C,3,FALSE))
</f>
        <v>HOPE ACADEMY</v>
      </c>
      <c r="V2110" s="1" t="s">
        <v>873</v>
      </c>
      <c r="W2110" s="1" t="s">
        <v>44</v>
      </c>
      <c r="X2110" s="1" t="s">
        <v>45</v>
      </c>
      <c r="Y2110" s="1">
        <v>4.82042042E8</v>
      </c>
      <c r="AA2110" s="1" t="s">
        <v>44</v>
      </c>
      <c r="AB2110" s="1" t="s">
        <v>45</v>
      </c>
      <c r="AC2110" s="1">
        <v>4.82042042E8</v>
      </c>
      <c r="AF2110" s="1">
        <v>32294.69</v>
      </c>
      <c r="AG2110" s="2">
        <v>41991.0</v>
      </c>
      <c r="AH2110" s="1">
        <v>1200.0</v>
      </c>
      <c r="AI2110" s="1" t="s">
        <v>647</v>
      </c>
      <c r="AJ2110" s="1" t="s">
        <v>3819</v>
      </c>
      <c r="AK2110" s="1" t="s">
        <v>712</v>
      </c>
      <c r="AL2110" s="1">
        <v>1.0</v>
      </c>
      <c r="AM2110" s="1">
        <v>2015.0</v>
      </c>
      <c r="AN2110" s="1">
        <v>2015.0</v>
      </c>
      <c r="AO2110" s="1" t="s">
        <v>713</v>
      </c>
    </row>
    <row r="2111">
      <c r="A2111" s="5">
        <v>1.0</v>
      </c>
      <c r="B2111" s="1">
        <f t="shared" si="1"/>
        <v>2111</v>
      </c>
      <c r="C2111" s="1" t="s">
        <v>1913</v>
      </c>
      <c r="D2111" s="1" t="s">
        <v>1913</v>
      </c>
      <c r="E2111" s="1" t="s">
        <v>645</v>
      </c>
      <c r="G2111" s="1">
        <v>1.4642656E8</v>
      </c>
      <c r="H2111" s="2">
        <v>41999.0</v>
      </c>
      <c r="I2111" s="1" t="s">
        <v>710</v>
      </c>
      <c r="K2111" s="1" t="s">
        <v>710</v>
      </c>
      <c r="N2111" s="1" t="s">
        <v>647</v>
      </c>
      <c r="O2111" s="1">
        <v>1200.0</v>
      </c>
      <c r="P2111" s="1" t="s">
        <v>647</v>
      </c>
      <c r="Q2111" s="1" t="str">
        <f>IF(ISERROR(VLOOKUP(P2111,'unique fed agency names'!A:C,3,FALSE)),P2111,VLOOKUP(P2111,'unique fed agency names'!A:C,3,FALSE))
</f>
        <v>U.S. Department of Agriculture (USDA)</v>
      </c>
      <c r="R2111" s="1">
        <v>2.2561935E7</v>
      </c>
      <c r="S2111" s="1" t="s">
        <v>2631</v>
      </c>
      <c r="T2111" s="1" t="str">
        <f>IF(ISERROR(VLOOKUP(S2111,'unique org names'!A:C,3,FALSE)),S2111,VLOOKUP(S2111,'unique org names'!A:C,3,FALSE))
</f>
        <v>JOY PREPARATORY ACADEMY</v>
      </c>
      <c r="V2111" s="1" t="s">
        <v>2632</v>
      </c>
      <c r="W2111" s="1" t="s">
        <v>44</v>
      </c>
      <c r="X2111" s="1" t="s">
        <v>45</v>
      </c>
      <c r="Y2111" s="1">
        <v>4.8238E8</v>
      </c>
      <c r="AA2111" s="1" t="s">
        <v>46</v>
      </c>
      <c r="AB2111" s="1" t="s">
        <v>45</v>
      </c>
      <c r="AC2111" s="1">
        <v>4.82382124E8</v>
      </c>
      <c r="AF2111" s="1">
        <v>34519.86</v>
      </c>
      <c r="AG2111" s="2">
        <v>41999.0</v>
      </c>
      <c r="AH2111" s="1">
        <v>1200.0</v>
      </c>
      <c r="AI2111" s="1" t="s">
        <v>647</v>
      </c>
      <c r="AJ2111" s="1" t="s">
        <v>3820</v>
      </c>
      <c r="AK2111" s="1" t="s">
        <v>712</v>
      </c>
      <c r="AL2111" s="1">
        <v>1.0</v>
      </c>
      <c r="AM2111" s="1">
        <v>2015.0</v>
      </c>
      <c r="AN2111" s="1">
        <v>2015.0</v>
      </c>
      <c r="AO2111" s="1" t="s">
        <v>713</v>
      </c>
    </row>
    <row r="2112">
      <c r="A2112" s="5">
        <v>1.0</v>
      </c>
      <c r="B2112" s="1">
        <f t="shared" si="1"/>
        <v>2112</v>
      </c>
      <c r="C2112" s="1" t="s">
        <v>1913</v>
      </c>
      <c r="D2112" s="1" t="s">
        <v>1913</v>
      </c>
      <c r="E2112" s="1" t="s">
        <v>645</v>
      </c>
      <c r="G2112" s="1">
        <v>1.4642656E8</v>
      </c>
      <c r="H2112" s="2">
        <v>41999.0</v>
      </c>
      <c r="I2112" s="1" t="s">
        <v>710</v>
      </c>
      <c r="K2112" s="1" t="s">
        <v>710</v>
      </c>
      <c r="N2112" s="1" t="s">
        <v>647</v>
      </c>
      <c r="O2112" s="1">
        <v>1200.0</v>
      </c>
      <c r="P2112" s="1" t="s">
        <v>647</v>
      </c>
      <c r="Q2112" s="1" t="str">
        <f>IF(ISERROR(VLOOKUP(P2112,'unique fed agency names'!A:C,3,FALSE)),P2112,VLOOKUP(P2112,'unique fed agency names'!A:C,3,FALSE))
</f>
        <v>U.S. Department of Agriculture (USDA)</v>
      </c>
      <c r="R2112" s="1">
        <v>7.97531279E8</v>
      </c>
      <c r="S2112" s="1" t="s">
        <v>496</v>
      </c>
      <c r="T2112" s="1" t="str">
        <f>IF(ISERROR(VLOOKUP(S2112,'unique org names'!A:C,3,FALSE)),S2112,VLOOKUP(S2112,'unique org names'!A:C,3,FALSE))
</f>
        <v>BRIDGE ACADEMY</v>
      </c>
      <c r="V2112" s="1" t="s">
        <v>497</v>
      </c>
      <c r="W2112" s="1" t="s">
        <v>44</v>
      </c>
      <c r="X2112" s="1" t="s">
        <v>45</v>
      </c>
      <c r="Y2112" s="1">
        <v>4.82123323E8</v>
      </c>
      <c r="AA2112" s="1" t="s">
        <v>498</v>
      </c>
      <c r="AB2112" s="1" t="s">
        <v>45</v>
      </c>
      <c r="AC2112" s="1">
        <v>4.82123323E8</v>
      </c>
      <c r="AF2112" s="1">
        <v>27535.31</v>
      </c>
      <c r="AG2112" s="2">
        <v>41999.0</v>
      </c>
      <c r="AH2112" s="1">
        <v>1200.0</v>
      </c>
      <c r="AI2112" s="1" t="s">
        <v>647</v>
      </c>
      <c r="AJ2112" s="1" t="s">
        <v>3821</v>
      </c>
      <c r="AK2112" s="1" t="s">
        <v>712</v>
      </c>
      <c r="AL2112" s="1">
        <v>1.0</v>
      </c>
      <c r="AM2112" s="1">
        <v>2015.0</v>
      </c>
      <c r="AN2112" s="1">
        <v>2015.0</v>
      </c>
      <c r="AO2112" s="1" t="s">
        <v>713</v>
      </c>
    </row>
    <row r="2113">
      <c r="A2113" s="5">
        <v>1.0</v>
      </c>
      <c r="B2113" s="1">
        <f t="shared" si="1"/>
        <v>2113</v>
      </c>
      <c r="C2113" s="1" t="s">
        <v>1913</v>
      </c>
      <c r="D2113" s="1" t="s">
        <v>1913</v>
      </c>
      <c r="E2113" s="1" t="s">
        <v>645</v>
      </c>
      <c r="G2113" s="1">
        <v>1.4642656E8</v>
      </c>
      <c r="H2113" s="2">
        <v>41999.0</v>
      </c>
      <c r="I2113" s="1" t="s">
        <v>710</v>
      </c>
      <c r="K2113" s="1" t="s">
        <v>710</v>
      </c>
      <c r="N2113" s="1" t="s">
        <v>647</v>
      </c>
      <c r="O2113" s="1">
        <v>1200.0</v>
      </c>
      <c r="P2113" s="1" t="s">
        <v>647</v>
      </c>
      <c r="Q2113" s="1" t="str">
        <f>IF(ISERROR(VLOOKUP(P2113,'unique fed agency names'!A:C,3,FALSE)),P2113,VLOOKUP(P2113,'unique fed agency names'!A:C,3,FALSE))
</f>
        <v>U.S. Department of Agriculture (USDA)</v>
      </c>
      <c r="R2113" s="1">
        <v>4.2136734E7</v>
      </c>
      <c r="S2113" s="1" t="s">
        <v>557</v>
      </c>
      <c r="T2113" s="1" t="str">
        <f>IF(ISERROR(VLOOKUP(S2113,'unique org names'!A:C,3,FALSE)),S2113,VLOOKUP(S2113,'unique org names'!A:C,3,FALSE))
</f>
        <v>GEORGE CROCKETT ACADEMY</v>
      </c>
      <c r="V2113" s="1" t="s">
        <v>558</v>
      </c>
      <c r="W2113" s="1" t="s">
        <v>44</v>
      </c>
      <c r="X2113" s="1" t="s">
        <v>45</v>
      </c>
      <c r="Y2113" s="1">
        <v>4.82082204E8</v>
      </c>
      <c r="AA2113" s="1" t="s">
        <v>44</v>
      </c>
      <c r="AB2113" s="1" t="s">
        <v>45</v>
      </c>
      <c r="AC2113" s="1">
        <v>4.82082204E8</v>
      </c>
      <c r="AF2113" s="1">
        <v>44657.64</v>
      </c>
      <c r="AG2113" s="2">
        <v>41999.0</v>
      </c>
      <c r="AH2113" s="1">
        <v>1200.0</v>
      </c>
      <c r="AI2113" s="1" t="s">
        <v>647</v>
      </c>
      <c r="AJ2113" s="1" t="s">
        <v>3822</v>
      </c>
      <c r="AK2113" s="1" t="s">
        <v>712</v>
      </c>
      <c r="AL2113" s="1">
        <v>1.0</v>
      </c>
      <c r="AM2113" s="1">
        <v>2015.0</v>
      </c>
      <c r="AN2113" s="1">
        <v>2015.0</v>
      </c>
      <c r="AO2113" s="1" t="s">
        <v>713</v>
      </c>
    </row>
    <row r="2114">
      <c r="A2114" s="5">
        <v>1.0</v>
      </c>
      <c r="B2114" s="1">
        <f t="shared" si="1"/>
        <v>2114</v>
      </c>
      <c r="C2114" s="1" t="s">
        <v>1913</v>
      </c>
      <c r="D2114" s="1" t="s">
        <v>1913</v>
      </c>
      <c r="E2114" s="1" t="s">
        <v>645</v>
      </c>
      <c r="G2114" s="1">
        <v>1.4642656E8</v>
      </c>
      <c r="H2114" s="2">
        <v>41991.0</v>
      </c>
      <c r="I2114" s="1" t="s">
        <v>710</v>
      </c>
      <c r="K2114" s="1" t="s">
        <v>710</v>
      </c>
      <c r="N2114" s="1" t="s">
        <v>647</v>
      </c>
      <c r="O2114" s="1">
        <v>1200.0</v>
      </c>
      <c r="P2114" s="1" t="s">
        <v>647</v>
      </c>
      <c r="Q2114" s="1" t="str">
        <f>IF(ISERROR(VLOOKUP(P2114,'unique fed agency names'!A:C,3,FALSE)),P2114,VLOOKUP(P2114,'unique fed agency names'!A:C,3,FALSE))
</f>
        <v>U.S. Department of Agriculture (USDA)</v>
      </c>
      <c r="R2114" s="1">
        <v>1.01550176E8</v>
      </c>
      <c r="S2114" s="1" t="s">
        <v>719</v>
      </c>
      <c r="T2114" s="1" t="str">
        <f>IF(ISERROR(VLOOKUP(S2114,'unique org names'!A:C,3,FALSE)),S2114,VLOOKUP(S2114,'unique org names'!A:C,3,FALSE))
</f>
        <v>METROPOLITAN CHILDREN AND YOUTH INC UNITED CHILDREN AND FAMILY HEAD START</v>
      </c>
      <c r="V2114" s="1" t="s">
        <v>720</v>
      </c>
      <c r="W2114" s="1" t="s">
        <v>44</v>
      </c>
      <c r="X2114" s="1" t="s">
        <v>45</v>
      </c>
      <c r="Y2114" s="1">
        <v>4.82132731E8</v>
      </c>
      <c r="AA2114" s="1" t="s">
        <v>44</v>
      </c>
      <c r="AB2114" s="1" t="s">
        <v>45</v>
      </c>
      <c r="AC2114" s="1">
        <v>4.82132731E8</v>
      </c>
      <c r="AD2114" s="1">
        <v>1.01550176E8</v>
      </c>
      <c r="AE2114" s="1" t="s">
        <v>719</v>
      </c>
      <c r="AF2114" s="1">
        <v>43740.6</v>
      </c>
      <c r="AG2114" s="2">
        <v>41991.0</v>
      </c>
      <c r="AH2114" s="1">
        <v>1200.0</v>
      </c>
      <c r="AI2114" s="1" t="s">
        <v>647</v>
      </c>
      <c r="AJ2114" s="1" t="s">
        <v>3823</v>
      </c>
      <c r="AK2114" s="1" t="s">
        <v>712</v>
      </c>
      <c r="AL2114" s="1">
        <v>1.0</v>
      </c>
      <c r="AM2114" s="1">
        <v>2015.0</v>
      </c>
      <c r="AN2114" s="1">
        <v>2015.0</v>
      </c>
      <c r="AO2114" s="1" t="s">
        <v>713</v>
      </c>
    </row>
    <row r="2115">
      <c r="A2115" s="5">
        <v>1.0</v>
      </c>
      <c r="B2115" s="1">
        <f t="shared" si="1"/>
        <v>2115</v>
      </c>
      <c r="C2115" s="1" t="s">
        <v>1913</v>
      </c>
      <c r="D2115" s="1" t="s">
        <v>1913</v>
      </c>
      <c r="E2115" s="1" t="s">
        <v>645</v>
      </c>
      <c r="G2115" s="1">
        <v>1.4642656E8</v>
      </c>
      <c r="H2115" s="2">
        <v>41991.0</v>
      </c>
      <c r="I2115" s="1" t="s">
        <v>710</v>
      </c>
      <c r="K2115" s="1" t="s">
        <v>710</v>
      </c>
      <c r="N2115" s="1" t="s">
        <v>647</v>
      </c>
      <c r="O2115" s="1">
        <v>1200.0</v>
      </c>
      <c r="P2115" s="1" t="s">
        <v>647</v>
      </c>
      <c r="Q2115" s="1" t="str">
        <f>IF(ISERROR(VLOOKUP(P2115,'unique fed agency names'!A:C,3,FALSE)),P2115,VLOOKUP(P2115,'unique fed agency names'!A:C,3,FALSE))
</f>
        <v>U.S. Department of Agriculture (USDA)</v>
      </c>
      <c r="R2115" s="1">
        <v>1.6389763E8</v>
      </c>
      <c r="S2115" s="1" t="s">
        <v>843</v>
      </c>
      <c r="T2115" s="1" t="str">
        <f>IF(ISERROR(VLOOKUP(S2115,'unique org names'!A:C,3,FALSE)),S2115,VLOOKUP(S2115,'unique org names'!A:C,3,FALSE))
</f>
        <v>RENAISSANCE HEAD START</v>
      </c>
      <c r="U2115" s="1" t="s">
        <v>844</v>
      </c>
      <c r="V2115" s="1" t="s">
        <v>845</v>
      </c>
      <c r="W2115" s="1" t="s">
        <v>44</v>
      </c>
      <c r="X2115" s="1" t="s">
        <v>45</v>
      </c>
      <c r="Y2115" s="1">
        <v>4.82383647E8</v>
      </c>
      <c r="AA2115" s="1" t="s">
        <v>46</v>
      </c>
      <c r="AB2115" s="1" t="s">
        <v>45</v>
      </c>
      <c r="AC2115" s="1">
        <v>4.82383647E8</v>
      </c>
      <c r="AD2115" s="1">
        <v>1.6389763E8</v>
      </c>
      <c r="AE2115" s="1" t="s">
        <v>843</v>
      </c>
      <c r="AF2115" s="1">
        <v>36679.32</v>
      </c>
      <c r="AG2115" s="2">
        <v>41991.0</v>
      </c>
      <c r="AH2115" s="1">
        <v>1200.0</v>
      </c>
      <c r="AI2115" s="1" t="s">
        <v>647</v>
      </c>
      <c r="AJ2115" s="1" t="s">
        <v>3824</v>
      </c>
      <c r="AK2115" s="1" t="s">
        <v>712</v>
      </c>
      <c r="AL2115" s="1">
        <v>1.0</v>
      </c>
      <c r="AM2115" s="1">
        <v>2015.0</v>
      </c>
      <c r="AN2115" s="1">
        <v>2015.0</v>
      </c>
      <c r="AO2115" s="1" t="s">
        <v>713</v>
      </c>
    </row>
    <row r="2116">
      <c r="A2116" s="5">
        <v>1.0</v>
      </c>
      <c r="B2116" s="1">
        <f t="shared" si="1"/>
        <v>2116</v>
      </c>
      <c r="C2116" s="1" t="s">
        <v>1913</v>
      </c>
      <c r="D2116" s="1" t="s">
        <v>1913</v>
      </c>
      <c r="E2116" s="1" t="s">
        <v>645</v>
      </c>
      <c r="G2116" s="1">
        <v>1.4642656E8</v>
      </c>
      <c r="H2116" s="2">
        <v>41977.0</v>
      </c>
      <c r="I2116" s="1" t="s">
        <v>710</v>
      </c>
      <c r="K2116" s="1" t="s">
        <v>710</v>
      </c>
      <c r="N2116" s="1" t="s">
        <v>647</v>
      </c>
      <c r="O2116" s="1">
        <v>1200.0</v>
      </c>
      <c r="P2116" s="1" t="s">
        <v>647</v>
      </c>
      <c r="Q2116" s="1" t="str">
        <f>IF(ISERROR(VLOOKUP(P2116,'unique fed agency names'!A:C,3,FALSE)),P2116,VLOOKUP(P2116,'unique fed agency names'!A:C,3,FALSE))
</f>
        <v>U.S. Department of Agriculture (USDA)</v>
      </c>
      <c r="R2116" s="1">
        <v>7.97527715E8</v>
      </c>
      <c r="S2116" s="1" t="s">
        <v>567</v>
      </c>
      <c r="T2116" s="1" t="str">
        <f>IF(ISERROR(VLOOKUP(S2116,'unique org names'!A:C,3,FALSE)),S2116,VLOOKUP(S2116,'unique org names'!A:C,3,FALSE))
</f>
        <v>HAMTRAMCK ACADEMY</v>
      </c>
      <c r="V2116" s="1" t="s">
        <v>568</v>
      </c>
      <c r="W2116" s="1" t="s">
        <v>44</v>
      </c>
      <c r="X2116" s="1" t="s">
        <v>45</v>
      </c>
      <c r="Y2116" s="1">
        <v>4.82123134E8</v>
      </c>
      <c r="AA2116" s="1" t="s">
        <v>498</v>
      </c>
      <c r="AB2116" s="1" t="s">
        <v>45</v>
      </c>
      <c r="AC2116" s="1">
        <v>4.82123134E8</v>
      </c>
      <c r="AD2116" s="1">
        <v>9.60742484E8</v>
      </c>
      <c r="AF2116" s="1">
        <v>49419.0</v>
      </c>
      <c r="AG2116" s="2">
        <v>41977.0</v>
      </c>
      <c r="AH2116" s="1">
        <v>1200.0</v>
      </c>
      <c r="AI2116" s="1" t="s">
        <v>647</v>
      </c>
      <c r="AJ2116" s="1" t="s">
        <v>3825</v>
      </c>
      <c r="AK2116" s="1" t="s">
        <v>712</v>
      </c>
      <c r="AL2116" s="1">
        <v>1.0</v>
      </c>
      <c r="AM2116" s="1">
        <v>2015.0</v>
      </c>
      <c r="AN2116" s="1">
        <v>2015.0</v>
      </c>
      <c r="AO2116" s="1" t="s">
        <v>713</v>
      </c>
    </row>
    <row r="2117">
      <c r="A2117" s="5">
        <v>1.0</v>
      </c>
      <c r="B2117" s="1">
        <f t="shared" si="1"/>
        <v>2117</v>
      </c>
      <c r="C2117" s="1" t="s">
        <v>3337</v>
      </c>
      <c r="D2117" s="1" t="s">
        <v>3337</v>
      </c>
      <c r="E2117" s="1" t="s">
        <v>194</v>
      </c>
      <c r="G2117" s="1">
        <v>3.9049236E7</v>
      </c>
      <c r="H2117" s="2">
        <v>41865.0</v>
      </c>
      <c r="I2117" s="1" t="s">
        <v>279</v>
      </c>
      <c r="K2117" s="1" t="s">
        <v>279</v>
      </c>
      <c r="N2117" s="1" t="s">
        <v>194</v>
      </c>
      <c r="O2117" s="1">
        <v>9100.0</v>
      </c>
      <c r="P2117" s="1" t="s">
        <v>194</v>
      </c>
      <c r="Q2117" s="1" t="str">
        <f>IF(ISERROR(VLOOKUP(P2117,'unique fed agency names'!A:C,3,FALSE)),P2117,VLOOKUP(P2117,'unique fed agency names'!A:C,3,FALSE))
</f>
        <v>U.S. Department of Education (ED)</v>
      </c>
      <c r="R2117" s="1">
        <v>1962224.0</v>
      </c>
      <c r="S2117" s="1" t="s">
        <v>52</v>
      </c>
      <c r="T2117" s="1" t="str">
        <f>IF(ISERROR(VLOOKUP(S2117,'unique org names'!A:C,3,FALSE)),S2117,VLOOKUP(S2117,'unique org names'!A:C,3,FALSE))
</f>
        <v>WAYNE STATE UNIVERSITY</v>
      </c>
      <c r="V2117" s="1" t="s">
        <v>53</v>
      </c>
      <c r="W2117" s="1" t="s">
        <v>44</v>
      </c>
      <c r="X2117" s="1" t="s">
        <v>45</v>
      </c>
      <c r="Y2117" s="1">
        <v>4.82023692E8</v>
      </c>
      <c r="AA2117" s="1" t="s">
        <v>44</v>
      </c>
      <c r="AB2117" s="1" t="s">
        <v>45</v>
      </c>
      <c r="AC2117" s="1">
        <v>4.82023424E8</v>
      </c>
      <c r="AD2117" s="1">
        <v>1962224.0</v>
      </c>
      <c r="AE2117" s="1" t="s">
        <v>52</v>
      </c>
      <c r="AF2117" s="1">
        <v>2025000.0</v>
      </c>
      <c r="AG2117" s="2">
        <v>41865.0</v>
      </c>
      <c r="AH2117" s="1">
        <v>9100.0</v>
      </c>
      <c r="AI2117" s="1" t="s">
        <v>194</v>
      </c>
      <c r="AJ2117" s="1" t="s">
        <v>3340</v>
      </c>
      <c r="AK2117" s="1" t="s">
        <v>284</v>
      </c>
      <c r="AL2117" s="1">
        <v>1.0</v>
      </c>
      <c r="AM2117" s="1">
        <v>2015.0</v>
      </c>
      <c r="AN2117" s="1">
        <v>2014.0</v>
      </c>
      <c r="AO2117" s="1" t="s">
        <v>285</v>
      </c>
    </row>
    <row r="2118">
      <c r="A2118" s="5">
        <v>1.0</v>
      </c>
      <c r="B2118" s="1">
        <f t="shared" si="1"/>
        <v>2118</v>
      </c>
      <c r="C2118" s="1" t="s">
        <v>3337</v>
      </c>
      <c r="D2118" s="1" t="s">
        <v>3337</v>
      </c>
      <c r="E2118" s="1" t="s">
        <v>194</v>
      </c>
      <c r="G2118" s="1">
        <v>3.9049236E7</v>
      </c>
      <c r="H2118" s="2">
        <v>41884.0</v>
      </c>
      <c r="I2118" s="1" t="s">
        <v>279</v>
      </c>
      <c r="K2118" s="1" t="s">
        <v>279</v>
      </c>
      <c r="N2118" s="1" t="s">
        <v>194</v>
      </c>
      <c r="O2118" s="1">
        <v>9100.0</v>
      </c>
      <c r="P2118" s="1" t="s">
        <v>194</v>
      </c>
      <c r="Q2118" s="1" t="str">
        <f>IF(ISERROR(VLOOKUP(P2118,'unique fed agency names'!A:C,3,FALSE)),P2118,VLOOKUP(P2118,'unique fed agency names'!A:C,3,FALSE))
</f>
        <v>U.S. Department of Education (ED)</v>
      </c>
      <c r="R2118" s="1">
        <v>7.8359005E7</v>
      </c>
      <c r="S2118" s="1" t="s">
        <v>486</v>
      </c>
      <c r="T2118" s="1" t="str">
        <f>IF(ISERROR(VLOOKUP(S2118,'unique org names'!A:C,3,FALSE)),S2118,VLOOKUP(S2118,'unique org names'!A:C,3,FALSE))
</f>
        <v>GEE EDMONSON ACADEMY</v>
      </c>
      <c r="V2118" s="1" t="s">
        <v>487</v>
      </c>
      <c r="W2118" s="1" t="s">
        <v>44</v>
      </c>
      <c r="X2118" s="1" t="s">
        <v>45</v>
      </c>
      <c r="Y2118" s="1">
        <v>4.82011006E8</v>
      </c>
      <c r="AA2118" s="1" t="s">
        <v>46</v>
      </c>
      <c r="AB2118" s="1" t="s">
        <v>45</v>
      </c>
      <c r="AC2118" s="1">
        <v>4.82011006E8</v>
      </c>
      <c r="AF2118" s="1">
        <v>270000.0</v>
      </c>
      <c r="AG2118" s="2">
        <v>41884.0</v>
      </c>
      <c r="AH2118" s="1">
        <v>9100.0</v>
      </c>
      <c r="AI2118" s="1" t="s">
        <v>194</v>
      </c>
      <c r="AJ2118" s="1" t="s">
        <v>3826</v>
      </c>
      <c r="AK2118" s="1" t="s">
        <v>3339</v>
      </c>
      <c r="AL2118" s="1">
        <v>1.0</v>
      </c>
      <c r="AM2118" s="1">
        <v>2015.0</v>
      </c>
      <c r="AN2118" s="1">
        <v>2014.0</v>
      </c>
      <c r="AO2118" s="1" t="s">
        <v>285</v>
      </c>
    </row>
    <row r="2119">
      <c r="A2119" s="5">
        <v>1.0</v>
      </c>
      <c r="B2119" s="1">
        <f t="shared" si="1"/>
        <v>2119</v>
      </c>
      <c r="C2119" s="1" t="s">
        <v>3341</v>
      </c>
      <c r="D2119" s="1" t="s">
        <v>3341</v>
      </c>
      <c r="E2119" s="1" t="s">
        <v>194</v>
      </c>
      <c r="G2119" s="1">
        <v>1.1225251E7</v>
      </c>
      <c r="H2119" s="2">
        <v>41897.0</v>
      </c>
      <c r="I2119" s="1" t="s">
        <v>685</v>
      </c>
      <c r="K2119" s="1" t="s">
        <v>685</v>
      </c>
      <c r="N2119" s="1" t="s">
        <v>194</v>
      </c>
      <c r="O2119" s="1">
        <v>9100.0</v>
      </c>
      <c r="P2119" s="1" t="s">
        <v>194</v>
      </c>
      <c r="Q2119" s="1" t="str">
        <f>IF(ISERROR(VLOOKUP(P2119,'unique fed agency names'!A:C,3,FALSE)),P2119,VLOOKUP(P2119,'unique fed agency names'!A:C,3,FALSE))
</f>
        <v>U.S. Department of Education (ED)</v>
      </c>
      <c r="R2119" s="1">
        <v>3.9866801E7</v>
      </c>
      <c r="S2119" s="1" t="s">
        <v>612</v>
      </c>
      <c r="T2119" s="1" t="str">
        <f>IF(ISERROR(VLOOKUP(S2119,'unique org names'!A:C,3,FALSE)),S2119,VLOOKUP(S2119,'unique org names'!A:C,3,FALSE))
</f>
        <v>HAMTRAMCK PUBLIC SCHOOLS</v>
      </c>
      <c r="V2119" s="1" t="s">
        <v>613</v>
      </c>
      <c r="W2119" s="1" t="s">
        <v>44</v>
      </c>
      <c r="X2119" s="1" t="s">
        <v>45</v>
      </c>
      <c r="Y2119" s="1">
        <v>4.8212E8</v>
      </c>
      <c r="AA2119" s="1" t="s">
        <v>607</v>
      </c>
      <c r="AB2119" s="1" t="s">
        <v>45</v>
      </c>
      <c r="AC2119" s="1">
        <v>4.82120012E8</v>
      </c>
      <c r="AD2119" s="1">
        <v>3.9866801E7</v>
      </c>
      <c r="AE2119" s="1" t="s">
        <v>612</v>
      </c>
      <c r="AF2119" s="1">
        <v>119476.0</v>
      </c>
      <c r="AG2119" s="2">
        <v>41897.0</v>
      </c>
      <c r="AH2119" s="1">
        <v>9100.0</v>
      </c>
      <c r="AI2119" s="1" t="s">
        <v>194</v>
      </c>
      <c r="AJ2119" s="1" t="s">
        <v>3827</v>
      </c>
      <c r="AK2119" s="1" t="s">
        <v>3828</v>
      </c>
      <c r="AL2119" s="1">
        <v>1.0</v>
      </c>
      <c r="AM2119" s="1">
        <v>2015.0</v>
      </c>
      <c r="AN2119" s="1">
        <v>2014.0</v>
      </c>
      <c r="AO2119" s="1" t="s">
        <v>688</v>
      </c>
    </row>
    <row r="2120">
      <c r="A2120" s="5">
        <v>1.0</v>
      </c>
      <c r="B2120" s="1">
        <f t="shared" si="1"/>
        <v>2120</v>
      </c>
      <c r="C2120" s="1" t="s">
        <v>3344</v>
      </c>
      <c r="D2120" s="1" t="s">
        <v>3344</v>
      </c>
      <c r="E2120" s="1" t="s">
        <v>194</v>
      </c>
      <c r="G2120" s="1">
        <v>8.9228048E7</v>
      </c>
      <c r="H2120" s="2">
        <v>41704.0</v>
      </c>
      <c r="I2120" s="1" t="s">
        <v>458</v>
      </c>
      <c r="K2120" s="1" t="s">
        <v>458</v>
      </c>
      <c r="N2120" s="1" t="s">
        <v>194</v>
      </c>
      <c r="O2120" s="1">
        <v>9100.0</v>
      </c>
      <c r="P2120" s="1" t="s">
        <v>194</v>
      </c>
      <c r="Q2120" s="1" t="str">
        <f>IF(ISERROR(VLOOKUP(P2120,'unique fed agency names'!A:C,3,FALSE)),P2120,VLOOKUP(P2120,'unique fed agency names'!A:C,3,FALSE))
</f>
        <v>U.S. Department of Education (ED)</v>
      </c>
      <c r="R2120" s="1">
        <v>1.47552186E8</v>
      </c>
      <c r="S2120" s="1" t="s">
        <v>822</v>
      </c>
      <c r="T2120" s="1" t="str">
        <f>IF(ISERROR(VLOOKUP(S2120,'unique org names'!A:C,3,FALSE)),S2120,VLOOKUP(S2120,'unique org names'!A:C,3,FALSE))
</f>
        <v>NATAKI TALIBAH SCHOOLHOUSE OF DETROIT</v>
      </c>
      <c r="U2120" s="1" t="s">
        <v>3829</v>
      </c>
      <c r="V2120" s="1" t="s">
        <v>823</v>
      </c>
      <c r="W2120" s="1" t="s">
        <v>44</v>
      </c>
      <c r="X2120" s="1" t="s">
        <v>45</v>
      </c>
      <c r="Y2120" s="1">
        <v>4.82191857E8</v>
      </c>
      <c r="AA2120" s="1" t="s">
        <v>44</v>
      </c>
      <c r="AB2120" s="1" t="s">
        <v>45</v>
      </c>
      <c r="AC2120" s="1">
        <v>4.82191857E8</v>
      </c>
      <c r="AD2120" s="1">
        <v>2.1037981E7</v>
      </c>
      <c r="AE2120" s="1" t="s">
        <v>3830</v>
      </c>
      <c r="AF2120" s="1">
        <v>25074.0</v>
      </c>
      <c r="AG2120" s="2">
        <v>41704.0</v>
      </c>
      <c r="AH2120" s="1">
        <v>9100.0</v>
      </c>
      <c r="AI2120" s="1" t="s">
        <v>194</v>
      </c>
      <c r="AJ2120" s="1" t="s">
        <v>3831</v>
      </c>
      <c r="AK2120" s="1" t="s">
        <v>463</v>
      </c>
      <c r="AL2120" s="1">
        <v>1.0</v>
      </c>
      <c r="AM2120" s="1">
        <v>2015.0</v>
      </c>
      <c r="AN2120" s="1">
        <v>2014.0</v>
      </c>
      <c r="AO2120" s="1" t="s">
        <v>277</v>
      </c>
    </row>
    <row r="2121">
      <c r="A2121" s="5">
        <v>1.0</v>
      </c>
      <c r="B2121" s="1">
        <f t="shared" si="1"/>
        <v>2121</v>
      </c>
      <c r="C2121" s="1" t="s">
        <v>3344</v>
      </c>
      <c r="D2121" s="1" t="s">
        <v>3344</v>
      </c>
      <c r="E2121" s="1" t="s">
        <v>194</v>
      </c>
      <c r="G2121" s="1">
        <v>8.9228048E7</v>
      </c>
      <c r="H2121" s="2">
        <v>41710.0</v>
      </c>
      <c r="I2121" s="1" t="s">
        <v>458</v>
      </c>
      <c r="K2121" s="1" t="s">
        <v>458</v>
      </c>
      <c r="N2121" s="1" t="s">
        <v>194</v>
      </c>
      <c r="O2121" s="1">
        <v>9100.0</v>
      </c>
      <c r="P2121" s="1" t="s">
        <v>194</v>
      </c>
      <c r="Q2121" s="1" t="str">
        <f>IF(ISERROR(VLOOKUP(P2121,'unique fed agency names'!A:C,3,FALSE)),P2121,VLOOKUP(P2121,'unique fed agency names'!A:C,3,FALSE))
</f>
        <v>U.S. Department of Education (ED)</v>
      </c>
      <c r="R2121" s="1">
        <v>7.8634042E7</v>
      </c>
      <c r="S2121" s="1" t="s">
        <v>473</v>
      </c>
      <c r="T2121" s="1" t="str">
        <f>IF(ISERROR(VLOOKUP(S2121,'unique org names'!A:C,3,FALSE)),S2121,VLOOKUP(S2121,'unique org names'!A:C,3,FALSE))
</f>
        <v>Hamilton Eman Academy</v>
      </c>
      <c r="V2121" s="1" t="s">
        <v>475</v>
      </c>
      <c r="W2121" s="1" t="s">
        <v>44</v>
      </c>
      <c r="X2121" s="1" t="s">
        <v>45</v>
      </c>
      <c r="Y2121" s="1">
        <v>4.82133744E8</v>
      </c>
      <c r="AA2121" s="1" t="s">
        <v>46</v>
      </c>
      <c r="AB2121" s="1" t="s">
        <v>45</v>
      </c>
      <c r="AC2121" s="1">
        <v>4.82133744E8</v>
      </c>
      <c r="AF2121" s="1">
        <v>123995.0</v>
      </c>
      <c r="AG2121" s="2">
        <v>41710.0</v>
      </c>
      <c r="AH2121" s="1">
        <v>9100.0</v>
      </c>
      <c r="AI2121" s="1" t="s">
        <v>194</v>
      </c>
      <c r="AJ2121" s="1" t="s">
        <v>3832</v>
      </c>
      <c r="AK2121" s="1" t="s">
        <v>3627</v>
      </c>
      <c r="AL2121" s="1">
        <v>1.0</v>
      </c>
      <c r="AM2121" s="1">
        <v>2015.0</v>
      </c>
      <c r="AN2121" s="1">
        <v>2014.0</v>
      </c>
      <c r="AO2121" s="1" t="s">
        <v>277</v>
      </c>
    </row>
    <row r="2122">
      <c r="A2122" s="5">
        <v>1.0</v>
      </c>
      <c r="B2122" s="1">
        <f t="shared" si="1"/>
        <v>2122</v>
      </c>
      <c r="C2122" s="1" t="s">
        <v>3344</v>
      </c>
      <c r="D2122" s="1" t="s">
        <v>3344</v>
      </c>
      <c r="E2122" s="1" t="s">
        <v>194</v>
      </c>
      <c r="G2122" s="1">
        <v>8.9228048E7</v>
      </c>
      <c r="H2122" s="2">
        <v>41666.0</v>
      </c>
      <c r="I2122" s="1" t="s">
        <v>458</v>
      </c>
      <c r="K2122" s="1" t="s">
        <v>458</v>
      </c>
      <c r="N2122" s="1" t="s">
        <v>194</v>
      </c>
      <c r="O2122" s="1">
        <v>9100.0</v>
      </c>
      <c r="P2122" s="1" t="s">
        <v>194</v>
      </c>
      <c r="Q2122" s="1" t="str">
        <f>IF(ISERROR(VLOOKUP(P2122,'unique fed agency names'!A:C,3,FALSE)),P2122,VLOOKUP(P2122,'unique fed agency names'!A:C,3,FALSE))
</f>
        <v>U.S. Department of Education (ED)</v>
      </c>
      <c r="R2122" s="1">
        <v>7.93697942E8</v>
      </c>
      <c r="S2122" s="1" t="s">
        <v>459</v>
      </c>
      <c r="T2122" s="1" t="str">
        <f>IF(ISERROR(VLOOKUP(S2122,'unique org names'!A:C,3,FALSE)),S2122,VLOOKUP(S2122,'unique org names'!A:C,3,FALSE))
</f>
        <v>DETROIT PUBLIC SCHOOLS</v>
      </c>
      <c r="U2122" s="1" t="s">
        <v>3833</v>
      </c>
      <c r="V2122" s="1" t="s">
        <v>460</v>
      </c>
      <c r="W2122" s="1" t="s">
        <v>44</v>
      </c>
      <c r="X2122" s="1" t="s">
        <v>45</v>
      </c>
      <c r="Y2122" s="1">
        <v>4.82141601E8</v>
      </c>
      <c r="AA2122" s="1" t="s">
        <v>44</v>
      </c>
      <c r="AB2122" s="1" t="s">
        <v>45</v>
      </c>
      <c r="AC2122" s="1">
        <v>4.82141601E8</v>
      </c>
      <c r="AD2122" s="1">
        <v>7.6340843E7</v>
      </c>
      <c r="AE2122" s="1" t="s">
        <v>461</v>
      </c>
      <c r="AF2122" s="1">
        <v>44280.0</v>
      </c>
      <c r="AG2122" s="2">
        <v>41666.0</v>
      </c>
      <c r="AH2122" s="1">
        <v>9100.0</v>
      </c>
      <c r="AI2122" s="1" t="s">
        <v>194</v>
      </c>
      <c r="AJ2122" s="1" t="s">
        <v>3834</v>
      </c>
      <c r="AK2122" s="1" t="s">
        <v>463</v>
      </c>
      <c r="AL2122" s="1">
        <v>1.0</v>
      </c>
      <c r="AM2122" s="1">
        <v>2015.0</v>
      </c>
      <c r="AN2122" s="1">
        <v>2014.0</v>
      </c>
      <c r="AO2122" s="1" t="s">
        <v>277</v>
      </c>
    </row>
    <row r="2123">
      <c r="A2123" s="5">
        <v>1.0</v>
      </c>
      <c r="B2123" s="1">
        <f t="shared" si="1"/>
        <v>2123</v>
      </c>
      <c r="C2123" s="1" t="s">
        <v>3344</v>
      </c>
      <c r="D2123" s="1" t="s">
        <v>3344</v>
      </c>
      <c r="E2123" s="1" t="s">
        <v>194</v>
      </c>
      <c r="G2123" s="1">
        <v>8.9228048E7</v>
      </c>
      <c r="H2123" s="2">
        <v>41667.0</v>
      </c>
      <c r="I2123" s="1" t="s">
        <v>458</v>
      </c>
      <c r="K2123" s="1" t="s">
        <v>458</v>
      </c>
      <c r="N2123" s="1" t="s">
        <v>194</v>
      </c>
      <c r="O2123" s="1">
        <v>9100.0</v>
      </c>
      <c r="P2123" s="1" t="s">
        <v>194</v>
      </c>
      <c r="Q2123" s="1" t="str">
        <f>IF(ISERROR(VLOOKUP(P2123,'unique fed agency names'!A:C,3,FALSE)),P2123,VLOOKUP(P2123,'unique fed agency names'!A:C,3,FALSE))
</f>
        <v>U.S. Department of Education (ED)</v>
      </c>
      <c r="R2123" s="1">
        <v>1.52892667E8</v>
      </c>
      <c r="S2123" s="1" t="s">
        <v>638</v>
      </c>
      <c r="T2123" s="1" t="str">
        <f>IF(ISERROR(VLOOKUP(S2123,'unique org names'!A:C,3,FALSE)),S2123,VLOOKUP(S2123,'unique org names'!A:C,3,FALSE))
</f>
        <v>DOVE ACADEMY OF DETROIT</v>
      </c>
      <c r="U2123" s="1" t="s">
        <v>3835</v>
      </c>
      <c r="V2123" s="1" t="s">
        <v>639</v>
      </c>
      <c r="W2123" s="1" t="s">
        <v>44</v>
      </c>
      <c r="X2123" s="1" t="s">
        <v>45</v>
      </c>
      <c r="Y2123" s="1">
        <v>4.82343358E8</v>
      </c>
      <c r="AA2123" s="1" t="s">
        <v>44</v>
      </c>
      <c r="AB2123" s="1" t="s">
        <v>45</v>
      </c>
      <c r="AC2123" s="1">
        <v>4.82343358E8</v>
      </c>
      <c r="AD2123" s="1">
        <v>5.2461282E7</v>
      </c>
      <c r="AE2123" s="1" t="s">
        <v>3836</v>
      </c>
      <c r="AF2123" s="1">
        <v>35248.0</v>
      </c>
      <c r="AG2123" s="2">
        <v>41667.0</v>
      </c>
      <c r="AH2123" s="1">
        <v>9100.0</v>
      </c>
      <c r="AI2123" s="1" t="s">
        <v>194</v>
      </c>
      <c r="AJ2123" s="1" t="s">
        <v>3837</v>
      </c>
      <c r="AK2123" s="1" t="s">
        <v>463</v>
      </c>
      <c r="AL2123" s="1">
        <v>1.0</v>
      </c>
      <c r="AM2123" s="1">
        <v>2015.0</v>
      </c>
      <c r="AN2123" s="1">
        <v>2014.0</v>
      </c>
      <c r="AO2123" s="1" t="s">
        <v>277</v>
      </c>
    </row>
    <row r="2124">
      <c r="A2124" s="5">
        <v>1.0</v>
      </c>
      <c r="B2124" s="1">
        <f t="shared" si="1"/>
        <v>2124</v>
      </c>
      <c r="C2124" s="1" t="s">
        <v>3344</v>
      </c>
      <c r="D2124" s="1" t="s">
        <v>3344</v>
      </c>
      <c r="E2124" s="1" t="s">
        <v>194</v>
      </c>
      <c r="G2124" s="1">
        <v>8.9228048E7</v>
      </c>
      <c r="H2124" s="2">
        <v>41625.0</v>
      </c>
      <c r="I2124" s="1" t="s">
        <v>458</v>
      </c>
      <c r="K2124" s="1" t="s">
        <v>458</v>
      </c>
      <c r="N2124" s="1" t="s">
        <v>194</v>
      </c>
      <c r="O2124" s="1">
        <v>9100.0</v>
      </c>
      <c r="P2124" s="1" t="s">
        <v>194</v>
      </c>
      <c r="Q2124" s="1" t="str">
        <f>IF(ISERROR(VLOOKUP(P2124,'unique fed agency names'!A:C,3,FALSE)),P2124,VLOOKUP(P2124,'unique fed agency names'!A:C,3,FALSE))
</f>
        <v>U.S. Department of Education (ED)</v>
      </c>
      <c r="R2124" s="1">
        <v>7.97531279E8</v>
      </c>
      <c r="S2124" s="1" t="s">
        <v>496</v>
      </c>
      <c r="T2124" s="1" t="str">
        <f>IF(ISERROR(VLOOKUP(S2124,'unique org names'!A:C,3,FALSE)),S2124,VLOOKUP(S2124,'unique org names'!A:C,3,FALSE))
</f>
        <v>BRIDGE ACADEMY</v>
      </c>
      <c r="V2124" s="1" t="s">
        <v>497</v>
      </c>
      <c r="W2124" s="1" t="s">
        <v>44</v>
      </c>
      <c r="X2124" s="1" t="s">
        <v>45</v>
      </c>
      <c r="Y2124" s="1">
        <v>4.82123323E8</v>
      </c>
      <c r="AA2124" s="1" t="s">
        <v>498</v>
      </c>
      <c r="AB2124" s="1" t="s">
        <v>45</v>
      </c>
      <c r="AC2124" s="1">
        <v>4.82123323E8</v>
      </c>
      <c r="AD2124" s="1">
        <v>7.6359421E7</v>
      </c>
      <c r="AE2124" s="1" t="s">
        <v>3838</v>
      </c>
      <c r="AF2124" s="1">
        <v>83673.0</v>
      </c>
      <c r="AG2124" s="2">
        <v>41625.0</v>
      </c>
      <c r="AH2124" s="1">
        <v>9100.0</v>
      </c>
      <c r="AI2124" s="1" t="s">
        <v>194</v>
      </c>
      <c r="AJ2124" s="1" t="s">
        <v>3839</v>
      </c>
      <c r="AK2124" s="1" t="s">
        <v>463</v>
      </c>
      <c r="AL2124" s="1">
        <v>1.0</v>
      </c>
      <c r="AM2124" s="1">
        <v>2015.0</v>
      </c>
      <c r="AN2124" s="1">
        <v>2014.0</v>
      </c>
      <c r="AO2124" s="1" t="s">
        <v>277</v>
      </c>
    </row>
    <row r="2125">
      <c r="A2125" s="5">
        <v>1.0</v>
      </c>
      <c r="B2125" s="1">
        <f t="shared" si="1"/>
        <v>2125</v>
      </c>
      <c r="C2125" s="1" t="s">
        <v>3344</v>
      </c>
      <c r="D2125" s="1" t="s">
        <v>3344</v>
      </c>
      <c r="E2125" s="1" t="s">
        <v>194</v>
      </c>
      <c r="G2125" s="1">
        <v>8.9228048E7</v>
      </c>
      <c r="H2125" s="2">
        <v>41669.0</v>
      </c>
      <c r="I2125" s="1" t="s">
        <v>458</v>
      </c>
      <c r="K2125" s="1" t="s">
        <v>458</v>
      </c>
      <c r="N2125" s="1" t="s">
        <v>194</v>
      </c>
      <c r="O2125" s="1">
        <v>9100.0</v>
      </c>
      <c r="P2125" s="1" t="s">
        <v>194</v>
      </c>
      <c r="Q2125" s="1" t="str">
        <f>IF(ISERROR(VLOOKUP(P2125,'unique fed agency names'!A:C,3,FALSE)),P2125,VLOOKUP(P2125,'unique fed agency names'!A:C,3,FALSE))
</f>
        <v>U.S. Department of Education (ED)</v>
      </c>
      <c r="R2125" s="1">
        <v>9.48021373E8</v>
      </c>
      <c r="S2125" s="1" t="s">
        <v>501</v>
      </c>
      <c r="T2125" s="1" t="str">
        <f>IF(ISERROR(VLOOKUP(S2125,'unique org names'!A:C,3,FALSE)),S2125,VLOOKUP(S2125,'unique org names'!A:C,3,FALSE))
</f>
        <v>WOODWARD ACADEMY</v>
      </c>
      <c r="U2125" s="1" t="s">
        <v>1690</v>
      </c>
      <c r="V2125" s="1" t="s">
        <v>502</v>
      </c>
      <c r="W2125" s="1" t="s">
        <v>44</v>
      </c>
      <c r="X2125" s="1" t="s">
        <v>45</v>
      </c>
      <c r="Y2125" s="1">
        <v>4.82072901E8</v>
      </c>
      <c r="AA2125" s="1" t="s">
        <v>44</v>
      </c>
      <c r="AB2125" s="1" t="s">
        <v>45</v>
      </c>
      <c r="AC2125" s="1">
        <v>4.82072901E8</v>
      </c>
      <c r="AD2125" s="1">
        <v>7.6373687E7</v>
      </c>
      <c r="AE2125" s="1" t="s">
        <v>529</v>
      </c>
      <c r="AF2125" s="1">
        <v>34055.0</v>
      </c>
      <c r="AG2125" s="2">
        <v>41669.0</v>
      </c>
      <c r="AH2125" s="1">
        <v>9100.0</v>
      </c>
      <c r="AI2125" s="1" t="s">
        <v>194</v>
      </c>
      <c r="AJ2125" s="1" t="s">
        <v>3840</v>
      </c>
      <c r="AK2125" s="1" t="s">
        <v>463</v>
      </c>
      <c r="AL2125" s="1">
        <v>1.0</v>
      </c>
      <c r="AM2125" s="1">
        <v>2015.0</v>
      </c>
      <c r="AN2125" s="1">
        <v>2014.0</v>
      </c>
      <c r="AO2125" s="1" t="s">
        <v>277</v>
      </c>
    </row>
    <row r="2126">
      <c r="A2126" s="5">
        <v>1.0</v>
      </c>
      <c r="B2126" s="1">
        <f t="shared" si="1"/>
        <v>2126</v>
      </c>
      <c r="C2126" s="1" t="s">
        <v>3344</v>
      </c>
      <c r="D2126" s="1" t="s">
        <v>3344</v>
      </c>
      <c r="E2126" s="1" t="s">
        <v>194</v>
      </c>
      <c r="G2126" s="1">
        <v>8.9228048E7</v>
      </c>
      <c r="H2126" s="2">
        <v>41683.0</v>
      </c>
      <c r="I2126" s="1" t="s">
        <v>458</v>
      </c>
      <c r="K2126" s="1" t="s">
        <v>458</v>
      </c>
      <c r="N2126" s="1" t="s">
        <v>194</v>
      </c>
      <c r="O2126" s="1">
        <v>9100.0</v>
      </c>
      <c r="P2126" s="1" t="s">
        <v>194</v>
      </c>
      <c r="Q2126" s="1" t="str">
        <f>IF(ISERROR(VLOOKUP(P2126,'unique fed agency names'!A:C,3,FALSE)),P2126,VLOOKUP(P2126,'unique fed agency names'!A:C,3,FALSE))
</f>
        <v>U.S. Department of Education (ED)</v>
      </c>
      <c r="R2126" s="1">
        <v>7.97527715E8</v>
      </c>
      <c r="S2126" s="1" t="s">
        <v>567</v>
      </c>
      <c r="T2126" s="1" t="str">
        <f>IF(ISERROR(VLOOKUP(S2126,'unique org names'!A:C,3,FALSE)),S2126,VLOOKUP(S2126,'unique org names'!A:C,3,FALSE))
</f>
        <v>HAMTRAMCK ACADEMY</v>
      </c>
      <c r="U2126" s="1" t="s">
        <v>3357</v>
      </c>
      <c r="V2126" s="1" t="s">
        <v>568</v>
      </c>
      <c r="W2126" s="1" t="s">
        <v>44</v>
      </c>
      <c r="X2126" s="1" t="s">
        <v>45</v>
      </c>
      <c r="Y2126" s="1">
        <v>4.82123134E8</v>
      </c>
      <c r="AA2126" s="1" t="s">
        <v>498</v>
      </c>
      <c r="AB2126" s="1" t="s">
        <v>45</v>
      </c>
      <c r="AC2126" s="1">
        <v>4.82123134E8</v>
      </c>
      <c r="AD2126" s="1">
        <v>9.60742484E8</v>
      </c>
      <c r="AF2126" s="1">
        <v>46158.0</v>
      </c>
      <c r="AG2126" s="2">
        <v>41683.0</v>
      </c>
      <c r="AH2126" s="1">
        <v>9100.0</v>
      </c>
      <c r="AI2126" s="1" t="s">
        <v>194</v>
      </c>
      <c r="AJ2126" s="1" t="s">
        <v>3841</v>
      </c>
      <c r="AK2126" s="1" t="s">
        <v>463</v>
      </c>
      <c r="AL2126" s="1">
        <v>1.0</v>
      </c>
      <c r="AM2126" s="1">
        <v>2015.0</v>
      </c>
      <c r="AN2126" s="1">
        <v>2014.0</v>
      </c>
      <c r="AO2126" s="1" t="s">
        <v>277</v>
      </c>
    </row>
    <row r="2127">
      <c r="A2127" s="5">
        <v>1.0</v>
      </c>
      <c r="B2127" s="1">
        <f t="shared" si="1"/>
        <v>2127</v>
      </c>
      <c r="C2127" s="1" t="s">
        <v>3344</v>
      </c>
      <c r="D2127" s="1" t="s">
        <v>3344</v>
      </c>
      <c r="E2127" s="1" t="s">
        <v>194</v>
      </c>
      <c r="G2127" s="1">
        <v>8.9228048E7</v>
      </c>
      <c r="H2127" s="2">
        <v>41682.0</v>
      </c>
      <c r="I2127" s="1" t="s">
        <v>458</v>
      </c>
      <c r="K2127" s="1" t="s">
        <v>458</v>
      </c>
      <c r="N2127" s="1" t="s">
        <v>194</v>
      </c>
      <c r="O2127" s="1">
        <v>9100.0</v>
      </c>
      <c r="P2127" s="1" t="s">
        <v>194</v>
      </c>
      <c r="Q2127" s="1" t="str">
        <f>IF(ISERROR(VLOOKUP(P2127,'unique fed agency names'!A:C,3,FALSE)),P2127,VLOOKUP(P2127,'unique fed agency names'!A:C,3,FALSE))
</f>
        <v>U.S. Department of Education (ED)</v>
      </c>
      <c r="R2127" s="1">
        <v>1.23577707E8</v>
      </c>
      <c r="S2127" s="1" t="s">
        <v>563</v>
      </c>
      <c r="T2127" s="1" t="str">
        <f>IF(ISERROR(VLOOKUP(S2127,'unique org names'!A:C,3,FALSE)),S2127,VLOOKUP(S2127,'unique org names'!A:C,3,FALSE))
</f>
        <v>WARRENDALE CHARTER ACADEMY</v>
      </c>
      <c r="U2127" s="1" t="s">
        <v>1177</v>
      </c>
      <c r="V2127" s="1" t="s">
        <v>565</v>
      </c>
      <c r="W2127" s="1" t="s">
        <v>44</v>
      </c>
      <c r="X2127" s="1" t="s">
        <v>45</v>
      </c>
      <c r="Y2127" s="1">
        <v>4.8228333E8</v>
      </c>
      <c r="AA2127" s="1" t="s">
        <v>44</v>
      </c>
      <c r="AB2127" s="1" t="s">
        <v>45</v>
      </c>
      <c r="AC2127" s="1">
        <v>4.82283396E8</v>
      </c>
      <c r="AD2127" s="1">
        <v>9.60742484E8</v>
      </c>
      <c r="AF2127" s="1">
        <v>35562.0</v>
      </c>
      <c r="AG2127" s="2">
        <v>41682.0</v>
      </c>
      <c r="AH2127" s="1">
        <v>9100.0</v>
      </c>
      <c r="AI2127" s="1" t="s">
        <v>194</v>
      </c>
      <c r="AJ2127" s="1" t="s">
        <v>3842</v>
      </c>
      <c r="AK2127" s="1" t="s">
        <v>463</v>
      </c>
      <c r="AL2127" s="1">
        <v>1.0</v>
      </c>
      <c r="AM2127" s="1">
        <v>2015.0</v>
      </c>
      <c r="AN2127" s="1">
        <v>2014.0</v>
      </c>
      <c r="AO2127" s="1" t="s">
        <v>277</v>
      </c>
    </row>
    <row r="2128">
      <c r="A2128" s="5">
        <v>1.0</v>
      </c>
      <c r="B2128" s="1">
        <f t="shared" si="1"/>
        <v>2128</v>
      </c>
      <c r="C2128" s="1" t="s">
        <v>3344</v>
      </c>
      <c r="D2128" s="1" t="s">
        <v>3344</v>
      </c>
      <c r="E2128" s="1" t="s">
        <v>194</v>
      </c>
      <c r="G2128" s="1">
        <v>8.9228048E7</v>
      </c>
      <c r="H2128" s="2">
        <v>41684.0</v>
      </c>
      <c r="I2128" s="1" t="s">
        <v>458</v>
      </c>
      <c r="K2128" s="1" t="s">
        <v>458</v>
      </c>
      <c r="N2128" s="1" t="s">
        <v>194</v>
      </c>
      <c r="O2128" s="1">
        <v>9100.0</v>
      </c>
      <c r="P2128" s="1" t="s">
        <v>194</v>
      </c>
      <c r="Q2128" s="1" t="str">
        <f>IF(ISERROR(VLOOKUP(P2128,'unique fed agency names'!A:C,3,FALSE)),P2128,VLOOKUP(P2128,'unique fed agency names'!A:C,3,FALSE))
</f>
        <v>U.S. Department of Education (ED)</v>
      </c>
      <c r="R2128" s="1">
        <v>8.31014068E8</v>
      </c>
      <c r="S2128" s="1" t="s">
        <v>515</v>
      </c>
      <c r="T2128" s="1" t="str">
        <f>IF(ISERROR(VLOOKUP(S2128,'unique org names'!A:C,3,FALSE)),S2128,VLOOKUP(S2128,'unique org names'!A:C,3,FALSE))
</f>
        <v>DETROIT PREMIER ACADEMY</v>
      </c>
      <c r="U2128" s="1" t="s">
        <v>3558</v>
      </c>
      <c r="V2128" s="1" t="s">
        <v>516</v>
      </c>
      <c r="W2128" s="1" t="s">
        <v>44</v>
      </c>
      <c r="X2128" s="1" t="s">
        <v>45</v>
      </c>
      <c r="Y2128" s="1">
        <v>4.82283685E8</v>
      </c>
      <c r="AA2128" s="1" t="s">
        <v>46</v>
      </c>
      <c r="AB2128" s="1" t="s">
        <v>45</v>
      </c>
      <c r="AC2128" s="1">
        <v>4.82283685E8</v>
      </c>
      <c r="AD2128" s="1">
        <v>9.60742484E8</v>
      </c>
      <c r="AF2128" s="1">
        <v>30439.0</v>
      </c>
      <c r="AG2128" s="2">
        <v>41684.0</v>
      </c>
      <c r="AH2128" s="1">
        <v>9100.0</v>
      </c>
      <c r="AI2128" s="1" t="s">
        <v>194</v>
      </c>
      <c r="AJ2128" s="1" t="s">
        <v>3843</v>
      </c>
      <c r="AK2128" s="1" t="s">
        <v>463</v>
      </c>
      <c r="AL2128" s="1">
        <v>1.0</v>
      </c>
      <c r="AM2128" s="1">
        <v>2015.0</v>
      </c>
      <c r="AN2128" s="1">
        <v>2014.0</v>
      </c>
      <c r="AO2128" s="1" t="s">
        <v>277</v>
      </c>
    </row>
    <row r="2129">
      <c r="A2129" s="5">
        <v>1.0</v>
      </c>
      <c r="B2129" s="1">
        <f t="shared" si="1"/>
        <v>2129</v>
      </c>
      <c r="C2129" s="1" t="s">
        <v>3344</v>
      </c>
      <c r="D2129" s="1" t="s">
        <v>3344</v>
      </c>
      <c r="E2129" s="1" t="s">
        <v>194</v>
      </c>
      <c r="G2129" s="1">
        <v>8.9228048E7</v>
      </c>
      <c r="H2129" s="2">
        <v>41716.0</v>
      </c>
      <c r="I2129" s="1" t="s">
        <v>458</v>
      </c>
      <c r="K2129" s="1" t="s">
        <v>458</v>
      </c>
      <c r="N2129" s="1" t="s">
        <v>194</v>
      </c>
      <c r="O2129" s="1">
        <v>9100.0</v>
      </c>
      <c r="P2129" s="1" t="s">
        <v>194</v>
      </c>
      <c r="Q2129" s="1" t="str">
        <f>IF(ISERROR(VLOOKUP(P2129,'unique fed agency names'!A:C,3,FALSE)),P2129,VLOOKUP(P2129,'unique fed agency names'!A:C,3,FALSE))
</f>
        <v>U.S. Department of Education (ED)</v>
      </c>
      <c r="R2129" s="1">
        <v>7.8346351E7</v>
      </c>
      <c r="S2129" s="1" t="s">
        <v>615</v>
      </c>
      <c r="T2129" s="1" t="str">
        <f>IF(ISERROR(VLOOKUP(S2129,'unique org names'!A:C,3,FALSE)),S2129,VLOOKUP(S2129,'unique org names'!A:C,3,FALSE))
</f>
        <v>Education Achievement Authority</v>
      </c>
      <c r="U2129" s="1" t="s">
        <v>1692</v>
      </c>
      <c r="V2129" s="1" t="s">
        <v>1708</v>
      </c>
      <c r="W2129" s="1" t="s">
        <v>44</v>
      </c>
      <c r="X2129" s="1" t="s">
        <v>45</v>
      </c>
      <c r="Y2129" s="1">
        <v>4.82074457E8</v>
      </c>
      <c r="AA2129" s="1" t="s">
        <v>46</v>
      </c>
      <c r="AB2129" s="1" t="s">
        <v>45</v>
      </c>
      <c r="AC2129" s="1">
        <v>4.82023037E8</v>
      </c>
      <c r="AD2129" s="1">
        <v>7.4258047E7</v>
      </c>
      <c r="AE2129" s="1" t="s">
        <v>617</v>
      </c>
      <c r="AF2129" s="1">
        <v>2647180.0</v>
      </c>
      <c r="AG2129" s="2">
        <v>41716.0</v>
      </c>
      <c r="AH2129" s="1">
        <v>9100.0</v>
      </c>
      <c r="AI2129" s="1" t="s">
        <v>194</v>
      </c>
      <c r="AJ2129" s="1" t="s">
        <v>3844</v>
      </c>
      <c r="AK2129" s="1" t="s">
        <v>463</v>
      </c>
      <c r="AL2129" s="1">
        <v>1.0</v>
      </c>
      <c r="AM2129" s="1">
        <v>2015.0</v>
      </c>
      <c r="AN2129" s="1">
        <v>2014.0</v>
      </c>
      <c r="AO2129" s="1" t="s">
        <v>277</v>
      </c>
    </row>
    <row r="2130">
      <c r="A2130" s="5">
        <v>1.0</v>
      </c>
      <c r="B2130" s="1">
        <f t="shared" si="1"/>
        <v>2130</v>
      </c>
      <c r="C2130" s="1" t="s">
        <v>3344</v>
      </c>
      <c r="D2130" s="1" t="s">
        <v>3344</v>
      </c>
      <c r="E2130" s="1" t="s">
        <v>194</v>
      </c>
      <c r="G2130" s="1">
        <v>8.9228048E7</v>
      </c>
      <c r="H2130" s="2">
        <v>41757.0</v>
      </c>
      <c r="I2130" s="1" t="s">
        <v>458</v>
      </c>
      <c r="K2130" s="1" t="s">
        <v>458</v>
      </c>
      <c r="N2130" s="1" t="s">
        <v>194</v>
      </c>
      <c r="O2130" s="1">
        <v>9100.0</v>
      </c>
      <c r="P2130" s="1" t="s">
        <v>194</v>
      </c>
      <c r="Q2130" s="1" t="str">
        <f>IF(ISERROR(VLOOKUP(P2130,'unique fed agency names'!A:C,3,FALSE)),P2130,VLOOKUP(P2130,'unique fed agency names'!A:C,3,FALSE))
</f>
        <v>U.S. Department of Education (ED)</v>
      </c>
      <c r="R2130" s="1">
        <v>5.2874042E7</v>
      </c>
      <c r="S2130" s="1" t="s">
        <v>538</v>
      </c>
      <c r="T2130" s="1" t="str">
        <f>IF(ISERROR(VLOOKUP(S2130,'unique org names'!A:C,3,FALSE)),S2130,VLOOKUP(S2130,'unique org names'!A:C,3,FALSE))
</f>
        <v>CESAR CHAVEZ ACADEMY</v>
      </c>
      <c r="U2130" s="1" t="s">
        <v>3845</v>
      </c>
      <c r="V2130" s="1" t="s">
        <v>539</v>
      </c>
      <c r="W2130" s="1" t="s">
        <v>44</v>
      </c>
      <c r="X2130" s="1" t="s">
        <v>45</v>
      </c>
      <c r="Y2130" s="1">
        <v>4.82091524E8</v>
      </c>
      <c r="AA2130" s="1" t="s">
        <v>44</v>
      </c>
      <c r="AB2130" s="1" t="s">
        <v>45</v>
      </c>
      <c r="AC2130" s="1">
        <v>4.82091524E8</v>
      </c>
      <c r="AD2130" s="1">
        <v>1.0867091E7</v>
      </c>
      <c r="AE2130" s="1" t="s">
        <v>3846</v>
      </c>
      <c r="AF2130" s="1">
        <v>329219.0</v>
      </c>
      <c r="AG2130" s="2">
        <v>41757.0</v>
      </c>
      <c r="AH2130" s="1">
        <v>9100.0</v>
      </c>
      <c r="AI2130" s="1" t="s">
        <v>194</v>
      </c>
      <c r="AJ2130" s="1" t="s">
        <v>3847</v>
      </c>
      <c r="AK2130" s="1" t="s">
        <v>463</v>
      </c>
      <c r="AL2130" s="1">
        <v>1.0</v>
      </c>
      <c r="AM2130" s="1">
        <v>2015.0</v>
      </c>
      <c r="AN2130" s="1">
        <v>2014.0</v>
      </c>
      <c r="AO2130" s="1" t="s">
        <v>277</v>
      </c>
    </row>
    <row r="2131">
      <c r="A2131" s="5">
        <v>1.0</v>
      </c>
      <c r="B2131" s="1">
        <f t="shared" si="1"/>
        <v>2131</v>
      </c>
      <c r="C2131" s="1" t="s">
        <v>3344</v>
      </c>
      <c r="D2131" s="1" t="s">
        <v>3344</v>
      </c>
      <c r="E2131" s="1" t="s">
        <v>194</v>
      </c>
      <c r="G2131" s="1">
        <v>8.9228048E7</v>
      </c>
      <c r="H2131" s="2">
        <v>41752.0</v>
      </c>
      <c r="I2131" s="1" t="s">
        <v>458</v>
      </c>
      <c r="K2131" s="1" t="s">
        <v>458</v>
      </c>
      <c r="N2131" s="1" t="s">
        <v>194</v>
      </c>
      <c r="O2131" s="1">
        <v>9100.0</v>
      </c>
      <c r="P2131" s="1" t="s">
        <v>194</v>
      </c>
      <c r="Q2131" s="1" t="str">
        <f>IF(ISERROR(VLOOKUP(P2131,'unique fed agency names'!A:C,3,FALSE)),P2131,VLOOKUP(P2131,'unique fed agency names'!A:C,3,FALSE))
</f>
        <v>U.S. Department of Education (ED)</v>
      </c>
      <c r="R2131" s="1">
        <v>7.8359653E7</v>
      </c>
      <c r="S2131" s="1" t="s">
        <v>469</v>
      </c>
      <c r="T2131" s="1" t="str">
        <f>IF(ISERROR(VLOOKUP(S2131,'unique org names'!A:C,3,FALSE)),S2131,VLOOKUP(S2131,'unique org names'!A:C,3,FALSE))
</f>
        <v>GEE WHITE ACADEMY</v>
      </c>
      <c r="U2131" s="1" t="s">
        <v>3848</v>
      </c>
      <c r="V2131" s="1" t="s">
        <v>470</v>
      </c>
      <c r="W2131" s="1" t="s">
        <v>44</v>
      </c>
      <c r="X2131" s="1" t="s">
        <v>45</v>
      </c>
      <c r="Y2131" s="1">
        <v>4.82122462E8</v>
      </c>
      <c r="AA2131" s="1" t="s">
        <v>46</v>
      </c>
      <c r="AB2131" s="1" t="s">
        <v>45</v>
      </c>
      <c r="AC2131" s="1">
        <v>4.82122462E8</v>
      </c>
      <c r="AD2131" s="1">
        <v>8.8751011E7</v>
      </c>
      <c r="AE2131" s="1" t="s">
        <v>3849</v>
      </c>
      <c r="AF2131" s="1">
        <v>95960.0</v>
      </c>
      <c r="AG2131" s="2">
        <v>41752.0</v>
      </c>
      <c r="AH2131" s="1">
        <v>9100.0</v>
      </c>
      <c r="AI2131" s="1" t="s">
        <v>194</v>
      </c>
      <c r="AJ2131" s="1" t="s">
        <v>3850</v>
      </c>
      <c r="AK2131" s="1" t="s">
        <v>463</v>
      </c>
      <c r="AL2131" s="1">
        <v>1.0</v>
      </c>
      <c r="AM2131" s="1">
        <v>2015.0</v>
      </c>
      <c r="AN2131" s="1">
        <v>2014.0</v>
      </c>
      <c r="AO2131" s="1" t="s">
        <v>277</v>
      </c>
    </row>
    <row r="2132">
      <c r="A2132" s="5">
        <v>1.0</v>
      </c>
      <c r="B2132" s="1">
        <f t="shared" si="1"/>
        <v>2132</v>
      </c>
      <c r="C2132" s="1" t="s">
        <v>3344</v>
      </c>
      <c r="D2132" s="1" t="s">
        <v>3344</v>
      </c>
      <c r="E2132" s="1" t="s">
        <v>194</v>
      </c>
      <c r="G2132" s="1">
        <v>8.9228048E7</v>
      </c>
      <c r="H2132" s="2">
        <v>41752.0</v>
      </c>
      <c r="I2132" s="1" t="s">
        <v>458</v>
      </c>
      <c r="K2132" s="1" t="s">
        <v>458</v>
      </c>
      <c r="N2132" s="1" t="s">
        <v>194</v>
      </c>
      <c r="O2132" s="1">
        <v>9100.0</v>
      </c>
      <c r="P2132" s="1" t="s">
        <v>194</v>
      </c>
      <c r="Q2132" s="1" t="str">
        <f>IF(ISERROR(VLOOKUP(P2132,'unique fed agency names'!A:C,3,FALSE)),P2132,VLOOKUP(P2132,'unique fed agency names'!A:C,3,FALSE))
</f>
        <v>U.S. Department of Education (ED)</v>
      </c>
      <c r="R2132" s="1">
        <v>9.63121426E8</v>
      </c>
      <c r="S2132" s="1" t="s">
        <v>490</v>
      </c>
      <c r="T2132" s="1" t="str">
        <f>IF(ISERROR(VLOOKUP(S2132,'unique org names'!A:C,3,FALSE)),S2132,VLOOKUP(S2132,'unique org names'!A:C,3,FALSE))
</f>
        <v>DETROIT LEADERSHIP ACADEMY</v>
      </c>
      <c r="U2132" s="1" t="s">
        <v>3851</v>
      </c>
      <c r="V2132" s="1" t="s">
        <v>491</v>
      </c>
      <c r="W2132" s="1" t="s">
        <v>44</v>
      </c>
      <c r="X2132" s="1" t="s">
        <v>45</v>
      </c>
      <c r="Y2132" s="1">
        <v>4.82233051E8</v>
      </c>
      <c r="AA2132" s="1" t="s">
        <v>46</v>
      </c>
      <c r="AB2132" s="1" t="s">
        <v>45</v>
      </c>
      <c r="AC2132" s="1">
        <v>4.82233051E8</v>
      </c>
      <c r="AD2132" s="1">
        <v>5.3108908E7</v>
      </c>
      <c r="AE2132" s="1" t="s">
        <v>3852</v>
      </c>
      <c r="AF2132" s="1">
        <v>62562.0</v>
      </c>
      <c r="AG2132" s="2">
        <v>41752.0</v>
      </c>
      <c r="AH2132" s="1">
        <v>9100.0</v>
      </c>
      <c r="AI2132" s="1" t="s">
        <v>194</v>
      </c>
      <c r="AJ2132" s="1" t="s">
        <v>3853</v>
      </c>
      <c r="AK2132" s="1" t="s">
        <v>463</v>
      </c>
      <c r="AL2132" s="1">
        <v>1.0</v>
      </c>
      <c r="AM2132" s="1">
        <v>2015.0</v>
      </c>
      <c r="AN2132" s="1">
        <v>2014.0</v>
      </c>
      <c r="AO2132" s="1" t="s">
        <v>277</v>
      </c>
    </row>
    <row r="2133">
      <c r="A2133" s="5">
        <v>1.0</v>
      </c>
      <c r="B2133" s="1">
        <f t="shared" si="1"/>
        <v>2133</v>
      </c>
      <c r="C2133" s="1" t="s">
        <v>3344</v>
      </c>
      <c r="D2133" s="1" t="s">
        <v>3344</v>
      </c>
      <c r="E2133" s="1" t="s">
        <v>194</v>
      </c>
      <c r="G2133" s="1">
        <v>8.9228048E7</v>
      </c>
      <c r="H2133" s="2">
        <v>41752.0</v>
      </c>
      <c r="I2133" s="1" t="s">
        <v>458</v>
      </c>
      <c r="K2133" s="1" t="s">
        <v>458</v>
      </c>
      <c r="N2133" s="1" t="s">
        <v>194</v>
      </c>
      <c r="O2133" s="1">
        <v>9100.0</v>
      </c>
      <c r="P2133" s="1" t="s">
        <v>194</v>
      </c>
      <c r="Q2133" s="1" t="str">
        <f>IF(ISERROR(VLOOKUP(P2133,'unique fed agency names'!A:C,3,FALSE)),P2133,VLOOKUP(P2133,'unique fed agency names'!A:C,3,FALSE))
</f>
        <v>U.S. Department of Education (ED)</v>
      </c>
      <c r="R2133" s="1">
        <v>7.8359005E7</v>
      </c>
      <c r="S2133" s="1" t="s">
        <v>486</v>
      </c>
      <c r="T2133" s="1" t="str">
        <f>IF(ISERROR(VLOOKUP(S2133,'unique org names'!A:C,3,FALSE)),S2133,VLOOKUP(S2133,'unique org names'!A:C,3,FALSE))
</f>
        <v>GEE EDMONSON ACADEMY</v>
      </c>
      <c r="U2133" s="1" t="s">
        <v>1644</v>
      </c>
      <c r="V2133" s="1" t="s">
        <v>487</v>
      </c>
      <c r="W2133" s="1" t="s">
        <v>44</v>
      </c>
      <c r="X2133" s="1" t="s">
        <v>45</v>
      </c>
      <c r="Y2133" s="1">
        <v>4.82011006E8</v>
      </c>
      <c r="AA2133" s="1" t="s">
        <v>46</v>
      </c>
      <c r="AB2133" s="1" t="s">
        <v>45</v>
      </c>
      <c r="AC2133" s="1">
        <v>4.82011006E8</v>
      </c>
      <c r="AD2133" s="1">
        <v>5.1915775E7</v>
      </c>
      <c r="AE2133" s="1" t="s">
        <v>1645</v>
      </c>
      <c r="AF2133" s="1">
        <v>55624.0</v>
      </c>
      <c r="AG2133" s="2">
        <v>41752.0</v>
      </c>
      <c r="AH2133" s="1">
        <v>9100.0</v>
      </c>
      <c r="AI2133" s="1" t="s">
        <v>194</v>
      </c>
      <c r="AJ2133" s="1" t="s">
        <v>3854</v>
      </c>
      <c r="AK2133" s="1" t="s">
        <v>463</v>
      </c>
      <c r="AL2133" s="1">
        <v>1.0</v>
      </c>
      <c r="AM2133" s="1">
        <v>2015.0</v>
      </c>
      <c r="AN2133" s="1">
        <v>2014.0</v>
      </c>
      <c r="AO2133" s="1" t="s">
        <v>277</v>
      </c>
    </row>
    <row r="2134">
      <c r="A2134" s="5">
        <v>1.0</v>
      </c>
      <c r="B2134" s="1">
        <f t="shared" si="1"/>
        <v>2134</v>
      </c>
      <c r="C2134" s="1" t="s">
        <v>3369</v>
      </c>
      <c r="D2134" s="1" t="s">
        <v>3369</v>
      </c>
      <c r="E2134" s="1" t="s">
        <v>194</v>
      </c>
      <c r="G2134" s="1">
        <v>1.0181861E7</v>
      </c>
      <c r="H2134" s="2">
        <v>41619.0</v>
      </c>
      <c r="I2134" s="1" t="s">
        <v>685</v>
      </c>
      <c r="K2134" s="1" t="s">
        <v>685</v>
      </c>
      <c r="N2134" s="1" t="s">
        <v>194</v>
      </c>
      <c r="O2134" s="1">
        <v>9100.0</v>
      </c>
      <c r="P2134" s="1" t="s">
        <v>194</v>
      </c>
      <c r="Q2134" s="1" t="str">
        <f>IF(ISERROR(VLOOKUP(P2134,'unique fed agency names'!A:C,3,FALSE)),P2134,VLOOKUP(P2134,'unique fed agency names'!A:C,3,FALSE))
</f>
        <v>U.S. Department of Education (ED)</v>
      </c>
      <c r="R2134" s="1">
        <v>7.93697355E8</v>
      </c>
      <c r="S2134" s="1" t="s">
        <v>691</v>
      </c>
      <c r="T2134" s="1" t="str">
        <f>IF(ISERROR(VLOOKUP(S2134,'unique org names'!A:C,3,FALSE)),S2134,VLOOKUP(S2134,'unique org names'!A:C,3,FALSE))
</f>
        <v>OAKLAND INTERNATIONAL ACADEMY</v>
      </c>
      <c r="U2134" s="1" t="s">
        <v>1194</v>
      </c>
      <c r="V2134" s="1" t="s">
        <v>692</v>
      </c>
      <c r="W2134" s="1" t="s">
        <v>44</v>
      </c>
      <c r="X2134" s="1" t="s">
        <v>45</v>
      </c>
      <c r="Y2134" s="1">
        <v>4.82111554E8</v>
      </c>
      <c r="AA2134" s="1" t="s">
        <v>44</v>
      </c>
      <c r="AB2134" s="1" t="s">
        <v>45</v>
      </c>
      <c r="AC2134" s="1">
        <v>4.82111552E8</v>
      </c>
      <c r="AF2134" s="1">
        <v>29437.0</v>
      </c>
      <c r="AG2134" s="2">
        <v>41619.0</v>
      </c>
      <c r="AH2134" s="1">
        <v>9100.0</v>
      </c>
      <c r="AI2134" s="1" t="s">
        <v>194</v>
      </c>
      <c r="AJ2134" s="1" t="s">
        <v>3855</v>
      </c>
      <c r="AK2134" s="1" t="s">
        <v>3343</v>
      </c>
      <c r="AL2134" s="1">
        <v>1.0</v>
      </c>
      <c r="AM2134" s="1">
        <v>2015.0</v>
      </c>
      <c r="AN2134" s="1">
        <v>2014.0</v>
      </c>
      <c r="AO2134" s="1" t="s">
        <v>688</v>
      </c>
    </row>
    <row r="2135">
      <c r="A2135" s="5">
        <v>1.0</v>
      </c>
      <c r="B2135" s="1">
        <f t="shared" si="1"/>
        <v>2135</v>
      </c>
      <c r="C2135" s="1" t="s">
        <v>3369</v>
      </c>
      <c r="D2135" s="1" t="s">
        <v>3369</v>
      </c>
      <c r="E2135" s="1" t="s">
        <v>194</v>
      </c>
      <c r="G2135" s="1">
        <v>1.0181861E7</v>
      </c>
      <c r="H2135" s="2">
        <v>41757.0</v>
      </c>
      <c r="I2135" s="1" t="s">
        <v>685</v>
      </c>
      <c r="K2135" s="1" t="s">
        <v>685</v>
      </c>
      <c r="N2135" s="1" t="s">
        <v>194</v>
      </c>
      <c r="O2135" s="1">
        <v>9100.0</v>
      </c>
      <c r="P2135" s="1" t="s">
        <v>194</v>
      </c>
      <c r="Q2135" s="1" t="str">
        <f>IF(ISERROR(VLOOKUP(P2135,'unique fed agency names'!A:C,3,FALSE)),P2135,VLOOKUP(P2135,'unique fed agency names'!A:C,3,FALSE))
</f>
        <v>U.S. Department of Education (ED)</v>
      </c>
      <c r="R2135" s="1">
        <v>5.2874042E7</v>
      </c>
      <c r="S2135" s="1" t="s">
        <v>538</v>
      </c>
      <c r="T2135" s="1" t="str">
        <f>IF(ISERROR(VLOOKUP(S2135,'unique org names'!A:C,3,FALSE)),S2135,VLOOKUP(S2135,'unique org names'!A:C,3,FALSE))
</f>
        <v>CESAR CHAVEZ ACADEMY</v>
      </c>
      <c r="V2135" s="1" t="s">
        <v>539</v>
      </c>
      <c r="W2135" s="1" t="s">
        <v>44</v>
      </c>
      <c r="X2135" s="1" t="s">
        <v>45</v>
      </c>
      <c r="Y2135" s="1">
        <v>4.82091524E8</v>
      </c>
      <c r="AA2135" s="1" t="s">
        <v>44</v>
      </c>
      <c r="AB2135" s="1" t="s">
        <v>45</v>
      </c>
      <c r="AC2135" s="1">
        <v>4.82091524E8</v>
      </c>
      <c r="AF2135" s="1">
        <v>203030.0</v>
      </c>
      <c r="AG2135" s="2">
        <v>41757.0</v>
      </c>
      <c r="AH2135" s="1">
        <v>9100.0</v>
      </c>
      <c r="AI2135" s="1" t="s">
        <v>194</v>
      </c>
      <c r="AJ2135" s="1" t="s">
        <v>3856</v>
      </c>
      <c r="AK2135" s="1" t="s">
        <v>3343</v>
      </c>
      <c r="AL2135" s="1">
        <v>1.0</v>
      </c>
      <c r="AM2135" s="1">
        <v>2015.0</v>
      </c>
      <c r="AN2135" s="1">
        <v>2014.0</v>
      </c>
      <c r="AO2135" s="1" t="s">
        <v>688</v>
      </c>
    </row>
    <row r="2136">
      <c r="A2136" s="5">
        <v>1.0</v>
      </c>
      <c r="B2136" s="1">
        <f t="shared" si="1"/>
        <v>2136</v>
      </c>
      <c r="C2136" s="1" t="s">
        <v>3369</v>
      </c>
      <c r="D2136" s="1" t="s">
        <v>3369</v>
      </c>
      <c r="E2136" s="1" t="s">
        <v>194</v>
      </c>
      <c r="G2136" s="1">
        <v>1.0181861E7</v>
      </c>
      <c r="H2136" s="2">
        <v>41752.0</v>
      </c>
      <c r="I2136" s="1" t="s">
        <v>685</v>
      </c>
      <c r="K2136" s="1" t="s">
        <v>685</v>
      </c>
      <c r="N2136" s="1" t="s">
        <v>194</v>
      </c>
      <c r="O2136" s="1">
        <v>9100.0</v>
      </c>
      <c r="P2136" s="1" t="s">
        <v>194</v>
      </c>
      <c r="Q2136" s="1" t="str">
        <f>IF(ISERROR(VLOOKUP(P2136,'unique fed agency names'!A:C,3,FALSE)),P2136,VLOOKUP(P2136,'unique fed agency names'!A:C,3,FALSE))
</f>
        <v>U.S. Department of Education (ED)</v>
      </c>
      <c r="R2136" s="1">
        <v>6.6707493E7</v>
      </c>
      <c r="S2136" s="1" t="s">
        <v>541</v>
      </c>
      <c r="T2136" s="1" t="str">
        <f>IF(ISERROR(VLOOKUP(S2136,'unique org names'!A:C,3,FALSE)),S2136,VLOOKUP(S2136,'unique org names'!A:C,3,FALSE))
</f>
        <v>HOPE OF DETROIT ACADEMY</v>
      </c>
      <c r="V2136" s="1" t="s">
        <v>542</v>
      </c>
      <c r="W2136" s="1" t="s">
        <v>44</v>
      </c>
      <c r="X2136" s="1" t="s">
        <v>45</v>
      </c>
      <c r="Y2136" s="1">
        <v>4.8210252E8</v>
      </c>
      <c r="AA2136" s="1" t="s">
        <v>44</v>
      </c>
      <c r="AB2136" s="1" t="s">
        <v>45</v>
      </c>
      <c r="AC2136" s="1">
        <v>4.8210252E8</v>
      </c>
      <c r="AF2136" s="1">
        <v>74138.0</v>
      </c>
      <c r="AG2136" s="2">
        <v>41752.0</v>
      </c>
      <c r="AH2136" s="1">
        <v>9100.0</v>
      </c>
      <c r="AI2136" s="1" t="s">
        <v>194</v>
      </c>
      <c r="AJ2136" s="1" t="s">
        <v>3857</v>
      </c>
      <c r="AK2136" s="1" t="s">
        <v>3343</v>
      </c>
      <c r="AL2136" s="1">
        <v>1.0</v>
      </c>
      <c r="AM2136" s="1">
        <v>2015.0</v>
      </c>
      <c r="AN2136" s="1">
        <v>2014.0</v>
      </c>
      <c r="AO2136" s="1" t="s">
        <v>688</v>
      </c>
    </row>
    <row r="2137">
      <c r="A2137" s="5">
        <v>1.0</v>
      </c>
      <c r="B2137" s="1">
        <f t="shared" si="1"/>
        <v>2137</v>
      </c>
      <c r="C2137" s="1" t="s">
        <v>3369</v>
      </c>
      <c r="D2137" s="1" t="s">
        <v>3369</v>
      </c>
      <c r="E2137" s="1" t="s">
        <v>194</v>
      </c>
      <c r="G2137" s="1">
        <v>1.0181861E7</v>
      </c>
      <c r="H2137" s="2">
        <v>41717.0</v>
      </c>
      <c r="I2137" s="1" t="s">
        <v>685</v>
      </c>
      <c r="K2137" s="1" t="s">
        <v>685</v>
      </c>
      <c r="N2137" s="1" t="s">
        <v>194</v>
      </c>
      <c r="O2137" s="1">
        <v>9100.0</v>
      </c>
      <c r="P2137" s="1" t="s">
        <v>194</v>
      </c>
      <c r="Q2137" s="1" t="str">
        <f>IF(ISERROR(VLOOKUP(P2137,'unique fed agency names'!A:C,3,FALSE)),P2137,VLOOKUP(P2137,'unique fed agency names'!A:C,3,FALSE))
</f>
        <v>U.S. Department of Education (ED)</v>
      </c>
      <c r="R2137" s="1">
        <v>3.9866801E7</v>
      </c>
      <c r="S2137" s="1" t="s">
        <v>612</v>
      </c>
      <c r="T2137" s="1" t="str">
        <f>IF(ISERROR(VLOOKUP(S2137,'unique org names'!A:C,3,FALSE)),S2137,VLOOKUP(S2137,'unique org names'!A:C,3,FALSE))
</f>
        <v>HAMTRAMCK PUBLIC SCHOOLS</v>
      </c>
      <c r="V2137" s="1" t="s">
        <v>613</v>
      </c>
      <c r="W2137" s="1" t="s">
        <v>44</v>
      </c>
      <c r="X2137" s="1" t="s">
        <v>45</v>
      </c>
      <c r="Y2137" s="1">
        <v>4.8212E8</v>
      </c>
      <c r="AA2137" s="1" t="s">
        <v>607</v>
      </c>
      <c r="AB2137" s="1" t="s">
        <v>45</v>
      </c>
      <c r="AC2137" s="1">
        <v>4.82120012E8</v>
      </c>
      <c r="AD2137" s="1">
        <v>3.9866801E7</v>
      </c>
      <c r="AE2137" s="1" t="s">
        <v>612</v>
      </c>
      <c r="AF2137" s="1">
        <v>255519.0</v>
      </c>
      <c r="AG2137" s="2">
        <v>41717.0</v>
      </c>
      <c r="AH2137" s="1">
        <v>9100.0</v>
      </c>
      <c r="AI2137" s="1" t="s">
        <v>194</v>
      </c>
      <c r="AJ2137" s="1" t="s">
        <v>3858</v>
      </c>
      <c r="AK2137" s="1" t="s">
        <v>3677</v>
      </c>
      <c r="AL2137" s="1">
        <v>1.0</v>
      </c>
      <c r="AM2137" s="1">
        <v>2015.0</v>
      </c>
      <c r="AN2137" s="1">
        <v>2014.0</v>
      </c>
      <c r="AO2137" s="1" t="s">
        <v>688</v>
      </c>
    </row>
    <row r="2138">
      <c r="A2138" s="5">
        <v>1.0</v>
      </c>
      <c r="B2138" s="1">
        <f t="shared" si="1"/>
        <v>2138</v>
      </c>
      <c r="C2138" s="1" t="s">
        <v>3378</v>
      </c>
      <c r="D2138" s="1" t="s">
        <v>3378</v>
      </c>
      <c r="E2138" s="1" t="s">
        <v>194</v>
      </c>
      <c r="G2138" s="1">
        <v>1.3225274E7</v>
      </c>
      <c r="H2138" s="2">
        <v>41922.0</v>
      </c>
      <c r="I2138" s="1" t="s">
        <v>1228</v>
      </c>
      <c r="K2138" s="1" t="s">
        <v>1228</v>
      </c>
      <c r="N2138" s="1" t="s">
        <v>194</v>
      </c>
      <c r="O2138" s="1">
        <v>9100.0</v>
      </c>
      <c r="P2138" s="1" t="s">
        <v>194</v>
      </c>
      <c r="Q2138" s="1" t="str">
        <f>IF(ISERROR(VLOOKUP(P2138,'unique fed agency names'!A:C,3,FALSE)),P2138,VLOOKUP(P2138,'unique fed agency names'!A:C,3,FALSE))
</f>
        <v>U.S. Department of Education (ED)</v>
      </c>
      <c r="R2138" s="1">
        <v>6.07770427E8</v>
      </c>
      <c r="S2138" s="1" t="s">
        <v>1249</v>
      </c>
      <c r="T2138" s="1" t="str">
        <f>IF(ISERROR(VLOOKUP(S2138,'unique org names'!A:C,3,FALSE)),S2138,VLOOKUP(S2138,'unique org names'!A:C,3,FALSE))
</f>
        <v>Dominican Literacy Center</v>
      </c>
      <c r="V2138" s="1" t="s">
        <v>3859</v>
      </c>
      <c r="W2138" s="1" t="s">
        <v>44</v>
      </c>
      <c r="X2138" s="1" t="s">
        <v>45</v>
      </c>
      <c r="Y2138" s="1">
        <v>4.82133812E8</v>
      </c>
      <c r="AA2138" s="1" t="s">
        <v>44</v>
      </c>
      <c r="AB2138" s="1" t="s">
        <v>45</v>
      </c>
      <c r="AC2138" s="1">
        <v>4.82242517E8</v>
      </c>
      <c r="AF2138" s="1">
        <v>340000.0</v>
      </c>
      <c r="AG2138" s="2">
        <v>41922.0</v>
      </c>
      <c r="AH2138" s="1">
        <v>9100.0</v>
      </c>
      <c r="AI2138" s="1" t="s">
        <v>194</v>
      </c>
      <c r="AJ2138" s="1" t="s">
        <v>3860</v>
      </c>
      <c r="AK2138" s="1" t="s">
        <v>1232</v>
      </c>
      <c r="AL2138" s="1">
        <v>1.0</v>
      </c>
      <c r="AM2138" s="1">
        <v>2015.0</v>
      </c>
      <c r="AN2138" s="1">
        <v>2015.0</v>
      </c>
      <c r="AO2138" s="1" t="s">
        <v>1233</v>
      </c>
    </row>
    <row r="2139">
      <c r="A2139" s="5">
        <v>1.0</v>
      </c>
      <c r="B2139" s="1">
        <f t="shared" si="1"/>
        <v>2139</v>
      </c>
      <c r="C2139" s="1" t="s">
        <v>3378</v>
      </c>
      <c r="D2139" s="1" t="s">
        <v>3378</v>
      </c>
      <c r="E2139" s="1" t="s">
        <v>194</v>
      </c>
      <c r="G2139" s="1">
        <v>1.3225274E7</v>
      </c>
      <c r="H2139" s="2">
        <v>41914.0</v>
      </c>
      <c r="I2139" s="1" t="s">
        <v>1228</v>
      </c>
      <c r="K2139" s="1" t="s">
        <v>1228</v>
      </c>
      <c r="N2139" s="1" t="s">
        <v>194</v>
      </c>
      <c r="O2139" s="1">
        <v>9100.0</v>
      </c>
      <c r="P2139" s="1" t="s">
        <v>194</v>
      </c>
      <c r="Q2139" s="1" t="str">
        <f>IF(ISERROR(VLOOKUP(P2139,'unique fed agency names'!A:C,3,FALSE)),P2139,VLOOKUP(P2139,'unique fed agency names'!A:C,3,FALSE))
</f>
        <v>U.S. Department of Education (ED)</v>
      </c>
      <c r="R2139" s="1">
        <v>6.2962068E7</v>
      </c>
      <c r="S2139" s="1" t="s">
        <v>1252</v>
      </c>
      <c r="T2139" s="1" t="str">
        <f>IF(ISERROR(VLOOKUP(S2139,'unique org names'!A:C,3,FALSE)),S2139,VLOOKUP(S2139,'unique org names'!A:C,3,FALSE))
</f>
        <v>MERCY EDUCATION PROJECT</v>
      </c>
      <c r="V2139" s="1" t="s">
        <v>1253</v>
      </c>
      <c r="W2139" s="1" t="s">
        <v>44</v>
      </c>
      <c r="X2139" s="1" t="s">
        <v>45</v>
      </c>
      <c r="Y2139" s="1">
        <v>4.82161917E8</v>
      </c>
      <c r="AA2139" s="1" t="s">
        <v>44</v>
      </c>
      <c r="AB2139" s="1" t="s">
        <v>45</v>
      </c>
      <c r="AC2139" s="1">
        <v>4.82161917E8</v>
      </c>
      <c r="AF2139" s="1">
        <v>60000.0</v>
      </c>
      <c r="AG2139" s="2">
        <v>41914.0</v>
      </c>
      <c r="AH2139" s="1">
        <v>9100.0</v>
      </c>
      <c r="AI2139" s="1" t="s">
        <v>194</v>
      </c>
      <c r="AJ2139" s="1" t="s">
        <v>3861</v>
      </c>
      <c r="AK2139" s="1" t="s">
        <v>1232</v>
      </c>
      <c r="AL2139" s="1">
        <v>1.0</v>
      </c>
      <c r="AM2139" s="1">
        <v>2015.0</v>
      </c>
      <c r="AN2139" s="1">
        <v>2015.0</v>
      </c>
      <c r="AO2139" s="1" t="s">
        <v>1233</v>
      </c>
    </row>
    <row r="2140">
      <c r="A2140" s="5">
        <v>1.0</v>
      </c>
      <c r="B2140" s="1">
        <f t="shared" si="1"/>
        <v>2140</v>
      </c>
      <c r="C2140" s="1" t="s">
        <v>3378</v>
      </c>
      <c r="D2140" s="1" t="s">
        <v>3378</v>
      </c>
      <c r="E2140" s="1" t="s">
        <v>194</v>
      </c>
      <c r="G2140" s="1">
        <v>1.3225274E7</v>
      </c>
      <c r="H2140" s="2">
        <v>41915.0</v>
      </c>
      <c r="I2140" s="1" t="s">
        <v>1228</v>
      </c>
      <c r="K2140" s="1" t="s">
        <v>1228</v>
      </c>
      <c r="N2140" s="1" t="s">
        <v>194</v>
      </c>
      <c r="O2140" s="1">
        <v>9100.0</v>
      </c>
      <c r="P2140" s="1" t="s">
        <v>194</v>
      </c>
      <c r="Q2140" s="1" t="str">
        <f>IF(ISERROR(VLOOKUP(P2140,'unique fed agency names'!A:C,3,FALSE)),P2140,VLOOKUP(P2140,'unique fed agency names'!A:C,3,FALSE))
</f>
        <v>U.S. Department of Education (ED)</v>
      </c>
      <c r="R2140" s="1">
        <v>7.6386556E7</v>
      </c>
      <c r="S2140" s="1" t="s">
        <v>1242</v>
      </c>
      <c r="T2140" s="1" t="str">
        <f>IF(ISERROR(VLOOKUP(S2140,'unique org names'!A:C,3,FALSE)),S2140,VLOOKUP(S2140,'unique org names'!A:C,3,FALSE))
</f>
        <v>WAYNE COUNTY COMMUNITY COLLEGE DISTRICT</v>
      </c>
      <c r="V2140" s="1" t="s">
        <v>1243</v>
      </c>
      <c r="W2140" s="1" t="s">
        <v>44</v>
      </c>
      <c r="X2140" s="1" t="s">
        <v>45</v>
      </c>
      <c r="Y2140" s="1">
        <v>4.8226301E8</v>
      </c>
      <c r="AA2140" s="1" t="s">
        <v>44</v>
      </c>
      <c r="AB2140" s="1" t="s">
        <v>45</v>
      </c>
      <c r="AC2140" s="1">
        <v>4.8226301E8</v>
      </c>
      <c r="AD2140" s="1">
        <v>7.6386556E7</v>
      </c>
      <c r="AE2140" s="1" t="s">
        <v>1242</v>
      </c>
      <c r="AF2140" s="1">
        <v>60000.0</v>
      </c>
      <c r="AG2140" s="2">
        <v>41915.0</v>
      </c>
      <c r="AH2140" s="1">
        <v>9100.0</v>
      </c>
      <c r="AI2140" s="1" t="s">
        <v>194</v>
      </c>
      <c r="AJ2140" s="1" t="s">
        <v>3862</v>
      </c>
      <c r="AK2140" s="1" t="s">
        <v>1232</v>
      </c>
      <c r="AL2140" s="1">
        <v>1.0</v>
      </c>
      <c r="AM2140" s="1">
        <v>2015.0</v>
      </c>
      <c r="AN2140" s="1">
        <v>2015.0</v>
      </c>
      <c r="AO2140" s="1" t="s">
        <v>1233</v>
      </c>
    </row>
    <row r="2141">
      <c r="A2141" s="5">
        <v>1.0</v>
      </c>
      <c r="B2141" s="1">
        <f t="shared" si="1"/>
        <v>2141</v>
      </c>
      <c r="C2141" s="1" t="s">
        <v>3397</v>
      </c>
      <c r="D2141" s="1" t="s">
        <v>3397</v>
      </c>
      <c r="E2141" s="1" t="s">
        <v>194</v>
      </c>
      <c r="G2141" s="1">
        <v>2.29266E7</v>
      </c>
      <c r="H2141" s="2">
        <v>41985.0</v>
      </c>
      <c r="I2141" s="1" t="s">
        <v>3398</v>
      </c>
      <c r="K2141" s="1" t="s">
        <v>3398</v>
      </c>
      <c r="N2141" s="1" t="s">
        <v>194</v>
      </c>
      <c r="O2141" s="1">
        <v>9100.0</v>
      </c>
      <c r="P2141" s="1" t="s">
        <v>194</v>
      </c>
      <c r="Q2141" s="1" t="str">
        <f>IF(ISERROR(VLOOKUP(P2141,'unique fed agency names'!A:C,3,FALSE)),P2141,VLOOKUP(P2141,'unique fed agency names'!A:C,3,FALSE))
</f>
        <v>U.S. Department of Education (ED)</v>
      </c>
      <c r="R2141" s="1">
        <v>7.8736952E7</v>
      </c>
      <c r="S2141" s="1" t="s">
        <v>3084</v>
      </c>
      <c r="T2141" s="1" t="str">
        <f>IF(ISERROR(VLOOKUP(S2141,'unique org names'!A:C,3,FALSE)),S2141,VLOOKUP(S2141,'unique org names'!A:C,3,FALSE))
</f>
        <v>Taylor Preparatory High School</v>
      </c>
      <c r="V2141" s="1" t="s">
        <v>3085</v>
      </c>
      <c r="W2141" s="1" t="s">
        <v>44</v>
      </c>
      <c r="X2141" s="1" t="s">
        <v>45</v>
      </c>
      <c r="Y2141" s="1">
        <v>4.82263485E8</v>
      </c>
      <c r="AA2141" s="1" t="s">
        <v>3086</v>
      </c>
      <c r="AB2141" s="1" t="s">
        <v>45</v>
      </c>
      <c r="AC2141" s="1">
        <v>4.81803356E8</v>
      </c>
      <c r="AD2141" s="1">
        <v>9434185.0</v>
      </c>
      <c r="AF2141" s="1">
        <v>67500.0</v>
      </c>
      <c r="AG2141" s="2">
        <v>41985.0</v>
      </c>
      <c r="AH2141" s="1">
        <v>9100.0</v>
      </c>
      <c r="AI2141" s="1" t="s">
        <v>194</v>
      </c>
      <c r="AJ2141" s="1" t="s">
        <v>3863</v>
      </c>
      <c r="AK2141" s="1" t="s">
        <v>3402</v>
      </c>
      <c r="AL2141" s="1">
        <v>1.0</v>
      </c>
      <c r="AM2141" s="1">
        <v>2015.0</v>
      </c>
      <c r="AN2141" s="1">
        <v>2015.0</v>
      </c>
      <c r="AO2141" s="1" t="s">
        <v>3403</v>
      </c>
    </row>
    <row r="2142">
      <c r="A2142" s="5">
        <v>1.0</v>
      </c>
      <c r="B2142" s="1">
        <f t="shared" si="1"/>
        <v>2142</v>
      </c>
      <c r="C2142" s="1" t="s">
        <v>3397</v>
      </c>
      <c r="D2142" s="1" t="s">
        <v>3397</v>
      </c>
      <c r="E2142" s="1" t="s">
        <v>194</v>
      </c>
      <c r="G2142" s="1">
        <v>2.29266E7</v>
      </c>
      <c r="H2142" s="2">
        <v>41338.0</v>
      </c>
      <c r="I2142" s="1" t="s">
        <v>3398</v>
      </c>
      <c r="K2142" s="1" t="s">
        <v>3398</v>
      </c>
      <c r="N2142" s="1" t="s">
        <v>194</v>
      </c>
      <c r="O2142" s="1">
        <v>9100.0</v>
      </c>
      <c r="P2142" s="1" t="s">
        <v>194</v>
      </c>
      <c r="Q2142" s="1" t="str">
        <f>IF(ISERROR(VLOOKUP(P2142,'unique fed agency names'!A:C,3,FALSE)),P2142,VLOOKUP(P2142,'unique fed agency names'!A:C,3,FALSE))
</f>
        <v>U.S. Department of Education (ED)</v>
      </c>
      <c r="R2142" s="1">
        <v>9.62104118E8</v>
      </c>
      <c r="S2142" s="1" t="s">
        <v>634</v>
      </c>
      <c r="T2142" s="1" t="str">
        <f>IF(ISERROR(VLOOKUP(S2142,'unique org names'!A:C,3,FALSE)),S2142,VLOOKUP(S2142,'unique org names'!A:C,3,FALSE))
</f>
        <v>UNIVERSITY YES ACADEMY</v>
      </c>
      <c r="V2142" s="1" t="s">
        <v>635</v>
      </c>
      <c r="W2142" s="1" t="s">
        <v>44</v>
      </c>
      <c r="X2142" s="1" t="s">
        <v>45</v>
      </c>
      <c r="Y2142" s="1">
        <v>4.82351111E8</v>
      </c>
      <c r="AA2142" s="1" t="s">
        <v>46</v>
      </c>
      <c r="AB2142" s="1" t="s">
        <v>45</v>
      </c>
      <c r="AC2142" s="1">
        <v>4.82351111E8</v>
      </c>
      <c r="AF2142" s="1">
        <v>251655.0</v>
      </c>
      <c r="AG2142" s="2">
        <v>41338.0</v>
      </c>
      <c r="AH2142" s="1">
        <v>9100.0</v>
      </c>
      <c r="AI2142" s="1" t="s">
        <v>194</v>
      </c>
      <c r="AJ2142" s="1" t="s">
        <v>3864</v>
      </c>
      <c r="AK2142" s="1" t="s">
        <v>3402</v>
      </c>
      <c r="AL2142" s="1">
        <v>1.0</v>
      </c>
      <c r="AM2142" s="1">
        <v>2015.0</v>
      </c>
      <c r="AN2142" s="1">
        <v>2013.0</v>
      </c>
      <c r="AO2142" s="1" t="s">
        <v>3403</v>
      </c>
    </row>
    <row r="2143">
      <c r="A2143" s="5">
        <v>1.0</v>
      </c>
      <c r="B2143" s="1">
        <f t="shared" si="1"/>
        <v>2143</v>
      </c>
      <c r="C2143" s="1" t="s">
        <v>3397</v>
      </c>
      <c r="D2143" s="1" t="s">
        <v>3397</v>
      </c>
      <c r="E2143" s="1" t="s">
        <v>194</v>
      </c>
      <c r="G2143" s="1">
        <v>2.29266E7</v>
      </c>
      <c r="H2143" s="2">
        <v>41324.0</v>
      </c>
      <c r="I2143" s="1" t="s">
        <v>3398</v>
      </c>
      <c r="K2143" s="1" t="s">
        <v>3398</v>
      </c>
      <c r="N2143" s="1" t="s">
        <v>194</v>
      </c>
      <c r="O2143" s="1">
        <v>9100.0</v>
      </c>
      <c r="P2143" s="1" t="s">
        <v>194</v>
      </c>
      <c r="Q2143" s="1" t="str">
        <f>IF(ISERROR(VLOOKUP(P2143,'unique fed agency names'!A:C,3,FALSE)),P2143,VLOOKUP(P2143,'unique fed agency names'!A:C,3,FALSE))
</f>
        <v>U.S. Department of Education (ED)</v>
      </c>
      <c r="R2143" s="1">
        <v>1.91196877E8</v>
      </c>
      <c r="S2143" s="1" t="s">
        <v>3865</v>
      </c>
      <c r="T2143" s="1" t="str">
        <f>IF(ISERROR(VLOOKUP(S2143,'unique org names'!A:C,3,FALSE)),S2143,VLOOKUP(S2143,'unique org names'!A:C,3,FALSE))
</f>
        <v>KEEP IT MOVING INC</v>
      </c>
      <c r="V2143" s="1" t="s">
        <v>3866</v>
      </c>
      <c r="W2143" s="1" t="s">
        <v>44</v>
      </c>
      <c r="X2143" s="1" t="s">
        <v>45</v>
      </c>
      <c r="Y2143" s="1">
        <v>4.82141271E8</v>
      </c>
      <c r="AA2143" s="1" t="s">
        <v>46</v>
      </c>
      <c r="AB2143" s="1" t="s">
        <v>45</v>
      </c>
      <c r="AC2143" s="1">
        <v>4.82141271E8</v>
      </c>
      <c r="AF2143" s="1">
        <v>106734.45</v>
      </c>
      <c r="AG2143" s="2">
        <v>41324.0</v>
      </c>
      <c r="AH2143" s="1">
        <v>9100.0</v>
      </c>
      <c r="AI2143" s="1" t="s">
        <v>194</v>
      </c>
      <c r="AJ2143" s="1" t="s">
        <v>3867</v>
      </c>
      <c r="AK2143" s="1" t="s">
        <v>3402</v>
      </c>
      <c r="AL2143" s="1">
        <v>1.0</v>
      </c>
      <c r="AM2143" s="1">
        <v>2015.0</v>
      </c>
      <c r="AN2143" s="1">
        <v>2013.0</v>
      </c>
      <c r="AO2143" s="1" t="s">
        <v>3403</v>
      </c>
    </row>
    <row r="2144">
      <c r="A2144" s="5">
        <v>1.0</v>
      </c>
      <c r="B2144" s="1">
        <f t="shared" si="1"/>
        <v>2144</v>
      </c>
      <c r="C2144" s="1" t="s">
        <v>3397</v>
      </c>
      <c r="D2144" s="1" t="s">
        <v>3397</v>
      </c>
      <c r="E2144" s="1" t="s">
        <v>194</v>
      </c>
      <c r="G2144" s="1">
        <v>2.29266E7</v>
      </c>
      <c r="H2144" s="2">
        <v>41815.0</v>
      </c>
      <c r="I2144" s="1" t="s">
        <v>3398</v>
      </c>
      <c r="K2144" s="1" t="s">
        <v>3398</v>
      </c>
      <c r="N2144" s="1" t="s">
        <v>194</v>
      </c>
      <c r="O2144" s="1">
        <v>9100.0</v>
      </c>
      <c r="P2144" s="1" t="s">
        <v>194</v>
      </c>
      <c r="Q2144" s="1" t="str">
        <f>IF(ISERROR(VLOOKUP(P2144,'unique fed agency names'!A:C,3,FALSE)),P2144,VLOOKUP(P2144,'unique fed agency names'!A:C,3,FALSE))
</f>
        <v>U.S. Department of Education (ED)</v>
      </c>
      <c r="R2144" s="1">
        <v>7.8783274E7</v>
      </c>
      <c r="S2144" s="1" t="s">
        <v>3868</v>
      </c>
      <c r="T2144" s="1" t="str">
        <f>IF(ISERROR(VLOOKUP(S2144,'unique org names'!A:C,3,FALSE)),S2144,VLOOKUP(S2144,'unique org names'!A:C,3,FALSE))
</f>
        <v>Learn Everywhere</v>
      </c>
      <c r="V2144" s="1" t="s">
        <v>3869</v>
      </c>
      <c r="W2144" s="1" t="s">
        <v>44</v>
      </c>
      <c r="X2144" s="1" t="s">
        <v>45</v>
      </c>
      <c r="Y2144" s="1">
        <v>4.82262239E8</v>
      </c>
      <c r="AA2144" s="1" t="s">
        <v>3870</v>
      </c>
      <c r="AB2144" s="1" t="s">
        <v>45</v>
      </c>
      <c r="AC2144" s="1">
        <v>4.88644537E8</v>
      </c>
      <c r="AF2144" s="1">
        <v>106614.52</v>
      </c>
      <c r="AG2144" s="2">
        <v>41815.0</v>
      </c>
      <c r="AH2144" s="1">
        <v>9100.0</v>
      </c>
      <c r="AI2144" s="1" t="s">
        <v>194</v>
      </c>
      <c r="AJ2144" s="1" t="s">
        <v>3871</v>
      </c>
      <c r="AK2144" s="1" t="s">
        <v>3402</v>
      </c>
      <c r="AL2144" s="1">
        <v>1.0</v>
      </c>
      <c r="AM2144" s="1">
        <v>2015.0</v>
      </c>
      <c r="AN2144" s="1">
        <v>2014.0</v>
      </c>
      <c r="AO2144" s="1" t="s">
        <v>3403</v>
      </c>
    </row>
    <row r="2145">
      <c r="A2145" s="5">
        <v>1.0</v>
      </c>
      <c r="B2145" s="1">
        <f t="shared" si="1"/>
        <v>2145</v>
      </c>
      <c r="C2145" s="1" t="s">
        <v>3397</v>
      </c>
      <c r="D2145" s="1" t="s">
        <v>3397</v>
      </c>
      <c r="E2145" s="1" t="s">
        <v>194</v>
      </c>
      <c r="G2145" s="1">
        <v>2.29266E7</v>
      </c>
      <c r="H2145" s="2">
        <v>41374.0</v>
      </c>
      <c r="I2145" s="1" t="s">
        <v>3398</v>
      </c>
      <c r="K2145" s="1" t="s">
        <v>3398</v>
      </c>
      <c r="N2145" s="1" t="s">
        <v>194</v>
      </c>
      <c r="O2145" s="1">
        <v>9100.0</v>
      </c>
      <c r="P2145" s="1" t="s">
        <v>194</v>
      </c>
      <c r="Q2145" s="1" t="str">
        <f>IF(ISERROR(VLOOKUP(P2145,'unique fed agency names'!A:C,3,FALSE)),P2145,VLOOKUP(P2145,'unique fed agency names'!A:C,3,FALSE))
</f>
        <v>U.S. Department of Education (ED)</v>
      </c>
      <c r="R2145" s="1">
        <v>7.877691E7</v>
      </c>
      <c r="S2145" s="1" t="s">
        <v>3405</v>
      </c>
      <c r="T2145" s="1" t="str">
        <f>IF(ISERROR(VLOOKUP(S2145,'unique org names'!A:C,3,FALSE)),S2145,VLOOKUP(S2145,'unique org names'!A:C,3,FALSE))
</f>
        <v>Greater Detroit Community Development Foundation</v>
      </c>
      <c r="V2145" s="1" t="s">
        <v>3406</v>
      </c>
      <c r="W2145" s="1" t="s">
        <v>44</v>
      </c>
      <c r="X2145" s="1" t="s">
        <v>45</v>
      </c>
      <c r="Y2145" s="1">
        <v>4.8212302E8</v>
      </c>
      <c r="AA2145" s="1" t="s">
        <v>3872</v>
      </c>
      <c r="AB2145" s="1" t="s">
        <v>45</v>
      </c>
      <c r="AC2145" s="1">
        <v>4.83902286E8</v>
      </c>
      <c r="AF2145" s="1">
        <v>110000.0</v>
      </c>
      <c r="AG2145" s="2">
        <v>41374.0</v>
      </c>
      <c r="AH2145" s="1">
        <v>9100.0</v>
      </c>
      <c r="AI2145" s="1" t="s">
        <v>194</v>
      </c>
      <c r="AJ2145" s="1" t="s">
        <v>3873</v>
      </c>
      <c r="AK2145" s="1" t="s">
        <v>3402</v>
      </c>
      <c r="AL2145" s="1">
        <v>1.0</v>
      </c>
      <c r="AM2145" s="1">
        <v>2015.0</v>
      </c>
      <c r="AN2145" s="1">
        <v>2013.0</v>
      </c>
      <c r="AO2145" s="1" t="s">
        <v>3403</v>
      </c>
    </row>
    <row r="2146">
      <c r="A2146" s="5">
        <v>1.0</v>
      </c>
      <c r="B2146" s="1">
        <f t="shared" si="1"/>
        <v>2146</v>
      </c>
      <c r="C2146" s="1" t="s">
        <v>3397</v>
      </c>
      <c r="D2146" s="1" t="s">
        <v>3397</v>
      </c>
      <c r="E2146" s="1" t="s">
        <v>194</v>
      </c>
      <c r="G2146" s="1">
        <v>2.29266E7</v>
      </c>
      <c r="H2146" s="2">
        <v>41429.0</v>
      </c>
      <c r="I2146" s="1" t="s">
        <v>3398</v>
      </c>
      <c r="K2146" s="1" t="s">
        <v>3398</v>
      </c>
      <c r="N2146" s="1" t="s">
        <v>194</v>
      </c>
      <c r="O2146" s="1">
        <v>9100.0</v>
      </c>
      <c r="P2146" s="1" t="s">
        <v>194</v>
      </c>
      <c r="Q2146" s="1" t="str">
        <f>IF(ISERROR(VLOOKUP(P2146,'unique fed agency names'!A:C,3,FALSE)),P2146,VLOOKUP(P2146,'unique fed agency names'!A:C,3,FALSE))
</f>
        <v>U.S. Department of Education (ED)</v>
      </c>
      <c r="R2146" s="1">
        <v>7.8359005E7</v>
      </c>
      <c r="S2146" s="1" t="s">
        <v>486</v>
      </c>
      <c r="T2146" s="1" t="str">
        <f>IF(ISERROR(VLOOKUP(S2146,'unique org names'!A:C,3,FALSE)),S2146,VLOOKUP(S2146,'unique org names'!A:C,3,FALSE))
</f>
        <v>GEE EDMONSON ACADEMY</v>
      </c>
      <c r="V2146" s="1" t="s">
        <v>487</v>
      </c>
      <c r="W2146" s="1" t="s">
        <v>44</v>
      </c>
      <c r="X2146" s="1" t="s">
        <v>45</v>
      </c>
      <c r="Y2146" s="1">
        <v>4.82011006E8</v>
      </c>
      <c r="AA2146" s="1" t="s">
        <v>46</v>
      </c>
      <c r="AB2146" s="1" t="s">
        <v>45</v>
      </c>
      <c r="AC2146" s="1">
        <v>4.82011006E8</v>
      </c>
      <c r="AF2146" s="1">
        <v>250000.0</v>
      </c>
      <c r="AG2146" s="2">
        <v>41429.0</v>
      </c>
      <c r="AH2146" s="1">
        <v>9100.0</v>
      </c>
      <c r="AI2146" s="1" t="s">
        <v>194</v>
      </c>
      <c r="AJ2146" s="1" t="s">
        <v>3874</v>
      </c>
      <c r="AK2146" s="1" t="s">
        <v>3402</v>
      </c>
      <c r="AL2146" s="1">
        <v>1.0</v>
      </c>
      <c r="AM2146" s="1">
        <v>2015.0</v>
      </c>
      <c r="AN2146" s="1">
        <v>2013.0</v>
      </c>
      <c r="AO2146" s="1" t="s">
        <v>3403</v>
      </c>
    </row>
    <row r="2147">
      <c r="A2147" s="5">
        <v>1.0</v>
      </c>
      <c r="B2147" s="1">
        <f t="shared" si="1"/>
        <v>2147</v>
      </c>
      <c r="C2147" s="1" t="s">
        <v>3397</v>
      </c>
      <c r="D2147" s="1" t="s">
        <v>3397</v>
      </c>
      <c r="E2147" s="1" t="s">
        <v>194</v>
      </c>
      <c r="G2147" s="1">
        <v>2.29266E7</v>
      </c>
      <c r="H2147" s="2">
        <v>41674.0</v>
      </c>
      <c r="I2147" s="1" t="s">
        <v>3398</v>
      </c>
      <c r="K2147" s="1" t="s">
        <v>3398</v>
      </c>
      <c r="N2147" s="1" t="s">
        <v>194</v>
      </c>
      <c r="O2147" s="1">
        <v>9100.0</v>
      </c>
      <c r="P2147" s="1" t="s">
        <v>194</v>
      </c>
      <c r="Q2147" s="1" t="str">
        <f>IF(ISERROR(VLOOKUP(P2147,'unique fed agency names'!A:C,3,FALSE)),P2147,VLOOKUP(P2147,'unique fed agency names'!A:C,3,FALSE))
</f>
        <v>U.S. Department of Education (ED)</v>
      </c>
      <c r="R2147" s="1">
        <v>7.8568012E7</v>
      </c>
      <c r="S2147" s="1" t="s">
        <v>3875</v>
      </c>
      <c r="T2147" s="1" t="str">
        <f>IF(ISERROR(VLOOKUP(S2147,'unique org names'!A:C,3,FALSE)),S2147,VLOOKUP(S2147,'unique org names'!A:C,3,FALSE))
</f>
        <v>Magna Charter Planning Group</v>
      </c>
      <c r="V2147" s="1" t="s">
        <v>3876</v>
      </c>
      <c r="W2147" s="1" t="s">
        <v>44</v>
      </c>
      <c r="X2147" s="1" t="s">
        <v>45</v>
      </c>
      <c r="Y2147" s="1">
        <v>4.8238217E8</v>
      </c>
      <c r="AA2147" s="1" t="s">
        <v>46</v>
      </c>
      <c r="AB2147" s="1" t="s">
        <v>45</v>
      </c>
      <c r="AC2147" s="1">
        <v>4.8238217E8</v>
      </c>
      <c r="AF2147" s="1">
        <v>99950.0</v>
      </c>
      <c r="AG2147" s="2">
        <v>41674.0</v>
      </c>
      <c r="AH2147" s="1">
        <v>9100.0</v>
      </c>
      <c r="AI2147" s="1" t="s">
        <v>194</v>
      </c>
      <c r="AJ2147" s="1" t="s">
        <v>3877</v>
      </c>
      <c r="AK2147" s="1" t="s">
        <v>3402</v>
      </c>
      <c r="AL2147" s="1">
        <v>1.0</v>
      </c>
      <c r="AM2147" s="1">
        <v>2015.0</v>
      </c>
      <c r="AN2147" s="1">
        <v>2014.0</v>
      </c>
      <c r="AO2147" s="1" t="s">
        <v>3403</v>
      </c>
    </row>
    <row r="2148">
      <c r="A2148" s="5">
        <v>1.0</v>
      </c>
      <c r="B2148" s="1">
        <f t="shared" si="1"/>
        <v>2148</v>
      </c>
      <c r="C2148" s="1" t="s">
        <v>3413</v>
      </c>
      <c r="D2148" s="1" t="s">
        <v>3413</v>
      </c>
      <c r="E2148" s="1" t="s">
        <v>194</v>
      </c>
      <c r="G2148" s="1">
        <v>5.21188032E8</v>
      </c>
      <c r="H2148" s="2">
        <v>41976.0</v>
      </c>
      <c r="I2148" s="1" t="s">
        <v>1168</v>
      </c>
      <c r="K2148" s="1" t="s">
        <v>1168</v>
      </c>
      <c r="N2148" s="1" t="s">
        <v>194</v>
      </c>
      <c r="O2148" s="1">
        <v>9100.0</v>
      </c>
      <c r="P2148" s="1" t="s">
        <v>194</v>
      </c>
      <c r="Q2148" s="1" t="str">
        <f>IF(ISERROR(VLOOKUP(P2148,'unique fed agency names'!A:C,3,FALSE)),P2148,VLOOKUP(P2148,'unique fed agency names'!A:C,3,FALSE))
</f>
        <v>U.S. Department of Education (ED)</v>
      </c>
      <c r="R2148" s="1">
        <v>8.01081899E8</v>
      </c>
      <c r="S2148" s="1" t="s">
        <v>280</v>
      </c>
      <c r="T2148" s="1" t="str">
        <f>IF(ISERROR(VLOOKUP(S2148,'unique org names'!A:C,3,FALSE)),S2148,VLOOKUP(S2148,'unique org names'!A:C,3,FALSE))
</f>
        <v>ACE ACADEMY</v>
      </c>
      <c r="V2148" s="1" t="s">
        <v>281</v>
      </c>
      <c r="W2148" s="1" t="s">
        <v>44</v>
      </c>
      <c r="X2148" s="1" t="s">
        <v>45</v>
      </c>
      <c r="Y2148" s="1">
        <v>4.82033277E8</v>
      </c>
      <c r="AA2148" s="1" t="s">
        <v>282</v>
      </c>
      <c r="AB2148" s="1" t="s">
        <v>45</v>
      </c>
      <c r="AC2148" s="1">
        <v>4.82202899E8</v>
      </c>
      <c r="AD2148" s="1">
        <v>6.9828267E7</v>
      </c>
      <c r="AE2148" s="1" t="s">
        <v>624</v>
      </c>
      <c r="AF2148" s="1">
        <v>183731.0</v>
      </c>
      <c r="AG2148" s="2">
        <v>41976.0</v>
      </c>
      <c r="AH2148" s="1">
        <v>9100.0</v>
      </c>
      <c r="AI2148" s="1" t="s">
        <v>194</v>
      </c>
      <c r="AJ2148" s="1" t="s">
        <v>3878</v>
      </c>
      <c r="AK2148" s="1" t="s">
        <v>1170</v>
      </c>
      <c r="AL2148" s="1">
        <v>1.0</v>
      </c>
      <c r="AM2148" s="1">
        <v>2015.0</v>
      </c>
      <c r="AN2148" s="1">
        <v>2015.0</v>
      </c>
      <c r="AO2148" s="1" t="s">
        <v>1171</v>
      </c>
    </row>
    <row r="2149">
      <c r="A2149" s="5">
        <v>1.0</v>
      </c>
      <c r="B2149" s="1">
        <f t="shared" si="1"/>
        <v>2149</v>
      </c>
      <c r="C2149" s="1" t="s">
        <v>3413</v>
      </c>
      <c r="D2149" s="1" t="s">
        <v>3413</v>
      </c>
      <c r="E2149" s="1" t="s">
        <v>194</v>
      </c>
      <c r="G2149" s="1">
        <v>5.21188032E8</v>
      </c>
      <c r="H2149" s="2">
        <v>41886.0</v>
      </c>
      <c r="I2149" s="1" t="s">
        <v>1168</v>
      </c>
      <c r="K2149" s="1" t="s">
        <v>1168</v>
      </c>
      <c r="N2149" s="1" t="s">
        <v>194</v>
      </c>
      <c r="O2149" s="1">
        <v>9100.0</v>
      </c>
      <c r="P2149" s="1" t="s">
        <v>194</v>
      </c>
      <c r="Q2149" s="1" t="str">
        <f>IF(ISERROR(VLOOKUP(P2149,'unique fed agency names'!A:C,3,FALSE)),P2149,VLOOKUP(P2149,'unique fed agency names'!A:C,3,FALSE))
</f>
        <v>U.S. Department of Education (ED)</v>
      </c>
      <c r="R2149" s="1">
        <v>2.496865E7</v>
      </c>
      <c r="S2149" s="1" t="s">
        <v>609</v>
      </c>
      <c r="T2149" s="1" t="str">
        <f>IF(ISERROR(VLOOKUP(S2149,'unique org names'!A:C,3,FALSE)),S2149,VLOOKUP(S2149,'unique org names'!A:C,3,FALSE))
</f>
        <v>Jalen Rose Leadership Academy</v>
      </c>
      <c r="V2149" s="1" t="s">
        <v>610</v>
      </c>
      <c r="W2149" s="1" t="s">
        <v>44</v>
      </c>
      <c r="X2149" s="1" t="s">
        <v>45</v>
      </c>
      <c r="Y2149" s="1">
        <v>4.8235168E8</v>
      </c>
      <c r="AA2149" s="1" t="s">
        <v>46</v>
      </c>
      <c r="AB2149" s="1" t="s">
        <v>45</v>
      </c>
      <c r="AC2149" s="1">
        <v>4.8235168E8</v>
      </c>
      <c r="AF2149" s="1">
        <v>155386.0</v>
      </c>
      <c r="AG2149" s="2">
        <v>41886.0</v>
      </c>
      <c r="AH2149" s="1">
        <v>9100.0</v>
      </c>
      <c r="AI2149" s="1" t="s">
        <v>194</v>
      </c>
      <c r="AJ2149" s="1" t="s">
        <v>3707</v>
      </c>
      <c r="AK2149" s="1" t="s">
        <v>3000</v>
      </c>
      <c r="AL2149" s="1">
        <v>1.0</v>
      </c>
      <c r="AM2149" s="1">
        <v>2015.0</v>
      </c>
      <c r="AN2149" s="1">
        <v>2014.0</v>
      </c>
      <c r="AO2149" s="1" t="s">
        <v>1171</v>
      </c>
    </row>
    <row r="2150">
      <c r="A2150" s="5">
        <v>1.0</v>
      </c>
      <c r="B2150" s="1">
        <f t="shared" si="1"/>
        <v>2150</v>
      </c>
      <c r="C2150" s="1" t="s">
        <v>3413</v>
      </c>
      <c r="D2150" s="1" t="s">
        <v>3413</v>
      </c>
      <c r="E2150" s="1" t="s">
        <v>194</v>
      </c>
      <c r="G2150" s="1">
        <v>5.21188032E8</v>
      </c>
      <c r="H2150" s="2">
        <v>41949.0</v>
      </c>
      <c r="I2150" s="1" t="s">
        <v>1168</v>
      </c>
      <c r="K2150" s="1" t="s">
        <v>1168</v>
      </c>
      <c r="N2150" s="1" t="s">
        <v>194</v>
      </c>
      <c r="O2150" s="1">
        <v>9100.0</v>
      </c>
      <c r="P2150" s="1" t="s">
        <v>194</v>
      </c>
      <c r="Q2150" s="1" t="str">
        <f>IF(ISERROR(VLOOKUP(P2150,'unique fed agency names'!A:C,3,FALSE)),P2150,VLOOKUP(P2150,'unique fed agency names'!A:C,3,FALSE))
</f>
        <v>U.S. Department of Education (ED)</v>
      </c>
      <c r="R2150" s="1">
        <v>9.62949843E8</v>
      </c>
      <c r="S2150" s="1" t="s">
        <v>619</v>
      </c>
      <c r="T2150" s="1" t="str">
        <f>IF(ISERROR(VLOOKUP(S2150,'unique org names'!A:C,3,FALSE)),S2150,VLOOKUP(S2150,'unique org names'!A:C,3,FALSE))
</f>
        <v>ALLEN ACADEMY</v>
      </c>
      <c r="V2150" s="1" t="s">
        <v>620</v>
      </c>
      <c r="W2150" s="1" t="s">
        <v>44</v>
      </c>
      <c r="X2150" s="1" t="s">
        <v>45</v>
      </c>
      <c r="Y2150" s="1">
        <v>4.82042306E8</v>
      </c>
      <c r="AA2150" s="1" t="s">
        <v>44</v>
      </c>
      <c r="AB2150" s="1" t="s">
        <v>45</v>
      </c>
      <c r="AC2150" s="1">
        <v>4.82042306E8</v>
      </c>
      <c r="AD2150" s="1">
        <v>8.9966642E7</v>
      </c>
      <c r="AE2150" s="1" t="s">
        <v>3528</v>
      </c>
      <c r="AF2150" s="1">
        <v>742561.0</v>
      </c>
      <c r="AG2150" s="2">
        <v>41949.0</v>
      </c>
      <c r="AH2150" s="1">
        <v>9100.0</v>
      </c>
      <c r="AI2150" s="1" t="s">
        <v>194</v>
      </c>
      <c r="AJ2150" s="1" t="s">
        <v>3879</v>
      </c>
      <c r="AK2150" s="1" t="s">
        <v>1170</v>
      </c>
      <c r="AL2150" s="1">
        <v>1.0</v>
      </c>
      <c r="AM2150" s="1">
        <v>2015.0</v>
      </c>
      <c r="AN2150" s="1">
        <v>2015.0</v>
      </c>
      <c r="AO2150" s="1" t="s">
        <v>1171</v>
      </c>
    </row>
    <row r="2151">
      <c r="A2151" s="5">
        <v>1.0</v>
      </c>
      <c r="B2151" s="1">
        <f t="shared" si="1"/>
        <v>2151</v>
      </c>
      <c r="C2151" s="1" t="s">
        <v>3413</v>
      </c>
      <c r="D2151" s="1" t="s">
        <v>3413</v>
      </c>
      <c r="E2151" s="1" t="s">
        <v>194</v>
      </c>
      <c r="G2151" s="1">
        <v>5.21188032E8</v>
      </c>
      <c r="H2151" s="2">
        <v>41960.0</v>
      </c>
      <c r="I2151" s="1" t="s">
        <v>1168</v>
      </c>
      <c r="K2151" s="1" t="s">
        <v>1168</v>
      </c>
      <c r="N2151" s="1" t="s">
        <v>194</v>
      </c>
      <c r="O2151" s="1">
        <v>9100.0</v>
      </c>
      <c r="P2151" s="1" t="s">
        <v>194</v>
      </c>
      <c r="Q2151" s="1" t="str">
        <f>IF(ISERROR(VLOOKUP(P2151,'unique fed agency names'!A:C,3,FALSE)),P2151,VLOOKUP(P2151,'unique fed agency names'!A:C,3,FALSE))
</f>
        <v>U.S. Department of Education (ED)</v>
      </c>
      <c r="R2151" s="1">
        <v>3.1613877E7</v>
      </c>
      <c r="S2151" s="1" t="s">
        <v>2626</v>
      </c>
      <c r="T2151" s="1" t="str">
        <f>IF(ISERROR(VLOOKUP(S2151,'unique org names'!A:C,3,FALSE)),S2151,VLOOKUP(S2151,'unique org names'!A:C,3,FALSE))
</f>
        <v>New Paradigm for Education</v>
      </c>
      <c r="V2151" s="1" t="s">
        <v>2627</v>
      </c>
      <c r="W2151" s="1" t="s">
        <v>44</v>
      </c>
      <c r="X2151" s="1" t="s">
        <v>45</v>
      </c>
      <c r="Y2151" s="1">
        <v>4.82111081E8</v>
      </c>
      <c r="AA2151" s="1" t="s">
        <v>44</v>
      </c>
      <c r="AB2151" s="1" t="s">
        <v>45</v>
      </c>
      <c r="AC2151" s="1">
        <v>4.82111081E8</v>
      </c>
      <c r="AD2151" s="1">
        <v>9.1615955E7</v>
      </c>
      <c r="AE2151" s="1" t="s">
        <v>3880</v>
      </c>
      <c r="AF2151" s="1">
        <v>222355.0</v>
      </c>
      <c r="AG2151" s="2">
        <v>41960.0</v>
      </c>
      <c r="AH2151" s="1">
        <v>9100.0</v>
      </c>
      <c r="AI2151" s="1" t="s">
        <v>194</v>
      </c>
      <c r="AJ2151" s="1" t="s">
        <v>3881</v>
      </c>
      <c r="AK2151" s="1" t="s">
        <v>1170</v>
      </c>
      <c r="AL2151" s="1">
        <v>1.0</v>
      </c>
      <c r="AM2151" s="1">
        <v>2015.0</v>
      </c>
      <c r="AN2151" s="1">
        <v>2015.0</v>
      </c>
      <c r="AO2151" s="1" t="s">
        <v>1171</v>
      </c>
    </row>
    <row r="2152">
      <c r="A2152" s="5">
        <v>1.0</v>
      </c>
      <c r="B2152" s="1">
        <f t="shared" si="1"/>
        <v>2152</v>
      </c>
      <c r="C2152" s="1" t="s">
        <v>3413</v>
      </c>
      <c r="D2152" s="1" t="s">
        <v>3413</v>
      </c>
      <c r="E2152" s="1" t="s">
        <v>194</v>
      </c>
      <c r="G2152" s="1">
        <v>5.21188032E8</v>
      </c>
      <c r="H2152" s="2">
        <v>41948.0</v>
      </c>
      <c r="I2152" s="1" t="s">
        <v>1168</v>
      </c>
      <c r="K2152" s="1" t="s">
        <v>1168</v>
      </c>
      <c r="N2152" s="1" t="s">
        <v>194</v>
      </c>
      <c r="O2152" s="1">
        <v>9100.0</v>
      </c>
      <c r="P2152" s="1" t="s">
        <v>194</v>
      </c>
      <c r="Q2152" s="1" t="str">
        <f>IF(ISERROR(VLOOKUP(P2152,'unique fed agency names'!A:C,3,FALSE)),P2152,VLOOKUP(P2152,'unique fed agency names'!A:C,3,FALSE))
</f>
        <v>U.S. Department of Education (ED)</v>
      </c>
      <c r="R2152" s="1">
        <v>7.6340843E7</v>
      </c>
      <c r="S2152" s="1" t="s">
        <v>461</v>
      </c>
      <c r="T2152" s="1" t="str">
        <f>IF(ISERROR(VLOOKUP(S2152,'unique org names'!A:C,3,FALSE)),S2152,VLOOKUP(S2152,'unique org names'!A:C,3,FALSE))
</f>
        <v>BOARD OF EDUCATION OF THE CITY OF DETROIT</v>
      </c>
      <c r="U2152" s="1" t="s">
        <v>3882</v>
      </c>
      <c r="V2152" s="1" t="s">
        <v>1599</v>
      </c>
      <c r="W2152" s="1" t="s">
        <v>44</v>
      </c>
      <c r="X2152" s="1" t="s">
        <v>45</v>
      </c>
      <c r="Y2152" s="1">
        <v>4.8202301E8</v>
      </c>
      <c r="AA2152" s="1" t="s">
        <v>44</v>
      </c>
      <c r="AB2152" s="1" t="s">
        <v>45</v>
      </c>
      <c r="AC2152" s="1">
        <v>4.82023096E8</v>
      </c>
      <c r="AD2152" s="1">
        <v>7.6340843E7</v>
      </c>
      <c r="AE2152" s="1" t="s">
        <v>461</v>
      </c>
      <c r="AF2152" s="1">
        <v>200587.0</v>
      </c>
      <c r="AG2152" s="2">
        <v>41948.0</v>
      </c>
      <c r="AH2152" s="1">
        <v>9100.0</v>
      </c>
      <c r="AI2152" s="1" t="s">
        <v>194</v>
      </c>
      <c r="AJ2152" s="1" t="s">
        <v>3712</v>
      </c>
      <c r="AK2152" s="1" t="s">
        <v>1170</v>
      </c>
      <c r="AL2152" s="1">
        <v>1.0</v>
      </c>
      <c r="AM2152" s="1">
        <v>2015.0</v>
      </c>
      <c r="AN2152" s="1">
        <v>2015.0</v>
      </c>
      <c r="AO2152" s="1" t="s">
        <v>1171</v>
      </c>
    </row>
    <row r="2153">
      <c r="A2153" s="5">
        <v>1.0</v>
      </c>
      <c r="B2153" s="1">
        <f t="shared" si="1"/>
        <v>2153</v>
      </c>
      <c r="C2153" s="1" t="s">
        <v>3413</v>
      </c>
      <c r="D2153" s="1" t="s">
        <v>3413</v>
      </c>
      <c r="E2153" s="1" t="s">
        <v>194</v>
      </c>
      <c r="G2153" s="1">
        <v>5.21188032E8</v>
      </c>
      <c r="H2153" s="2">
        <v>41940.0</v>
      </c>
      <c r="I2153" s="1" t="s">
        <v>1168</v>
      </c>
      <c r="K2153" s="1" t="s">
        <v>1168</v>
      </c>
      <c r="N2153" s="1" t="s">
        <v>194</v>
      </c>
      <c r="O2153" s="1">
        <v>9100.0</v>
      </c>
      <c r="P2153" s="1" t="s">
        <v>194</v>
      </c>
      <c r="Q2153" s="1" t="str">
        <f>IF(ISERROR(VLOOKUP(P2153,'unique fed agency names'!A:C,3,FALSE)),P2153,VLOOKUP(P2153,'unique fed agency names'!A:C,3,FALSE))
</f>
        <v>U.S. Department of Education (ED)</v>
      </c>
      <c r="R2153" s="1">
        <v>1.47777952E8</v>
      </c>
      <c r="S2153" s="1" t="s">
        <v>459</v>
      </c>
      <c r="T2153" s="1" t="str">
        <f>IF(ISERROR(VLOOKUP(S2153,'unique org names'!A:C,3,FALSE)),S2153,VLOOKUP(S2153,'unique org names'!A:C,3,FALSE))
</f>
        <v>DETROIT PUBLIC SCHOOLS</v>
      </c>
      <c r="U2153" s="1" t="s">
        <v>626</v>
      </c>
      <c r="V2153" s="1" t="s">
        <v>627</v>
      </c>
      <c r="W2153" s="1" t="s">
        <v>44</v>
      </c>
      <c r="X2153" s="1" t="s">
        <v>45</v>
      </c>
      <c r="Y2153" s="1">
        <v>4.82072112E8</v>
      </c>
      <c r="AA2153" s="1" t="s">
        <v>44</v>
      </c>
      <c r="AB2153" s="1" t="s">
        <v>45</v>
      </c>
      <c r="AC2153" s="1">
        <v>4.82072112E8</v>
      </c>
      <c r="AD2153" s="1">
        <v>7.6340843E7</v>
      </c>
      <c r="AE2153" s="1" t="s">
        <v>461</v>
      </c>
      <c r="AF2153" s="1">
        <v>406363.0</v>
      </c>
      <c r="AG2153" s="2">
        <v>41940.0</v>
      </c>
      <c r="AH2153" s="1">
        <v>9100.0</v>
      </c>
      <c r="AI2153" s="1" t="s">
        <v>194</v>
      </c>
      <c r="AJ2153" s="1" t="s">
        <v>3883</v>
      </c>
      <c r="AK2153" s="1" t="s">
        <v>1170</v>
      </c>
      <c r="AL2153" s="1">
        <v>1.0</v>
      </c>
      <c r="AM2153" s="1">
        <v>2015.0</v>
      </c>
      <c r="AN2153" s="1">
        <v>2015.0</v>
      </c>
      <c r="AO2153" s="1" t="s">
        <v>1171</v>
      </c>
    </row>
    <row r="2154">
      <c r="A2154" s="5">
        <v>1.0</v>
      </c>
      <c r="B2154" s="1">
        <f t="shared" si="1"/>
        <v>2154</v>
      </c>
      <c r="C2154" s="1" t="s">
        <v>3413</v>
      </c>
      <c r="D2154" s="1" t="s">
        <v>3413</v>
      </c>
      <c r="E2154" s="1" t="s">
        <v>194</v>
      </c>
      <c r="G2154" s="1">
        <v>5.21188032E8</v>
      </c>
      <c r="H2154" s="2">
        <v>41922.0</v>
      </c>
      <c r="I2154" s="1" t="s">
        <v>1168</v>
      </c>
      <c r="K2154" s="1" t="s">
        <v>1168</v>
      </c>
      <c r="N2154" s="1" t="s">
        <v>194</v>
      </c>
      <c r="O2154" s="1">
        <v>9100.0</v>
      </c>
      <c r="P2154" s="1" t="s">
        <v>194</v>
      </c>
      <c r="Q2154" s="1" t="str">
        <f>IF(ISERROR(VLOOKUP(P2154,'unique fed agency names'!A:C,3,FALSE)),P2154,VLOOKUP(P2154,'unique fed agency names'!A:C,3,FALSE))
</f>
        <v>U.S. Department of Education (ED)</v>
      </c>
      <c r="R2154" s="1">
        <v>8.30792151E8</v>
      </c>
      <c r="S2154" s="1" t="s">
        <v>594</v>
      </c>
      <c r="T2154" s="1" t="str">
        <f>IF(ISERROR(VLOOKUP(S2154,'unique org names'!A:C,3,FALSE)),S2154,VLOOKUP(S2154,'unique org names'!A:C,3,FALSE))
</f>
        <v>FLAGSHIP CHARTER ACADEMY</v>
      </c>
      <c r="U2154" s="1" t="s">
        <v>3536</v>
      </c>
      <c r="V2154" s="1" t="s">
        <v>596</v>
      </c>
      <c r="W2154" s="1" t="s">
        <v>44</v>
      </c>
      <c r="X2154" s="1" t="s">
        <v>45</v>
      </c>
      <c r="Y2154" s="1">
        <v>4.82382356E8</v>
      </c>
      <c r="AA2154" s="1" t="s">
        <v>44</v>
      </c>
      <c r="AB2154" s="1" t="s">
        <v>45</v>
      </c>
      <c r="AC2154" s="1">
        <v>4.82382356E8</v>
      </c>
      <c r="AD2154" s="1">
        <v>9.60742484E8</v>
      </c>
      <c r="AF2154" s="1">
        <v>422524.0</v>
      </c>
      <c r="AG2154" s="2">
        <v>41922.0</v>
      </c>
      <c r="AH2154" s="1">
        <v>9100.0</v>
      </c>
      <c r="AI2154" s="1" t="s">
        <v>194</v>
      </c>
      <c r="AJ2154" s="1" t="s">
        <v>3884</v>
      </c>
      <c r="AK2154" s="1" t="s">
        <v>1170</v>
      </c>
      <c r="AL2154" s="1">
        <v>1.0</v>
      </c>
      <c r="AM2154" s="1">
        <v>2015.0</v>
      </c>
      <c r="AN2154" s="1">
        <v>2015.0</v>
      </c>
      <c r="AO2154" s="1" t="s">
        <v>1171</v>
      </c>
    </row>
    <row r="2155">
      <c r="A2155" s="5">
        <v>1.0</v>
      </c>
      <c r="B2155" s="1">
        <f t="shared" si="1"/>
        <v>2155</v>
      </c>
      <c r="C2155" s="1" t="s">
        <v>3413</v>
      </c>
      <c r="D2155" s="1" t="s">
        <v>3413</v>
      </c>
      <c r="E2155" s="1" t="s">
        <v>194</v>
      </c>
      <c r="G2155" s="1">
        <v>5.21188032E8</v>
      </c>
      <c r="H2155" s="2">
        <v>41894.0</v>
      </c>
      <c r="I2155" s="1" t="s">
        <v>1168</v>
      </c>
      <c r="K2155" s="1" t="s">
        <v>1168</v>
      </c>
      <c r="N2155" s="1" t="s">
        <v>194</v>
      </c>
      <c r="O2155" s="1">
        <v>9100.0</v>
      </c>
      <c r="P2155" s="1" t="s">
        <v>194</v>
      </c>
      <c r="Q2155" s="1" t="str">
        <f>IF(ISERROR(VLOOKUP(P2155,'unique fed agency names'!A:C,3,FALSE)),P2155,VLOOKUP(P2155,'unique fed agency names'!A:C,3,FALSE))
</f>
        <v>U.S. Department of Education (ED)</v>
      </c>
      <c r="R2155" s="1">
        <v>1.52807538E8</v>
      </c>
      <c r="S2155" s="1" t="s">
        <v>591</v>
      </c>
      <c r="T2155" s="1" t="str">
        <f>IF(ISERROR(VLOOKUP(S2155,'unique org names'!A:C,3,FALSE)),S2155,VLOOKUP(S2155,'unique org names'!A:C,3,FALSE))
</f>
        <v>WESTON TECHNICAL ACADEMY</v>
      </c>
      <c r="V2155" s="1" t="s">
        <v>592</v>
      </c>
      <c r="W2155" s="1" t="s">
        <v>44</v>
      </c>
      <c r="X2155" s="1" t="s">
        <v>45</v>
      </c>
      <c r="Y2155" s="1">
        <v>4.82191161E8</v>
      </c>
      <c r="AA2155" s="1" t="s">
        <v>44</v>
      </c>
      <c r="AB2155" s="1" t="s">
        <v>45</v>
      </c>
      <c r="AC2155" s="1">
        <v>4.82191161E8</v>
      </c>
      <c r="AF2155" s="1">
        <v>185704.0</v>
      </c>
      <c r="AG2155" s="2">
        <v>41894.0</v>
      </c>
      <c r="AH2155" s="1">
        <v>9100.0</v>
      </c>
      <c r="AI2155" s="1" t="s">
        <v>194</v>
      </c>
      <c r="AJ2155" s="1" t="s">
        <v>3885</v>
      </c>
      <c r="AK2155" s="1" t="s">
        <v>1170</v>
      </c>
      <c r="AL2155" s="1">
        <v>1.0</v>
      </c>
      <c r="AM2155" s="1">
        <v>2015.0</v>
      </c>
      <c r="AN2155" s="1">
        <v>2014.0</v>
      </c>
      <c r="AO2155" s="1" t="s">
        <v>1171</v>
      </c>
    </row>
    <row r="2156">
      <c r="A2156" s="5">
        <v>1.0</v>
      </c>
      <c r="B2156" s="1">
        <f t="shared" si="1"/>
        <v>2156</v>
      </c>
      <c r="C2156" s="1" t="s">
        <v>3413</v>
      </c>
      <c r="D2156" s="1" t="s">
        <v>3413</v>
      </c>
      <c r="E2156" s="1" t="s">
        <v>194</v>
      </c>
      <c r="G2156" s="1">
        <v>5.21188032E8</v>
      </c>
      <c r="H2156" s="2">
        <v>41891.0</v>
      </c>
      <c r="I2156" s="1" t="s">
        <v>1168</v>
      </c>
      <c r="K2156" s="1" t="s">
        <v>1168</v>
      </c>
      <c r="N2156" s="1" t="s">
        <v>194</v>
      </c>
      <c r="O2156" s="1">
        <v>9100.0</v>
      </c>
      <c r="P2156" s="1" t="s">
        <v>194</v>
      </c>
      <c r="Q2156" s="1" t="str">
        <f>IF(ISERROR(VLOOKUP(P2156,'unique fed agency names'!A:C,3,FALSE)),P2156,VLOOKUP(P2156,'unique fed agency names'!A:C,3,FALSE))
</f>
        <v>U.S. Department of Education (ED)</v>
      </c>
      <c r="R2156" s="1">
        <v>1.9859919E7</v>
      </c>
      <c r="S2156" s="1" t="s">
        <v>1657</v>
      </c>
      <c r="T2156" s="1" t="str">
        <f>IF(ISERROR(VLOOKUP(S2156,'unique org names'!A:C,3,FALSE)),S2156,VLOOKUP(S2156,'unique org names'!A:C,3,FALSE))
</f>
        <v>Cornerstone Health High School</v>
      </c>
      <c r="V2156" s="1" t="s">
        <v>1173</v>
      </c>
      <c r="W2156" s="1" t="s">
        <v>44</v>
      </c>
      <c r="X2156" s="1" t="s">
        <v>45</v>
      </c>
      <c r="Y2156" s="1">
        <v>4.82191263E8</v>
      </c>
      <c r="AA2156" s="1" t="s">
        <v>44</v>
      </c>
      <c r="AB2156" s="1" t="s">
        <v>45</v>
      </c>
      <c r="AC2156" s="1">
        <v>4.82191263E8</v>
      </c>
      <c r="AD2156" s="1">
        <v>7.6373687E7</v>
      </c>
      <c r="AE2156" s="1" t="s">
        <v>529</v>
      </c>
      <c r="AF2156" s="1">
        <v>32532.0</v>
      </c>
      <c r="AG2156" s="2">
        <v>41891.0</v>
      </c>
      <c r="AH2156" s="1">
        <v>9100.0</v>
      </c>
      <c r="AI2156" s="1" t="s">
        <v>194</v>
      </c>
      <c r="AJ2156" s="1" t="s">
        <v>3886</v>
      </c>
      <c r="AK2156" s="1" t="s">
        <v>1170</v>
      </c>
      <c r="AL2156" s="1">
        <v>1.0</v>
      </c>
      <c r="AM2156" s="1">
        <v>2015.0</v>
      </c>
      <c r="AN2156" s="1">
        <v>2014.0</v>
      </c>
      <c r="AO2156" s="1" t="s">
        <v>1171</v>
      </c>
    </row>
    <row r="2157">
      <c r="A2157" s="5">
        <v>1.0</v>
      </c>
      <c r="B2157" s="1">
        <f t="shared" si="1"/>
        <v>2157</v>
      </c>
      <c r="C2157" s="1" t="s">
        <v>3413</v>
      </c>
      <c r="D2157" s="1" t="s">
        <v>3413</v>
      </c>
      <c r="E2157" s="1" t="s">
        <v>194</v>
      </c>
      <c r="G2157" s="1">
        <v>5.21188032E8</v>
      </c>
      <c r="H2157" s="2">
        <v>41893.0</v>
      </c>
      <c r="I2157" s="1" t="s">
        <v>1168</v>
      </c>
      <c r="K2157" s="1" t="s">
        <v>1168</v>
      </c>
      <c r="N2157" s="1" t="s">
        <v>194</v>
      </c>
      <c r="O2157" s="1">
        <v>9100.0</v>
      </c>
      <c r="P2157" s="1" t="s">
        <v>194</v>
      </c>
      <c r="Q2157" s="1" t="str">
        <f>IF(ISERROR(VLOOKUP(P2157,'unique fed agency names'!A:C,3,FALSE)),P2157,VLOOKUP(P2157,'unique fed agency names'!A:C,3,FALSE))
</f>
        <v>U.S. Department of Education (ED)</v>
      </c>
      <c r="R2157" s="1">
        <v>1.52892667E8</v>
      </c>
      <c r="S2157" s="1" t="s">
        <v>638</v>
      </c>
      <c r="T2157" s="1" t="str">
        <f>IF(ISERROR(VLOOKUP(S2157,'unique org names'!A:C,3,FALSE)),S2157,VLOOKUP(S2157,'unique org names'!A:C,3,FALSE))
</f>
        <v>DOVE ACADEMY OF DETROIT</v>
      </c>
      <c r="U2157" s="1" t="s">
        <v>3835</v>
      </c>
      <c r="V2157" s="1" t="s">
        <v>639</v>
      </c>
      <c r="W2157" s="1" t="s">
        <v>44</v>
      </c>
      <c r="X2157" s="1" t="s">
        <v>45</v>
      </c>
      <c r="Y2157" s="1">
        <v>4.82343358E8</v>
      </c>
      <c r="AA2157" s="1" t="s">
        <v>44</v>
      </c>
      <c r="AB2157" s="1" t="s">
        <v>45</v>
      </c>
      <c r="AC2157" s="1">
        <v>4.82343358E8</v>
      </c>
      <c r="AD2157" s="1">
        <v>5.2461282E7</v>
      </c>
      <c r="AE2157" s="1" t="s">
        <v>3836</v>
      </c>
      <c r="AF2157" s="1">
        <v>282369.0</v>
      </c>
      <c r="AG2157" s="2">
        <v>41893.0</v>
      </c>
      <c r="AH2157" s="1">
        <v>9100.0</v>
      </c>
      <c r="AI2157" s="1" t="s">
        <v>194</v>
      </c>
      <c r="AJ2157" s="1" t="s">
        <v>3887</v>
      </c>
      <c r="AK2157" s="1" t="s">
        <v>1170</v>
      </c>
      <c r="AL2157" s="1">
        <v>1.0</v>
      </c>
      <c r="AM2157" s="1">
        <v>2015.0</v>
      </c>
      <c r="AN2157" s="1">
        <v>2014.0</v>
      </c>
      <c r="AO2157" s="1" t="s">
        <v>1171</v>
      </c>
    </row>
    <row r="2158">
      <c r="A2158" s="5">
        <v>1.0</v>
      </c>
      <c r="B2158" s="1">
        <f t="shared" si="1"/>
        <v>2158</v>
      </c>
      <c r="C2158" s="1" t="s">
        <v>3413</v>
      </c>
      <c r="D2158" s="1" t="s">
        <v>3413</v>
      </c>
      <c r="E2158" s="1" t="s">
        <v>194</v>
      </c>
      <c r="G2158" s="1">
        <v>5.21188032E8</v>
      </c>
      <c r="H2158" s="2">
        <v>41891.0</v>
      </c>
      <c r="I2158" s="1" t="s">
        <v>1168</v>
      </c>
      <c r="K2158" s="1" t="s">
        <v>1168</v>
      </c>
      <c r="N2158" s="1" t="s">
        <v>194</v>
      </c>
      <c r="O2158" s="1">
        <v>9100.0</v>
      </c>
      <c r="P2158" s="1" t="s">
        <v>194</v>
      </c>
      <c r="Q2158" s="1" t="str">
        <f>IF(ISERROR(VLOOKUP(P2158,'unique fed agency names'!A:C,3,FALSE)),P2158,VLOOKUP(P2158,'unique fed agency names'!A:C,3,FALSE))
</f>
        <v>U.S. Department of Education (ED)</v>
      </c>
      <c r="R2158" s="1">
        <v>9.62104118E8</v>
      </c>
      <c r="S2158" s="1" t="s">
        <v>634</v>
      </c>
      <c r="T2158" s="1" t="str">
        <f>IF(ISERROR(VLOOKUP(S2158,'unique org names'!A:C,3,FALSE)),S2158,VLOOKUP(S2158,'unique org names'!A:C,3,FALSE))
</f>
        <v>UNIVERSITY YES ACADEMY</v>
      </c>
      <c r="U2158" s="1" t="s">
        <v>1690</v>
      </c>
      <c r="V2158" s="1" t="s">
        <v>635</v>
      </c>
      <c r="W2158" s="1" t="s">
        <v>44</v>
      </c>
      <c r="X2158" s="1" t="s">
        <v>45</v>
      </c>
      <c r="Y2158" s="1">
        <v>4.82351111E8</v>
      </c>
      <c r="AA2158" s="1" t="s">
        <v>46</v>
      </c>
      <c r="AB2158" s="1" t="s">
        <v>45</v>
      </c>
      <c r="AC2158" s="1">
        <v>4.82351111E8</v>
      </c>
      <c r="AD2158" s="1">
        <v>3.1881956E7</v>
      </c>
      <c r="AE2158" s="1" t="s">
        <v>3888</v>
      </c>
      <c r="AF2158" s="1">
        <v>247531.0</v>
      </c>
      <c r="AG2158" s="2">
        <v>41891.0</v>
      </c>
      <c r="AH2158" s="1">
        <v>9100.0</v>
      </c>
      <c r="AI2158" s="1" t="s">
        <v>194</v>
      </c>
      <c r="AJ2158" s="1" t="s">
        <v>3889</v>
      </c>
      <c r="AK2158" s="1" t="s">
        <v>1170</v>
      </c>
      <c r="AL2158" s="1">
        <v>1.0</v>
      </c>
      <c r="AM2158" s="1">
        <v>2015.0</v>
      </c>
      <c r="AN2158" s="1">
        <v>2014.0</v>
      </c>
      <c r="AO2158" s="1" t="s">
        <v>1171</v>
      </c>
    </row>
    <row r="2159">
      <c r="A2159" s="5">
        <v>1.0</v>
      </c>
      <c r="B2159" s="1">
        <f t="shared" si="1"/>
        <v>2159</v>
      </c>
      <c r="C2159" s="1" t="s">
        <v>3413</v>
      </c>
      <c r="D2159" s="1" t="s">
        <v>3413</v>
      </c>
      <c r="E2159" s="1" t="s">
        <v>194</v>
      </c>
      <c r="G2159" s="1">
        <v>5.21188032E8</v>
      </c>
      <c r="H2159" s="2">
        <v>41878.0</v>
      </c>
      <c r="I2159" s="1" t="s">
        <v>1168</v>
      </c>
      <c r="K2159" s="1" t="s">
        <v>1168</v>
      </c>
      <c r="N2159" s="1" t="s">
        <v>194</v>
      </c>
      <c r="O2159" s="1">
        <v>9100.0</v>
      </c>
      <c r="P2159" s="1" t="s">
        <v>194</v>
      </c>
      <c r="Q2159" s="1" t="str">
        <f>IF(ISERROR(VLOOKUP(P2159,'unique fed agency names'!A:C,3,FALSE)),P2159,VLOOKUP(P2159,'unique fed agency names'!A:C,3,FALSE))
</f>
        <v>U.S. Department of Education (ED)</v>
      </c>
      <c r="R2159" s="1">
        <v>1.68568132E8</v>
      </c>
      <c r="S2159" s="1" t="s">
        <v>588</v>
      </c>
      <c r="T2159" s="1" t="str">
        <f>IF(ISERROR(VLOOKUP(S2159,'unique org names'!A:C,3,FALSE)),S2159,VLOOKUP(S2159,'unique org names'!A:C,3,FALSE))
</f>
        <v>DETROIT ENTERPRISE ACADEMY</v>
      </c>
      <c r="V2159" s="1" t="s">
        <v>589</v>
      </c>
      <c r="W2159" s="1" t="s">
        <v>44</v>
      </c>
      <c r="X2159" s="1" t="s">
        <v>45</v>
      </c>
      <c r="Y2159" s="1">
        <v>4.82143323E8</v>
      </c>
      <c r="AA2159" s="1" t="s">
        <v>44</v>
      </c>
      <c r="AB2159" s="1" t="s">
        <v>45</v>
      </c>
      <c r="AC2159" s="1">
        <v>4.82143323E8</v>
      </c>
      <c r="AD2159" s="1">
        <v>9.60742484E8</v>
      </c>
      <c r="AF2159" s="1">
        <v>411254.0</v>
      </c>
      <c r="AG2159" s="2">
        <v>41878.0</v>
      </c>
      <c r="AH2159" s="1">
        <v>9100.0</v>
      </c>
      <c r="AI2159" s="1" t="s">
        <v>194</v>
      </c>
      <c r="AJ2159" s="1" t="s">
        <v>3890</v>
      </c>
      <c r="AK2159" s="1" t="s">
        <v>1170</v>
      </c>
      <c r="AL2159" s="1">
        <v>1.0</v>
      </c>
      <c r="AM2159" s="1">
        <v>2015.0</v>
      </c>
      <c r="AN2159" s="1">
        <v>2014.0</v>
      </c>
      <c r="AO2159" s="1" t="s">
        <v>1171</v>
      </c>
    </row>
    <row r="2160">
      <c r="A2160" s="5">
        <v>1.0</v>
      </c>
      <c r="B2160" s="1">
        <f t="shared" si="1"/>
        <v>2160</v>
      </c>
      <c r="C2160" s="1" t="s">
        <v>3413</v>
      </c>
      <c r="D2160" s="1" t="s">
        <v>3413</v>
      </c>
      <c r="E2160" s="1" t="s">
        <v>194</v>
      </c>
      <c r="G2160" s="1">
        <v>5.21188032E8</v>
      </c>
      <c r="H2160" s="2">
        <v>41870.0</v>
      </c>
      <c r="I2160" s="1" t="s">
        <v>1168</v>
      </c>
      <c r="K2160" s="1" t="s">
        <v>1168</v>
      </c>
      <c r="N2160" s="1" t="s">
        <v>194</v>
      </c>
      <c r="O2160" s="1">
        <v>9100.0</v>
      </c>
      <c r="P2160" s="1" t="s">
        <v>194</v>
      </c>
      <c r="Q2160" s="1" t="str">
        <f>IF(ISERROR(VLOOKUP(P2160,'unique fed agency names'!A:C,3,FALSE)),P2160,VLOOKUP(P2160,'unique fed agency names'!A:C,3,FALSE))
</f>
        <v>U.S. Department of Education (ED)</v>
      </c>
      <c r="R2160" s="1">
        <v>8.25304442E8</v>
      </c>
      <c r="S2160" s="1" t="s">
        <v>829</v>
      </c>
      <c r="T2160" s="1" t="str">
        <f>IF(ISERROR(VLOOKUP(S2160,'unique org names'!A:C,3,FALSE)),S2160,VLOOKUP(S2160,'unique org names'!A:C,3,FALSE))
</f>
        <v>DAVID ELLIS ACADEMY</v>
      </c>
      <c r="U2160" s="1" t="s">
        <v>3496</v>
      </c>
      <c r="V2160" s="1" t="s">
        <v>830</v>
      </c>
      <c r="W2160" s="1" t="s">
        <v>44</v>
      </c>
      <c r="X2160" s="1" t="s">
        <v>45</v>
      </c>
      <c r="Y2160" s="1">
        <v>4.82351762E8</v>
      </c>
      <c r="AA2160" s="1" t="s">
        <v>44</v>
      </c>
      <c r="AB2160" s="1" t="s">
        <v>45</v>
      </c>
      <c r="AC2160" s="1">
        <v>4.82351762E8</v>
      </c>
      <c r="AD2160" s="1">
        <v>1.08712E7</v>
      </c>
      <c r="AE2160" s="1" t="s">
        <v>3891</v>
      </c>
      <c r="AF2160" s="1">
        <v>109070.0</v>
      </c>
      <c r="AG2160" s="2">
        <v>41870.0</v>
      </c>
      <c r="AH2160" s="1">
        <v>9100.0</v>
      </c>
      <c r="AI2160" s="1" t="s">
        <v>194</v>
      </c>
      <c r="AJ2160" s="1" t="s">
        <v>3892</v>
      </c>
      <c r="AK2160" s="1" t="s">
        <v>1170</v>
      </c>
      <c r="AL2160" s="1">
        <v>1.0</v>
      </c>
      <c r="AM2160" s="1">
        <v>2015.0</v>
      </c>
      <c r="AN2160" s="1">
        <v>2014.0</v>
      </c>
      <c r="AO2160" s="1" t="s">
        <v>1171</v>
      </c>
    </row>
    <row r="2161">
      <c r="A2161" s="5">
        <v>1.0</v>
      </c>
      <c r="B2161" s="1">
        <f t="shared" si="1"/>
        <v>2161</v>
      </c>
      <c r="C2161" s="1" t="s">
        <v>3413</v>
      </c>
      <c r="D2161" s="1" t="s">
        <v>3413</v>
      </c>
      <c r="E2161" s="1" t="s">
        <v>194</v>
      </c>
      <c r="G2161" s="1">
        <v>5.21188032E8</v>
      </c>
      <c r="H2161" s="2">
        <v>41940.0</v>
      </c>
      <c r="I2161" s="1" t="s">
        <v>1168</v>
      </c>
      <c r="K2161" s="1" t="s">
        <v>1168</v>
      </c>
      <c r="N2161" s="1" t="s">
        <v>194</v>
      </c>
      <c r="O2161" s="1">
        <v>9100.0</v>
      </c>
      <c r="P2161" s="1" t="s">
        <v>194</v>
      </c>
      <c r="Q2161" s="1" t="str">
        <f>IF(ISERROR(VLOOKUP(P2161,'unique fed agency names'!A:C,3,FALSE)),P2161,VLOOKUP(P2161,'unique fed agency names'!A:C,3,FALSE))
</f>
        <v>U.S. Department of Education (ED)</v>
      </c>
      <c r="R2161" s="1">
        <v>7.8634042E7</v>
      </c>
      <c r="S2161" s="1" t="s">
        <v>2998</v>
      </c>
      <c r="T2161" s="1" t="str">
        <f>IF(ISERROR(VLOOKUP(S2161,'unique org names'!A:C,3,FALSE)),S2161,VLOOKUP(S2161,'unique org names'!A:C,3,FALSE))
</f>
        <v>Hamilton Academy</v>
      </c>
      <c r="V2161" s="1" t="s">
        <v>475</v>
      </c>
      <c r="W2161" s="1" t="s">
        <v>44</v>
      </c>
      <c r="X2161" s="1" t="s">
        <v>45</v>
      </c>
      <c r="Y2161" s="1">
        <v>4.82133744E8</v>
      </c>
      <c r="AA2161" s="1" t="s">
        <v>46</v>
      </c>
      <c r="AB2161" s="1" t="s">
        <v>45</v>
      </c>
      <c r="AC2161" s="1">
        <v>4.82133744E8</v>
      </c>
      <c r="AF2161" s="1">
        <v>493565.0</v>
      </c>
      <c r="AG2161" s="2">
        <v>41940.0</v>
      </c>
      <c r="AH2161" s="1">
        <v>9100.0</v>
      </c>
      <c r="AI2161" s="1" t="s">
        <v>194</v>
      </c>
      <c r="AJ2161" s="1" t="s">
        <v>3893</v>
      </c>
      <c r="AK2161" s="1" t="s">
        <v>3000</v>
      </c>
      <c r="AL2161" s="1">
        <v>1.0</v>
      </c>
      <c r="AM2161" s="1">
        <v>2015.0</v>
      </c>
      <c r="AN2161" s="1">
        <v>2015.0</v>
      </c>
      <c r="AO2161" s="1" t="s">
        <v>1171</v>
      </c>
    </row>
    <row r="2162">
      <c r="A2162" s="5">
        <v>1.0</v>
      </c>
      <c r="B2162" s="1">
        <f t="shared" si="1"/>
        <v>2162</v>
      </c>
      <c r="C2162" s="1" t="s">
        <v>3413</v>
      </c>
      <c r="D2162" s="1" t="s">
        <v>3413</v>
      </c>
      <c r="E2162" s="1" t="s">
        <v>194</v>
      </c>
      <c r="G2162" s="1">
        <v>5.21188032E8</v>
      </c>
      <c r="H2162" s="2">
        <v>41984.0</v>
      </c>
      <c r="I2162" s="1" t="s">
        <v>1168</v>
      </c>
      <c r="K2162" s="1" t="s">
        <v>1168</v>
      </c>
      <c r="N2162" s="1" t="s">
        <v>194</v>
      </c>
      <c r="O2162" s="1">
        <v>9100.0</v>
      </c>
      <c r="P2162" s="1" t="s">
        <v>194</v>
      </c>
      <c r="Q2162" s="1" t="str">
        <f>IF(ISERROR(VLOOKUP(P2162,'unique fed agency names'!A:C,3,FALSE)),P2162,VLOOKUP(P2162,'unique fed agency names'!A:C,3,FALSE))
</f>
        <v>U.S. Department of Education (ED)</v>
      </c>
      <c r="R2162" s="1">
        <v>8.29503312E8</v>
      </c>
      <c r="S2162" s="1" t="s">
        <v>622</v>
      </c>
      <c r="T2162" s="1" t="str">
        <f>IF(ISERROR(VLOOKUP(S2162,'unique org names'!A:C,3,FALSE)),S2162,VLOOKUP(S2162,'unique org names'!A:C,3,FALSE))
</f>
        <v>GEORGE WASHINGTON CARVER ACADEMY</v>
      </c>
      <c r="U2162" s="1" t="s">
        <v>3894</v>
      </c>
      <c r="V2162" s="1" t="s">
        <v>623</v>
      </c>
      <c r="W2162" s="1" t="s">
        <v>44</v>
      </c>
      <c r="X2162" s="1" t="s">
        <v>45</v>
      </c>
      <c r="Y2162" s="1">
        <v>4.82035715E8</v>
      </c>
      <c r="AA2162" s="1" t="s">
        <v>603</v>
      </c>
      <c r="AB2162" s="1" t="s">
        <v>45</v>
      </c>
      <c r="AC2162" s="1">
        <v>4.82035715E8</v>
      </c>
      <c r="AD2162" s="1">
        <v>1.93311107E8</v>
      </c>
      <c r="AE2162" s="1" t="s">
        <v>3895</v>
      </c>
      <c r="AF2162" s="1">
        <v>784209.0</v>
      </c>
      <c r="AG2162" s="2">
        <v>41984.0</v>
      </c>
      <c r="AH2162" s="1">
        <v>9100.0</v>
      </c>
      <c r="AI2162" s="1" t="s">
        <v>194</v>
      </c>
      <c r="AJ2162" s="1" t="s">
        <v>3896</v>
      </c>
      <c r="AK2162" s="1" t="s">
        <v>1170</v>
      </c>
      <c r="AL2162" s="1">
        <v>1.0</v>
      </c>
      <c r="AM2162" s="1">
        <v>2015.0</v>
      </c>
      <c r="AN2162" s="1">
        <v>2015.0</v>
      </c>
      <c r="AO2162" s="1" t="s">
        <v>1171</v>
      </c>
    </row>
    <row r="2163">
      <c r="A2163" s="5">
        <v>1.0</v>
      </c>
      <c r="B2163" s="1">
        <f t="shared" si="1"/>
        <v>2163</v>
      </c>
      <c r="C2163" s="1" t="s">
        <v>3472</v>
      </c>
      <c r="D2163" s="1" t="s">
        <v>3472</v>
      </c>
      <c r="E2163" s="1" t="s">
        <v>194</v>
      </c>
      <c r="G2163" s="1">
        <v>8.9168336E7</v>
      </c>
      <c r="H2163" s="2">
        <v>41976.0</v>
      </c>
      <c r="I2163" s="1" t="s">
        <v>458</v>
      </c>
      <c r="K2163" s="1" t="s">
        <v>458</v>
      </c>
      <c r="N2163" s="1" t="s">
        <v>194</v>
      </c>
      <c r="O2163" s="1">
        <v>9100.0</v>
      </c>
      <c r="P2163" s="1" t="s">
        <v>194</v>
      </c>
      <c r="Q2163" s="1" t="str">
        <f>IF(ISERROR(VLOOKUP(P2163,'unique fed agency names'!A:C,3,FALSE)),P2163,VLOOKUP(P2163,'unique fed agency names'!A:C,3,FALSE))
</f>
        <v>U.S. Department of Education (ED)</v>
      </c>
      <c r="R2163" s="1">
        <v>8.30649195E8</v>
      </c>
      <c r="S2163" s="1" t="s">
        <v>545</v>
      </c>
      <c r="T2163" s="1" t="str">
        <f>IF(ISERROR(VLOOKUP(S2163,'unique org names'!A:C,3,FALSE)),S2163,VLOOKUP(S2163,'unique org names'!A:C,3,FALSE))
</f>
        <v>PLYMOUTH EDUCATIONAL CENTER CHARTER SCHOOL</v>
      </c>
      <c r="V2163" s="1" t="s">
        <v>547</v>
      </c>
      <c r="W2163" s="1" t="s">
        <v>44</v>
      </c>
      <c r="X2163" s="1" t="s">
        <v>45</v>
      </c>
      <c r="Y2163" s="1">
        <v>4.82071E8</v>
      </c>
      <c r="AA2163" s="1" t="s">
        <v>44</v>
      </c>
      <c r="AB2163" s="1" t="s">
        <v>45</v>
      </c>
      <c r="AC2163" s="1">
        <v>4.82071E8</v>
      </c>
      <c r="AD2163" s="1">
        <v>6.9825594E7</v>
      </c>
      <c r="AE2163" s="1" t="s">
        <v>3897</v>
      </c>
      <c r="AF2163" s="1">
        <v>58031.0</v>
      </c>
      <c r="AG2163" s="2">
        <v>41976.0</v>
      </c>
      <c r="AH2163" s="1">
        <v>9100.0</v>
      </c>
      <c r="AI2163" s="1" t="s">
        <v>194</v>
      </c>
      <c r="AJ2163" s="1" t="s">
        <v>3898</v>
      </c>
      <c r="AK2163" s="1" t="s">
        <v>463</v>
      </c>
      <c r="AL2163" s="1">
        <v>1.0</v>
      </c>
      <c r="AM2163" s="1">
        <v>2015.0</v>
      </c>
      <c r="AN2163" s="1">
        <v>2015.0</v>
      </c>
      <c r="AO2163" s="1" t="s">
        <v>277</v>
      </c>
    </row>
    <row r="2164">
      <c r="A2164" s="5">
        <v>1.0</v>
      </c>
      <c r="B2164" s="1">
        <f t="shared" si="1"/>
        <v>2164</v>
      </c>
      <c r="C2164" s="1" t="s">
        <v>3472</v>
      </c>
      <c r="D2164" s="1" t="s">
        <v>3472</v>
      </c>
      <c r="E2164" s="1" t="s">
        <v>194</v>
      </c>
      <c r="G2164" s="1">
        <v>8.9168336E7</v>
      </c>
      <c r="H2164" s="2">
        <v>41988.0</v>
      </c>
      <c r="I2164" s="1" t="s">
        <v>458</v>
      </c>
      <c r="K2164" s="1" t="s">
        <v>458</v>
      </c>
      <c r="N2164" s="1" t="s">
        <v>194</v>
      </c>
      <c r="O2164" s="1">
        <v>9100.0</v>
      </c>
      <c r="P2164" s="1" t="s">
        <v>194</v>
      </c>
      <c r="Q2164" s="1" t="str">
        <f>IF(ISERROR(VLOOKUP(P2164,'unique fed agency names'!A:C,3,FALSE)),P2164,VLOOKUP(P2164,'unique fed agency names'!A:C,3,FALSE))
</f>
        <v>U.S. Department of Education (ED)</v>
      </c>
      <c r="R2164" s="1">
        <v>8.76992343E8</v>
      </c>
      <c r="S2164" s="1" t="s">
        <v>550</v>
      </c>
      <c r="T2164" s="1" t="str">
        <f>IF(ISERROR(VLOOKUP(S2164,'unique org names'!A:C,3,FALSE)),S2164,VLOOKUP(S2164,'unique org names'!A:C,3,FALSE))
</f>
        <v>VOYAGEUR ACADEMY</v>
      </c>
      <c r="V2164" s="1" t="s">
        <v>551</v>
      </c>
      <c r="W2164" s="1" t="s">
        <v>44</v>
      </c>
      <c r="X2164" s="1" t="s">
        <v>45</v>
      </c>
      <c r="Y2164" s="1">
        <v>4.82102451E8</v>
      </c>
      <c r="AA2164" s="1" t="s">
        <v>44</v>
      </c>
      <c r="AB2164" s="1" t="s">
        <v>45</v>
      </c>
      <c r="AC2164" s="1">
        <v>4.82102451E8</v>
      </c>
      <c r="AF2164" s="1">
        <v>68596.0</v>
      </c>
      <c r="AG2164" s="2">
        <v>41988.0</v>
      </c>
      <c r="AH2164" s="1">
        <v>9100.0</v>
      </c>
      <c r="AI2164" s="1" t="s">
        <v>194</v>
      </c>
      <c r="AJ2164" s="1" t="s">
        <v>3899</v>
      </c>
      <c r="AK2164" s="1" t="s">
        <v>463</v>
      </c>
      <c r="AL2164" s="1">
        <v>1.0</v>
      </c>
      <c r="AM2164" s="1">
        <v>2015.0</v>
      </c>
      <c r="AN2164" s="1">
        <v>2015.0</v>
      </c>
      <c r="AO2164" s="1" t="s">
        <v>277</v>
      </c>
    </row>
    <row r="2165">
      <c r="A2165" s="5">
        <v>1.0</v>
      </c>
      <c r="B2165" s="1">
        <f t="shared" si="1"/>
        <v>2165</v>
      </c>
      <c r="C2165" s="1" t="s">
        <v>3472</v>
      </c>
      <c r="D2165" s="1" t="s">
        <v>3472</v>
      </c>
      <c r="E2165" s="1" t="s">
        <v>194</v>
      </c>
      <c r="G2165" s="1">
        <v>8.9168336E7</v>
      </c>
      <c r="H2165" s="2">
        <v>41968.0</v>
      </c>
      <c r="I2165" s="1" t="s">
        <v>458</v>
      </c>
      <c r="K2165" s="1" t="s">
        <v>458</v>
      </c>
      <c r="N2165" s="1" t="s">
        <v>194</v>
      </c>
      <c r="O2165" s="1">
        <v>9100.0</v>
      </c>
      <c r="P2165" s="1" t="s">
        <v>194</v>
      </c>
      <c r="Q2165" s="1" t="str">
        <f>IF(ISERROR(VLOOKUP(P2165,'unique fed agency names'!A:C,3,FALSE)),P2165,VLOOKUP(P2165,'unique fed agency names'!A:C,3,FALSE))
</f>
        <v>U.S. Department of Education (ED)</v>
      </c>
      <c r="R2165" s="1">
        <v>7.97531279E8</v>
      </c>
      <c r="S2165" s="1" t="s">
        <v>496</v>
      </c>
      <c r="T2165" s="1" t="str">
        <f>IF(ISERROR(VLOOKUP(S2165,'unique org names'!A:C,3,FALSE)),S2165,VLOOKUP(S2165,'unique org names'!A:C,3,FALSE))
</f>
        <v>BRIDGE ACADEMY</v>
      </c>
      <c r="V2165" s="1" t="s">
        <v>497</v>
      </c>
      <c r="W2165" s="1" t="s">
        <v>44</v>
      </c>
      <c r="X2165" s="1" t="s">
        <v>45</v>
      </c>
      <c r="Y2165" s="1">
        <v>4.82123323E8</v>
      </c>
      <c r="AA2165" s="1" t="s">
        <v>498</v>
      </c>
      <c r="AB2165" s="1" t="s">
        <v>45</v>
      </c>
      <c r="AC2165" s="1">
        <v>4.82123323E8</v>
      </c>
      <c r="AF2165" s="1">
        <v>69757.0</v>
      </c>
      <c r="AG2165" s="2">
        <v>41968.0</v>
      </c>
      <c r="AH2165" s="1">
        <v>9100.0</v>
      </c>
      <c r="AI2165" s="1" t="s">
        <v>194</v>
      </c>
      <c r="AJ2165" s="1" t="s">
        <v>3900</v>
      </c>
      <c r="AK2165" s="1" t="s">
        <v>463</v>
      </c>
      <c r="AL2165" s="1">
        <v>1.0</v>
      </c>
      <c r="AM2165" s="1">
        <v>2015.0</v>
      </c>
      <c r="AN2165" s="1">
        <v>2015.0</v>
      </c>
      <c r="AO2165" s="1" t="s">
        <v>277</v>
      </c>
    </row>
    <row r="2166">
      <c r="A2166" s="5">
        <v>1.0</v>
      </c>
      <c r="B2166" s="1">
        <f t="shared" si="1"/>
        <v>2166</v>
      </c>
      <c r="C2166" s="1" t="s">
        <v>3472</v>
      </c>
      <c r="D2166" s="1" t="s">
        <v>3472</v>
      </c>
      <c r="E2166" s="1" t="s">
        <v>194</v>
      </c>
      <c r="G2166" s="1">
        <v>8.9168336E7</v>
      </c>
      <c r="H2166" s="2">
        <v>41922.0</v>
      </c>
      <c r="I2166" s="1" t="s">
        <v>458</v>
      </c>
      <c r="K2166" s="1" t="s">
        <v>458</v>
      </c>
      <c r="N2166" s="1" t="s">
        <v>194</v>
      </c>
      <c r="O2166" s="1">
        <v>9100.0</v>
      </c>
      <c r="P2166" s="1" t="s">
        <v>194</v>
      </c>
      <c r="Q2166" s="1" t="str">
        <f>IF(ISERROR(VLOOKUP(P2166,'unique fed agency names'!A:C,3,FALSE)),P2166,VLOOKUP(P2166,'unique fed agency names'!A:C,3,FALSE))
</f>
        <v>U.S. Department of Education (ED)</v>
      </c>
      <c r="R2166" s="1">
        <v>8.30792151E8</v>
      </c>
      <c r="S2166" s="1" t="s">
        <v>594</v>
      </c>
      <c r="T2166" s="1" t="str">
        <f>IF(ISERROR(VLOOKUP(S2166,'unique org names'!A:C,3,FALSE)),S2166,VLOOKUP(S2166,'unique org names'!A:C,3,FALSE))
</f>
        <v>FLAGSHIP CHARTER ACADEMY</v>
      </c>
      <c r="U2166" s="1" t="s">
        <v>3901</v>
      </c>
      <c r="V2166" s="1" t="s">
        <v>596</v>
      </c>
      <c r="W2166" s="1" t="s">
        <v>44</v>
      </c>
      <c r="X2166" s="1" t="s">
        <v>45</v>
      </c>
      <c r="Y2166" s="1">
        <v>4.82382356E8</v>
      </c>
      <c r="AA2166" s="1" t="s">
        <v>44</v>
      </c>
      <c r="AB2166" s="1" t="s">
        <v>45</v>
      </c>
      <c r="AC2166" s="1">
        <v>4.82382356E8</v>
      </c>
      <c r="AD2166" s="1">
        <v>9.60742484E8</v>
      </c>
      <c r="AF2166" s="1">
        <v>41307.0</v>
      </c>
      <c r="AG2166" s="2">
        <v>41922.0</v>
      </c>
      <c r="AH2166" s="1">
        <v>9100.0</v>
      </c>
      <c r="AI2166" s="1" t="s">
        <v>194</v>
      </c>
      <c r="AJ2166" s="1" t="s">
        <v>3902</v>
      </c>
      <c r="AK2166" s="1" t="s">
        <v>463</v>
      </c>
      <c r="AL2166" s="1">
        <v>1.0</v>
      </c>
      <c r="AM2166" s="1">
        <v>2015.0</v>
      </c>
      <c r="AN2166" s="1">
        <v>2015.0</v>
      </c>
      <c r="AO2166" s="1" t="s">
        <v>277</v>
      </c>
    </row>
    <row r="2167">
      <c r="A2167" s="5">
        <v>1.0</v>
      </c>
      <c r="B2167" s="1">
        <f t="shared" si="1"/>
        <v>2167</v>
      </c>
      <c r="C2167" s="1" t="s">
        <v>3472</v>
      </c>
      <c r="D2167" s="1" t="s">
        <v>3472</v>
      </c>
      <c r="E2167" s="1" t="s">
        <v>194</v>
      </c>
      <c r="G2167" s="1">
        <v>8.9168336E7</v>
      </c>
      <c r="H2167" s="2">
        <v>41940.0</v>
      </c>
      <c r="I2167" s="1" t="s">
        <v>458</v>
      </c>
      <c r="K2167" s="1" t="s">
        <v>458</v>
      </c>
      <c r="N2167" s="1" t="s">
        <v>194</v>
      </c>
      <c r="O2167" s="1">
        <v>9100.0</v>
      </c>
      <c r="P2167" s="1" t="s">
        <v>194</v>
      </c>
      <c r="Q2167" s="1" t="str">
        <f>IF(ISERROR(VLOOKUP(P2167,'unique fed agency names'!A:C,3,FALSE)),P2167,VLOOKUP(P2167,'unique fed agency names'!A:C,3,FALSE))
</f>
        <v>U.S. Department of Education (ED)</v>
      </c>
      <c r="R2167" s="1">
        <v>1.47777952E8</v>
      </c>
      <c r="S2167" s="1" t="s">
        <v>459</v>
      </c>
      <c r="T2167" s="1" t="str">
        <f>IF(ISERROR(VLOOKUP(S2167,'unique org names'!A:C,3,FALSE)),S2167,VLOOKUP(S2167,'unique org names'!A:C,3,FALSE))
</f>
        <v>DETROIT PUBLIC SCHOOLS</v>
      </c>
      <c r="U2167" s="1" t="s">
        <v>626</v>
      </c>
      <c r="V2167" s="1" t="s">
        <v>627</v>
      </c>
      <c r="W2167" s="1" t="s">
        <v>44</v>
      </c>
      <c r="X2167" s="1" t="s">
        <v>45</v>
      </c>
      <c r="Y2167" s="1">
        <v>4.82072112E8</v>
      </c>
      <c r="AA2167" s="1" t="s">
        <v>44</v>
      </c>
      <c r="AB2167" s="1" t="s">
        <v>45</v>
      </c>
      <c r="AC2167" s="1">
        <v>4.82072112E8</v>
      </c>
      <c r="AD2167" s="1">
        <v>7.6340843E7</v>
      </c>
      <c r="AE2167" s="1" t="s">
        <v>461</v>
      </c>
      <c r="AF2167" s="1">
        <v>117309.0</v>
      </c>
      <c r="AG2167" s="2">
        <v>41940.0</v>
      </c>
      <c r="AH2167" s="1">
        <v>9100.0</v>
      </c>
      <c r="AI2167" s="1" t="s">
        <v>194</v>
      </c>
      <c r="AJ2167" s="1" t="s">
        <v>3903</v>
      </c>
      <c r="AK2167" s="1" t="s">
        <v>463</v>
      </c>
      <c r="AL2167" s="1">
        <v>1.0</v>
      </c>
      <c r="AM2167" s="1">
        <v>2015.0</v>
      </c>
      <c r="AN2167" s="1">
        <v>2015.0</v>
      </c>
      <c r="AO2167" s="1" t="s">
        <v>277</v>
      </c>
    </row>
    <row r="2168">
      <c r="A2168" s="5">
        <v>1.0</v>
      </c>
      <c r="B2168" s="1">
        <f t="shared" si="1"/>
        <v>2168</v>
      </c>
      <c r="C2168" s="1" t="s">
        <v>3472</v>
      </c>
      <c r="D2168" s="1" t="s">
        <v>3472</v>
      </c>
      <c r="E2168" s="1" t="s">
        <v>194</v>
      </c>
      <c r="G2168" s="1">
        <v>8.9168336E7</v>
      </c>
      <c r="H2168" s="2">
        <v>41925.0</v>
      </c>
      <c r="I2168" s="1" t="s">
        <v>458</v>
      </c>
      <c r="K2168" s="1" t="s">
        <v>458</v>
      </c>
      <c r="N2168" s="1" t="s">
        <v>194</v>
      </c>
      <c r="O2168" s="1">
        <v>9100.0</v>
      </c>
      <c r="P2168" s="1" t="s">
        <v>194</v>
      </c>
      <c r="Q2168" s="1" t="str">
        <f>IF(ISERROR(VLOOKUP(P2168,'unique fed agency names'!A:C,3,FALSE)),P2168,VLOOKUP(P2168,'unique fed agency names'!A:C,3,FALSE))
</f>
        <v>U.S. Department of Education (ED)</v>
      </c>
      <c r="R2168" s="1">
        <v>7.8465647E7</v>
      </c>
      <c r="S2168" s="1" t="s">
        <v>1176</v>
      </c>
      <c r="T2168" s="1" t="str">
        <f>IF(ISERROR(VLOOKUP(S2168,'unique org names'!A:C,3,FALSE)),S2168,VLOOKUP(S2168,'unique org names'!A:C,3,FALSE))
</f>
        <v>DETROIT INNOVATION ACADEMY</v>
      </c>
      <c r="U2168" s="1" t="s">
        <v>1692</v>
      </c>
      <c r="V2168" s="1" t="s">
        <v>1178</v>
      </c>
      <c r="W2168" s="1" t="s">
        <v>44</v>
      </c>
      <c r="X2168" s="1" t="s">
        <v>45</v>
      </c>
      <c r="Y2168" s="1">
        <v>4.82281142E8</v>
      </c>
      <c r="AA2168" s="1" t="s">
        <v>44</v>
      </c>
      <c r="AB2168" s="1" t="s">
        <v>45</v>
      </c>
      <c r="AC2168" s="1">
        <v>4.82281142E8</v>
      </c>
      <c r="AD2168" s="1">
        <v>2.1087911E7</v>
      </c>
      <c r="AE2168" s="1" t="s">
        <v>1693</v>
      </c>
      <c r="AF2168" s="1">
        <v>29075.0</v>
      </c>
      <c r="AG2168" s="2">
        <v>41925.0</v>
      </c>
      <c r="AH2168" s="1">
        <v>9100.0</v>
      </c>
      <c r="AI2168" s="1" t="s">
        <v>194</v>
      </c>
      <c r="AJ2168" s="1" t="s">
        <v>3904</v>
      </c>
      <c r="AK2168" s="1" t="s">
        <v>463</v>
      </c>
      <c r="AL2168" s="1">
        <v>1.0</v>
      </c>
      <c r="AM2168" s="1">
        <v>2015.0</v>
      </c>
      <c r="AN2168" s="1">
        <v>2015.0</v>
      </c>
      <c r="AO2168" s="1" t="s">
        <v>277</v>
      </c>
    </row>
    <row r="2169">
      <c r="A2169" s="5">
        <v>1.0</v>
      </c>
      <c r="B2169" s="1">
        <f t="shared" si="1"/>
        <v>2169</v>
      </c>
      <c r="C2169" s="1" t="s">
        <v>3472</v>
      </c>
      <c r="D2169" s="1" t="s">
        <v>3472</v>
      </c>
      <c r="E2169" s="1" t="s">
        <v>194</v>
      </c>
      <c r="G2169" s="1">
        <v>8.9168336E7</v>
      </c>
      <c r="H2169" s="2">
        <v>41878.0</v>
      </c>
      <c r="I2169" s="1" t="s">
        <v>458</v>
      </c>
      <c r="K2169" s="1" t="s">
        <v>458</v>
      </c>
      <c r="N2169" s="1" t="s">
        <v>194</v>
      </c>
      <c r="O2169" s="1">
        <v>9100.0</v>
      </c>
      <c r="P2169" s="1" t="s">
        <v>194</v>
      </c>
      <c r="Q2169" s="1" t="str">
        <f>IF(ISERROR(VLOOKUP(P2169,'unique fed agency names'!A:C,3,FALSE)),P2169,VLOOKUP(P2169,'unique fed agency names'!A:C,3,FALSE))
</f>
        <v>U.S. Department of Education (ED)</v>
      </c>
      <c r="R2169" s="1">
        <v>1.38064923E8</v>
      </c>
      <c r="S2169" s="1" t="s">
        <v>585</v>
      </c>
      <c r="T2169" s="1" t="str">
        <f>IF(ISERROR(VLOOKUP(S2169,'unique org names'!A:C,3,FALSE)),S2169,VLOOKUP(S2169,'unique org names'!A:C,3,FALSE))
</f>
        <v>DETROIT MERIT CHARTER ACADEMY</v>
      </c>
      <c r="U2169" s="1" t="s">
        <v>3454</v>
      </c>
      <c r="V2169" s="1" t="s">
        <v>586</v>
      </c>
      <c r="W2169" s="1" t="s">
        <v>44</v>
      </c>
      <c r="X2169" s="1" t="s">
        <v>45</v>
      </c>
      <c r="Y2169" s="1">
        <v>4.82152861E8</v>
      </c>
      <c r="AA2169" s="1" t="s">
        <v>44</v>
      </c>
      <c r="AB2169" s="1" t="s">
        <v>45</v>
      </c>
      <c r="AC2169" s="1">
        <v>4.82152861E8</v>
      </c>
      <c r="AD2169" s="1">
        <v>9.60742484E8</v>
      </c>
      <c r="AF2169" s="1">
        <v>25191.0</v>
      </c>
      <c r="AG2169" s="2">
        <v>41878.0</v>
      </c>
      <c r="AH2169" s="1">
        <v>9100.0</v>
      </c>
      <c r="AI2169" s="1" t="s">
        <v>194</v>
      </c>
      <c r="AJ2169" s="1" t="s">
        <v>3905</v>
      </c>
      <c r="AK2169" s="1" t="s">
        <v>463</v>
      </c>
      <c r="AL2169" s="1">
        <v>1.0</v>
      </c>
      <c r="AM2169" s="1">
        <v>2015.0</v>
      </c>
      <c r="AN2169" s="1">
        <v>2014.0</v>
      </c>
      <c r="AO2169" s="1" t="s">
        <v>277</v>
      </c>
    </row>
    <row r="2170">
      <c r="A2170" s="5">
        <v>1.0</v>
      </c>
      <c r="B2170" s="1">
        <f t="shared" si="1"/>
        <v>2170</v>
      </c>
      <c r="C2170" s="1" t="s">
        <v>3472</v>
      </c>
      <c r="D2170" s="1" t="s">
        <v>3472</v>
      </c>
      <c r="E2170" s="1" t="s">
        <v>194</v>
      </c>
      <c r="G2170" s="1">
        <v>8.9168336E7</v>
      </c>
      <c r="H2170" s="2">
        <v>41940.0</v>
      </c>
      <c r="I2170" s="1" t="s">
        <v>458</v>
      </c>
      <c r="K2170" s="1" t="s">
        <v>458</v>
      </c>
      <c r="N2170" s="1" t="s">
        <v>194</v>
      </c>
      <c r="O2170" s="1">
        <v>9100.0</v>
      </c>
      <c r="P2170" s="1" t="s">
        <v>194</v>
      </c>
      <c r="Q2170" s="1" t="str">
        <f>IF(ISERROR(VLOOKUP(P2170,'unique fed agency names'!A:C,3,FALSE)),P2170,VLOOKUP(P2170,'unique fed agency names'!A:C,3,FALSE))
</f>
        <v>U.S. Department of Education (ED)</v>
      </c>
      <c r="R2170" s="1">
        <v>7.8634042E7</v>
      </c>
      <c r="S2170" s="1" t="s">
        <v>2998</v>
      </c>
      <c r="T2170" s="1" t="str">
        <f>IF(ISERROR(VLOOKUP(S2170,'unique org names'!A:C,3,FALSE)),S2170,VLOOKUP(S2170,'unique org names'!A:C,3,FALSE))
</f>
        <v>Hamilton Academy</v>
      </c>
      <c r="V2170" s="1" t="s">
        <v>475</v>
      </c>
      <c r="W2170" s="1" t="s">
        <v>44</v>
      </c>
      <c r="X2170" s="1" t="s">
        <v>45</v>
      </c>
      <c r="Y2170" s="1">
        <v>4.82133744E8</v>
      </c>
      <c r="AA2170" s="1" t="s">
        <v>46</v>
      </c>
      <c r="AB2170" s="1" t="s">
        <v>45</v>
      </c>
      <c r="AC2170" s="1">
        <v>4.82133744E8</v>
      </c>
      <c r="AF2170" s="1">
        <v>117952.0</v>
      </c>
      <c r="AG2170" s="2">
        <v>41940.0</v>
      </c>
      <c r="AH2170" s="1">
        <v>9100.0</v>
      </c>
      <c r="AI2170" s="1" t="s">
        <v>194</v>
      </c>
      <c r="AJ2170" s="1" t="s">
        <v>3906</v>
      </c>
      <c r="AK2170" s="1" t="s">
        <v>463</v>
      </c>
      <c r="AL2170" s="1">
        <v>1.0</v>
      </c>
      <c r="AM2170" s="1">
        <v>2015.0</v>
      </c>
      <c r="AN2170" s="1">
        <v>2015.0</v>
      </c>
      <c r="AO2170" s="1" t="s">
        <v>277</v>
      </c>
    </row>
    <row r="2171">
      <c r="A2171" s="5">
        <v>1.0</v>
      </c>
      <c r="B2171" s="1">
        <f t="shared" si="1"/>
        <v>2171</v>
      </c>
      <c r="C2171" s="1" t="s">
        <v>3515</v>
      </c>
      <c r="D2171" s="1" t="s">
        <v>3515</v>
      </c>
      <c r="E2171" s="1" t="s">
        <v>645</v>
      </c>
      <c r="G2171" s="1">
        <v>4.64793056E8</v>
      </c>
      <c r="H2171" s="2">
        <v>41942.0</v>
      </c>
      <c r="I2171" s="1" t="s">
        <v>710</v>
      </c>
      <c r="K2171" s="1" t="s">
        <v>710</v>
      </c>
      <c r="N2171" s="1" t="s">
        <v>647</v>
      </c>
      <c r="O2171" s="1">
        <v>1200.0</v>
      </c>
      <c r="P2171" s="1" t="s">
        <v>647</v>
      </c>
      <c r="Q2171" s="1" t="str">
        <f>IF(ISERROR(VLOOKUP(P2171,'unique fed agency names'!A:C,3,FALSE)),P2171,VLOOKUP(P2171,'unique fed agency names'!A:C,3,FALSE))
</f>
        <v>U.S. Department of Agriculture (USDA)</v>
      </c>
      <c r="R2171" s="1">
        <v>9.6910162E8</v>
      </c>
      <c r="S2171" s="1" t="s">
        <v>579</v>
      </c>
      <c r="T2171" s="1" t="str">
        <f>IF(ISERROR(VLOOKUP(S2171,'unique org names'!A:C,3,FALSE)),S2171,VLOOKUP(S2171,'unique org names'!A:C,3,FALSE))
</f>
        <v>AMERICAN INTERNATIONAL ACADEMY, INC.</v>
      </c>
      <c r="V2171" s="1" t="s">
        <v>580</v>
      </c>
      <c r="W2171" s="1" t="s">
        <v>44</v>
      </c>
      <c r="X2171" s="1" t="s">
        <v>45</v>
      </c>
      <c r="Y2171" s="1">
        <v>4.82283905E8</v>
      </c>
      <c r="AA2171" s="1" t="s">
        <v>287</v>
      </c>
      <c r="AB2171" s="1" t="s">
        <v>45</v>
      </c>
      <c r="AC2171" s="1">
        <v>4.82283905E8</v>
      </c>
      <c r="AD2171" s="1">
        <v>1.00035047E8</v>
      </c>
      <c r="AE2171" s="1" t="s">
        <v>3907</v>
      </c>
      <c r="AF2171" s="1">
        <v>149793.8</v>
      </c>
      <c r="AG2171" s="2">
        <v>41942.0</v>
      </c>
      <c r="AH2171" s="1">
        <v>1200.0</v>
      </c>
      <c r="AI2171" s="1" t="s">
        <v>647</v>
      </c>
      <c r="AJ2171" s="1" t="s">
        <v>3908</v>
      </c>
      <c r="AK2171" s="1" t="s">
        <v>712</v>
      </c>
      <c r="AL2171" s="1">
        <v>1.0</v>
      </c>
      <c r="AM2171" s="1">
        <v>2015.0</v>
      </c>
      <c r="AN2171" s="1">
        <v>2015.0</v>
      </c>
      <c r="AO2171" s="1" t="s">
        <v>713</v>
      </c>
    </row>
    <row r="2172">
      <c r="A2172" s="5">
        <v>1.0</v>
      </c>
      <c r="B2172" s="1">
        <f t="shared" si="1"/>
        <v>2172</v>
      </c>
      <c r="C2172" s="1" t="s">
        <v>3515</v>
      </c>
      <c r="D2172" s="1" t="s">
        <v>3515</v>
      </c>
      <c r="E2172" s="1" t="s">
        <v>645</v>
      </c>
      <c r="G2172" s="1">
        <v>4.64793056E8</v>
      </c>
      <c r="H2172" s="2">
        <v>41963.0</v>
      </c>
      <c r="I2172" s="1" t="s">
        <v>710</v>
      </c>
      <c r="K2172" s="1" t="s">
        <v>710</v>
      </c>
      <c r="N2172" s="1" t="s">
        <v>647</v>
      </c>
      <c r="O2172" s="1">
        <v>1200.0</v>
      </c>
      <c r="P2172" s="1" t="s">
        <v>647</v>
      </c>
      <c r="Q2172" s="1" t="str">
        <f>IF(ISERROR(VLOOKUP(P2172,'unique fed agency names'!A:C,3,FALSE)),P2172,VLOOKUP(P2172,'unique fed agency names'!A:C,3,FALSE))
</f>
        <v>U.S. Department of Agriculture (USDA)</v>
      </c>
      <c r="R2172" s="1">
        <v>9.65349769E8</v>
      </c>
      <c r="S2172" s="1" t="s">
        <v>465</v>
      </c>
      <c r="T2172" s="1" t="str">
        <f>IF(ISERROR(VLOOKUP(S2172,'unique org names'!A:C,3,FALSE)),S2172,VLOOKUP(S2172,'unique org names'!A:C,3,FALSE))
</f>
        <v>Public School Academies of Detroit</v>
      </c>
      <c r="U2172" s="1" t="s">
        <v>466</v>
      </c>
      <c r="V2172" s="1" t="s">
        <v>467</v>
      </c>
      <c r="W2172" s="1" t="s">
        <v>44</v>
      </c>
      <c r="X2172" s="1" t="s">
        <v>45</v>
      </c>
      <c r="Y2172" s="1">
        <v>4.8202322E8</v>
      </c>
      <c r="AA2172" s="1" t="s">
        <v>44</v>
      </c>
      <c r="AB2172" s="1" t="s">
        <v>45</v>
      </c>
      <c r="AC2172" s="1">
        <v>4.8202322E8</v>
      </c>
      <c r="AD2172" s="1">
        <v>1.6338926E8</v>
      </c>
      <c r="AE2172" s="1" t="s">
        <v>465</v>
      </c>
      <c r="AF2172" s="1">
        <v>39685.31</v>
      </c>
      <c r="AG2172" s="2">
        <v>41963.0</v>
      </c>
      <c r="AH2172" s="1">
        <v>1200.0</v>
      </c>
      <c r="AI2172" s="1" t="s">
        <v>647</v>
      </c>
      <c r="AJ2172" s="1" t="s">
        <v>3909</v>
      </c>
      <c r="AK2172" s="1" t="s">
        <v>712</v>
      </c>
      <c r="AL2172" s="1">
        <v>1.0</v>
      </c>
      <c r="AM2172" s="1">
        <v>2015.0</v>
      </c>
      <c r="AN2172" s="1">
        <v>2015.0</v>
      </c>
      <c r="AO2172" s="1" t="s">
        <v>713</v>
      </c>
    </row>
    <row r="2173">
      <c r="A2173" s="5">
        <v>1.0</v>
      </c>
      <c r="B2173" s="1">
        <f t="shared" si="1"/>
        <v>2173</v>
      </c>
      <c r="C2173" s="1" t="s">
        <v>3515</v>
      </c>
      <c r="D2173" s="1" t="s">
        <v>3515</v>
      </c>
      <c r="E2173" s="1" t="s">
        <v>645</v>
      </c>
      <c r="G2173" s="1">
        <v>4.64793056E8</v>
      </c>
      <c r="H2173" s="2">
        <v>41921.0</v>
      </c>
      <c r="I2173" s="1" t="s">
        <v>710</v>
      </c>
      <c r="K2173" s="1" t="s">
        <v>710</v>
      </c>
      <c r="N2173" s="1" t="s">
        <v>647</v>
      </c>
      <c r="O2173" s="1">
        <v>1200.0</v>
      </c>
      <c r="P2173" s="1" t="s">
        <v>647</v>
      </c>
      <c r="Q2173" s="1" t="str">
        <f>IF(ISERROR(VLOOKUP(P2173,'unique fed agency names'!A:C,3,FALSE)),P2173,VLOOKUP(P2173,'unique fed agency names'!A:C,3,FALSE))
</f>
        <v>U.S. Department of Agriculture (USDA)</v>
      </c>
      <c r="R2173" s="1">
        <v>7.3948895E7</v>
      </c>
      <c r="S2173" s="1" t="s">
        <v>847</v>
      </c>
      <c r="T2173" s="1" t="str">
        <f>IF(ISERROR(VLOOKUP(S2173,'unique org names'!A:C,3,FALSE)),S2173,VLOOKUP(S2173,'unique org names'!A:C,3,FALSE))
</f>
        <v>Peter Rabbit Day Care Ctr Inc</v>
      </c>
      <c r="V2173" s="1" t="s">
        <v>848</v>
      </c>
      <c r="W2173" s="1" t="s">
        <v>44</v>
      </c>
      <c r="X2173" s="1" t="s">
        <v>45</v>
      </c>
      <c r="Y2173" s="1">
        <v>4.82242003E8</v>
      </c>
      <c r="AA2173" s="1" t="s">
        <v>903</v>
      </c>
      <c r="AB2173" s="1" t="s">
        <v>45</v>
      </c>
      <c r="AC2173" s="1">
        <v>4.8224E8</v>
      </c>
      <c r="AF2173" s="1">
        <v>33946.58</v>
      </c>
      <c r="AG2173" s="2">
        <v>41921.0</v>
      </c>
      <c r="AH2173" s="1">
        <v>1200.0</v>
      </c>
      <c r="AI2173" s="1" t="s">
        <v>647</v>
      </c>
      <c r="AJ2173" s="1" t="s">
        <v>3910</v>
      </c>
      <c r="AK2173" s="1" t="s">
        <v>712</v>
      </c>
      <c r="AL2173" s="1">
        <v>1.0</v>
      </c>
      <c r="AM2173" s="1">
        <v>2015.0</v>
      </c>
      <c r="AN2173" s="1">
        <v>2015.0</v>
      </c>
      <c r="AO2173" s="1" t="s">
        <v>713</v>
      </c>
    </row>
    <row r="2174">
      <c r="A2174" s="5">
        <v>1.0</v>
      </c>
      <c r="B2174" s="1">
        <f t="shared" si="1"/>
        <v>2174</v>
      </c>
      <c r="C2174" s="1" t="s">
        <v>3515</v>
      </c>
      <c r="D2174" s="1" t="s">
        <v>3515</v>
      </c>
      <c r="E2174" s="1" t="s">
        <v>645</v>
      </c>
      <c r="G2174" s="1">
        <v>4.64793056E8</v>
      </c>
      <c r="H2174" s="2">
        <v>41935.0</v>
      </c>
      <c r="I2174" s="1" t="s">
        <v>710</v>
      </c>
      <c r="K2174" s="1" t="s">
        <v>710</v>
      </c>
      <c r="N2174" s="1" t="s">
        <v>647</v>
      </c>
      <c r="O2174" s="1">
        <v>1200.0</v>
      </c>
      <c r="P2174" s="1" t="s">
        <v>647</v>
      </c>
      <c r="Q2174" s="1" t="str">
        <f>IF(ISERROR(VLOOKUP(P2174,'unique fed agency names'!A:C,3,FALSE)),P2174,VLOOKUP(P2174,'unique fed agency names'!A:C,3,FALSE))
</f>
        <v>U.S. Department of Agriculture (USDA)</v>
      </c>
      <c r="R2174" s="1">
        <v>9.48021373E8</v>
      </c>
      <c r="S2174" s="1" t="s">
        <v>501</v>
      </c>
      <c r="T2174" s="1" t="str">
        <f>IF(ISERROR(VLOOKUP(S2174,'unique org names'!A:C,3,FALSE)),S2174,VLOOKUP(S2174,'unique org names'!A:C,3,FALSE))
</f>
        <v>WOODWARD ACADEMY</v>
      </c>
      <c r="V2174" s="1" t="s">
        <v>502</v>
      </c>
      <c r="W2174" s="1" t="s">
        <v>44</v>
      </c>
      <c r="X2174" s="1" t="s">
        <v>45</v>
      </c>
      <c r="Y2174" s="1">
        <v>4.82072901E8</v>
      </c>
      <c r="AA2174" s="1" t="s">
        <v>44</v>
      </c>
      <c r="AB2174" s="1" t="s">
        <v>45</v>
      </c>
      <c r="AC2174" s="1">
        <v>4.82072901E8</v>
      </c>
      <c r="AD2174" s="1">
        <v>7496979.0</v>
      </c>
      <c r="AE2174" s="1" t="s">
        <v>488</v>
      </c>
      <c r="AF2174" s="1">
        <v>280252.36</v>
      </c>
      <c r="AG2174" s="2">
        <v>41935.0</v>
      </c>
      <c r="AH2174" s="1">
        <v>1200.0</v>
      </c>
      <c r="AI2174" s="1" t="s">
        <v>647</v>
      </c>
      <c r="AJ2174" s="1" t="s">
        <v>3911</v>
      </c>
      <c r="AK2174" s="1" t="s">
        <v>712</v>
      </c>
      <c r="AL2174" s="1">
        <v>1.0</v>
      </c>
      <c r="AM2174" s="1">
        <v>2015.0</v>
      </c>
      <c r="AN2174" s="1">
        <v>2015.0</v>
      </c>
      <c r="AO2174" s="1" t="s">
        <v>713</v>
      </c>
    </row>
    <row r="2175">
      <c r="A2175" s="5">
        <v>1.0</v>
      </c>
      <c r="B2175" s="1">
        <f t="shared" si="1"/>
        <v>2175</v>
      </c>
      <c r="C2175" s="1" t="s">
        <v>3515</v>
      </c>
      <c r="D2175" s="1" t="s">
        <v>3515</v>
      </c>
      <c r="E2175" s="1" t="s">
        <v>645</v>
      </c>
      <c r="G2175" s="1">
        <v>4.64793056E8</v>
      </c>
      <c r="H2175" s="2">
        <v>41914.0</v>
      </c>
      <c r="I2175" s="1" t="s">
        <v>710</v>
      </c>
      <c r="K2175" s="1" t="s">
        <v>710</v>
      </c>
      <c r="N2175" s="1" t="s">
        <v>647</v>
      </c>
      <c r="O2175" s="1">
        <v>1200.0</v>
      </c>
      <c r="P2175" s="1" t="s">
        <v>647</v>
      </c>
      <c r="Q2175" s="1" t="str">
        <f>IF(ISERROR(VLOOKUP(P2175,'unique fed agency names'!A:C,3,FALSE)),P2175,VLOOKUP(P2175,'unique fed agency names'!A:C,3,FALSE))
</f>
        <v>U.S. Department of Agriculture (USDA)</v>
      </c>
      <c r="R2175" s="1">
        <v>8.30649195E8</v>
      </c>
      <c r="S2175" s="1" t="s">
        <v>545</v>
      </c>
      <c r="T2175" s="1" t="str">
        <f>IF(ISERROR(VLOOKUP(S2175,'unique org names'!A:C,3,FALSE)),S2175,VLOOKUP(S2175,'unique org names'!A:C,3,FALSE))
</f>
        <v>PLYMOUTH EDUCATIONAL CENTER CHARTER SCHOOL</v>
      </c>
      <c r="V2175" s="1" t="s">
        <v>547</v>
      </c>
      <c r="W2175" s="1" t="s">
        <v>44</v>
      </c>
      <c r="X2175" s="1" t="s">
        <v>45</v>
      </c>
      <c r="Y2175" s="1">
        <v>4.82071E8</v>
      </c>
      <c r="AA2175" s="1" t="s">
        <v>44</v>
      </c>
      <c r="AB2175" s="1" t="s">
        <v>45</v>
      </c>
      <c r="AC2175" s="1">
        <v>4.82071E8</v>
      </c>
      <c r="AD2175" s="1">
        <v>5.1516482E7</v>
      </c>
      <c r="AF2175" s="1">
        <v>377931.47</v>
      </c>
      <c r="AG2175" s="2">
        <v>41914.0</v>
      </c>
      <c r="AH2175" s="1">
        <v>1200.0</v>
      </c>
      <c r="AI2175" s="1" t="s">
        <v>647</v>
      </c>
      <c r="AJ2175" s="1" t="s">
        <v>3912</v>
      </c>
      <c r="AK2175" s="1" t="s">
        <v>712</v>
      </c>
      <c r="AL2175" s="1">
        <v>1.0</v>
      </c>
      <c r="AM2175" s="1">
        <v>2015.0</v>
      </c>
      <c r="AN2175" s="1">
        <v>2015.0</v>
      </c>
      <c r="AO2175" s="1" t="s">
        <v>713</v>
      </c>
    </row>
    <row r="2176">
      <c r="A2176" s="5">
        <v>1.0</v>
      </c>
      <c r="B2176" s="1">
        <f t="shared" si="1"/>
        <v>2176</v>
      </c>
      <c r="C2176" s="1" t="s">
        <v>3515</v>
      </c>
      <c r="D2176" s="1" t="s">
        <v>3515</v>
      </c>
      <c r="E2176" s="1" t="s">
        <v>645</v>
      </c>
      <c r="G2176" s="1">
        <v>4.64793056E8</v>
      </c>
      <c r="H2176" s="2">
        <v>41928.0</v>
      </c>
      <c r="I2176" s="1" t="s">
        <v>710</v>
      </c>
      <c r="K2176" s="1" t="s">
        <v>710</v>
      </c>
      <c r="N2176" s="1" t="s">
        <v>647</v>
      </c>
      <c r="O2176" s="1">
        <v>1200.0</v>
      </c>
      <c r="P2176" s="1" t="s">
        <v>647</v>
      </c>
      <c r="Q2176" s="1" t="str">
        <f>IF(ISERROR(VLOOKUP(P2176,'unique fed agency names'!A:C,3,FALSE)),P2176,VLOOKUP(P2176,'unique fed agency names'!A:C,3,FALSE))
</f>
        <v>U.S. Department of Agriculture (USDA)</v>
      </c>
      <c r="R2176" s="1">
        <v>8.30792151E8</v>
      </c>
      <c r="S2176" s="1" t="s">
        <v>594</v>
      </c>
      <c r="T2176" s="1" t="str">
        <f>IF(ISERROR(VLOOKUP(S2176,'unique org names'!A:C,3,FALSE)),S2176,VLOOKUP(S2176,'unique org names'!A:C,3,FALSE))
</f>
        <v>FLAGSHIP CHARTER ACADEMY</v>
      </c>
      <c r="V2176" s="1" t="s">
        <v>596</v>
      </c>
      <c r="W2176" s="1" t="s">
        <v>44</v>
      </c>
      <c r="X2176" s="1" t="s">
        <v>45</v>
      </c>
      <c r="Y2176" s="1">
        <v>4.82382356E8</v>
      </c>
      <c r="AA2176" s="1" t="s">
        <v>44</v>
      </c>
      <c r="AB2176" s="1" t="s">
        <v>45</v>
      </c>
      <c r="AC2176" s="1">
        <v>4.82382356E8</v>
      </c>
      <c r="AD2176" s="1">
        <v>9.60742484E8</v>
      </c>
      <c r="AF2176" s="1">
        <v>274242.12</v>
      </c>
      <c r="AG2176" s="2">
        <v>41928.0</v>
      </c>
      <c r="AH2176" s="1">
        <v>1200.0</v>
      </c>
      <c r="AI2176" s="1" t="s">
        <v>647</v>
      </c>
      <c r="AJ2176" s="1" t="s">
        <v>3913</v>
      </c>
      <c r="AK2176" s="1" t="s">
        <v>712</v>
      </c>
      <c r="AL2176" s="1">
        <v>1.0</v>
      </c>
      <c r="AM2176" s="1">
        <v>2015.0</v>
      </c>
      <c r="AN2176" s="1">
        <v>2015.0</v>
      </c>
      <c r="AO2176" s="1" t="s">
        <v>713</v>
      </c>
    </row>
    <row r="2177">
      <c r="A2177" s="5">
        <v>1.0</v>
      </c>
      <c r="B2177" s="1">
        <f t="shared" si="1"/>
        <v>2177</v>
      </c>
      <c r="C2177" s="1" t="s">
        <v>3515</v>
      </c>
      <c r="D2177" s="1" t="s">
        <v>3515</v>
      </c>
      <c r="E2177" s="1" t="s">
        <v>645</v>
      </c>
      <c r="G2177" s="1">
        <v>4.64793056E8</v>
      </c>
      <c r="H2177" s="2">
        <v>41935.0</v>
      </c>
      <c r="I2177" s="1" t="s">
        <v>710</v>
      </c>
      <c r="K2177" s="1" t="s">
        <v>710</v>
      </c>
      <c r="N2177" s="1" t="s">
        <v>647</v>
      </c>
      <c r="O2177" s="1">
        <v>1200.0</v>
      </c>
      <c r="P2177" s="1" t="s">
        <v>647</v>
      </c>
      <c r="Q2177" s="1" t="str">
        <f>IF(ISERROR(VLOOKUP(P2177,'unique fed agency names'!A:C,3,FALSE)),P2177,VLOOKUP(P2177,'unique fed agency names'!A:C,3,FALSE))
</f>
        <v>U.S. Department of Agriculture (USDA)</v>
      </c>
      <c r="R2177" s="1">
        <v>8.29503312E8</v>
      </c>
      <c r="S2177" s="1" t="s">
        <v>622</v>
      </c>
      <c r="T2177" s="1" t="str">
        <f>IF(ISERROR(VLOOKUP(S2177,'unique org names'!A:C,3,FALSE)),S2177,VLOOKUP(S2177,'unique org names'!A:C,3,FALSE))
</f>
        <v>GEORGE WASHINGTON CARVER ACADEMY</v>
      </c>
      <c r="V2177" s="1" t="s">
        <v>623</v>
      </c>
      <c r="W2177" s="1" t="s">
        <v>44</v>
      </c>
      <c r="X2177" s="1" t="s">
        <v>45</v>
      </c>
      <c r="Y2177" s="1">
        <v>4.82035715E8</v>
      </c>
      <c r="AA2177" s="1" t="s">
        <v>603</v>
      </c>
      <c r="AB2177" s="1" t="s">
        <v>45</v>
      </c>
      <c r="AC2177" s="1">
        <v>4.82035715E8</v>
      </c>
      <c r="AD2177" s="1">
        <v>8.161259E7</v>
      </c>
      <c r="AE2177" s="1" t="s">
        <v>3914</v>
      </c>
      <c r="AF2177" s="1">
        <v>159784.42</v>
      </c>
      <c r="AG2177" s="2">
        <v>41935.0</v>
      </c>
      <c r="AH2177" s="1">
        <v>1200.0</v>
      </c>
      <c r="AI2177" s="1" t="s">
        <v>647</v>
      </c>
      <c r="AJ2177" s="1" t="s">
        <v>3915</v>
      </c>
      <c r="AK2177" s="1" t="s">
        <v>712</v>
      </c>
      <c r="AL2177" s="1">
        <v>1.0</v>
      </c>
      <c r="AM2177" s="1">
        <v>2015.0</v>
      </c>
      <c r="AN2177" s="1">
        <v>2015.0</v>
      </c>
      <c r="AO2177" s="1" t="s">
        <v>713</v>
      </c>
    </row>
    <row r="2178">
      <c r="A2178" s="5">
        <v>1.0</v>
      </c>
      <c r="B2178" s="1">
        <f t="shared" si="1"/>
        <v>2178</v>
      </c>
      <c r="C2178" s="1" t="s">
        <v>3515</v>
      </c>
      <c r="D2178" s="1" t="s">
        <v>3515</v>
      </c>
      <c r="E2178" s="1" t="s">
        <v>645</v>
      </c>
      <c r="G2178" s="1">
        <v>4.64793056E8</v>
      </c>
      <c r="H2178" s="2">
        <v>41949.0</v>
      </c>
      <c r="I2178" s="1" t="s">
        <v>710</v>
      </c>
      <c r="K2178" s="1" t="s">
        <v>710</v>
      </c>
      <c r="N2178" s="1" t="s">
        <v>647</v>
      </c>
      <c r="O2178" s="1">
        <v>1200.0</v>
      </c>
      <c r="P2178" s="1" t="s">
        <v>647</v>
      </c>
      <c r="Q2178" s="1" t="str">
        <f>IF(ISERROR(VLOOKUP(P2178,'unique fed agency names'!A:C,3,FALSE)),P2178,VLOOKUP(P2178,'unique fed agency names'!A:C,3,FALSE))
</f>
        <v>U.S. Department of Agriculture (USDA)</v>
      </c>
      <c r="R2178" s="1">
        <v>8.01337023E8</v>
      </c>
      <c r="S2178" s="1" t="s">
        <v>731</v>
      </c>
      <c r="T2178" s="1" t="str">
        <f>IF(ISERROR(VLOOKUP(S2178,'unique org names'!A:C,3,FALSE)),S2178,VLOOKUP(S2178,'unique org names'!A:C,3,FALSE))
</f>
        <v>Cornerstone Schools Association</v>
      </c>
      <c r="U2178" s="1" t="s">
        <v>732</v>
      </c>
      <c r="V2178" s="1" t="s">
        <v>733</v>
      </c>
      <c r="W2178" s="1" t="s">
        <v>44</v>
      </c>
      <c r="X2178" s="1" t="s">
        <v>45</v>
      </c>
      <c r="Y2178" s="1">
        <v>4.82342968E8</v>
      </c>
      <c r="AA2178" s="1" t="s">
        <v>44</v>
      </c>
      <c r="AB2178" s="1" t="s">
        <v>45</v>
      </c>
      <c r="AC2178" s="1">
        <v>4.82342968E8</v>
      </c>
      <c r="AD2178" s="1">
        <v>8.01337023E8</v>
      </c>
      <c r="AE2178" s="1" t="s">
        <v>731</v>
      </c>
      <c r="AF2178" s="1">
        <v>86854.36</v>
      </c>
      <c r="AG2178" s="2">
        <v>41949.0</v>
      </c>
      <c r="AH2178" s="1">
        <v>1200.0</v>
      </c>
      <c r="AI2178" s="1" t="s">
        <v>647</v>
      </c>
      <c r="AJ2178" s="1" t="s">
        <v>3916</v>
      </c>
      <c r="AK2178" s="1" t="s">
        <v>712</v>
      </c>
      <c r="AL2178" s="1">
        <v>1.0</v>
      </c>
      <c r="AM2178" s="1">
        <v>2015.0</v>
      </c>
      <c r="AN2178" s="1">
        <v>2015.0</v>
      </c>
      <c r="AO2178" s="1" t="s">
        <v>713</v>
      </c>
    </row>
    <row r="2179">
      <c r="A2179" s="5">
        <v>1.0</v>
      </c>
      <c r="B2179" s="1">
        <f t="shared" si="1"/>
        <v>2179</v>
      </c>
      <c r="C2179" s="1" t="s">
        <v>3515</v>
      </c>
      <c r="D2179" s="1" t="s">
        <v>3515</v>
      </c>
      <c r="E2179" s="1" t="s">
        <v>645</v>
      </c>
      <c r="G2179" s="1">
        <v>4.64793056E8</v>
      </c>
      <c r="H2179" s="2">
        <v>41956.0</v>
      </c>
      <c r="I2179" s="1" t="s">
        <v>710</v>
      </c>
      <c r="K2179" s="1" t="s">
        <v>710</v>
      </c>
      <c r="N2179" s="1" t="s">
        <v>647</v>
      </c>
      <c r="O2179" s="1">
        <v>1200.0</v>
      </c>
      <c r="P2179" s="1" t="s">
        <v>647</v>
      </c>
      <c r="Q2179" s="1" t="str">
        <f>IF(ISERROR(VLOOKUP(P2179,'unique fed agency names'!A:C,3,FALSE)),P2179,VLOOKUP(P2179,'unique fed agency names'!A:C,3,FALSE))
</f>
        <v>U.S. Department of Agriculture (USDA)</v>
      </c>
      <c r="R2179" s="1">
        <v>7.97531279E8</v>
      </c>
      <c r="S2179" s="1" t="s">
        <v>496</v>
      </c>
      <c r="T2179" s="1" t="str">
        <f>IF(ISERROR(VLOOKUP(S2179,'unique org names'!A:C,3,FALSE)),S2179,VLOOKUP(S2179,'unique org names'!A:C,3,FALSE))
</f>
        <v>BRIDGE ACADEMY</v>
      </c>
      <c r="V2179" s="1" t="s">
        <v>497</v>
      </c>
      <c r="W2179" s="1" t="s">
        <v>44</v>
      </c>
      <c r="X2179" s="1" t="s">
        <v>45</v>
      </c>
      <c r="Y2179" s="1">
        <v>4.82123323E8</v>
      </c>
      <c r="AA2179" s="1" t="s">
        <v>498</v>
      </c>
      <c r="AB2179" s="1" t="s">
        <v>45</v>
      </c>
      <c r="AC2179" s="1">
        <v>4.82123323E8</v>
      </c>
      <c r="AF2179" s="1">
        <v>340028.12</v>
      </c>
      <c r="AG2179" s="2">
        <v>41956.0</v>
      </c>
      <c r="AH2179" s="1">
        <v>1200.0</v>
      </c>
      <c r="AI2179" s="1" t="s">
        <v>647</v>
      </c>
      <c r="AJ2179" s="1" t="s">
        <v>3917</v>
      </c>
      <c r="AK2179" s="1" t="s">
        <v>712</v>
      </c>
      <c r="AL2179" s="1">
        <v>1.0</v>
      </c>
      <c r="AM2179" s="1">
        <v>2015.0</v>
      </c>
      <c r="AN2179" s="1">
        <v>2015.0</v>
      </c>
      <c r="AO2179" s="1" t="s">
        <v>713</v>
      </c>
    </row>
    <row r="2180">
      <c r="A2180" s="5">
        <v>1.0</v>
      </c>
      <c r="B2180" s="1">
        <f t="shared" si="1"/>
        <v>2180</v>
      </c>
      <c r="C2180" s="1" t="s">
        <v>3515</v>
      </c>
      <c r="D2180" s="1" t="s">
        <v>3515</v>
      </c>
      <c r="E2180" s="1" t="s">
        <v>645</v>
      </c>
      <c r="G2180" s="1">
        <v>4.64793056E8</v>
      </c>
      <c r="H2180" s="2">
        <v>41837.0</v>
      </c>
      <c r="I2180" s="1" t="s">
        <v>710</v>
      </c>
      <c r="K2180" s="1" t="s">
        <v>710</v>
      </c>
      <c r="N2180" s="1" t="s">
        <v>647</v>
      </c>
      <c r="O2180" s="1">
        <v>1200.0</v>
      </c>
      <c r="P2180" s="1" t="s">
        <v>647</v>
      </c>
      <c r="Q2180" s="1" t="str">
        <f>IF(ISERROR(VLOOKUP(P2180,'unique fed agency names'!A:C,3,FALSE)),P2180,VLOOKUP(P2180,'unique fed agency names'!A:C,3,FALSE))
</f>
        <v>U.S. Department of Agriculture (USDA)</v>
      </c>
      <c r="R2180" s="1">
        <v>7.94990296E8</v>
      </c>
      <c r="S2180" s="1" t="s">
        <v>601</v>
      </c>
      <c r="T2180" s="1" t="str">
        <f>IF(ISERROR(VLOOKUP(S2180,'unique org names'!A:C,3,FALSE)),S2180,VLOOKUP(S2180,'unique org names'!A:C,3,FALSE))
</f>
        <v>NORTHPOINTE ACADEMY</v>
      </c>
      <c r="V2180" s="1" t="s">
        <v>602</v>
      </c>
      <c r="W2180" s="1" t="s">
        <v>44</v>
      </c>
      <c r="X2180" s="1" t="s">
        <v>45</v>
      </c>
      <c r="Y2180" s="1">
        <v>4.82032827E8</v>
      </c>
      <c r="AA2180" s="1" t="s">
        <v>603</v>
      </c>
      <c r="AB2180" s="1" t="s">
        <v>45</v>
      </c>
      <c r="AC2180" s="1">
        <v>4.82032827E8</v>
      </c>
      <c r="AD2180" s="1">
        <v>7.8920287E7</v>
      </c>
      <c r="AE2180" s="1" t="s">
        <v>3918</v>
      </c>
      <c r="AF2180" s="1">
        <v>30287.6</v>
      </c>
      <c r="AG2180" s="2">
        <v>41837.0</v>
      </c>
      <c r="AH2180" s="1">
        <v>1200.0</v>
      </c>
      <c r="AI2180" s="1" t="s">
        <v>647</v>
      </c>
      <c r="AJ2180" s="1" t="s">
        <v>3919</v>
      </c>
      <c r="AK2180" s="1" t="s">
        <v>712</v>
      </c>
      <c r="AL2180" s="1">
        <v>1.0</v>
      </c>
      <c r="AM2180" s="1">
        <v>2015.0</v>
      </c>
      <c r="AN2180" s="1">
        <v>2014.0</v>
      </c>
      <c r="AO2180" s="1" t="s">
        <v>713</v>
      </c>
    </row>
    <row r="2181">
      <c r="A2181" s="5">
        <v>1.0</v>
      </c>
      <c r="B2181" s="1">
        <f t="shared" si="1"/>
        <v>2181</v>
      </c>
      <c r="C2181" s="1" t="s">
        <v>3515</v>
      </c>
      <c r="D2181" s="1" t="s">
        <v>3515</v>
      </c>
      <c r="E2181" s="1" t="s">
        <v>645</v>
      </c>
      <c r="G2181" s="1">
        <v>4.64793056E8</v>
      </c>
      <c r="H2181" s="2">
        <v>41942.0</v>
      </c>
      <c r="I2181" s="1" t="s">
        <v>710</v>
      </c>
      <c r="K2181" s="1" t="s">
        <v>710</v>
      </c>
      <c r="N2181" s="1" t="s">
        <v>647</v>
      </c>
      <c r="O2181" s="1">
        <v>1200.0</v>
      </c>
      <c r="P2181" s="1" t="s">
        <v>647</v>
      </c>
      <c r="Q2181" s="1" t="str">
        <f>IF(ISERROR(VLOOKUP(P2181,'unique fed agency names'!A:C,3,FALSE)),P2181,VLOOKUP(P2181,'unique fed agency names'!A:C,3,FALSE))
</f>
        <v>U.S. Department of Agriculture (USDA)</v>
      </c>
      <c r="R2181" s="1">
        <v>7.93697942E8</v>
      </c>
      <c r="S2181" s="1" t="s">
        <v>459</v>
      </c>
      <c r="T2181" s="1" t="str">
        <f>IF(ISERROR(VLOOKUP(S2181,'unique org names'!A:C,3,FALSE)),S2181,VLOOKUP(S2181,'unique org names'!A:C,3,FALSE))
</f>
        <v>DETROIT PUBLIC SCHOOLS</v>
      </c>
      <c r="V2181" s="1" t="s">
        <v>460</v>
      </c>
      <c r="W2181" s="1" t="s">
        <v>44</v>
      </c>
      <c r="X2181" s="1" t="s">
        <v>45</v>
      </c>
      <c r="Y2181" s="1">
        <v>4.82141601E8</v>
      </c>
      <c r="AA2181" s="1" t="s">
        <v>44</v>
      </c>
      <c r="AB2181" s="1" t="s">
        <v>45</v>
      </c>
      <c r="AC2181" s="1">
        <v>4.82141601E8</v>
      </c>
      <c r="AD2181" s="1">
        <v>7.6340843E7</v>
      </c>
      <c r="AE2181" s="1" t="s">
        <v>461</v>
      </c>
      <c r="AF2181" s="1">
        <v>76182.02</v>
      </c>
      <c r="AG2181" s="2">
        <v>41942.0</v>
      </c>
      <c r="AH2181" s="1">
        <v>1200.0</v>
      </c>
      <c r="AI2181" s="1" t="s">
        <v>647</v>
      </c>
      <c r="AJ2181" s="1" t="s">
        <v>3920</v>
      </c>
      <c r="AK2181" s="1" t="s">
        <v>712</v>
      </c>
      <c r="AL2181" s="1">
        <v>1.0</v>
      </c>
      <c r="AM2181" s="1">
        <v>2015.0</v>
      </c>
      <c r="AN2181" s="1">
        <v>2015.0</v>
      </c>
      <c r="AO2181" s="1" t="s">
        <v>713</v>
      </c>
    </row>
    <row r="2182">
      <c r="A2182" s="5">
        <v>1.0</v>
      </c>
      <c r="B2182" s="1">
        <f t="shared" si="1"/>
        <v>2182</v>
      </c>
      <c r="C2182" s="1" t="s">
        <v>3515</v>
      </c>
      <c r="D2182" s="1" t="s">
        <v>3515</v>
      </c>
      <c r="E2182" s="1" t="s">
        <v>645</v>
      </c>
      <c r="G2182" s="1">
        <v>4.64793056E8</v>
      </c>
      <c r="H2182" s="2">
        <v>41928.0</v>
      </c>
      <c r="I2182" s="1" t="s">
        <v>710</v>
      </c>
      <c r="K2182" s="1" t="s">
        <v>710</v>
      </c>
      <c r="N2182" s="1" t="s">
        <v>647</v>
      </c>
      <c r="O2182" s="1">
        <v>1200.0</v>
      </c>
      <c r="P2182" s="1" t="s">
        <v>647</v>
      </c>
      <c r="Q2182" s="1" t="str">
        <f>IF(ISERROR(VLOOKUP(P2182,'unique fed agency names'!A:C,3,FALSE)),P2182,VLOOKUP(P2182,'unique fed agency names'!A:C,3,FALSE))
</f>
        <v>U.S. Department of Agriculture (USDA)</v>
      </c>
      <c r="R2182" s="1">
        <v>7.93697355E8</v>
      </c>
      <c r="S2182" s="1" t="s">
        <v>691</v>
      </c>
      <c r="T2182" s="1" t="str">
        <f>IF(ISERROR(VLOOKUP(S2182,'unique org names'!A:C,3,FALSE)),S2182,VLOOKUP(S2182,'unique org names'!A:C,3,FALSE))
</f>
        <v>OAKLAND INTERNATIONAL ACADEMY</v>
      </c>
      <c r="U2182" s="1" t="s">
        <v>1194</v>
      </c>
      <c r="V2182" s="1" t="s">
        <v>692</v>
      </c>
      <c r="W2182" s="1" t="s">
        <v>44</v>
      </c>
      <c r="X2182" s="1" t="s">
        <v>45</v>
      </c>
      <c r="Y2182" s="1">
        <v>4.82111554E8</v>
      </c>
      <c r="AA2182" s="1" t="s">
        <v>44</v>
      </c>
      <c r="AB2182" s="1" t="s">
        <v>45</v>
      </c>
      <c r="AC2182" s="1">
        <v>4.82111552E8</v>
      </c>
      <c r="AD2182" s="1">
        <v>1.67532282E8</v>
      </c>
      <c r="AF2182" s="1">
        <v>161959.11</v>
      </c>
      <c r="AG2182" s="2">
        <v>41928.0</v>
      </c>
      <c r="AH2182" s="1">
        <v>1200.0</v>
      </c>
      <c r="AI2182" s="1" t="s">
        <v>647</v>
      </c>
      <c r="AJ2182" s="1" t="s">
        <v>3921</v>
      </c>
      <c r="AK2182" s="1" t="s">
        <v>712</v>
      </c>
      <c r="AL2182" s="1">
        <v>1.0</v>
      </c>
      <c r="AM2182" s="1">
        <v>2015.0</v>
      </c>
      <c r="AN2182" s="1">
        <v>2015.0</v>
      </c>
      <c r="AO2182" s="1" t="s">
        <v>713</v>
      </c>
    </row>
    <row r="2183">
      <c r="A2183" s="5">
        <v>1.0</v>
      </c>
      <c r="B2183" s="1">
        <f t="shared" si="1"/>
        <v>2183</v>
      </c>
      <c r="C2183" s="1" t="s">
        <v>3515</v>
      </c>
      <c r="D2183" s="1" t="s">
        <v>3515</v>
      </c>
      <c r="E2183" s="1" t="s">
        <v>645</v>
      </c>
      <c r="G2183" s="1">
        <v>4.64793056E8</v>
      </c>
      <c r="H2183" s="2">
        <v>41942.0</v>
      </c>
      <c r="I2183" s="1" t="s">
        <v>710</v>
      </c>
      <c r="K2183" s="1" t="s">
        <v>710</v>
      </c>
      <c r="N2183" s="1" t="s">
        <v>647</v>
      </c>
      <c r="O2183" s="1">
        <v>1200.0</v>
      </c>
      <c r="P2183" s="1" t="s">
        <v>647</v>
      </c>
      <c r="Q2183" s="1" t="str">
        <f>IF(ISERROR(VLOOKUP(P2183,'unique fed agency names'!A:C,3,FALSE)),P2183,VLOOKUP(P2183,'unique fed agency names'!A:C,3,FALSE))
</f>
        <v>U.S. Department of Agriculture (USDA)</v>
      </c>
      <c r="R2183" s="1">
        <v>1.98438892E8</v>
      </c>
      <c r="S2183" s="1" t="s">
        <v>505</v>
      </c>
      <c r="T2183" s="1" t="str">
        <f>IF(ISERROR(VLOOKUP(S2183,'unique org names'!A:C,3,FALSE)),S2183,VLOOKUP(S2183,'unique org names'!A:C,3,FALSE))
</f>
        <v>HANLEY INTERNATIONAL ACADEMY, INC</v>
      </c>
      <c r="V2183" s="1" t="s">
        <v>506</v>
      </c>
      <c r="W2183" s="1" t="s">
        <v>44</v>
      </c>
      <c r="X2183" s="1" t="s">
        <v>45</v>
      </c>
      <c r="Y2183" s="1">
        <v>4.82123572E8</v>
      </c>
      <c r="AA2183" s="1" t="s">
        <v>498</v>
      </c>
      <c r="AB2183" s="1" t="s">
        <v>45</v>
      </c>
      <c r="AC2183" s="1">
        <v>4.82123572E8</v>
      </c>
      <c r="AD2183" s="1">
        <v>1.98438892E8</v>
      </c>
      <c r="AE2183" s="1" t="s">
        <v>505</v>
      </c>
      <c r="AF2183" s="1">
        <v>286358.16</v>
      </c>
      <c r="AG2183" s="2">
        <v>41942.0</v>
      </c>
      <c r="AH2183" s="1">
        <v>1200.0</v>
      </c>
      <c r="AI2183" s="1" t="s">
        <v>647</v>
      </c>
      <c r="AJ2183" s="1" t="s">
        <v>3922</v>
      </c>
      <c r="AK2183" s="1" t="s">
        <v>712</v>
      </c>
      <c r="AL2183" s="1">
        <v>1.0</v>
      </c>
      <c r="AM2183" s="1">
        <v>2015.0</v>
      </c>
      <c r="AN2183" s="1">
        <v>2015.0</v>
      </c>
      <c r="AO2183" s="1" t="s">
        <v>713</v>
      </c>
    </row>
    <row r="2184">
      <c r="A2184" s="5">
        <v>1.0</v>
      </c>
      <c r="B2184" s="1">
        <f t="shared" si="1"/>
        <v>2184</v>
      </c>
      <c r="C2184" s="1" t="s">
        <v>3515</v>
      </c>
      <c r="D2184" s="1" t="s">
        <v>3515</v>
      </c>
      <c r="E2184" s="1" t="s">
        <v>645</v>
      </c>
      <c r="G2184" s="1">
        <v>4.64793056E8</v>
      </c>
      <c r="H2184" s="2">
        <v>41942.0</v>
      </c>
      <c r="I2184" s="1" t="s">
        <v>710</v>
      </c>
      <c r="K2184" s="1" t="s">
        <v>710</v>
      </c>
      <c r="N2184" s="1" t="s">
        <v>647</v>
      </c>
      <c r="O2184" s="1">
        <v>1200.0</v>
      </c>
      <c r="P2184" s="1" t="s">
        <v>647</v>
      </c>
      <c r="Q2184" s="1" t="str">
        <f>IF(ISERROR(VLOOKUP(P2184,'unique fed agency names'!A:C,3,FALSE)),P2184,VLOOKUP(P2184,'unique fed agency names'!A:C,3,FALSE))
</f>
        <v>U.S. Department of Agriculture (USDA)</v>
      </c>
      <c r="R2184" s="1">
        <v>1.98438892E8</v>
      </c>
      <c r="S2184" s="1" t="s">
        <v>505</v>
      </c>
      <c r="T2184" s="1" t="str">
        <f>IF(ISERROR(VLOOKUP(S2184,'unique org names'!A:C,3,FALSE)),S2184,VLOOKUP(S2184,'unique org names'!A:C,3,FALSE))
</f>
        <v>HANLEY INTERNATIONAL ACADEMY, INC</v>
      </c>
      <c r="V2184" s="1" t="s">
        <v>506</v>
      </c>
      <c r="W2184" s="1" t="s">
        <v>44</v>
      </c>
      <c r="X2184" s="1" t="s">
        <v>45</v>
      </c>
      <c r="Y2184" s="1">
        <v>4.82123572E8</v>
      </c>
      <c r="AA2184" s="1" t="s">
        <v>498</v>
      </c>
      <c r="AB2184" s="1" t="s">
        <v>45</v>
      </c>
      <c r="AC2184" s="1">
        <v>4.82123572E8</v>
      </c>
      <c r="AD2184" s="1">
        <v>1.98438892E8</v>
      </c>
      <c r="AE2184" s="1" t="s">
        <v>505</v>
      </c>
      <c r="AF2184" s="1">
        <v>156505.35</v>
      </c>
      <c r="AG2184" s="2">
        <v>41942.0</v>
      </c>
      <c r="AH2184" s="1">
        <v>1200.0</v>
      </c>
      <c r="AI2184" s="1" t="s">
        <v>647</v>
      </c>
      <c r="AJ2184" s="1" t="s">
        <v>3923</v>
      </c>
      <c r="AK2184" s="1" t="s">
        <v>712</v>
      </c>
      <c r="AL2184" s="1">
        <v>1.0</v>
      </c>
      <c r="AM2184" s="1">
        <v>2015.0</v>
      </c>
      <c r="AN2184" s="1">
        <v>2015.0</v>
      </c>
      <c r="AO2184" s="1" t="s">
        <v>713</v>
      </c>
    </row>
    <row r="2185">
      <c r="A2185" s="5">
        <v>1.0</v>
      </c>
      <c r="B2185" s="1">
        <f t="shared" si="1"/>
        <v>2185</v>
      </c>
      <c r="C2185" s="1" t="s">
        <v>3515</v>
      </c>
      <c r="D2185" s="1" t="s">
        <v>3515</v>
      </c>
      <c r="E2185" s="1" t="s">
        <v>645</v>
      </c>
      <c r="G2185" s="1">
        <v>4.64793056E8</v>
      </c>
      <c r="H2185" s="2">
        <v>41935.0</v>
      </c>
      <c r="I2185" s="1" t="s">
        <v>710</v>
      </c>
      <c r="K2185" s="1" t="s">
        <v>710</v>
      </c>
      <c r="N2185" s="1" t="s">
        <v>647</v>
      </c>
      <c r="O2185" s="1">
        <v>1200.0</v>
      </c>
      <c r="P2185" s="1" t="s">
        <v>647</v>
      </c>
      <c r="Q2185" s="1" t="str">
        <f>IF(ISERROR(VLOOKUP(P2185,'unique fed agency names'!A:C,3,FALSE)),P2185,VLOOKUP(P2185,'unique fed agency names'!A:C,3,FALSE))
</f>
        <v>U.S. Department of Agriculture (USDA)</v>
      </c>
      <c r="R2185" s="1">
        <v>1.01550176E8</v>
      </c>
      <c r="S2185" s="1" t="s">
        <v>719</v>
      </c>
      <c r="T2185" s="1" t="str">
        <f>IF(ISERROR(VLOOKUP(S2185,'unique org names'!A:C,3,FALSE)),S2185,VLOOKUP(S2185,'unique org names'!A:C,3,FALSE))
</f>
        <v>METROPOLITAN CHILDREN AND YOUTH INC UNITED CHILDREN AND FAMILY HEAD START</v>
      </c>
      <c r="V2185" s="1" t="s">
        <v>720</v>
      </c>
      <c r="W2185" s="1" t="s">
        <v>44</v>
      </c>
      <c r="X2185" s="1" t="s">
        <v>45</v>
      </c>
      <c r="Y2185" s="1">
        <v>4.82132731E8</v>
      </c>
      <c r="AA2185" s="1" t="s">
        <v>44</v>
      </c>
      <c r="AB2185" s="1" t="s">
        <v>45</v>
      </c>
      <c r="AC2185" s="1">
        <v>4.8213E8</v>
      </c>
      <c r="AD2185" s="1">
        <v>1.01550176E8</v>
      </c>
      <c r="AE2185" s="1" t="s">
        <v>719</v>
      </c>
      <c r="AF2185" s="1">
        <v>229398.51</v>
      </c>
      <c r="AG2185" s="2">
        <v>41935.0</v>
      </c>
      <c r="AH2185" s="1">
        <v>1200.0</v>
      </c>
      <c r="AI2185" s="1" t="s">
        <v>647</v>
      </c>
      <c r="AJ2185" s="1" t="s">
        <v>3924</v>
      </c>
      <c r="AK2185" s="1" t="s">
        <v>712</v>
      </c>
      <c r="AL2185" s="1">
        <v>1.0</v>
      </c>
      <c r="AM2185" s="1">
        <v>2015.0</v>
      </c>
      <c r="AN2185" s="1">
        <v>2015.0</v>
      </c>
      <c r="AO2185" s="1" t="s">
        <v>713</v>
      </c>
    </row>
    <row r="2186">
      <c r="A2186" s="5">
        <v>1.0</v>
      </c>
      <c r="B2186" s="1">
        <f t="shared" si="1"/>
        <v>2186</v>
      </c>
      <c r="C2186" s="1" t="s">
        <v>3515</v>
      </c>
      <c r="D2186" s="1" t="s">
        <v>3515</v>
      </c>
      <c r="E2186" s="1" t="s">
        <v>645</v>
      </c>
      <c r="G2186" s="1">
        <v>4.64793056E8</v>
      </c>
      <c r="H2186" s="2">
        <v>41928.0</v>
      </c>
      <c r="I2186" s="1" t="s">
        <v>710</v>
      </c>
      <c r="K2186" s="1" t="s">
        <v>710</v>
      </c>
      <c r="N2186" s="1" t="s">
        <v>647</v>
      </c>
      <c r="O2186" s="1">
        <v>1200.0</v>
      </c>
      <c r="P2186" s="1" t="s">
        <v>647</v>
      </c>
      <c r="Q2186" s="1" t="str">
        <f>IF(ISERROR(VLOOKUP(P2186,'unique fed agency names'!A:C,3,FALSE)),P2186,VLOOKUP(P2186,'unique fed agency names'!A:C,3,FALSE))
</f>
        <v>U.S. Department of Agriculture (USDA)</v>
      </c>
      <c r="R2186" s="1">
        <v>1.6389763E8</v>
      </c>
      <c r="S2186" s="1" t="s">
        <v>843</v>
      </c>
      <c r="T2186" s="1" t="str">
        <f>IF(ISERROR(VLOOKUP(S2186,'unique org names'!A:C,3,FALSE)),S2186,VLOOKUP(S2186,'unique org names'!A:C,3,FALSE))
</f>
        <v>RENAISSANCE HEAD START</v>
      </c>
      <c r="U2186" s="1" t="s">
        <v>844</v>
      </c>
      <c r="V2186" s="1" t="s">
        <v>845</v>
      </c>
      <c r="W2186" s="1" t="s">
        <v>44</v>
      </c>
      <c r="X2186" s="1" t="s">
        <v>45</v>
      </c>
      <c r="Y2186" s="1">
        <v>4.82383647E8</v>
      </c>
      <c r="AA2186" s="1" t="s">
        <v>46</v>
      </c>
      <c r="AB2186" s="1" t="s">
        <v>45</v>
      </c>
      <c r="AC2186" s="1">
        <v>4.82383647E8</v>
      </c>
      <c r="AD2186" s="1">
        <v>1.6389763E8</v>
      </c>
      <c r="AE2186" s="1" t="s">
        <v>843</v>
      </c>
      <c r="AF2186" s="1">
        <v>149179.81</v>
      </c>
      <c r="AG2186" s="2">
        <v>41928.0</v>
      </c>
      <c r="AH2186" s="1">
        <v>1200.0</v>
      </c>
      <c r="AI2186" s="1" t="s">
        <v>647</v>
      </c>
      <c r="AJ2186" s="1" t="s">
        <v>3925</v>
      </c>
      <c r="AK2186" s="1" t="s">
        <v>712</v>
      </c>
      <c r="AL2186" s="1">
        <v>1.0</v>
      </c>
      <c r="AM2186" s="1">
        <v>2015.0</v>
      </c>
      <c r="AN2186" s="1">
        <v>2015.0</v>
      </c>
      <c r="AO2186" s="1" t="s">
        <v>713</v>
      </c>
    </row>
    <row r="2187">
      <c r="A2187" s="5">
        <v>1.0</v>
      </c>
      <c r="B2187" s="1">
        <f t="shared" si="1"/>
        <v>2187</v>
      </c>
      <c r="C2187" s="1" t="s">
        <v>3515</v>
      </c>
      <c r="D2187" s="1" t="s">
        <v>3515</v>
      </c>
      <c r="E2187" s="1" t="s">
        <v>645</v>
      </c>
      <c r="G2187" s="1">
        <v>4.64793056E8</v>
      </c>
      <c r="H2187" s="2">
        <v>41928.0</v>
      </c>
      <c r="I2187" s="1" t="s">
        <v>710</v>
      </c>
      <c r="K2187" s="1" t="s">
        <v>710</v>
      </c>
      <c r="N2187" s="1" t="s">
        <v>647</v>
      </c>
      <c r="O2187" s="1">
        <v>1200.0</v>
      </c>
      <c r="P2187" s="1" t="s">
        <v>647</v>
      </c>
      <c r="Q2187" s="1" t="str">
        <f>IF(ISERROR(VLOOKUP(P2187,'unique fed agency names'!A:C,3,FALSE)),P2187,VLOOKUP(P2187,'unique fed agency names'!A:C,3,FALSE))
</f>
        <v>U.S. Department of Agriculture (USDA)</v>
      </c>
      <c r="R2187" s="1">
        <v>7.8634042E7</v>
      </c>
      <c r="S2187" s="1" t="s">
        <v>2998</v>
      </c>
      <c r="T2187" s="1" t="str">
        <f>IF(ISERROR(VLOOKUP(S2187,'unique org names'!A:C,3,FALSE)),S2187,VLOOKUP(S2187,'unique org names'!A:C,3,FALSE))
</f>
        <v>Hamilton Academy</v>
      </c>
      <c r="V2187" s="1" t="s">
        <v>475</v>
      </c>
      <c r="W2187" s="1" t="s">
        <v>44</v>
      </c>
      <c r="X2187" s="1" t="s">
        <v>45</v>
      </c>
      <c r="Y2187" s="1">
        <v>4.82133744E8</v>
      </c>
      <c r="AA2187" s="1" t="s">
        <v>46</v>
      </c>
      <c r="AB2187" s="1" t="s">
        <v>45</v>
      </c>
      <c r="AC2187" s="1">
        <v>4.8213E8</v>
      </c>
      <c r="AF2187" s="1">
        <v>132165.67</v>
      </c>
      <c r="AG2187" s="2">
        <v>41928.0</v>
      </c>
      <c r="AH2187" s="1">
        <v>1200.0</v>
      </c>
      <c r="AI2187" s="1" t="s">
        <v>647</v>
      </c>
      <c r="AJ2187" s="1" t="s">
        <v>3926</v>
      </c>
      <c r="AK2187" s="1" t="s">
        <v>712</v>
      </c>
      <c r="AL2187" s="1">
        <v>1.0</v>
      </c>
      <c r="AM2187" s="1">
        <v>2015.0</v>
      </c>
      <c r="AN2187" s="1">
        <v>2015.0</v>
      </c>
      <c r="AO2187" s="1" t="s">
        <v>713</v>
      </c>
    </row>
    <row r="2188">
      <c r="A2188" s="5">
        <v>1.0</v>
      </c>
      <c r="B2188" s="1">
        <f t="shared" si="1"/>
        <v>2188</v>
      </c>
      <c r="C2188" s="1" t="s">
        <v>3515</v>
      </c>
      <c r="D2188" s="1" t="s">
        <v>3515</v>
      </c>
      <c r="E2188" s="1" t="s">
        <v>645</v>
      </c>
      <c r="G2188" s="1">
        <v>4.64793056E8</v>
      </c>
      <c r="H2188" s="2">
        <v>41919.0</v>
      </c>
      <c r="I2188" s="1" t="s">
        <v>710</v>
      </c>
      <c r="K2188" s="1" t="s">
        <v>710</v>
      </c>
      <c r="N2188" s="1" t="s">
        <v>647</v>
      </c>
      <c r="O2188" s="1">
        <v>1200.0</v>
      </c>
      <c r="P2188" s="1" t="s">
        <v>647</v>
      </c>
      <c r="Q2188" s="1" t="str">
        <f>IF(ISERROR(VLOOKUP(P2188,'unique fed agency names'!A:C,3,FALSE)),P2188,VLOOKUP(P2188,'unique fed agency names'!A:C,3,FALSE))
</f>
        <v>U.S. Department of Agriculture (USDA)</v>
      </c>
      <c r="R2188" s="1">
        <v>8.0463354E7</v>
      </c>
      <c r="S2188" s="1" t="s">
        <v>518</v>
      </c>
      <c r="T2188" s="1" t="str">
        <f>IF(ISERROR(VLOOKUP(S2188,'unique org names'!A:C,3,FALSE)),S2188,VLOOKUP(S2188,'unique org names'!A:C,3,FALSE))
</f>
        <v>UNIVERSAL ACADEMY</v>
      </c>
      <c r="U2188" s="1" t="s">
        <v>3927</v>
      </c>
      <c r="V2188" s="1" t="s">
        <v>519</v>
      </c>
      <c r="W2188" s="1" t="s">
        <v>44</v>
      </c>
      <c r="X2188" s="1" t="s">
        <v>45</v>
      </c>
      <c r="Y2188" s="1">
        <v>4.82102105E8</v>
      </c>
      <c r="AA2188" s="1" t="s">
        <v>44</v>
      </c>
      <c r="AB2188" s="1" t="s">
        <v>45</v>
      </c>
      <c r="AC2188" s="1">
        <v>4.82102105E8</v>
      </c>
      <c r="AD2188" s="1">
        <v>8.0463354E7</v>
      </c>
      <c r="AE2188" s="1" t="s">
        <v>518</v>
      </c>
      <c r="AF2188" s="1">
        <v>226704.92</v>
      </c>
      <c r="AG2188" s="2">
        <v>41919.0</v>
      </c>
      <c r="AH2188" s="1">
        <v>1200.0</v>
      </c>
      <c r="AI2188" s="1" t="s">
        <v>647</v>
      </c>
      <c r="AJ2188" s="1" t="s">
        <v>3928</v>
      </c>
      <c r="AK2188" s="1" t="s">
        <v>712</v>
      </c>
      <c r="AL2188" s="1">
        <v>1.0</v>
      </c>
      <c r="AM2188" s="1">
        <v>2015.0</v>
      </c>
      <c r="AN2188" s="1">
        <v>2015.0</v>
      </c>
      <c r="AO2188" s="1" t="s">
        <v>713</v>
      </c>
    </row>
    <row r="2189">
      <c r="A2189" s="5">
        <v>1.0</v>
      </c>
      <c r="B2189" s="1">
        <f t="shared" si="1"/>
        <v>2189</v>
      </c>
      <c r="C2189" s="1" t="s">
        <v>3515</v>
      </c>
      <c r="D2189" s="1" t="s">
        <v>3515</v>
      </c>
      <c r="E2189" s="1" t="s">
        <v>645</v>
      </c>
      <c r="G2189" s="1">
        <v>4.64793056E8</v>
      </c>
      <c r="H2189" s="2">
        <v>41928.0</v>
      </c>
      <c r="I2189" s="1" t="s">
        <v>710</v>
      </c>
      <c r="K2189" s="1" t="s">
        <v>710</v>
      </c>
      <c r="N2189" s="1" t="s">
        <v>647</v>
      </c>
      <c r="O2189" s="1">
        <v>1200.0</v>
      </c>
      <c r="P2189" s="1" t="s">
        <v>647</v>
      </c>
      <c r="Q2189" s="1" t="str">
        <f>IF(ISERROR(VLOOKUP(P2189,'unique fed agency names'!A:C,3,FALSE)),P2189,VLOOKUP(P2189,'unique fed agency names'!A:C,3,FALSE))
</f>
        <v>U.S. Department of Agriculture (USDA)</v>
      </c>
      <c r="R2189" s="1">
        <v>7.8776131E7</v>
      </c>
      <c r="S2189" s="1" t="s">
        <v>3149</v>
      </c>
      <c r="T2189" s="1" t="str">
        <f>IF(ISERROR(VLOOKUP(S2189,'unique org names'!A:C,3,FALSE)),S2189,VLOOKUP(S2189,'unique org names'!A:C,3,FALSE))
</f>
        <v>Tott's Early Learning Center, LLC</v>
      </c>
      <c r="U2189" s="1" t="s">
        <v>1673</v>
      </c>
      <c r="V2189" s="1" t="s">
        <v>3150</v>
      </c>
      <c r="W2189" s="1" t="s">
        <v>44</v>
      </c>
      <c r="X2189" s="1" t="s">
        <v>45</v>
      </c>
      <c r="Y2189" s="1">
        <v>4.82281775E8</v>
      </c>
      <c r="AA2189" s="1" t="s">
        <v>44</v>
      </c>
      <c r="AB2189" s="1" t="s">
        <v>45</v>
      </c>
      <c r="AC2189" s="1">
        <v>4.82281775E8</v>
      </c>
      <c r="AD2189" s="1">
        <v>8.874258E7</v>
      </c>
      <c r="AE2189" s="1" t="s">
        <v>1674</v>
      </c>
      <c r="AF2189" s="1">
        <v>47343.7</v>
      </c>
      <c r="AG2189" s="2">
        <v>41928.0</v>
      </c>
      <c r="AH2189" s="1">
        <v>1200.0</v>
      </c>
      <c r="AI2189" s="1" t="s">
        <v>647</v>
      </c>
      <c r="AJ2189" s="1" t="s">
        <v>3929</v>
      </c>
      <c r="AK2189" s="1" t="s">
        <v>712</v>
      </c>
      <c r="AL2189" s="1">
        <v>1.0</v>
      </c>
      <c r="AM2189" s="1">
        <v>2015.0</v>
      </c>
      <c r="AN2189" s="1">
        <v>2015.0</v>
      </c>
      <c r="AO2189" s="1" t="s">
        <v>713</v>
      </c>
    </row>
    <row r="2190">
      <c r="A2190" s="5">
        <v>1.0</v>
      </c>
      <c r="B2190" s="1">
        <f t="shared" si="1"/>
        <v>2190</v>
      </c>
      <c r="C2190" s="1" t="s">
        <v>3515</v>
      </c>
      <c r="D2190" s="1" t="s">
        <v>3515</v>
      </c>
      <c r="E2190" s="1" t="s">
        <v>645</v>
      </c>
      <c r="G2190" s="1">
        <v>4.64793056E8</v>
      </c>
      <c r="H2190" s="2">
        <v>41921.0</v>
      </c>
      <c r="I2190" s="1" t="s">
        <v>710</v>
      </c>
      <c r="K2190" s="1" t="s">
        <v>710</v>
      </c>
      <c r="N2190" s="1" t="s">
        <v>647</v>
      </c>
      <c r="O2190" s="1">
        <v>1200.0</v>
      </c>
      <c r="P2190" s="1" t="s">
        <v>647</v>
      </c>
      <c r="Q2190" s="1" t="str">
        <f>IF(ISERROR(VLOOKUP(P2190,'unique fed agency names'!A:C,3,FALSE)),P2190,VLOOKUP(P2190,'unique fed agency names'!A:C,3,FALSE))
</f>
        <v>U.S. Department of Agriculture (USDA)</v>
      </c>
      <c r="R2190" s="1">
        <v>7.8515458E7</v>
      </c>
      <c r="S2190" s="1" t="s">
        <v>3248</v>
      </c>
      <c r="T2190" s="1" t="str">
        <f>IF(ISERROR(VLOOKUP(S2190,'unique org names'!A:C,3,FALSE)),S2190,VLOOKUP(S2190,'unique org names'!A:C,3,FALSE))
</f>
        <v>ANGEL FULLER</v>
      </c>
      <c r="U2190" s="1" t="s">
        <v>3249</v>
      </c>
      <c r="V2190" s="1" t="s">
        <v>3250</v>
      </c>
      <c r="W2190" s="1" t="s">
        <v>44</v>
      </c>
      <c r="X2190" s="1" t="s">
        <v>45</v>
      </c>
      <c r="Y2190" s="1">
        <v>4.82351933E8</v>
      </c>
      <c r="AA2190" s="1" t="s">
        <v>44</v>
      </c>
      <c r="AB2190" s="1" t="s">
        <v>45</v>
      </c>
      <c r="AC2190" s="1">
        <v>4.82351933E8</v>
      </c>
      <c r="AD2190" s="1">
        <v>9.67815499E8</v>
      </c>
      <c r="AE2190" s="1" t="s">
        <v>3743</v>
      </c>
      <c r="AF2190" s="1">
        <v>29829.73</v>
      </c>
      <c r="AG2190" s="2">
        <v>41921.0</v>
      </c>
      <c r="AH2190" s="1">
        <v>1200.0</v>
      </c>
      <c r="AI2190" s="1" t="s">
        <v>647</v>
      </c>
      <c r="AJ2190" s="1" t="s">
        <v>3930</v>
      </c>
      <c r="AK2190" s="1" t="s">
        <v>712</v>
      </c>
      <c r="AL2190" s="1">
        <v>1.0</v>
      </c>
      <c r="AM2190" s="1">
        <v>2015.0</v>
      </c>
      <c r="AN2190" s="1">
        <v>2015.0</v>
      </c>
      <c r="AO2190" s="1" t="s">
        <v>713</v>
      </c>
    </row>
    <row r="2191">
      <c r="A2191" s="5">
        <v>1.0</v>
      </c>
      <c r="B2191" s="1">
        <f t="shared" si="1"/>
        <v>2191</v>
      </c>
      <c r="C2191" s="1" t="s">
        <v>3515</v>
      </c>
      <c r="D2191" s="1" t="s">
        <v>3515</v>
      </c>
      <c r="E2191" s="1" t="s">
        <v>645</v>
      </c>
      <c r="G2191" s="1">
        <v>4.64793056E8</v>
      </c>
      <c r="H2191" s="2">
        <v>41977.0</v>
      </c>
      <c r="I2191" s="1" t="s">
        <v>710</v>
      </c>
      <c r="K2191" s="1" t="s">
        <v>710</v>
      </c>
      <c r="N2191" s="1" t="s">
        <v>647</v>
      </c>
      <c r="O2191" s="1">
        <v>1200.0</v>
      </c>
      <c r="P2191" s="1" t="s">
        <v>647</v>
      </c>
      <c r="Q2191" s="1" t="str">
        <f>IF(ISERROR(VLOOKUP(P2191,'unique fed agency names'!A:C,3,FALSE)),P2191,VLOOKUP(P2191,'unique fed agency names'!A:C,3,FALSE))
</f>
        <v>U.S. Department of Agriculture (USDA)</v>
      </c>
      <c r="R2191" s="1">
        <v>7.6340843E7</v>
      </c>
      <c r="S2191" s="1" t="s">
        <v>461</v>
      </c>
      <c r="T2191" s="1" t="str">
        <f>IF(ISERROR(VLOOKUP(S2191,'unique org names'!A:C,3,FALSE)),S2191,VLOOKUP(S2191,'unique org names'!A:C,3,FALSE))
</f>
        <v>BOARD OF EDUCATION OF THE CITY OF DETROIT</v>
      </c>
      <c r="U2191" s="1" t="s">
        <v>1191</v>
      </c>
      <c r="V2191" s="1" t="s">
        <v>1599</v>
      </c>
      <c r="W2191" s="1" t="s">
        <v>44</v>
      </c>
      <c r="X2191" s="1" t="s">
        <v>45</v>
      </c>
      <c r="Y2191" s="1">
        <v>4.8202301E8</v>
      </c>
      <c r="AA2191" s="1" t="s">
        <v>44</v>
      </c>
      <c r="AB2191" s="1" t="s">
        <v>45</v>
      </c>
      <c r="AC2191" s="1">
        <v>4.82023096E8</v>
      </c>
      <c r="AD2191" s="1">
        <v>7.6340843E7</v>
      </c>
      <c r="AE2191" s="1" t="s">
        <v>461</v>
      </c>
      <c r="AF2191" s="1">
        <v>2163995.76</v>
      </c>
      <c r="AG2191" s="2">
        <v>41977.0</v>
      </c>
      <c r="AH2191" s="1">
        <v>1200.0</v>
      </c>
      <c r="AI2191" s="1" t="s">
        <v>647</v>
      </c>
      <c r="AJ2191" s="1" t="s">
        <v>3931</v>
      </c>
      <c r="AK2191" s="1" t="s">
        <v>712</v>
      </c>
      <c r="AL2191" s="1">
        <v>1.0</v>
      </c>
      <c r="AM2191" s="1">
        <v>2015.0</v>
      </c>
      <c r="AN2191" s="1">
        <v>2015.0</v>
      </c>
      <c r="AO2191" s="1" t="s">
        <v>713</v>
      </c>
    </row>
    <row r="2192">
      <c r="A2192" s="5">
        <v>1.0</v>
      </c>
      <c r="B2192" s="1">
        <f t="shared" si="1"/>
        <v>2192</v>
      </c>
      <c r="C2192" s="1" t="s">
        <v>3515</v>
      </c>
      <c r="D2192" s="1" t="s">
        <v>3515</v>
      </c>
      <c r="E2192" s="1" t="s">
        <v>645</v>
      </c>
      <c r="G2192" s="1">
        <v>4.64793056E8</v>
      </c>
      <c r="H2192" s="2">
        <v>41921.0</v>
      </c>
      <c r="I2192" s="1" t="s">
        <v>710</v>
      </c>
      <c r="K2192" s="1" t="s">
        <v>710</v>
      </c>
      <c r="N2192" s="1" t="s">
        <v>647</v>
      </c>
      <c r="O2192" s="1">
        <v>1200.0</v>
      </c>
      <c r="P2192" s="1" t="s">
        <v>647</v>
      </c>
      <c r="Q2192" s="1" t="str">
        <f>IF(ISERROR(VLOOKUP(P2192,'unique fed agency names'!A:C,3,FALSE)),P2192,VLOOKUP(P2192,'unique fed agency names'!A:C,3,FALSE))
</f>
        <v>U.S. Department of Agriculture (USDA)</v>
      </c>
      <c r="R2192" s="1">
        <v>5.3529803E7</v>
      </c>
      <c r="S2192" s="1" t="s">
        <v>950</v>
      </c>
      <c r="T2192" s="1" t="str">
        <f>IF(ISERROR(VLOOKUP(S2192,'unique org names'!A:C,3,FALSE)),S2192,VLOOKUP(S2192,'unique org names'!A:C,3,FALSE))
</f>
        <v>The Academy Of Beanie Care</v>
      </c>
      <c r="V2192" s="1" t="s">
        <v>951</v>
      </c>
      <c r="W2192" s="1" t="s">
        <v>44</v>
      </c>
      <c r="X2192" s="1" t="s">
        <v>45</v>
      </c>
      <c r="Y2192" s="1">
        <v>4.82241518E8</v>
      </c>
      <c r="AA2192" s="1" t="s">
        <v>46</v>
      </c>
      <c r="AB2192" s="1" t="s">
        <v>45</v>
      </c>
      <c r="AC2192" s="1">
        <v>4.8224E8</v>
      </c>
      <c r="AF2192" s="1">
        <v>45088.6</v>
      </c>
      <c r="AG2192" s="2">
        <v>41921.0</v>
      </c>
      <c r="AH2192" s="1">
        <v>1200.0</v>
      </c>
      <c r="AI2192" s="1" t="s">
        <v>647</v>
      </c>
      <c r="AJ2192" s="1" t="s">
        <v>3932</v>
      </c>
      <c r="AK2192" s="1" t="s">
        <v>712</v>
      </c>
      <c r="AL2192" s="1">
        <v>1.0</v>
      </c>
      <c r="AM2192" s="1">
        <v>2015.0</v>
      </c>
      <c r="AN2192" s="1">
        <v>2015.0</v>
      </c>
      <c r="AO2192" s="1" t="s">
        <v>713</v>
      </c>
    </row>
    <row r="2193">
      <c r="A2193" s="5">
        <v>1.0</v>
      </c>
      <c r="B2193" s="1">
        <f t="shared" si="1"/>
        <v>2193</v>
      </c>
      <c r="C2193" s="1" t="s">
        <v>3515</v>
      </c>
      <c r="D2193" s="1" t="s">
        <v>3515</v>
      </c>
      <c r="E2193" s="1" t="s">
        <v>645</v>
      </c>
      <c r="G2193" s="1">
        <v>4.64793056E8</v>
      </c>
      <c r="H2193" s="2">
        <v>41919.0</v>
      </c>
      <c r="I2193" s="1" t="s">
        <v>710</v>
      </c>
      <c r="K2193" s="1" t="s">
        <v>710</v>
      </c>
      <c r="N2193" s="1" t="s">
        <v>647</v>
      </c>
      <c r="O2193" s="1">
        <v>1200.0</v>
      </c>
      <c r="P2193" s="1" t="s">
        <v>647</v>
      </c>
      <c r="Q2193" s="1" t="str">
        <f>IF(ISERROR(VLOOKUP(P2193,'unique fed agency names'!A:C,3,FALSE)),P2193,VLOOKUP(P2193,'unique fed agency names'!A:C,3,FALSE))
</f>
        <v>U.S. Department of Agriculture (USDA)</v>
      </c>
      <c r="R2193" s="1">
        <v>7.3832607E7</v>
      </c>
      <c r="S2193" s="1" t="s">
        <v>482</v>
      </c>
      <c r="T2193" s="1" t="str">
        <f>IF(ISERROR(VLOOKUP(S2193,'unique org names'!A:C,3,FALSE)),S2193,VLOOKUP(S2193,'unique org names'!A:C,3,FALSE))
</f>
        <v>DETROIT ACADEMY OF ARTS AND SCIENCES</v>
      </c>
      <c r="V2193" s="1" t="s">
        <v>483</v>
      </c>
      <c r="W2193" s="1" t="s">
        <v>44</v>
      </c>
      <c r="X2193" s="1" t="s">
        <v>45</v>
      </c>
      <c r="Y2193" s="1">
        <v>4.82074288E8</v>
      </c>
      <c r="AA2193" s="1" t="s">
        <v>44</v>
      </c>
      <c r="AB2193" s="1" t="s">
        <v>45</v>
      </c>
      <c r="AC2193" s="1">
        <v>4.82074288E8</v>
      </c>
      <c r="AD2193" s="1">
        <v>1.84200426E8</v>
      </c>
      <c r="AF2193" s="1">
        <v>233276.44</v>
      </c>
      <c r="AG2193" s="2">
        <v>41919.0</v>
      </c>
      <c r="AH2193" s="1">
        <v>1200.0</v>
      </c>
      <c r="AI2193" s="1" t="s">
        <v>647</v>
      </c>
      <c r="AJ2193" s="1" t="s">
        <v>3933</v>
      </c>
      <c r="AK2193" s="1" t="s">
        <v>712</v>
      </c>
      <c r="AL2193" s="1">
        <v>1.0</v>
      </c>
      <c r="AM2193" s="1">
        <v>2015.0</v>
      </c>
      <c r="AN2193" s="1">
        <v>2015.0</v>
      </c>
      <c r="AO2193" s="1" t="s">
        <v>713</v>
      </c>
    </row>
    <row r="2194">
      <c r="A2194" s="5">
        <v>1.0</v>
      </c>
      <c r="B2194" s="1">
        <f t="shared" si="1"/>
        <v>2194</v>
      </c>
      <c r="C2194" s="1" t="s">
        <v>3515</v>
      </c>
      <c r="D2194" s="1" t="s">
        <v>3515</v>
      </c>
      <c r="E2194" s="1" t="s">
        <v>645</v>
      </c>
      <c r="G2194" s="1">
        <v>4.64793056E8</v>
      </c>
      <c r="H2194" s="2">
        <v>41928.0</v>
      </c>
      <c r="I2194" s="1" t="s">
        <v>710</v>
      </c>
      <c r="K2194" s="1" t="s">
        <v>710</v>
      </c>
      <c r="N2194" s="1" t="s">
        <v>647</v>
      </c>
      <c r="O2194" s="1">
        <v>1200.0</v>
      </c>
      <c r="P2194" s="1" t="s">
        <v>647</v>
      </c>
      <c r="Q2194" s="1" t="str">
        <f>IF(ISERROR(VLOOKUP(P2194,'unique fed agency names'!A:C,3,FALSE)),P2194,VLOOKUP(P2194,'unique fed agency names'!A:C,3,FALSE))
</f>
        <v>U.S. Department of Agriculture (USDA)</v>
      </c>
      <c r="R2194" s="1">
        <v>6.6707493E7</v>
      </c>
      <c r="S2194" s="1" t="s">
        <v>541</v>
      </c>
      <c r="T2194" s="1" t="str">
        <f>IF(ISERROR(VLOOKUP(S2194,'unique org names'!A:C,3,FALSE)),S2194,VLOOKUP(S2194,'unique org names'!A:C,3,FALSE))
</f>
        <v>HOPE OF DETROIT ACADEMY</v>
      </c>
      <c r="U2194" s="1" t="s">
        <v>3092</v>
      </c>
      <c r="V2194" s="1" t="s">
        <v>542</v>
      </c>
      <c r="W2194" s="1" t="s">
        <v>44</v>
      </c>
      <c r="X2194" s="1" t="s">
        <v>45</v>
      </c>
      <c r="Y2194" s="1">
        <v>4.8210252E8</v>
      </c>
      <c r="AA2194" s="1" t="s">
        <v>44</v>
      </c>
      <c r="AB2194" s="1" t="s">
        <v>45</v>
      </c>
      <c r="AC2194" s="1">
        <v>4.8210252E8</v>
      </c>
      <c r="AD2194" s="1">
        <v>8.4297738E7</v>
      </c>
      <c r="AE2194" s="1" t="s">
        <v>3091</v>
      </c>
      <c r="AF2194" s="1">
        <v>217291.17</v>
      </c>
      <c r="AG2194" s="2">
        <v>41928.0</v>
      </c>
      <c r="AH2194" s="1">
        <v>1200.0</v>
      </c>
      <c r="AI2194" s="1" t="s">
        <v>647</v>
      </c>
      <c r="AJ2194" s="1" t="s">
        <v>3934</v>
      </c>
      <c r="AK2194" s="1" t="s">
        <v>712</v>
      </c>
      <c r="AL2194" s="1">
        <v>1.0</v>
      </c>
      <c r="AM2194" s="1">
        <v>2015.0</v>
      </c>
      <c r="AN2194" s="1">
        <v>2015.0</v>
      </c>
      <c r="AO2194" s="1" t="s">
        <v>713</v>
      </c>
    </row>
    <row r="2195">
      <c r="A2195" s="5">
        <v>1.0</v>
      </c>
      <c r="B2195" s="1">
        <f t="shared" si="1"/>
        <v>2195</v>
      </c>
      <c r="C2195" s="1" t="s">
        <v>3515</v>
      </c>
      <c r="D2195" s="1" t="s">
        <v>3515</v>
      </c>
      <c r="E2195" s="1" t="s">
        <v>645</v>
      </c>
      <c r="G2195" s="1">
        <v>4.64793056E8</v>
      </c>
      <c r="H2195" s="2">
        <v>41928.0</v>
      </c>
      <c r="I2195" s="1" t="s">
        <v>710</v>
      </c>
      <c r="K2195" s="1" t="s">
        <v>710</v>
      </c>
      <c r="N2195" s="1" t="s">
        <v>647</v>
      </c>
      <c r="O2195" s="1">
        <v>1200.0</v>
      </c>
      <c r="P2195" s="1" t="s">
        <v>647</v>
      </c>
      <c r="Q2195" s="1" t="str">
        <f>IF(ISERROR(VLOOKUP(P2195,'unique fed agency names'!A:C,3,FALSE)),P2195,VLOOKUP(P2195,'unique fed agency names'!A:C,3,FALSE))
</f>
        <v>U.S. Department of Agriculture (USDA)</v>
      </c>
      <c r="R2195" s="1">
        <v>5.5374645E7</v>
      </c>
      <c r="S2195" s="1" t="s">
        <v>3062</v>
      </c>
      <c r="T2195" s="1" t="str">
        <f>IF(ISERROR(VLOOKUP(S2195,'unique org names'!A:C,3,FALSE)),S2195,VLOOKUP(S2195,'unique org names'!A:C,3,FALSE))
</f>
        <v>Mind N Motion</v>
      </c>
      <c r="V2195" s="1" t="s">
        <v>3063</v>
      </c>
      <c r="W2195" s="1" t="s">
        <v>44</v>
      </c>
      <c r="X2195" s="1" t="s">
        <v>45</v>
      </c>
      <c r="Y2195" s="1">
        <v>4.8234393E8</v>
      </c>
      <c r="AA2195" s="1" t="s">
        <v>44</v>
      </c>
      <c r="AB2195" s="1" t="s">
        <v>45</v>
      </c>
      <c r="AC2195" s="1">
        <v>4.8234393E8</v>
      </c>
      <c r="AD2195" s="1">
        <v>7.2582877E7</v>
      </c>
      <c r="AE2195" s="1" t="s">
        <v>3770</v>
      </c>
      <c r="AF2195" s="1">
        <v>28068.81</v>
      </c>
      <c r="AG2195" s="2">
        <v>41928.0</v>
      </c>
      <c r="AH2195" s="1">
        <v>1200.0</v>
      </c>
      <c r="AI2195" s="1" t="s">
        <v>647</v>
      </c>
      <c r="AJ2195" s="1" t="s">
        <v>3935</v>
      </c>
      <c r="AK2195" s="1" t="s">
        <v>712</v>
      </c>
      <c r="AL2195" s="1">
        <v>1.0</v>
      </c>
      <c r="AM2195" s="1">
        <v>2015.0</v>
      </c>
      <c r="AN2195" s="1">
        <v>2015.0</v>
      </c>
      <c r="AO2195" s="1" t="s">
        <v>713</v>
      </c>
    </row>
    <row r="2196">
      <c r="A2196" s="5">
        <v>1.0</v>
      </c>
      <c r="B2196" s="1">
        <f t="shared" si="1"/>
        <v>2196</v>
      </c>
      <c r="C2196" s="1" t="s">
        <v>3515</v>
      </c>
      <c r="D2196" s="1" t="s">
        <v>3515</v>
      </c>
      <c r="E2196" s="1" t="s">
        <v>645</v>
      </c>
      <c r="G2196" s="1">
        <v>4.64793056E8</v>
      </c>
      <c r="H2196" s="2">
        <v>41928.0</v>
      </c>
      <c r="I2196" s="1" t="s">
        <v>710</v>
      </c>
      <c r="K2196" s="1" t="s">
        <v>710</v>
      </c>
      <c r="N2196" s="1" t="s">
        <v>647</v>
      </c>
      <c r="O2196" s="1">
        <v>1200.0</v>
      </c>
      <c r="P2196" s="1" t="s">
        <v>647</v>
      </c>
      <c r="Q2196" s="1" t="str">
        <f>IF(ISERROR(VLOOKUP(P2196,'unique fed agency names'!A:C,3,FALSE)),P2196,VLOOKUP(P2196,'unique fed agency names'!A:C,3,FALSE))
</f>
        <v>U.S. Department of Agriculture (USDA)</v>
      </c>
      <c r="R2196" s="1">
        <v>3.7602699E7</v>
      </c>
      <c r="S2196" s="1" t="s">
        <v>535</v>
      </c>
      <c r="T2196" s="1" t="str">
        <f>IF(ISERROR(VLOOKUP(S2196,'unique org names'!A:C,3,FALSE)),S2196,VLOOKUP(S2196,'unique org names'!A:C,3,FALSE))
</f>
        <v>REGENT PARK SCHOLARS CHARTER ACADEMY</v>
      </c>
      <c r="V2196" s="1" t="s">
        <v>536</v>
      </c>
      <c r="W2196" s="1" t="s">
        <v>44</v>
      </c>
      <c r="X2196" s="1" t="s">
        <v>45</v>
      </c>
      <c r="Y2196" s="1">
        <v>4.82052545E8</v>
      </c>
      <c r="AA2196" s="1" t="s">
        <v>46</v>
      </c>
      <c r="AB2196" s="1" t="s">
        <v>45</v>
      </c>
      <c r="AC2196" s="1">
        <v>4.82052545E8</v>
      </c>
      <c r="AF2196" s="1">
        <v>244691.2</v>
      </c>
      <c r="AG2196" s="2">
        <v>41928.0</v>
      </c>
      <c r="AH2196" s="1">
        <v>1200.0</v>
      </c>
      <c r="AI2196" s="1" t="s">
        <v>647</v>
      </c>
      <c r="AJ2196" s="1" t="s">
        <v>3936</v>
      </c>
      <c r="AK2196" s="1" t="s">
        <v>712</v>
      </c>
      <c r="AL2196" s="1">
        <v>1.0</v>
      </c>
      <c r="AM2196" s="1">
        <v>2015.0</v>
      </c>
      <c r="AN2196" s="1">
        <v>2015.0</v>
      </c>
      <c r="AO2196" s="1" t="s">
        <v>713</v>
      </c>
    </row>
    <row r="2197">
      <c r="A2197" s="5">
        <v>1.0</v>
      </c>
      <c r="B2197" s="1">
        <f t="shared" si="1"/>
        <v>2197</v>
      </c>
      <c r="C2197" s="1" t="s">
        <v>3515</v>
      </c>
      <c r="D2197" s="1" t="s">
        <v>3515</v>
      </c>
      <c r="E2197" s="1" t="s">
        <v>645</v>
      </c>
      <c r="G2197" s="1">
        <v>4.64793056E8</v>
      </c>
      <c r="H2197" s="2">
        <v>41919.0</v>
      </c>
      <c r="I2197" s="1" t="s">
        <v>710</v>
      </c>
      <c r="K2197" s="1" t="s">
        <v>710</v>
      </c>
      <c r="N2197" s="1" t="s">
        <v>647</v>
      </c>
      <c r="O2197" s="1">
        <v>1200.0</v>
      </c>
      <c r="P2197" s="1" t="s">
        <v>647</v>
      </c>
      <c r="Q2197" s="1" t="str">
        <f>IF(ISERROR(VLOOKUP(P2197,'unique fed agency names'!A:C,3,FALSE)),P2197,VLOOKUP(P2197,'unique fed agency names'!A:C,3,FALSE))
</f>
        <v>U.S. Department of Agriculture (USDA)</v>
      </c>
      <c r="R2197" s="1">
        <v>1.52892667E8</v>
      </c>
      <c r="S2197" s="1" t="s">
        <v>638</v>
      </c>
      <c r="T2197" s="1" t="str">
        <f>IF(ISERROR(VLOOKUP(S2197,'unique org names'!A:C,3,FALSE)),S2197,VLOOKUP(S2197,'unique org names'!A:C,3,FALSE))
</f>
        <v>DOVE ACADEMY OF DETROIT</v>
      </c>
      <c r="V2197" s="1" t="s">
        <v>639</v>
      </c>
      <c r="W2197" s="1" t="s">
        <v>44</v>
      </c>
      <c r="X2197" s="1" t="s">
        <v>45</v>
      </c>
      <c r="Y2197" s="1">
        <v>4.82343358E8</v>
      </c>
      <c r="AA2197" s="1" t="s">
        <v>46</v>
      </c>
      <c r="AB2197" s="1" t="s">
        <v>45</v>
      </c>
      <c r="AC2197" s="1">
        <v>4.8234E8</v>
      </c>
      <c r="AF2197" s="1">
        <v>166901.03</v>
      </c>
      <c r="AG2197" s="2">
        <v>41919.0</v>
      </c>
      <c r="AH2197" s="1">
        <v>1200.0</v>
      </c>
      <c r="AI2197" s="1" t="s">
        <v>647</v>
      </c>
      <c r="AJ2197" s="1" t="s">
        <v>3544</v>
      </c>
      <c r="AK2197" s="1" t="s">
        <v>712</v>
      </c>
      <c r="AL2197" s="1">
        <v>1.0</v>
      </c>
      <c r="AM2197" s="1">
        <v>2015.0</v>
      </c>
      <c r="AN2197" s="1">
        <v>2015.0</v>
      </c>
      <c r="AO2197" s="1" t="s">
        <v>713</v>
      </c>
    </row>
    <row r="2198">
      <c r="A2198" s="5">
        <v>1.0</v>
      </c>
      <c r="B2198" s="1">
        <f t="shared" si="1"/>
        <v>2198</v>
      </c>
      <c r="C2198" s="1" t="s">
        <v>3515</v>
      </c>
      <c r="D2198" s="1" t="s">
        <v>3515</v>
      </c>
      <c r="E2198" s="1" t="s">
        <v>645</v>
      </c>
      <c r="G2198" s="1">
        <v>4.64793056E8</v>
      </c>
      <c r="H2198" s="2">
        <v>41942.0</v>
      </c>
      <c r="I2198" s="1" t="s">
        <v>710</v>
      </c>
      <c r="K2198" s="1" t="s">
        <v>710</v>
      </c>
      <c r="N2198" s="1" t="s">
        <v>647</v>
      </c>
      <c r="O2198" s="1">
        <v>1200.0</v>
      </c>
      <c r="P2198" s="1" t="s">
        <v>647</v>
      </c>
      <c r="Q2198" s="1" t="str">
        <f>IF(ISERROR(VLOOKUP(P2198,'unique fed agency names'!A:C,3,FALSE)),P2198,VLOOKUP(P2198,'unique fed agency names'!A:C,3,FALSE))
</f>
        <v>U.S. Department of Agriculture (USDA)</v>
      </c>
      <c r="R2198" s="1">
        <v>2.5773859E7</v>
      </c>
      <c r="S2198" s="1" t="s">
        <v>872</v>
      </c>
      <c r="T2198" s="1" t="str">
        <f>IF(ISERROR(VLOOKUP(S2198,'unique org names'!A:C,3,FALSE)),S2198,VLOOKUP(S2198,'unique org names'!A:C,3,FALSE))
</f>
        <v>HOPE ACADEMY</v>
      </c>
      <c r="V2198" s="1" t="s">
        <v>873</v>
      </c>
      <c r="W2198" s="1" t="s">
        <v>44</v>
      </c>
      <c r="X2198" s="1" t="s">
        <v>45</v>
      </c>
      <c r="Y2198" s="1">
        <v>4.82042042E8</v>
      </c>
      <c r="AA2198" s="1" t="s">
        <v>44</v>
      </c>
      <c r="AB2198" s="1" t="s">
        <v>45</v>
      </c>
      <c r="AC2198" s="1">
        <v>4.82042042E8</v>
      </c>
      <c r="AF2198" s="1">
        <v>118663.75</v>
      </c>
      <c r="AG2198" s="2">
        <v>41942.0</v>
      </c>
      <c r="AH2198" s="1">
        <v>1200.0</v>
      </c>
      <c r="AI2198" s="1" t="s">
        <v>647</v>
      </c>
      <c r="AJ2198" s="1" t="s">
        <v>3937</v>
      </c>
      <c r="AK2198" s="1" t="s">
        <v>712</v>
      </c>
      <c r="AL2198" s="1">
        <v>1.0</v>
      </c>
      <c r="AM2198" s="1">
        <v>2015.0</v>
      </c>
      <c r="AN2198" s="1">
        <v>2015.0</v>
      </c>
      <c r="AO2198" s="1" t="s">
        <v>713</v>
      </c>
    </row>
    <row r="2199">
      <c r="A2199" s="5">
        <v>1.0</v>
      </c>
      <c r="B2199" s="1">
        <f t="shared" si="1"/>
        <v>2199</v>
      </c>
      <c r="C2199" s="1" t="s">
        <v>3515</v>
      </c>
      <c r="D2199" s="1" t="s">
        <v>3515</v>
      </c>
      <c r="E2199" s="1" t="s">
        <v>645</v>
      </c>
      <c r="G2199" s="1">
        <v>4.64793056E8</v>
      </c>
      <c r="H2199" s="2">
        <v>41928.0</v>
      </c>
      <c r="I2199" s="1" t="s">
        <v>710</v>
      </c>
      <c r="K2199" s="1" t="s">
        <v>710</v>
      </c>
      <c r="N2199" s="1" t="s">
        <v>647</v>
      </c>
      <c r="O2199" s="1">
        <v>1200.0</v>
      </c>
      <c r="P2199" s="1" t="s">
        <v>647</v>
      </c>
      <c r="Q2199" s="1" t="str">
        <f>IF(ISERROR(VLOOKUP(P2199,'unique fed agency names'!A:C,3,FALSE)),P2199,VLOOKUP(P2199,'unique fed agency names'!A:C,3,FALSE))
</f>
        <v>U.S. Department of Agriculture (USDA)</v>
      </c>
      <c r="R2199" s="1">
        <v>1.9859285E7</v>
      </c>
      <c r="S2199" s="1" t="s">
        <v>1172</v>
      </c>
      <c r="T2199" s="1" t="str">
        <f>IF(ISERROR(VLOOKUP(S2199,'unique org names'!A:C,3,FALSE)),S2199,VLOOKUP(S2199,'unique org names'!A:C,3,FALSE))
</f>
        <v>Madison Carver Academy</v>
      </c>
      <c r="V2199" s="1" t="s">
        <v>1173</v>
      </c>
      <c r="W2199" s="1" t="s">
        <v>44</v>
      </c>
      <c r="X2199" s="1" t="s">
        <v>45</v>
      </c>
      <c r="Y2199" s="1">
        <v>4.82191263E8</v>
      </c>
      <c r="AA2199" s="1" t="s">
        <v>44</v>
      </c>
      <c r="AB2199" s="1" t="s">
        <v>45</v>
      </c>
      <c r="AC2199" s="1">
        <v>4.82191263E8</v>
      </c>
      <c r="AF2199" s="1">
        <v>100961.36</v>
      </c>
      <c r="AG2199" s="2">
        <v>41928.0</v>
      </c>
      <c r="AH2199" s="1">
        <v>1200.0</v>
      </c>
      <c r="AI2199" s="1" t="s">
        <v>647</v>
      </c>
      <c r="AJ2199" s="1" t="s">
        <v>3938</v>
      </c>
      <c r="AK2199" s="1" t="s">
        <v>712</v>
      </c>
      <c r="AL2199" s="1">
        <v>1.0</v>
      </c>
      <c r="AM2199" s="1">
        <v>2015.0</v>
      </c>
      <c r="AN2199" s="1">
        <v>2015.0</v>
      </c>
      <c r="AO2199" s="1" t="s">
        <v>713</v>
      </c>
    </row>
    <row r="2200">
      <c r="A2200" s="5">
        <v>1.0</v>
      </c>
      <c r="B2200" s="1">
        <f t="shared" si="1"/>
        <v>2200</v>
      </c>
      <c r="C2200" s="1" t="s">
        <v>3515</v>
      </c>
      <c r="D2200" s="1" t="s">
        <v>3515</v>
      </c>
      <c r="E2200" s="1" t="s">
        <v>645</v>
      </c>
      <c r="G2200" s="1">
        <v>4.64793056E8</v>
      </c>
      <c r="H2200" s="2">
        <v>41928.0</v>
      </c>
      <c r="I2200" s="1" t="s">
        <v>710</v>
      </c>
      <c r="K2200" s="1" t="s">
        <v>710</v>
      </c>
      <c r="N2200" s="1" t="s">
        <v>647</v>
      </c>
      <c r="O2200" s="1">
        <v>1200.0</v>
      </c>
      <c r="P2200" s="1" t="s">
        <v>647</v>
      </c>
      <c r="Q2200" s="1" t="str">
        <f>IF(ISERROR(VLOOKUP(P2200,'unique fed agency names'!A:C,3,FALSE)),P2200,VLOOKUP(P2200,'unique fed agency names'!A:C,3,FALSE))
</f>
        <v>U.S. Department of Agriculture (USDA)</v>
      </c>
      <c r="R2200" s="1">
        <v>3537326.0</v>
      </c>
      <c r="S2200" s="1" t="s">
        <v>560</v>
      </c>
      <c r="T2200" s="1" t="str">
        <f>IF(ISERROR(VLOOKUP(S2200,'unique org names'!A:C,3,FALSE)),S2200,VLOOKUP(S2200,'unique org names'!A:C,3,FALSE))
</f>
        <v>COMMONWEALTH COMMUNITY DEVELOPMENT ACADEMY</v>
      </c>
      <c r="V2200" s="1" t="s">
        <v>561</v>
      </c>
      <c r="W2200" s="1" t="s">
        <v>44</v>
      </c>
      <c r="X2200" s="1" t="s">
        <v>45</v>
      </c>
      <c r="Y2200" s="1">
        <v>4.8212177E8</v>
      </c>
      <c r="AA2200" s="1" t="s">
        <v>498</v>
      </c>
      <c r="AB2200" s="1" t="s">
        <v>45</v>
      </c>
      <c r="AC2200" s="1">
        <v>4.82121754E8</v>
      </c>
      <c r="AD2200" s="1">
        <v>3537326.0</v>
      </c>
      <c r="AE2200" s="1" t="s">
        <v>560</v>
      </c>
      <c r="AF2200" s="1">
        <v>25796.35</v>
      </c>
      <c r="AG2200" s="2">
        <v>41928.0</v>
      </c>
      <c r="AH2200" s="1">
        <v>1200.0</v>
      </c>
      <c r="AI2200" s="1" t="s">
        <v>647</v>
      </c>
      <c r="AJ2200" s="1" t="s">
        <v>3939</v>
      </c>
      <c r="AK2200" s="1" t="s">
        <v>712</v>
      </c>
      <c r="AL2200" s="1">
        <v>1.0</v>
      </c>
      <c r="AM2200" s="1">
        <v>2015.0</v>
      </c>
      <c r="AN2200" s="1">
        <v>2015.0</v>
      </c>
      <c r="AO2200" s="1" t="s">
        <v>713</v>
      </c>
    </row>
    <row r="2201">
      <c r="A2201" s="5">
        <v>1.0</v>
      </c>
      <c r="B2201" s="1">
        <f t="shared" si="1"/>
        <v>2201</v>
      </c>
      <c r="C2201" s="1" t="s">
        <v>1913</v>
      </c>
      <c r="D2201" s="1" t="s">
        <v>1913</v>
      </c>
      <c r="E2201" s="1" t="s">
        <v>645</v>
      </c>
      <c r="G2201" s="1">
        <v>1.4642656E8</v>
      </c>
      <c r="H2201" s="2">
        <v>41999.0</v>
      </c>
      <c r="I2201" s="1" t="s">
        <v>710</v>
      </c>
      <c r="K2201" s="1" t="s">
        <v>710</v>
      </c>
      <c r="N2201" s="1" t="s">
        <v>647</v>
      </c>
      <c r="O2201" s="1">
        <v>1200.0</v>
      </c>
      <c r="P2201" s="1" t="s">
        <v>647</v>
      </c>
      <c r="Q2201" s="1" t="str">
        <f>IF(ISERROR(VLOOKUP(P2201,'unique fed agency names'!A:C,3,FALSE)),P2201,VLOOKUP(P2201,'unique fed agency names'!A:C,3,FALSE))
</f>
        <v>U.S. Department of Agriculture (USDA)</v>
      </c>
      <c r="R2201" s="1">
        <v>7.6340843E7</v>
      </c>
      <c r="S2201" s="1" t="s">
        <v>461</v>
      </c>
      <c r="T2201" s="1" t="str">
        <f>IF(ISERROR(VLOOKUP(S2201,'unique org names'!A:C,3,FALSE)),S2201,VLOOKUP(S2201,'unique org names'!A:C,3,FALSE))
</f>
        <v>BOARD OF EDUCATION OF THE CITY OF DETROIT</v>
      </c>
      <c r="V2201" s="1" t="s">
        <v>1599</v>
      </c>
      <c r="W2201" s="1" t="s">
        <v>44</v>
      </c>
      <c r="X2201" s="1" t="s">
        <v>45</v>
      </c>
      <c r="Y2201" s="1">
        <v>4.8202301E8</v>
      </c>
      <c r="AA2201" s="1" t="s">
        <v>44</v>
      </c>
      <c r="AB2201" s="1" t="s">
        <v>45</v>
      </c>
      <c r="AC2201" s="1">
        <v>4.82023096E8</v>
      </c>
      <c r="AD2201" s="1">
        <v>7.6340843E7</v>
      </c>
      <c r="AE2201" s="1" t="s">
        <v>461</v>
      </c>
      <c r="AF2201" s="1">
        <v>2905868.83</v>
      </c>
      <c r="AG2201" s="2">
        <v>41999.0</v>
      </c>
      <c r="AH2201" s="1">
        <v>1200.0</v>
      </c>
      <c r="AI2201" s="1" t="s">
        <v>647</v>
      </c>
      <c r="AJ2201" s="1" t="s">
        <v>3940</v>
      </c>
      <c r="AK2201" s="1" t="s">
        <v>712</v>
      </c>
      <c r="AL2201" s="1">
        <v>1.0</v>
      </c>
      <c r="AM2201" s="1">
        <v>2015.0</v>
      </c>
      <c r="AN2201" s="1">
        <v>2015.0</v>
      </c>
      <c r="AO2201" s="1" t="s">
        <v>713</v>
      </c>
    </row>
    <row r="2202">
      <c r="A2202" s="5">
        <v>1.0</v>
      </c>
      <c r="B2202" s="1">
        <f t="shared" si="1"/>
        <v>2202</v>
      </c>
      <c r="C2202" s="1" t="s">
        <v>1913</v>
      </c>
      <c r="D2202" s="1" t="s">
        <v>1913</v>
      </c>
      <c r="E2202" s="1" t="s">
        <v>645</v>
      </c>
      <c r="G2202" s="1">
        <v>1.4642656E8</v>
      </c>
      <c r="H2202" s="2">
        <v>41984.0</v>
      </c>
      <c r="I2202" s="1" t="s">
        <v>710</v>
      </c>
      <c r="K2202" s="1" t="s">
        <v>710</v>
      </c>
      <c r="N2202" s="1" t="s">
        <v>647</v>
      </c>
      <c r="O2202" s="1">
        <v>1200.0</v>
      </c>
      <c r="P2202" s="1" t="s">
        <v>647</v>
      </c>
      <c r="Q2202" s="1" t="str">
        <f>IF(ISERROR(VLOOKUP(P2202,'unique fed agency names'!A:C,3,FALSE)),P2202,VLOOKUP(P2202,'unique fed agency names'!A:C,3,FALSE))
</f>
        <v>U.S. Department of Agriculture (USDA)</v>
      </c>
      <c r="R2202" s="1">
        <v>9.6910162E8</v>
      </c>
      <c r="S2202" s="1" t="s">
        <v>579</v>
      </c>
      <c r="T2202" s="1" t="str">
        <f>IF(ISERROR(VLOOKUP(S2202,'unique org names'!A:C,3,FALSE)),S2202,VLOOKUP(S2202,'unique org names'!A:C,3,FALSE))
</f>
        <v>AMERICAN INTERNATIONAL ACADEMY, INC.</v>
      </c>
      <c r="V2202" s="1" t="s">
        <v>580</v>
      </c>
      <c r="W2202" s="1" t="s">
        <v>44</v>
      </c>
      <c r="X2202" s="1" t="s">
        <v>45</v>
      </c>
      <c r="Y2202" s="1">
        <v>4.82283905E8</v>
      </c>
      <c r="AA2202" s="1" t="s">
        <v>287</v>
      </c>
      <c r="AB2202" s="1" t="s">
        <v>45</v>
      </c>
      <c r="AC2202" s="1">
        <v>4.82283905E8</v>
      </c>
      <c r="AF2202" s="1">
        <v>36300.78</v>
      </c>
      <c r="AG2202" s="2">
        <v>41984.0</v>
      </c>
      <c r="AH2202" s="1">
        <v>1200.0</v>
      </c>
      <c r="AI2202" s="1" t="s">
        <v>647</v>
      </c>
      <c r="AJ2202" s="1" t="s">
        <v>3941</v>
      </c>
      <c r="AK2202" s="1" t="s">
        <v>712</v>
      </c>
      <c r="AL2202" s="1">
        <v>1.0</v>
      </c>
      <c r="AM2202" s="1">
        <v>2015.0</v>
      </c>
      <c r="AN2202" s="1">
        <v>2015.0</v>
      </c>
      <c r="AO2202" s="1" t="s">
        <v>713</v>
      </c>
    </row>
    <row r="2203">
      <c r="A2203" s="5">
        <v>1.0</v>
      </c>
      <c r="B2203" s="1">
        <f t="shared" si="1"/>
        <v>2203</v>
      </c>
      <c r="C2203" s="1" t="s">
        <v>1913</v>
      </c>
      <c r="D2203" s="1" t="s">
        <v>1913</v>
      </c>
      <c r="E2203" s="1" t="s">
        <v>645</v>
      </c>
      <c r="G2203" s="1">
        <v>1.4642656E8</v>
      </c>
      <c r="H2203" s="2">
        <v>41956.0</v>
      </c>
      <c r="I2203" s="1" t="s">
        <v>710</v>
      </c>
      <c r="K2203" s="1" t="s">
        <v>710</v>
      </c>
      <c r="N2203" s="1" t="s">
        <v>647</v>
      </c>
      <c r="O2203" s="1">
        <v>1200.0</v>
      </c>
      <c r="P2203" s="1" t="s">
        <v>647</v>
      </c>
      <c r="Q2203" s="1" t="str">
        <f>IF(ISERROR(VLOOKUP(P2203,'unique fed agency names'!A:C,3,FALSE)),P2203,VLOOKUP(P2203,'unique fed agency names'!A:C,3,FALSE))
</f>
        <v>U.S. Department of Agriculture (USDA)</v>
      </c>
      <c r="R2203" s="1">
        <v>8.29630537E8</v>
      </c>
      <c r="S2203" s="1" t="s">
        <v>531</v>
      </c>
      <c r="T2203" s="1" t="str">
        <f>IF(ISERROR(VLOOKUP(S2203,'unique org names'!A:C,3,FALSE)),S2203,VLOOKUP(S2203,'unique org names'!A:C,3,FALSE))
</f>
        <v>DETROIT SERVICE LEARNING ACADEMY</v>
      </c>
      <c r="U2203" s="1" t="s">
        <v>532</v>
      </c>
      <c r="V2203" s="1" t="s">
        <v>533</v>
      </c>
      <c r="W2203" s="1" t="s">
        <v>44</v>
      </c>
      <c r="X2203" s="1" t="s">
        <v>45</v>
      </c>
      <c r="Y2203" s="1">
        <v>4.8219181E8</v>
      </c>
      <c r="AA2203" s="1" t="s">
        <v>44</v>
      </c>
      <c r="AB2203" s="1" t="s">
        <v>45</v>
      </c>
      <c r="AC2203" s="1">
        <v>4.8219181E8</v>
      </c>
      <c r="AF2203" s="1">
        <v>37001.96</v>
      </c>
      <c r="AG2203" s="2">
        <v>41956.0</v>
      </c>
      <c r="AH2203" s="1">
        <v>1200.0</v>
      </c>
      <c r="AI2203" s="1" t="s">
        <v>647</v>
      </c>
      <c r="AJ2203" s="1" t="s">
        <v>3942</v>
      </c>
      <c r="AK2203" s="1" t="s">
        <v>712</v>
      </c>
      <c r="AL2203" s="1">
        <v>1.0</v>
      </c>
      <c r="AM2203" s="1">
        <v>2015.0</v>
      </c>
      <c r="AN2203" s="1">
        <v>2015.0</v>
      </c>
      <c r="AO2203" s="1" t="s">
        <v>713</v>
      </c>
    </row>
    <row r="2204">
      <c r="A2204" s="5">
        <v>1.0</v>
      </c>
      <c r="B2204" s="1">
        <f t="shared" si="1"/>
        <v>2204</v>
      </c>
      <c r="C2204" s="1" t="s">
        <v>1913</v>
      </c>
      <c r="D2204" s="1" t="s">
        <v>1913</v>
      </c>
      <c r="E2204" s="1" t="s">
        <v>645</v>
      </c>
      <c r="G2204" s="1">
        <v>1.4642656E8</v>
      </c>
      <c r="H2204" s="2">
        <v>41991.0</v>
      </c>
      <c r="I2204" s="1" t="s">
        <v>710</v>
      </c>
      <c r="K2204" s="1" t="s">
        <v>710</v>
      </c>
      <c r="N2204" s="1" t="s">
        <v>647</v>
      </c>
      <c r="O2204" s="1">
        <v>1200.0</v>
      </c>
      <c r="P2204" s="1" t="s">
        <v>647</v>
      </c>
      <c r="Q2204" s="1" t="str">
        <f>IF(ISERROR(VLOOKUP(P2204,'unique fed agency names'!A:C,3,FALSE)),P2204,VLOOKUP(P2204,'unique fed agency names'!A:C,3,FALSE))
</f>
        <v>U.S. Department of Agriculture (USDA)</v>
      </c>
      <c r="R2204" s="1">
        <v>3.9866801E7</v>
      </c>
      <c r="S2204" s="1" t="s">
        <v>612</v>
      </c>
      <c r="T2204" s="1" t="str">
        <f>IF(ISERROR(VLOOKUP(S2204,'unique org names'!A:C,3,FALSE)),S2204,VLOOKUP(S2204,'unique org names'!A:C,3,FALSE))
</f>
        <v>HAMTRAMCK PUBLIC SCHOOLS</v>
      </c>
      <c r="V2204" s="1" t="s">
        <v>613</v>
      </c>
      <c r="W2204" s="1" t="s">
        <v>44</v>
      </c>
      <c r="X2204" s="1" t="s">
        <v>45</v>
      </c>
      <c r="Y2204" s="1">
        <v>4.8212E8</v>
      </c>
      <c r="AA2204" s="1" t="s">
        <v>607</v>
      </c>
      <c r="AB2204" s="1" t="s">
        <v>45</v>
      </c>
      <c r="AC2204" s="1">
        <v>4.82120012E8</v>
      </c>
      <c r="AD2204" s="1">
        <v>3.9866801E7</v>
      </c>
      <c r="AE2204" s="1" t="s">
        <v>612</v>
      </c>
      <c r="AF2204" s="1">
        <v>182334.82</v>
      </c>
      <c r="AG2204" s="2">
        <v>41991.0</v>
      </c>
      <c r="AH2204" s="1">
        <v>1200.0</v>
      </c>
      <c r="AI2204" s="1" t="s">
        <v>647</v>
      </c>
      <c r="AJ2204" s="1" t="s">
        <v>3943</v>
      </c>
      <c r="AK2204" s="1" t="s">
        <v>712</v>
      </c>
      <c r="AL2204" s="1">
        <v>1.0</v>
      </c>
      <c r="AM2204" s="1">
        <v>2015.0</v>
      </c>
      <c r="AN2204" s="1">
        <v>2015.0</v>
      </c>
      <c r="AO2204" s="1" t="s">
        <v>713</v>
      </c>
    </row>
    <row r="2205">
      <c r="A2205" s="5">
        <v>1.0</v>
      </c>
      <c r="B2205" s="1">
        <f t="shared" si="1"/>
        <v>2205</v>
      </c>
      <c r="C2205" s="1" t="s">
        <v>1913</v>
      </c>
      <c r="D2205" s="1" t="s">
        <v>1913</v>
      </c>
      <c r="E2205" s="1" t="s">
        <v>645</v>
      </c>
      <c r="G2205" s="1">
        <v>1.4642656E8</v>
      </c>
      <c r="H2205" s="2">
        <v>41984.0</v>
      </c>
      <c r="I2205" s="1" t="s">
        <v>710</v>
      </c>
      <c r="K2205" s="1" t="s">
        <v>710</v>
      </c>
      <c r="N2205" s="1" t="s">
        <v>647</v>
      </c>
      <c r="O2205" s="1">
        <v>1200.0</v>
      </c>
      <c r="P2205" s="1" t="s">
        <v>647</v>
      </c>
      <c r="Q2205" s="1" t="str">
        <f>IF(ISERROR(VLOOKUP(P2205,'unique fed agency names'!A:C,3,FALSE)),P2205,VLOOKUP(P2205,'unique fed agency names'!A:C,3,FALSE))
</f>
        <v>U.S. Department of Agriculture (USDA)</v>
      </c>
      <c r="R2205" s="1">
        <v>5.2874042E7</v>
      </c>
      <c r="S2205" s="1" t="s">
        <v>538</v>
      </c>
      <c r="T2205" s="1" t="str">
        <f>IF(ISERROR(VLOOKUP(S2205,'unique org names'!A:C,3,FALSE)),S2205,VLOOKUP(S2205,'unique org names'!A:C,3,FALSE))
</f>
        <v>CESAR CHAVEZ ACADEMY</v>
      </c>
      <c r="V2205" s="1" t="s">
        <v>539</v>
      </c>
      <c r="W2205" s="1" t="s">
        <v>44</v>
      </c>
      <c r="X2205" s="1" t="s">
        <v>45</v>
      </c>
      <c r="Y2205" s="1">
        <v>4.82091524E8</v>
      </c>
      <c r="AA2205" s="1" t="s">
        <v>44</v>
      </c>
      <c r="AB2205" s="1" t="s">
        <v>45</v>
      </c>
      <c r="AC2205" s="1">
        <v>4.82091524E8</v>
      </c>
      <c r="AF2205" s="1">
        <v>65901.94</v>
      </c>
      <c r="AG2205" s="2">
        <v>41984.0</v>
      </c>
      <c r="AH2205" s="1">
        <v>1200.0</v>
      </c>
      <c r="AI2205" s="1" t="s">
        <v>647</v>
      </c>
      <c r="AJ2205" s="1" t="s">
        <v>3944</v>
      </c>
      <c r="AK2205" s="1" t="s">
        <v>712</v>
      </c>
      <c r="AL2205" s="1">
        <v>1.0</v>
      </c>
      <c r="AM2205" s="1">
        <v>2015.0</v>
      </c>
      <c r="AN2205" s="1">
        <v>2015.0</v>
      </c>
      <c r="AO2205" s="1" t="s">
        <v>713</v>
      </c>
    </row>
    <row r="2206">
      <c r="A2206" s="5">
        <v>1.0</v>
      </c>
      <c r="B2206" s="1">
        <f t="shared" si="1"/>
        <v>2206</v>
      </c>
      <c r="C2206" s="1" t="s">
        <v>1913</v>
      </c>
      <c r="D2206" s="1" t="s">
        <v>1913</v>
      </c>
      <c r="E2206" s="1" t="s">
        <v>645</v>
      </c>
      <c r="G2206" s="1">
        <v>1.4642656E8</v>
      </c>
      <c r="H2206" s="2">
        <v>41999.0</v>
      </c>
      <c r="I2206" s="1" t="s">
        <v>710</v>
      </c>
      <c r="K2206" s="1" t="s">
        <v>710</v>
      </c>
      <c r="N2206" s="1" t="s">
        <v>647</v>
      </c>
      <c r="O2206" s="1">
        <v>1200.0</v>
      </c>
      <c r="P2206" s="1" t="s">
        <v>647</v>
      </c>
      <c r="Q2206" s="1" t="str">
        <f>IF(ISERROR(VLOOKUP(P2206,'unique fed agency names'!A:C,3,FALSE)),P2206,VLOOKUP(P2206,'unique fed agency names'!A:C,3,FALSE))
</f>
        <v>U.S. Department of Agriculture (USDA)</v>
      </c>
      <c r="R2206" s="1">
        <v>1.6338926E8</v>
      </c>
      <c r="S2206" s="1" t="s">
        <v>465</v>
      </c>
      <c r="T2206" s="1" t="str">
        <f>IF(ISERROR(VLOOKUP(S2206,'unique org names'!A:C,3,FALSE)),S2206,VLOOKUP(S2206,'unique org names'!A:C,3,FALSE))
</f>
        <v>Public School Academies of Detroit</v>
      </c>
      <c r="U2206" s="1" t="s">
        <v>598</v>
      </c>
      <c r="V2206" s="1" t="s">
        <v>599</v>
      </c>
      <c r="W2206" s="1" t="s">
        <v>44</v>
      </c>
      <c r="X2206" s="1" t="s">
        <v>45</v>
      </c>
      <c r="Y2206" s="1">
        <v>4.82023457E8</v>
      </c>
      <c r="AA2206" s="1" t="s">
        <v>44</v>
      </c>
      <c r="AB2206" s="1" t="s">
        <v>45</v>
      </c>
      <c r="AC2206" s="1">
        <v>4.82023457E8</v>
      </c>
      <c r="AD2206" s="1">
        <v>1.6338926E8</v>
      </c>
      <c r="AE2206" s="1" t="s">
        <v>465</v>
      </c>
      <c r="AF2206" s="1">
        <v>100688.78</v>
      </c>
      <c r="AG2206" s="2">
        <v>41999.0</v>
      </c>
      <c r="AH2206" s="1">
        <v>1200.0</v>
      </c>
      <c r="AI2206" s="1" t="s">
        <v>647</v>
      </c>
      <c r="AJ2206" s="1" t="s">
        <v>3945</v>
      </c>
      <c r="AK2206" s="1" t="s">
        <v>712</v>
      </c>
      <c r="AL2206" s="1">
        <v>1.0</v>
      </c>
      <c r="AM2206" s="1">
        <v>2015.0</v>
      </c>
      <c r="AN2206" s="1">
        <v>2015.0</v>
      </c>
      <c r="AO2206" s="1" t="s">
        <v>713</v>
      </c>
    </row>
    <row r="2207">
      <c r="A2207" s="5">
        <v>1.0</v>
      </c>
      <c r="B2207" s="1">
        <f t="shared" si="1"/>
        <v>2207</v>
      </c>
      <c r="C2207" s="1" t="s">
        <v>1913</v>
      </c>
      <c r="D2207" s="1" t="s">
        <v>1913</v>
      </c>
      <c r="E2207" s="1" t="s">
        <v>645</v>
      </c>
      <c r="G2207" s="1">
        <v>1.4642656E8</v>
      </c>
      <c r="H2207" s="2">
        <v>41984.0</v>
      </c>
      <c r="I2207" s="1" t="s">
        <v>710</v>
      </c>
      <c r="K2207" s="1" t="s">
        <v>710</v>
      </c>
      <c r="N2207" s="1" t="s">
        <v>647</v>
      </c>
      <c r="O2207" s="1">
        <v>1200.0</v>
      </c>
      <c r="P2207" s="1" t="s">
        <v>647</v>
      </c>
      <c r="Q2207" s="1" t="str">
        <f>IF(ISERROR(VLOOKUP(P2207,'unique fed agency names'!A:C,3,FALSE)),P2207,VLOOKUP(P2207,'unique fed agency names'!A:C,3,FALSE))
</f>
        <v>U.S. Department of Agriculture (USDA)</v>
      </c>
      <c r="R2207" s="1">
        <v>9.48021373E8</v>
      </c>
      <c r="S2207" s="1" t="s">
        <v>501</v>
      </c>
      <c r="T2207" s="1" t="str">
        <f>IF(ISERROR(VLOOKUP(S2207,'unique org names'!A:C,3,FALSE)),S2207,VLOOKUP(S2207,'unique org names'!A:C,3,FALSE))
</f>
        <v>WOODWARD ACADEMY</v>
      </c>
      <c r="V2207" s="1" t="s">
        <v>502</v>
      </c>
      <c r="W2207" s="1" t="s">
        <v>44</v>
      </c>
      <c r="X2207" s="1" t="s">
        <v>45</v>
      </c>
      <c r="Y2207" s="1">
        <v>4.82072901E8</v>
      </c>
      <c r="AA2207" s="1" t="s">
        <v>44</v>
      </c>
      <c r="AB2207" s="1" t="s">
        <v>45</v>
      </c>
      <c r="AC2207" s="1">
        <v>4.82072901E8</v>
      </c>
      <c r="AF2207" s="1">
        <v>35952.04</v>
      </c>
      <c r="AG2207" s="2">
        <v>41984.0</v>
      </c>
      <c r="AH2207" s="1">
        <v>1200.0</v>
      </c>
      <c r="AI2207" s="1" t="s">
        <v>647</v>
      </c>
      <c r="AJ2207" s="1" t="s">
        <v>3946</v>
      </c>
      <c r="AK2207" s="1" t="s">
        <v>712</v>
      </c>
      <c r="AL2207" s="1">
        <v>1.0</v>
      </c>
      <c r="AM2207" s="1">
        <v>2015.0</v>
      </c>
      <c r="AN2207" s="1">
        <v>2015.0</v>
      </c>
      <c r="AO2207" s="1" t="s">
        <v>713</v>
      </c>
    </row>
    <row r="2208">
      <c r="A2208" s="5">
        <v>1.0</v>
      </c>
      <c r="B2208" s="1">
        <f t="shared" si="1"/>
        <v>2208</v>
      </c>
      <c r="C2208" s="1" t="s">
        <v>1913</v>
      </c>
      <c r="D2208" s="1" t="s">
        <v>1913</v>
      </c>
      <c r="E2208" s="1" t="s">
        <v>645</v>
      </c>
      <c r="G2208" s="1">
        <v>1.4642656E8</v>
      </c>
      <c r="H2208" s="2">
        <v>41984.0</v>
      </c>
      <c r="I2208" s="1" t="s">
        <v>710</v>
      </c>
      <c r="K2208" s="1" t="s">
        <v>710</v>
      </c>
      <c r="N2208" s="1" t="s">
        <v>647</v>
      </c>
      <c r="O2208" s="1">
        <v>1200.0</v>
      </c>
      <c r="P2208" s="1" t="s">
        <v>647</v>
      </c>
      <c r="Q2208" s="1" t="str">
        <f>IF(ISERROR(VLOOKUP(P2208,'unique fed agency names'!A:C,3,FALSE)),P2208,VLOOKUP(P2208,'unique fed agency names'!A:C,3,FALSE))
</f>
        <v>U.S. Department of Agriculture (USDA)</v>
      </c>
      <c r="R2208" s="1">
        <v>8.25304442E8</v>
      </c>
      <c r="S2208" s="1" t="s">
        <v>829</v>
      </c>
      <c r="T2208" s="1" t="str">
        <f>IF(ISERROR(VLOOKUP(S2208,'unique org names'!A:C,3,FALSE)),S2208,VLOOKUP(S2208,'unique org names'!A:C,3,FALSE))
</f>
        <v>DAVID ELLIS ACADEMY</v>
      </c>
      <c r="V2208" s="1" t="s">
        <v>830</v>
      </c>
      <c r="W2208" s="1" t="s">
        <v>44</v>
      </c>
      <c r="X2208" s="1" t="s">
        <v>45</v>
      </c>
      <c r="Y2208" s="1">
        <v>4.82351762E8</v>
      </c>
      <c r="AA2208" s="1" t="s">
        <v>44</v>
      </c>
      <c r="AB2208" s="1" t="s">
        <v>45</v>
      </c>
      <c r="AC2208" s="1">
        <v>4.82351762E8</v>
      </c>
      <c r="AF2208" s="1">
        <v>25839.0</v>
      </c>
      <c r="AG2208" s="2">
        <v>41984.0</v>
      </c>
      <c r="AH2208" s="1">
        <v>1200.0</v>
      </c>
      <c r="AI2208" s="1" t="s">
        <v>647</v>
      </c>
      <c r="AJ2208" s="1" t="s">
        <v>3947</v>
      </c>
      <c r="AK2208" s="1" t="s">
        <v>712</v>
      </c>
      <c r="AL2208" s="1">
        <v>1.0</v>
      </c>
      <c r="AM2208" s="1">
        <v>2015.0</v>
      </c>
      <c r="AN2208" s="1">
        <v>2015.0</v>
      </c>
      <c r="AO2208" s="1" t="s">
        <v>713</v>
      </c>
    </row>
    <row r="2209">
      <c r="A2209" s="5">
        <v>1.0</v>
      </c>
      <c r="B2209" s="1">
        <f t="shared" si="1"/>
        <v>2209</v>
      </c>
      <c r="C2209" s="1" t="s">
        <v>1913</v>
      </c>
      <c r="D2209" s="1" t="s">
        <v>1913</v>
      </c>
      <c r="E2209" s="1" t="s">
        <v>645</v>
      </c>
      <c r="G2209" s="1">
        <v>1.4642656E8</v>
      </c>
      <c r="H2209" s="2">
        <v>41999.0</v>
      </c>
      <c r="I2209" s="1" t="s">
        <v>710</v>
      </c>
      <c r="K2209" s="1" t="s">
        <v>710</v>
      </c>
      <c r="N2209" s="1" t="s">
        <v>647</v>
      </c>
      <c r="O2209" s="1">
        <v>1200.0</v>
      </c>
      <c r="P2209" s="1" t="s">
        <v>647</v>
      </c>
      <c r="Q2209" s="1" t="str">
        <f>IF(ISERROR(VLOOKUP(P2209,'unique fed agency names'!A:C,3,FALSE)),P2209,VLOOKUP(P2209,'unique fed agency names'!A:C,3,FALSE))
</f>
        <v>U.S. Department of Agriculture (USDA)</v>
      </c>
      <c r="R2209" s="1">
        <v>6533863.0</v>
      </c>
      <c r="S2209" s="1" t="s">
        <v>3194</v>
      </c>
      <c r="T2209" s="1" t="str">
        <f>IF(ISERROR(VLOOKUP(S2209,'unique org names'!A:C,3,FALSE)),S2209,VLOOKUP(S2209,'unique org names'!A:C,3,FALSE))
</f>
        <v>Roman Catholic Archdiocese of Detroit</v>
      </c>
      <c r="U2209" s="1" t="s">
        <v>3195</v>
      </c>
      <c r="V2209" s="1" t="s">
        <v>3196</v>
      </c>
      <c r="W2209" s="1" t="s">
        <v>44</v>
      </c>
      <c r="X2209" s="1" t="s">
        <v>45</v>
      </c>
      <c r="Y2209" s="1">
        <v>4.82261894E8</v>
      </c>
      <c r="AA2209" s="1" t="s">
        <v>3197</v>
      </c>
      <c r="AB2209" s="1" t="s">
        <v>45</v>
      </c>
      <c r="AC2209" s="1">
        <v>4.81339647E8</v>
      </c>
      <c r="AD2209" s="1">
        <v>6533863.0</v>
      </c>
      <c r="AF2209" s="1">
        <v>60234.2</v>
      </c>
      <c r="AG2209" s="2">
        <v>41999.0</v>
      </c>
      <c r="AH2209" s="1">
        <v>1200.0</v>
      </c>
      <c r="AI2209" s="1" t="s">
        <v>647</v>
      </c>
      <c r="AJ2209" s="1" t="s">
        <v>3948</v>
      </c>
      <c r="AK2209" s="1" t="s">
        <v>712</v>
      </c>
      <c r="AL2209" s="1">
        <v>1.0</v>
      </c>
      <c r="AM2209" s="1">
        <v>2015.0</v>
      </c>
      <c r="AN2209" s="1">
        <v>2015.0</v>
      </c>
      <c r="AO2209" s="1" t="s">
        <v>713</v>
      </c>
    </row>
    <row r="2210">
      <c r="A2210" s="5">
        <v>1.0</v>
      </c>
      <c r="B2210" s="1">
        <f t="shared" si="1"/>
        <v>2210</v>
      </c>
      <c r="C2210" s="1" t="s">
        <v>1913</v>
      </c>
      <c r="D2210" s="1" t="s">
        <v>1913</v>
      </c>
      <c r="E2210" s="1" t="s">
        <v>645</v>
      </c>
      <c r="G2210" s="1">
        <v>1.4642656E8</v>
      </c>
      <c r="H2210" s="2">
        <v>41984.0</v>
      </c>
      <c r="I2210" s="1" t="s">
        <v>710</v>
      </c>
      <c r="K2210" s="1" t="s">
        <v>710</v>
      </c>
      <c r="N2210" s="1" t="s">
        <v>647</v>
      </c>
      <c r="O2210" s="1">
        <v>1200.0</v>
      </c>
      <c r="P2210" s="1" t="s">
        <v>647</v>
      </c>
      <c r="Q2210" s="1" t="str">
        <f>IF(ISERROR(VLOOKUP(P2210,'unique fed agency names'!A:C,3,FALSE)),P2210,VLOOKUP(P2210,'unique fed agency names'!A:C,3,FALSE))
</f>
        <v>U.S. Department of Agriculture (USDA)</v>
      </c>
      <c r="R2210" s="1">
        <v>8.29503312E8</v>
      </c>
      <c r="S2210" s="1" t="s">
        <v>622</v>
      </c>
      <c r="T2210" s="1" t="str">
        <f>IF(ISERROR(VLOOKUP(S2210,'unique org names'!A:C,3,FALSE)),S2210,VLOOKUP(S2210,'unique org names'!A:C,3,FALSE))
</f>
        <v>GEORGE WASHINGTON CARVER ACADEMY</v>
      </c>
      <c r="V2210" s="1" t="s">
        <v>623</v>
      </c>
      <c r="W2210" s="1" t="s">
        <v>44</v>
      </c>
      <c r="X2210" s="1" t="s">
        <v>45</v>
      </c>
      <c r="Y2210" s="1">
        <v>4.82035715E8</v>
      </c>
      <c r="AA2210" s="1" t="s">
        <v>603</v>
      </c>
      <c r="AB2210" s="1" t="s">
        <v>45</v>
      </c>
      <c r="AC2210" s="1">
        <v>4.82035715E8</v>
      </c>
      <c r="AF2210" s="1">
        <v>43538.87</v>
      </c>
      <c r="AG2210" s="2">
        <v>41984.0</v>
      </c>
      <c r="AH2210" s="1">
        <v>1200.0</v>
      </c>
      <c r="AI2210" s="1" t="s">
        <v>647</v>
      </c>
      <c r="AJ2210" s="1" t="s">
        <v>3949</v>
      </c>
      <c r="AK2210" s="1" t="s">
        <v>712</v>
      </c>
      <c r="AL2210" s="1">
        <v>1.0</v>
      </c>
      <c r="AM2210" s="1">
        <v>2015.0</v>
      </c>
      <c r="AN2210" s="1">
        <v>2015.0</v>
      </c>
      <c r="AO2210" s="1" t="s">
        <v>713</v>
      </c>
    </row>
    <row r="2211">
      <c r="A2211" s="5">
        <v>1.0</v>
      </c>
      <c r="B2211" s="1">
        <f t="shared" si="1"/>
        <v>2211</v>
      </c>
      <c r="C2211" s="1" t="s">
        <v>1913</v>
      </c>
      <c r="D2211" s="1" t="s">
        <v>1913</v>
      </c>
      <c r="E2211" s="1" t="s">
        <v>645</v>
      </c>
      <c r="G2211" s="1">
        <v>1.4642656E8</v>
      </c>
      <c r="H2211" s="2">
        <v>41984.0</v>
      </c>
      <c r="I2211" s="1" t="s">
        <v>710</v>
      </c>
      <c r="K2211" s="1" t="s">
        <v>710</v>
      </c>
      <c r="N2211" s="1" t="s">
        <v>647</v>
      </c>
      <c r="O2211" s="1">
        <v>1200.0</v>
      </c>
      <c r="P2211" s="1" t="s">
        <v>647</v>
      </c>
      <c r="Q2211" s="1" t="str">
        <f>IF(ISERROR(VLOOKUP(P2211,'unique fed agency names'!A:C,3,FALSE)),P2211,VLOOKUP(P2211,'unique fed agency names'!A:C,3,FALSE))
</f>
        <v>U.S. Department of Agriculture (USDA)</v>
      </c>
      <c r="R2211" s="1">
        <v>7.3832607E7</v>
      </c>
      <c r="S2211" s="1" t="s">
        <v>482</v>
      </c>
      <c r="T2211" s="1" t="str">
        <f>IF(ISERROR(VLOOKUP(S2211,'unique org names'!A:C,3,FALSE)),S2211,VLOOKUP(S2211,'unique org names'!A:C,3,FALSE))
</f>
        <v>DETROIT ACADEMY OF ARTS AND SCIENCES</v>
      </c>
      <c r="V2211" s="1" t="s">
        <v>483</v>
      </c>
      <c r="W2211" s="1" t="s">
        <v>44</v>
      </c>
      <c r="X2211" s="1" t="s">
        <v>45</v>
      </c>
      <c r="Y2211" s="1">
        <v>4.82074288E8</v>
      </c>
      <c r="AA2211" s="1" t="s">
        <v>44</v>
      </c>
      <c r="AB2211" s="1" t="s">
        <v>45</v>
      </c>
      <c r="AC2211" s="1">
        <v>4.82074288E8</v>
      </c>
      <c r="AF2211" s="1">
        <v>60183.19</v>
      </c>
      <c r="AG2211" s="2">
        <v>41984.0</v>
      </c>
      <c r="AH2211" s="1">
        <v>1200.0</v>
      </c>
      <c r="AI2211" s="1" t="s">
        <v>647</v>
      </c>
      <c r="AJ2211" s="1" t="s">
        <v>3950</v>
      </c>
      <c r="AK2211" s="1" t="s">
        <v>712</v>
      </c>
      <c r="AL2211" s="1">
        <v>1.0</v>
      </c>
      <c r="AM2211" s="1">
        <v>2015.0</v>
      </c>
      <c r="AN2211" s="1">
        <v>2015.0</v>
      </c>
      <c r="AO2211" s="1" t="s">
        <v>713</v>
      </c>
    </row>
    <row r="2212">
      <c r="A2212" s="5">
        <v>1.0</v>
      </c>
      <c r="B2212" s="1">
        <f t="shared" si="1"/>
        <v>2212</v>
      </c>
      <c r="C2212" s="1" t="s">
        <v>1913</v>
      </c>
      <c r="D2212" s="1" t="s">
        <v>1913</v>
      </c>
      <c r="E2212" s="1" t="s">
        <v>645</v>
      </c>
      <c r="G2212" s="1">
        <v>1.4642656E8</v>
      </c>
      <c r="H2212" s="2">
        <v>41991.0</v>
      </c>
      <c r="I2212" s="1" t="s">
        <v>710</v>
      </c>
      <c r="K2212" s="1" t="s">
        <v>710</v>
      </c>
      <c r="N2212" s="1" t="s">
        <v>647</v>
      </c>
      <c r="O2212" s="1">
        <v>1200.0</v>
      </c>
      <c r="P2212" s="1" t="s">
        <v>647</v>
      </c>
      <c r="Q2212" s="1" t="str">
        <f>IF(ISERROR(VLOOKUP(P2212,'unique fed agency names'!A:C,3,FALSE)),P2212,VLOOKUP(P2212,'unique fed agency names'!A:C,3,FALSE))
</f>
        <v>U.S. Department of Agriculture (USDA)</v>
      </c>
      <c r="R2212" s="1">
        <v>8.5464519E7</v>
      </c>
      <c r="S2212" s="1" t="s">
        <v>704</v>
      </c>
      <c r="T2212" s="1" t="str">
        <f>IF(ISERROR(VLOOKUP(S2212,'unique org names'!A:C,3,FALSE)),S2212,VLOOKUP(S2212,'unique org names'!A:C,3,FALSE))
</f>
        <v>Children's Center of Wayne County Inc.</v>
      </c>
      <c r="U2212" s="1" t="s">
        <v>705</v>
      </c>
      <c r="V2212" s="1" t="s">
        <v>706</v>
      </c>
      <c r="W2212" s="1" t="s">
        <v>44</v>
      </c>
      <c r="X2212" s="1" t="s">
        <v>45</v>
      </c>
      <c r="Y2212" s="1">
        <v>4.82012015E8</v>
      </c>
      <c r="AA2212" s="1" t="s">
        <v>44</v>
      </c>
      <c r="AB2212" s="1" t="s">
        <v>45</v>
      </c>
      <c r="AC2212" s="1">
        <v>4.82192044E8</v>
      </c>
      <c r="AF2212" s="1">
        <v>37598.38</v>
      </c>
      <c r="AG2212" s="2">
        <v>41991.0</v>
      </c>
      <c r="AH2212" s="1">
        <v>1200.0</v>
      </c>
      <c r="AI2212" s="1" t="s">
        <v>647</v>
      </c>
      <c r="AJ2212" s="1" t="s">
        <v>3951</v>
      </c>
      <c r="AK2212" s="1" t="s">
        <v>712</v>
      </c>
      <c r="AL2212" s="1">
        <v>1.0</v>
      </c>
      <c r="AM2212" s="1">
        <v>2015.0</v>
      </c>
      <c r="AN2212" s="1">
        <v>2015.0</v>
      </c>
      <c r="AO2212" s="1" t="s">
        <v>713</v>
      </c>
    </row>
    <row r="2213">
      <c r="A2213" s="5">
        <v>1.0</v>
      </c>
      <c r="B2213" s="1">
        <f t="shared" si="1"/>
        <v>2213</v>
      </c>
      <c r="C2213" s="1" t="s">
        <v>1913</v>
      </c>
      <c r="D2213" s="1" t="s">
        <v>1913</v>
      </c>
      <c r="E2213" s="1" t="s">
        <v>645</v>
      </c>
      <c r="G2213" s="1">
        <v>1.4642656E8</v>
      </c>
      <c r="H2213" s="2">
        <v>41984.0</v>
      </c>
      <c r="I2213" s="1" t="s">
        <v>710</v>
      </c>
      <c r="K2213" s="1" t="s">
        <v>710</v>
      </c>
      <c r="N2213" s="1" t="s">
        <v>647</v>
      </c>
      <c r="O2213" s="1">
        <v>1200.0</v>
      </c>
      <c r="P2213" s="1" t="s">
        <v>647</v>
      </c>
      <c r="Q2213" s="1" t="str">
        <f>IF(ISERROR(VLOOKUP(P2213,'unique fed agency names'!A:C,3,FALSE)),P2213,VLOOKUP(P2213,'unique fed agency names'!A:C,3,FALSE))
</f>
        <v>U.S. Department of Agriculture (USDA)</v>
      </c>
      <c r="R2213" s="1">
        <v>1.17726252E8</v>
      </c>
      <c r="S2213" s="1" t="s">
        <v>512</v>
      </c>
      <c r="T2213" s="1" t="str">
        <f>IF(ISERROR(VLOOKUP(S2213,'unique org names'!A:C,3,FALSE)),S2213,VLOOKUP(S2213,'unique org names'!A:C,3,FALSE))
</f>
        <v>OLD REDFORD ACADEMY</v>
      </c>
      <c r="V2213" s="1" t="s">
        <v>513</v>
      </c>
      <c r="W2213" s="1" t="s">
        <v>44</v>
      </c>
      <c r="X2213" s="1" t="s">
        <v>45</v>
      </c>
      <c r="Y2213" s="1">
        <v>4.82193259E8</v>
      </c>
      <c r="AA2213" s="1" t="s">
        <v>44</v>
      </c>
      <c r="AB2213" s="1" t="s">
        <v>45</v>
      </c>
      <c r="AC2213" s="1">
        <v>4.82193259E8</v>
      </c>
      <c r="AF2213" s="1">
        <v>177761.52</v>
      </c>
      <c r="AG2213" s="2">
        <v>41984.0</v>
      </c>
      <c r="AH2213" s="1">
        <v>1200.0</v>
      </c>
      <c r="AI2213" s="1" t="s">
        <v>647</v>
      </c>
      <c r="AJ2213" s="1" t="s">
        <v>3952</v>
      </c>
      <c r="AK2213" s="1" t="s">
        <v>712</v>
      </c>
      <c r="AL2213" s="1">
        <v>1.0</v>
      </c>
      <c r="AM2213" s="1">
        <v>2015.0</v>
      </c>
      <c r="AN2213" s="1">
        <v>2015.0</v>
      </c>
      <c r="AO2213" s="1" t="s">
        <v>713</v>
      </c>
    </row>
    <row r="2214">
      <c r="A2214" s="5">
        <v>1.0</v>
      </c>
      <c r="B2214" s="1">
        <f t="shared" si="1"/>
        <v>2214</v>
      </c>
      <c r="C2214" s="1" t="s">
        <v>1913</v>
      </c>
      <c r="D2214" s="1" t="s">
        <v>1913</v>
      </c>
      <c r="E2214" s="1" t="s">
        <v>645</v>
      </c>
      <c r="G2214" s="1">
        <v>1.4642656E8</v>
      </c>
      <c r="H2214" s="2">
        <v>41977.0</v>
      </c>
      <c r="I2214" s="1" t="s">
        <v>710</v>
      </c>
      <c r="K2214" s="1" t="s">
        <v>710</v>
      </c>
      <c r="N2214" s="1" t="s">
        <v>647</v>
      </c>
      <c r="O2214" s="1">
        <v>1200.0</v>
      </c>
      <c r="P2214" s="1" t="s">
        <v>647</v>
      </c>
      <c r="Q2214" s="1" t="str">
        <f>IF(ISERROR(VLOOKUP(P2214,'unique fed agency names'!A:C,3,FALSE)),P2214,VLOOKUP(P2214,'unique fed agency names'!A:C,3,FALSE))
</f>
        <v>U.S. Department of Agriculture (USDA)</v>
      </c>
      <c r="R2214" s="1">
        <v>9.62378779E8</v>
      </c>
      <c r="S2214" s="1" t="s">
        <v>478</v>
      </c>
      <c r="T2214" s="1" t="str">
        <f>IF(ISERROR(VLOOKUP(S2214,'unique org names'!A:C,3,FALSE)),S2214,VLOOKUP(S2214,'unique org names'!A:C,3,FALSE))
</f>
        <v>LEGACY CHARTER ACADEMY</v>
      </c>
      <c r="V2214" s="1" t="s">
        <v>479</v>
      </c>
      <c r="W2214" s="1" t="s">
        <v>44</v>
      </c>
      <c r="X2214" s="1" t="s">
        <v>45</v>
      </c>
      <c r="Y2214" s="1">
        <v>4.82342225E8</v>
      </c>
      <c r="AA2214" s="1" t="s">
        <v>44</v>
      </c>
      <c r="AB2214" s="1" t="s">
        <v>45</v>
      </c>
      <c r="AC2214" s="1">
        <v>4.82342225E8</v>
      </c>
      <c r="AF2214" s="1">
        <v>74235.6</v>
      </c>
      <c r="AG2214" s="2">
        <v>41977.0</v>
      </c>
      <c r="AH2214" s="1">
        <v>1200.0</v>
      </c>
      <c r="AI2214" s="1" t="s">
        <v>647</v>
      </c>
      <c r="AJ2214" s="1" t="s">
        <v>3953</v>
      </c>
      <c r="AK2214" s="1" t="s">
        <v>712</v>
      </c>
      <c r="AL2214" s="1">
        <v>1.0</v>
      </c>
      <c r="AM2214" s="1">
        <v>2015.0</v>
      </c>
      <c r="AN2214" s="1">
        <v>2015.0</v>
      </c>
      <c r="AO2214" s="1" t="s">
        <v>713</v>
      </c>
    </row>
    <row r="2215">
      <c r="A2215" s="5">
        <v>1.0</v>
      </c>
      <c r="B2215" s="1">
        <f t="shared" si="1"/>
        <v>2215</v>
      </c>
      <c r="C2215" s="1" t="s">
        <v>1913</v>
      </c>
      <c r="D2215" s="1" t="s">
        <v>1913</v>
      </c>
      <c r="E2215" s="1" t="s">
        <v>645</v>
      </c>
      <c r="G2215" s="1">
        <v>1.4642656E8</v>
      </c>
      <c r="H2215" s="2">
        <v>41984.0</v>
      </c>
      <c r="I2215" s="1" t="s">
        <v>710</v>
      </c>
      <c r="K2215" s="1" t="s">
        <v>710</v>
      </c>
      <c r="N2215" s="1" t="s">
        <v>647</v>
      </c>
      <c r="O2215" s="1">
        <v>1200.0</v>
      </c>
      <c r="P2215" s="1" t="s">
        <v>647</v>
      </c>
      <c r="Q2215" s="1" t="str">
        <f>IF(ISERROR(VLOOKUP(P2215,'unique fed agency names'!A:C,3,FALSE)),P2215,VLOOKUP(P2215,'unique fed agency names'!A:C,3,FALSE))
</f>
        <v>U.S. Department of Agriculture (USDA)</v>
      </c>
      <c r="R2215" s="1">
        <v>7.3832607E7</v>
      </c>
      <c r="S2215" s="1" t="s">
        <v>482</v>
      </c>
      <c r="T2215" s="1" t="str">
        <f>IF(ISERROR(VLOOKUP(S2215,'unique org names'!A:C,3,FALSE)),S2215,VLOOKUP(S2215,'unique org names'!A:C,3,FALSE))
</f>
        <v>DETROIT ACADEMY OF ARTS AND SCIENCES</v>
      </c>
      <c r="V2215" s="1" t="s">
        <v>483</v>
      </c>
      <c r="W2215" s="1" t="s">
        <v>44</v>
      </c>
      <c r="X2215" s="1" t="s">
        <v>45</v>
      </c>
      <c r="Y2215" s="1">
        <v>4.82074288E8</v>
      </c>
      <c r="AA2215" s="1" t="s">
        <v>44</v>
      </c>
      <c r="AB2215" s="1" t="s">
        <v>45</v>
      </c>
      <c r="AC2215" s="1">
        <v>4.82074288E8</v>
      </c>
      <c r="AF2215" s="1">
        <v>104150.4</v>
      </c>
      <c r="AG2215" s="2">
        <v>41984.0</v>
      </c>
      <c r="AH2215" s="1">
        <v>1200.0</v>
      </c>
      <c r="AI2215" s="1" t="s">
        <v>647</v>
      </c>
      <c r="AJ2215" s="1" t="s">
        <v>3954</v>
      </c>
      <c r="AK2215" s="1" t="s">
        <v>712</v>
      </c>
      <c r="AL2215" s="1">
        <v>1.0</v>
      </c>
      <c r="AM2215" s="1">
        <v>2015.0</v>
      </c>
      <c r="AN2215" s="1">
        <v>2015.0</v>
      </c>
      <c r="AO2215" s="1" t="s">
        <v>713</v>
      </c>
    </row>
    <row r="2216">
      <c r="A2216" s="5">
        <v>1.0</v>
      </c>
      <c r="B2216" s="1">
        <f t="shared" si="1"/>
        <v>2216</v>
      </c>
      <c r="C2216" s="1" t="s">
        <v>3750</v>
      </c>
      <c r="D2216" s="1" t="s">
        <v>3750</v>
      </c>
      <c r="E2216" s="1" t="s">
        <v>129</v>
      </c>
      <c r="G2216" s="1">
        <v>2.466944E7</v>
      </c>
      <c r="H2216" s="2">
        <v>41913.0</v>
      </c>
      <c r="I2216" s="1" t="s">
        <v>3751</v>
      </c>
      <c r="K2216" s="1" t="s">
        <v>3751</v>
      </c>
      <c r="N2216" s="1" t="s">
        <v>40</v>
      </c>
      <c r="O2216" s="1">
        <v>7500.0</v>
      </c>
      <c r="P2216" s="1" t="s">
        <v>40</v>
      </c>
      <c r="Q2216" s="1" t="str">
        <f>IF(ISERROR(VLOOKUP(P2216,'unique fed agency names'!A:C,3,FALSE)),P2216,VLOOKUP(P2216,'unique fed agency names'!A:C,3,FALSE))
</f>
        <v>U.S. Department of Health and Human Services (DHHS)</v>
      </c>
      <c r="R2216" s="1">
        <v>2.0830303E7</v>
      </c>
      <c r="S2216" s="1" t="s">
        <v>424</v>
      </c>
      <c r="T2216" s="1" t="str">
        <f>IF(ISERROR(VLOOKUP(S2216,'unique org names'!A:C,3,FALSE)),S2216,VLOOKUP(S2216,'unique org names'!A:C,3,FALSE))
</f>
        <v>MATRIX HUMAN SERVICES</v>
      </c>
      <c r="U2216" s="1" t="s">
        <v>425</v>
      </c>
      <c r="V2216" s="1" t="s">
        <v>426</v>
      </c>
      <c r="W2216" s="1" t="s">
        <v>44</v>
      </c>
      <c r="X2216" s="1" t="s">
        <v>45</v>
      </c>
      <c r="Y2216" s="1">
        <v>4.82012002E8</v>
      </c>
      <c r="AA2216" s="1" t="s">
        <v>44</v>
      </c>
      <c r="AB2216" s="1" t="s">
        <v>45</v>
      </c>
      <c r="AC2216" s="1">
        <v>4.82012002E8</v>
      </c>
      <c r="AD2216" s="1">
        <v>2.0830303E7</v>
      </c>
      <c r="AE2216" s="1" t="s">
        <v>424</v>
      </c>
      <c r="AF2216" s="1">
        <v>297415.0</v>
      </c>
      <c r="AG2216" s="2">
        <v>41913.0</v>
      </c>
      <c r="AH2216" s="1">
        <v>7500.0</v>
      </c>
      <c r="AI2216" s="1" t="s">
        <v>40</v>
      </c>
      <c r="AJ2216" s="1" t="s">
        <v>2642</v>
      </c>
      <c r="AK2216" s="1" t="s">
        <v>3955</v>
      </c>
      <c r="AL2216" s="1">
        <v>11.0</v>
      </c>
      <c r="AM2216" s="1">
        <v>2014.0</v>
      </c>
      <c r="AN2216" s="1">
        <v>2015.0</v>
      </c>
      <c r="AO2216" s="1" t="s">
        <v>1275</v>
      </c>
    </row>
    <row r="2217">
      <c r="A2217" s="5">
        <v>1.0</v>
      </c>
      <c r="B2217" s="1">
        <f t="shared" si="1"/>
        <v>2217</v>
      </c>
      <c r="C2217" s="1" t="s">
        <v>198</v>
      </c>
      <c r="D2217" s="1" t="s">
        <v>198</v>
      </c>
      <c r="E2217" s="1" t="s">
        <v>38</v>
      </c>
      <c r="G2217" s="1">
        <v>9391444.0</v>
      </c>
      <c r="H2217" s="2">
        <v>41985.0</v>
      </c>
      <c r="I2217" s="1" t="s">
        <v>2086</v>
      </c>
      <c r="K2217" s="1" t="s">
        <v>2086</v>
      </c>
      <c r="N2217" s="1" t="s">
        <v>40</v>
      </c>
      <c r="O2217" s="1">
        <v>7500.0</v>
      </c>
      <c r="P2217" s="1" t="s">
        <v>40</v>
      </c>
      <c r="Q2217" s="1" t="str">
        <f>IF(ISERROR(VLOOKUP(P2217,'unique fed agency names'!A:C,3,FALSE)),P2217,VLOOKUP(P2217,'unique fed agency names'!A:C,3,FALSE))
</f>
        <v>U.S. Department of Health and Human Services (DHHS)</v>
      </c>
      <c r="R2217" s="1">
        <v>7.3134603E7</v>
      </c>
      <c r="S2217" s="1" t="s">
        <v>41</v>
      </c>
      <c r="T2217" s="1" t="str">
        <f>IF(ISERROR(VLOOKUP(S2217,'unique org names'!A:C,3,FALSE)),S2217,VLOOKUP(S2217,'unique org names'!A:C,3,FALSE))
</f>
        <v>Henry Ford Health System</v>
      </c>
      <c r="U2217" s="1" t="s">
        <v>252</v>
      </c>
      <c r="V2217" s="1" t="s">
        <v>253</v>
      </c>
      <c r="W2217" s="1" t="s">
        <v>44</v>
      </c>
      <c r="X2217" s="1" t="s">
        <v>45</v>
      </c>
      <c r="Y2217" s="1">
        <v>4.8202345E8</v>
      </c>
      <c r="AA2217" s="1" t="s">
        <v>46</v>
      </c>
      <c r="AB2217" s="1" t="s">
        <v>45</v>
      </c>
      <c r="AC2217" s="1">
        <v>4.8202345E8</v>
      </c>
      <c r="AD2217" s="1">
        <v>7.3134603E7</v>
      </c>
      <c r="AE2217" s="1" t="s">
        <v>41</v>
      </c>
      <c r="AF2217" s="1">
        <v>101444.0</v>
      </c>
      <c r="AG2217" s="2">
        <v>41985.0</v>
      </c>
      <c r="AH2217" s="1">
        <v>7500.0</v>
      </c>
      <c r="AI2217" s="1" t="s">
        <v>40</v>
      </c>
      <c r="AJ2217" s="1" t="s">
        <v>1527</v>
      </c>
      <c r="AK2217" s="1" t="s">
        <v>2909</v>
      </c>
      <c r="AL2217" s="1">
        <v>1.0</v>
      </c>
      <c r="AM2217" s="1">
        <v>2015.0</v>
      </c>
      <c r="AN2217" s="1">
        <v>2015.0</v>
      </c>
      <c r="AO2217" s="1" t="s">
        <v>202</v>
      </c>
    </row>
    <row r="2218">
      <c r="A2218" s="5">
        <v>1.0</v>
      </c>
      <c r="B2218" s="1">
        <f t="shared" si="1"/>
        <v>2218</v>
      </c>
      <c r="C2218" s="1" t="s">
        <v>3956</v>
      </c>
      <c r="D2218" s="1" t="s">
        <v>3956</v>
      </c>
      <c r="E2218" s="1" t="s">
        <v>207</v>
      </c>
      <c r="G2218" s="1">
        <v>2.48575334E9</v>
      </c>
      <c r="H2218" s="2">
        <v>41548.0</v>
      </c>
      <c r="I2218" s="1" t="s">
        <v>3957</v>
      </c>
      <c r="K2218" s="1" t="s">
        <v>3957</v>
      </c>
      <c r="N2218" s="1" t="s">
        <v>40</v>
      </c>
      <c r="O2218" s="1">
        <v>7500.0</v>
      </c>
      <c r="P2218" s="1" t="s">
        <v>40</v>
      </c>
      <c r="Q2218" s="1" t="str">
        <f>IF(ISERROR(VLOOKUP(P2218,'unique fed agency names'!A:C,3,FALSE)),P2218,VLOOKUP(P2218,'unique fed agency names'!A:C,3,FALSE))
</f>
        <v>U.S. Department of Health and Human Services (DHHS)</v>
      </c>
      <c r="R2218" s="1">
        <v>3.8775243E7</v>
      </c>
      <c r="S2218" s="1" t="s">
        <v>209</v>
      </c>
      <c r="T2218" s="1" t="str">
        <f>IF(ISERROR(VLOOKUP(S2218,'unique org names'!A:C,3,FALSE)),S2218,VLOOKUP(S2218,'unique org names'!A:C,3,FALSE))
</f>
        <v>SOUTHEASTERN MICHIGAN HEALTH ASSOCIATION</v>
      </c>
      <c r="U2218" s="1" t="s">
        <v>210</v>
      </c>
      <c r="V2218" s="1" t="s">
        <v>211</v>
      </c>
      <c r="W2218" s="1" t="s">
        <v>44</v>
      </c>
      <c r="X2218" s="1" t="s">
        <v>45</v>
      </c>
      <c r="Y2218" s="1">
        <v>4.82023068E8</v>
      </c>
      <c r="AA2218" s="1" t="s">
        <v>46</v>
      </c>
      <c r="AB2218" s="1" t="s">
        <v>45</v>
      </c>
      <c r="AC2218" s="1">
        <v>4.82023068E8</v>
      </c>
      <c r="AD2218" s="1">
        <v>3.8775243E7</v>
      </c>
      <c r="AE2218" s="1" t="s">
        <v>209</v>
      </c>
      <c r="AF2218" s="1">
        <v>8199.72</v>
      </c>
      <c r="AG2218" s="2">
        <v>41548.0</v>
      </c>
      <c r="AH2218" s="1">
        <v>7500.0</v>
      </c>
      <c r="AI2218" s="1" t="s">
        <v>40</v>
      </c>
      <c r="AJ2218" s="1">
        <v>2.014069E7</v>
      </c>
      <c r="AK2218" s="1" t="s">
        <v>212</v>
      </c>
      <c r="AL2218" s="1">
        <v>10.0</v>
      </c>
      <c r="AM2218" s="1">
        <v>2013.0</v>
      </c>
      <c r="AN2218" s="1">
        <v>2014.0</v>
      </c>
      <c r="AO2218" s="1" t="s">
        <v>213</v>
      </c>
    </row>
    <row r="2219">
      <c r="A2219" s="5">
        <v>1.0</v>
      </c>
      <c r="B2219" s="1">
        <f t="shared" si="1"/>
        <v>2219</v>
      </c>
      <c r="C2219" s="1" t="s">
        <v>3956</v>
      </c>
      <c r="D2219" s="1" t="s">
        <v>3956</v>
      </c>
      <c r="E2219" s="1" t="s">
        <v>207</v>
      </c>
      <c r="G2219" s="1">
        <v>2.48575334E9</v>
      </c>
      <c r="H2219" s="2">
        <v>41548.0</v>
      </c>
      <c r="I2219" s="1" t="s">
        <v>3957</v>
      </c>
      <c r="K2219" s="1" t="s">
        <v>3957</v>
      </c>
      <c r="N2219" s="1" t="s">
        <v>40</v>
      </c>
      <c r="O2219" s="1">
        <v>7500.0</v>
      </c>
      <c r="P2219" s="1" t="s">
        <v>40</v>
      </c>
      <c r="Q2219" s="1" t="str">
        <f>IF(ISERROR(VLOOKUP(P2219,'unique fed agency names'!A:C,3,FALSE)),P2219,VLOOKUP(P2219,'unique fed agency names'!A:C,3,FALSE))
</f>
        <v>U.S. Department of Health and Human Services (DHHS)</v>
      </c>
      <c r="R2219" s="1">
        <v>3.8775243E7</v>
      </c>
      <c r="S2219" s="1" t="s">
        <v>209</v>
      </c>
      <c r="T2219" s="1" t="str">
        <f>IF(ISERROR(VLOOKUP(S2219,'unique org names'!A:C,3,FALSE)),S2219,VLOOKUP(S2219,'unique org names'!A:C,3,FALSE))
</f>
        <v>SOUTHEASTERN MICHIGAN HEALTH ASSOCIATION</v>
      </c>
      <c r="U2219" s="1" t="s">
        <v>210</v>
      </c>
      <c r="V2219" s="1" t="s">
        <v>211</v>
      </c>
      <c r="W2219" s="1" t="s">
        <v>44</v>
      </c>
      <c r="X2219" s="1" t="s">
        <v>45</v>
      </c>
      <c r="Y2219" s="1">
        <v>4.82023068E8</v>
      </c>
      <c r="AA2219" s="1" t="s">
        <v>46</v>
      </c>
      <c r="AB2219" s="1" t="s">
        <v>45</v>
      </c>
      <c r="AC2219" s="1">
        <v>4.82023068E8</v>
      </c>
      <c r="AD2219" s="1">
        <v>3.8775243E7</v>
      </c>
      <c r="AE2219" s="1" t="s">
        <v>209</v>
      </c>
      <c r="AF2219" s="1">
        <v>731.13</v>
      </c>
      <c r="AG2219" s="2">
        <v>41548.0</v>
      </c>
      <c r="AH2219" s="1">
        <v>7500.0</v>
      </c>
      <c r="AI2219" s="1" t="s">
        <v>40</v>
      </c>
      <c r="AJ2219" s="1">
        <v>2.0140695E7</v>
      </c>
      <c r="AK2219" s="1" t="s">
        <v>212</v>
      </c>
      <c r="AL2219" s="1">
        <v>10.0</v>
      </c>
      <c r="AM2219" s="1">
        <v>2013.0</v>
      </c>
      <c r="AN2219" s="1">
        <v>2014.0</v>
      </c>
      <c r="AO2219" s="1" t="s">
        <v>213</v>
      </c>
    </row>
    <row r="2220">
      <c r="A2220" s="5">
        <v>1.0</v>
      </c>
      <c r="B2220" s="1">
        <f t="shared" si="1"/>
        <v>2220</v>
      </c>
      <c r="C2220" s="1" t="s">
        <v>3956</v>
      </c>
      <c r="D2220" s="1" t="s">
        <v>3956</v>
      </c>
      <c r="E2220" s="1" t="s">
        <v>207</v>
      </c>
      <c r="G2220" s="1">
        <v>2.48575334E9</v>
      </c>
      <c r="H2220" s="2">
        <v>41548.0</v>
      </c>
      <c r="I2220" s="1" t="s">
        <v>3957</v>
      </c>
      <c r="K2220" s="1" t="s">
        <v>3957</v>
      </c>
      <c r="N2220" s="1" t="s">
        <v>40</v>
      </c>
      <c r="O2220" s="1">
        <v>7500.0</v>
      </c>
      <c r="P2220" s="1" t="s">
        <v>40</v>
      </c>
      <c r="Q2220" s="1" t="str">
        <f>IF(ISERROR(VLOOKUP(P2220,'unique fed agency names'!A:C,3,FALSE)),P2220,VLOOKUP(P2220,'unique fed agency names'!A:C,3,FALSE))
</f>
        <v>U.S. Department of Health and Human Services (DHHS)</v>
      </c>
      <c r="R2220" s="1">
        <v>3.8775243E7</v>
      </c>
      <c r="S2220" s="1" t="s">
        <v>209</v>
      </c>
      <c r="T2220" s="1" t="str">
        <f>IF(ISERROR(VLOOKUP(S2220,'unique org names'!A:C,3,FALSE)),S2220,VLOOKUP(S2220,'unique org names'!A:C,3,FALSE))
</f>
        <v>SOUTHEASTERN MICHIGAN HEALTH ASSOCIATION</v>
      </c>
      <c r="U2220" s="1" t="s">
        <v>210</v>
      </c>
      <c r="V2220" s="1" t="s">
        <v>211</v>
      </c>
      <c r="W2220" s="1" t="s">
        <v>44</v>
      </c>
      <c r="X2220" s="1" t="s">
        <v>45</v>
      </c>
      <c r="Y2220" s="1">
        <v>4.82023068E8</v>
      </c>
      <c r="AA2220" s="1" t="s">
        <v>46</v>
      </c>
      <c r="AB2220" s="1" t="s">
        <v>45</v>
      </c>
      <c r="AC2220" s="1">
        <v>4.82023068E8</v>
      </c>
      <c r="AD2220" s="1">
        <v>3.8775243E7</v>
      </c>
      <c r="AE2220" s="1" t="s">
        <v>209</v>
      </c>
      <c r="AF2220" s="1">
        <v>9966.75</v>
      </c>
      <c r="AG2220" s="2">
        <v>41548.0</v>
      </c>
      <c r="AH2220" s="1">
        <v>7500.0</v>
      </c>
      <c r="AI2220" s="1" t="s">
        <v>40</v>
      </c>
      <c r="AJ2220" s="1">
        <v>2.0140687E7</v>
      </c>
      <c r="AK2220" s="1" t="s">
        <v>212</v>
      </c>
      <c r="AL2220" s="1">
        <v>10.0</v>
      </c>
      <c r="AM2220" s="1">
        <v>2013.0</v>
      </c>
      <c r="AN2220" s="1">
        <v>2014.0</v>
      </c>
      <c r="AO2220" s="1" t="s">
        <v>213</v>
      </c>
    </row>
    <row r="2221">
      <c r="A2221" s="5">
        <v>1.0</v>
      </c>
      <c r="B2221" s="1">
        <f t="shared" si="1"/>
        <v>2221</v>
      </c>
      <c r="C2221" s="1" t="s">
        <v>3958</v>
      </c>
      <c r="D2221" s="1" t="s">
        <v>3958</v>
      </c>
      <c r="E2221" s="1" t="s">
        <v>207</v>
      </c>
      <c r="G2221" s="1">
        <v>4.972778E9</v>
      </c>
      <c r="H2221" s="2">
        <v>41183.0</v>
      </c>
      <c r="I2221" s="1" t="s">
        <v>3959</v>
      </c>
      <c r="K2221" s="1" t="s">
        <v>3959</v>
      </c>
      <c r="N2221" s="1" t="s">
        <v>40</v>
      </c>
      <c r="O2221" s="1">
        <v>7500.0</v>
      </c>
      <c r="P2221" s="1" t="s">
        <v>40</v>
      </c>
      <c r="Q2221" s="1" t="str">
        <f>IF(ISERROR(VLOOKUP(P2221,'unique fed agency names'!A:C,3,FALSE)),P2221,VLOOKUP(P2221,'unique fed agency names'!A:C,3,FALSE))
</f>
        <v>U.S. Department of Health and Human Services (DHHS)</v>
      </c>
      <c r="R2221" s="1">
        <v>3.8775243E7</v>
      </c>
      <c r="S2221" s="1" t="s">
        <v>209</v>
      </c>
      <c r="T2221" s="1" t="str">
        <f>IF(ISERROR(VLOOKUP(S2221,'unique org names'!A:C,3,FALSE)),S2221,VLOOKUP(S2221,'unique org names'!A:C,3,FALSE))
</f>
        <v>SOUTHEASTERN MICHIGAN HEALTH ASSOCIATION</v>
      </c>
      <c r="U2221" s="1" t="s">
        <v>210</v>
      </c>
      <c r="V2221" s="1" t="s">
        <v>211</v>
      </c>
      <c r="W2221" s="1" t="s">
        <v>44</v>
      </c>
      <c r="X2221" s="1" t="s">
        <v>45</v>
      </c>
      <c r="Y2221" s="1">
        <v>4.82023068E8</v>
      </c>
      <c r="AA2221" s="1" t="s">
        <v>46</v>
      </c>
      <c r="AB2221" s="1" t="s">
        <v>45</v>
      </c>
      <c r="AC2221" s="1">
        <v>4.82023068E8</v>
      </c>
      <c r="AD2221" s="1">
        <v>3.8775243E7</v>
      </c>
      <c r="AE2221" s="1" t="s">
        <v>209</v>
      </c>
      <c r="AF2221" s="1">
        <v>416.12</v>
      </c>
      <c r="AG2221" s="2">
        <v>41183.0</v>
      </c>
      <c r="AH2221" s="1">
        <v>7500.0</v>
      </c>
      <c r="AI2221" s="1" t="s">
        <v>40</v>
      </c>
      <c r="AJ2221" s="1">
        <v>2.0131083E7</v>
      </c>
      <c r="AK2221" s="1" t="s">
        <v>212</v>
      </c>
      <c r="AL2221" s="1">
        <v>10.0</v>
      </c>
      <c r="AM2221" s="1">
        <v>2013.0</v>
      </c>
      <c r="AN2221" s="1">
        <v>2013.0</v>
      </c>
      <c r="AO2221" s="1" t="s">
        <v>213</v>
      </c>
    </row>
    <row r="2222">
      <c r="A2222" s="5">
        <v>1.0</v>
      </c>
      <c r="B2222" s="1">
        <f t="shared" si="1"/>
        <v>2222</v>
      </c>
      <c r="C2222" s="1" t="s">
        <v>3958</v>
      </c>
      <c r="D2222" s="1" t="s">
        <v>3958</v>
      </c>
      <c r="E2222" s="1" t="s">
        <v>207</v>
      </c>
      <c r="G2222" s="1">
        <v>4.972778E9</v>
      </c>
      <c r="H2222" s="2">
        <v>41183.0</v>
      </c>
      <c r="I2222" s="1" t="s">
        <v>3959</v>
      </c>
      <c r="K2222" s="1" t="s">
        <v>3959</v>
      </c>
      <c r="N2222" s="1" t="s">
        <v>40</v>
      </c>
      <c r="O2222" s="1">
        <v>7500.0</v>
      </c>
      <c r="P2222" s="1" t="s">
        <v>40</v>
      </c>
      <c r="Q2222" s="1" t="str">
        <f>IF(ISERROR(VLOOKUP(P2222,'unique fed agency names'!A:C,3,FALSE)),P2222,VLOOKUP(P2222,'unique fed agency names'!A:C,3,FALSE))
</f>
        <v>U.S. Department of Health and Human Services (DHHS)</v>
      </c>
      <c r="R2222" s="1">
        <v>3.8775243E7</v>
      </c>
      <c r="S2222" s="1" t="s">
        <v>209</v>
      </c>
      <c r="T2222" s="1" t="str">
        <f>IF(ISERROR(VLOOKUP(S2222,'unique org names'!A:C,3,FALSE)),S2222,VLOOKUP(S2222,'unique org names'!A:C,3,FALSE))
</f>
        <v>SOUTHEASTERN MICHIGAN HEALTH ASSOCIATION</v>
      </c>
      <c r="U2222" s="1" t="s">
        <v>210</v>
      </c>
      <c r="V2222" s="1" t="s">
        <v>211</v>
      </c>
      <c r="W2222" s="1" t="s">
        <v>44</v>
      </c>
      <c r="X2222" s="1" t="s">
        <v>45</v>
      </c>
      <c r="Y2222" s="1">
        <v>4.82023068E8</v>
      </c>
      <c r="AA2222" s="1" t="s">
        <v>46</v>
      </c>
      <c r="AB2222" s="1" t="s">
        <v>45</v>
      </c>
      <c r="AC2222" s="1">
        <v>4.82023068E8</v>
      </c>
      <c r="AD2222" s="1">
        <v>3.8775243E7</v>
      </c>
      <c r="AE2222" s="1" t="s">
        <v>209</v>
      </c>
      <c r="AF2222" s="1">
        <v>416.12</v>
      </c>
      <c r="AG2222" s="2">
        <v>41183.0</v>
      </c>
      <c r="AH2222" s="1">
        <v>7500.0</v>
      </c>
      <c r="AI2222" s="1" t="s">
        <v>40</v>
      </c>
      <c r="AJ2222" s="1">
        <v>2.0131083E7</v>
      </c>
      <c r="AK2222" s="1" t="s">
        <v>212</v>
      </c>
      <c r="AL2222" s="1">
        <v>10.0</v>
      </c>
      <c r="AM2222" s="1">
        <v>2013.0</v>
      </c>
      <c r="AN2222" s="1">
        <v>2013.0</v>
      </c>
      <c r="AO2222" s="1" t="s">
        <v>213</v>
      </c>
    </row>
    <row r="2223">
      <c r="A2223" s="5">
        <v>1.0</v>
      </c>
      <c r="B2223" s="1">
        <f t="shared" si="1"/>
        <v>2223</v>
      </c>
      <c r="C2223" s="1" t="s">
        <v>3958</v>
      </c>
      <c r="D2223" s="1" t="s">
        <v>3958</v>
      </c>
      <c r="E2223" s="1" t="s">
        <v>207</v>
      </c>
      <c r="G2223" s="1">
        <v>4.972778E9</v>
      </c>
      <c r="H2223" s="2">
        <v>41548.0</v>
      </c>
      <c r="I2223" s="1" t="s">
        <v>3959</v>
      </c>
      <c r="K2223" s="1" t="s">
        <v>3959</v>
      </c>
      <c r="N2223" s="1" t="s">
        <v>40</v>
      </c>
      <c r="O2223" s="1">
        <v>7500.0</v>
      </c>
      <c r="P2223" s="1" t="s">
        <v>40</v>
      </c>
      <c r="Q2223" s="1" t="str">
        <f>IF(ISERROR(VLOOKUP(P2223,'unique fed agency names'!A:C,3,FALSE)),P2223,VLOOKUP(P2223,'unique fed agency names'!A:C,3,FALSE))
</f>
        <v>U.S. Department of Health and Human Services (DHHS)</v>
      </c>
      <c r="R2223" s="1">
        <v>7.6377316E7</v>
      </c>
      <c r="S2223" s="1" t="s">
        <v>2302</v>
      </c>
      <c r="T2223" s="1" t="str">
        <f>IF(ISERROR(VLOOKUP(S2223,'unique org names'!A:C,3,FALSE)),S2223,VLOOKUP(S2223,'unique org names'!A:C,3,FALSE))
</f>
        <v>VHS CHILDREN'S HOSPITAL OF MICHIGAN, INC.</v>
      </c>
      <c r="U2223" s="1" t="s">
        <v>3960</v>
      </c>
      <c r="V2223" s="1" t="s">
        <v>2303</v>
      </c>
      <c r="W2223" s="1" t="s">
        <v>44</v>
      </c>
      <c r="X2223" s="1" t="s">
        <v>45</v>
      </c>
      <c r="Y2223" s="1">
        <v>4.82012119E8</v>
      </c>
      <c r="AA2223" s="1" t="s">
        <v>46</v>
      </c>
      <c r="AB2223" s="1" t="s">
        <v>45</v>
      </c>
      <c r="AC2223" s="1">
        <v>4.82012119E8</v>
      </c>
      <c r="AD2223" s="1">
        <v>5.3866661E7</v>
      </c>
      <c r="AF2223" s="1">
        <v>11697.73</v>
      </c>
      <c r="AG2223" s="2">
        <v>41548.0</v>
      </c>
      <c r="AH2223" s="1">
        <v>7500.0</v>
      </c>
      <c r="AI2223" s="1" t="s">
        <v>40</v>
      </c>
      <c r="AJ2223" s="1">
        <v>2.0140061E7</v>
      </c>
      <c r="AK2223" s="1" t="s">
        <v>212</v>
      </c>
      <c r="AL2223" s="1">
        <v>10.0</v>
      </c>
      <c r="AM2223" s="1">
        <v>2013.0</v>
      </c>
      <c r="AN2223" s="1">
        <v>2014.0</v>
      </c>
      <c r="AO2223" s="1" t="s">
        <v>213</v>
      </c>
    </row>
    <row r="2224">
      <c r="A2224" s="5">
        <v>1.0</v>
      </c>
      <c r="B2224" s="1">
        <f t="shared" si="1"/>
        <v>2224</v>
      </c>
      <c r="C2224" s="1" t="s">
        <v>3958</v>
      </c>
      <c r="D2224" s="1" t="s">
        <v>3958</v>
      </c>
      <c r="E2224" s="1" t="s">
        <v>207</v>
      </c>
      <c r="G2224" s="1">
        <v>4.972778E9</v>
      </c>
      <c r="H2224" s="2">
        <v>41548.0</v>
      </c>
      <c r="I2224" s="1" t="s">
        <v>3959</v>
      </c>
      <c r="K2224" s="1" t="s">
        <v>3959</v>
      </c>
      <c r="N2224" s="1" t="s">
        <v>40</v>
      </c>
      <c r="O2224" s="1">
        <v>7500.0</v>
      </c>
      <c r="P2224" s="1" t="s">
        <v>40</v>
      </c>
      <c r="Q2224" s="1" t="str">
        <f>IF(ISERROR(VLOOKUP(P2224,'unique fed agency names'!A:C,3,FALSE)),P2224,VLOOKUP(P2224,'unique fed agency names'!A:C,3,FALSE))
</f>
        <v>U.S. Department of Health and Human Services (DHHS)</v>
      </c>
      <c r="R2224" s="1">
        <v>3.8775243E7</v>
      </c>
      <c r="S2224" s="1" t="s">
        <v>209</v>
      </c>
      <c r="T2224" s="1" t="str">
        <f>IF(ISERROR(VLOOKUP(S2224,'unique org names'!A:C,3,FALSE)),S2224,VLOOKUP(S2224,'unique org names'!A:C,3,FALSE))
</f>
        <v>SOUTHEASTERN MICHIGAN HEALTH ASSOCIATION</v>
      </c>
      <c r="U2224" s="1" t="s">
        <v>210</v>
      </c>
      <c r="V2224" s="1" t="s">
        <v>211</v>
      </c>
      <c r="W2224" s="1" t="s">
        <v>44</v>
      </c>
      <c r="X2224" s="1" t="s">
        <v>45</v>
      </c>
      <c r="Y2224" s="1">
        <v>4.82023068E8</v>
      </c>
      <c r="AA2224" s="1" t="s">
        <v>46</v>
      </c>
      <c r="AB2224" s="1" t="s">
        <v>45</v>
      </c>
      <c r="AC2224" s="1">
        <v>4.82023068E8</v>
      </c>
      <c r="AD2224" s="1">
        <v>3.8775243E7</v>
      </c>
      <c r="AE2224" s="1" t="s">
        <v>209</v>
      </c>
      <c r="AF2224" s="1">
        <v>3750.0</v>
      </c>
      <c r="AG2224" s="2">
        <v>41548.0</v>
      </c>
      <c r="AH2224" s="1">
        <v>7500.0</v>
      </c>
      <c r="AI2224" s="1" t="s">
        <v>40</v>
      </c>
      <c r="AJ2224" s="1">
        <v>2.0142024E7</v>
      </c>
      <c r="AK2224" s="1" t="s">
        <v>212</v>
      </c>
      <c r="AL2224" s="1">
        <v>10.0</v>
      </c>
      <c r="AM2224" s="1">
        <v>2013.0</v>
      </c>
      <c r="AN2224" s="1">
        <v>2014.0</v>
      </c>
      <c r="AO2224" s="1" t="s">
        <v>213</v>
      </c>
    </row>
    <row r="2225">
      <c r="A2225" s="5">
        <v>1.0</v>
      </c>
      <c r="B2225" s="1">
        <f t="shared" si="1"/>
        <v>2225</v>
      </c>
      <c r="C2225" s="1" t="s">
        <v>3958</v>
      </c>
      <c r="D2225" s="1" t="s">
        <v>3958</v>
      </c>
      <c r="E2225" s="1" t="s">
        <v>207</v>
      </c>
      <c r="G2225" s="1">
        <v>4.972778E9</v>
      </c>
      <c r="H2225" s="2">
        <v>41548.0</v>
      </c>
      <c r="I2225" s="1" t="s">
        <v>3959</v>
      </c>
      <c r="K2225" s="1" t="s">
        <v>3959</v>
      </c>
      <c r="N2225" s="1" t="s">
        <v>40</v>
      </c>
      <c r="O2225" s="1">
        <v>7500.0</v>
      </c>
      <c r="P2225" s="1" t="s">
        <v>40</v>
      </c>
      <c r="Q2225" s="1" t="str">
        <f>IF(ISERROR(VLOOKUP(P2225,'unique fed agency names'!A:C,3,FALSE)),P2225,VLOOKUP(P2225,'unique fed agency names'!A:C,3,FALSE))
</f>
        <v>U.S. Department of Health and Human Services (DHHS)</v>
      </c>
      <c r="R2225" s="1">
        <v>8.09204196E8</v>
      </c>
      <c r="S2225" s="1" t="s">
        <v>175</v>
      </c>
      <c r="T2225" s="1" t="str">
        <f>IF(ISERROR(VLOOKUP(S2225,'unique org names'!A:C,3,FALSE)),S2225,VLOOKUP(S2225,'unique org names'!A:C,3,FALSE))
</f>
        <v>DETROIT WAYNE COUNTY HEALTH AUTHORITY</v>
      </c>
      <c r="U2225" s="1" t="s">
        <v>2775</v>
      </c>
      <c r="V2225" s="1" t="s">
        <v>2078</v>
      </c>
      <c r="W2225" s="1" t="s">
        <v>44</v>
      </c>
      <c r="X2225" s="1" t="s">
        <v>45</v>
      </c>
      <c r="Y2225" s="1">
        <v>4.82023026E8</v>
      </c>
      <c r="AA2225" s="1" t="s">
        <v>46</v>
      </c>
      <c r="AB2225" s="1" t="s">
        <v>45</v>
      </c>
      <c r="AC2225" s="1">
        <v>4.82023026E8</v>
      </c>
      <c r="AD2225" s="1">
        <v>8.09204196E8</v>
      </c>
      <c r="AE2225" s="1" t="s">
        <v>175</v>
      </c>
      <c r="AF2225" s="1">
        <v>63359.0</v>
      </c>
      <c r="AG2225" s="2">
        <v>41548.0</v>
      </c>
      <c r="AH2225" s="1">
        <v>7500.0</v>
      </c>
      <c r="AI2225" s="1" t="s">
        <v>40</v>
      </c>
      <c r="AJ2225" s="1">
        <v>2.0141916E7</v>
      </c>
      <c r="AK2225" s="1" t="s">
        <v>212</v>
      </c>
      <c r="AL2225" s="1">
        <v>10.0</v>
      </c>
      <c r="AM2225" s="1">
        <v>2013.0</v>
      </c>
      <c r="AN2225" s="1">
        <v>2014.0</v>
      </c>
      <c r="AO2225" s="1" t="s">
        <v>213</v>
      </c>
    </row>
    <row r="2226">
      <c r="A2226" s="5">
        <v>1.0</v>
      </c>
      <c r="B2226" s="1">
        <f t="shared" si="1"/>
        <v>2226</v>
      </c>
      <c r="C2226" s="1" t="s">
        <v>3961</v>
      </c>
      <c r="D2226" s="1" t="s">
        <v>3961</v>
      </c>
      <c r="E2226" s="1" t="s">
        <v>207</v>
      </c>
      <c r="G2226" s="1">
        <v>1.5943497E9</v>
      </c>
      <c r="H2226" s="2">
        <v>41548.0</v>
      </c>
      <c r="I2226" s="1" t="s">
        <v>3962</v>
      </c>
      <c r="K2226" s="1" t="s">
        <v>3962</v>
      </c>
      <c r="N2226" s="1" t="s">
        <v>40</v>
      </c>
      <c r="O2226" s="1">
        <v>7500.0</v>
      </c>
      <c r="P2226" s="1" t="s">
        <v>40</v>
      </c>
      <c r="Q2226" s="1" t="str">
        <f>IF(ISERROR(VLOOKUP(P2226,'unique fed agency names'!A:C,3,FALSE)),P2226,VLOOKUP(P2226,'unique fed agency names'!A:C,3,FALSE))
</f>
        <v>U.S. Department of Health and Human Services (DHHS)</v>
      </c>
      <c r="R2226" s="1">
        <v>7.6377316E7</v>
      </c>
      <c r="S2226" s="1" t="s">
        <v>2302</v>
      </c>
      <c r="T2226" s="1" t="str">
        <f>IF(ISERROR(VLOOKUP(S2226,'unique org names'!A:C,3,FALSE)),S2226,VLOOKUP(S2226,'unique org names'!A:C,3,FALSE))
</f>
        <v>VHS CHILDREN'S HOSPITAL OF MICHIGAN, INC.</v>
      </c>
      <c r="U2226" s="1" t="s">
        <v>3960</v>
      </c>
      <c r="V2226" s="1" t="s">
        <v>2303</v>
      </c>
      <c r="W2226" s="1" t="s">
        <v>44</v>
      </c>
      <c r="X2226" s="1" t="s">
        <v>45</v>
      </c>
      <c r="Y2226" s="1">
        <v>4.82012119E8</v>
      </c>
      <c r="AA2226" s="1" t="s">
        <v>46</v>
      </c>
      <c r="AB2226" s="1" t="s">
        <v>45</v>
      </c>
      <c r="AC2226" s="1">
        <v>4.82012119E8</v>
      </c>
      <c r="AD2226" s="1">
        <v>5.3866661E7</v>
      </c>
      <c r="AF2226" s="1">
        <v>11697.73</v>
      </c>
      <c r="AG2226" s="2">
        <v>41548.0</v>
      </c>
      <c r="AH2226" s="1">
        <v>7500.0</v>
      </c>
      <c r="AI2226" s="1" t="s">
        <v>40</v>
      </c>
      <c r="AJ2226" s="1">
        <v>2.0140061E7</v>
      </c>
      <c r="AK2226" s="1" t="s">
        <v>212</v>
      </c>
      <c r="AL2226" s="1">
        <v>10.0</v>
      </c>
      <c r="AM2226" s="1">
        <v>2013.0</v>
      </c>
      <c r="AN2226" s="1">
        <v>2014.0</v>
      </c>
      <c r="AO2226" s="1" t="s">
        <v>213</v>
      </c>
    </row>
    <row r="2227">
      <c r="A2227" s="5">
        <v>1.0</v>
      </c>
      <c r="B2227" s="1">
        <f t="shared" si="1"/>
        <v>2227</v>
      </c>
      <c r="C2227" s="1" t="s">
        <v>3961</v>
      </c>
      <c r="D2227" s="1" t="s">
        <v>3961</v>
      </c>
      <c r="E2227" s="1" t="s">
        <v>207</v>
      </c>
      <c r="G2227" s="1">
        <v>1.5943497E9</v>
      </c>
      <c r="H2227" s="2">
        <v>41548.0</v>
      </c>
      <c r="I2227" s="1" t="s">
        <v>3962</v>
      </c>
      <c r="K2227" s="1" t="s">
        <v>3962</v>
      </c>
      <c r="N2227" s="1" t="s">
        <v>40</v>
      </c>
      <c r="O2227" s="1">
        <v>7500.0</v>
      </c>
      <c r="P2227" s="1" t="s">
        <v>40</v>
      </c>
      <c r="Q2227" s="1" t="str">
        <f>IF(ISERROR(VLOOKUP(P2227,'unique fed agency names'!A:C,3,FALSE)),P2227,VLOOKUP(P2227,'unique fed agency names'!A:C,3,FALSE))
</f>
        <v>U.S. Department of Health and Human Services (DHHS)</v>
      </c>
      <c r="R2227" s="1">
        <v>7.92267549E8</v>
      </c>
      <c r="S2227" s="1" t="s">
        <v>41</v>
      </c>
      <c r="T2227" s="1" t="str">
        <f>IF(ISERROR(VLOOKUP(S2227,'unique org names'!A:C,3,FALSE)),S2227,VLOOKUP(S2227,'unique org names'!A:C,3,FALSE))
</f>
        <v>Henry Ford Health System</v>
      </c>
      <c r="U2227" s="1" t="s">
        <v>2769</v>
      </c>
      <c r="V2227" s="1" t="s">
        <v>2770</v>
      </c>
      <c r="W2227" s="1" t="s">
        <v>44</v>
      </c>
      <c r="X2227" s="1" t="s">
        <v>45</v>
      </c>
      <c r="Y2227" s="1">
        <v>4.82353296E8</v>
      </c>
      <c r="AA2227" s="1" t="s">
        <v>46</v>
      </c>
      <c r="AB2227" s="1" t="s">
        <v>45</v>
      </c>
      <c r="AC2227" s="1">
        <v>4.82353456E8</v>
      </c>
      <c r="AD2227" s="1">
        <v>7.3134603E7</v>
      </c>
      <c r="AE2227" s="1" t="s">
        <v>41</v>
      </c>
      <c r="AF2227" s="1">
        <v>2074687.5</v>
      </c>
      <c r="AG2227" s="2">
        <v>41548.0</v>
      </c>
      <c r="AH2227" s="1">
        <v>7500.0</v>
      </c>
      <c r="AI2227" s="1" t="s">
        <v>40</v>
      </c>
      <c r="AJ2227" s="1">
        <v>2.0140478E7</v>
      </c>
      <c r="AK2227" s="1" t="s">
        <v>212</v>
      </c>
      <c r="AL2227" s="1">
        <v>10.0</v>
      </c>
      <c r="AM2227" s="1">
        <v>2013.0</v>
      </c>
      <c r="AN2227" s="1">
        <v>2014.0</v>
      </c>
      <c r="AO2227" s="1" t="s">
        <v>213</v>
      </c>
    </row>
    <row r="2228">
      <c r="A2228" s="5">
        <v>1.0</v>
      </c>
      <c r="B2228" s="1">
        <f t="shared" si="1"/>
        <v>2228</v>
      </c>
      <c r="C2228" s="1" t="s">
        <v>3961</v>
      </c>
      <c r="D2228" s="1" t="s">
        <v>3961</v>
      </c>
      <c r="E2228" s="1" t="s">
        <v>207</v>
      </c>
      <c r="G2228" s="1">
        <v>1.5943497E9</v>
      </c>
      <c r="H2228" s="2">
        <v>41548.0</v>
      </c>
      <c r="I2228" s="1" t="s">
        <v>3962</v>
      </c>
      <c r="K2228" s="1" t="s">
        <v>3962</v>
      </c>
      <c r="N2228" s="1" t="s">
        <v>40</v>
      </c>
      <c r="O2228" s="1">
        <v>7500.0</v>
      </c>
      <c r="P2228" s="1" t="s">
        <v>40</v>
      </c>
      <c r="Q2228" s="1" t="str">
        <f>IF(ISERROR(VLOOKUP(P2228,'unique fed agency names'!A:C,3,FALSE)),P2228,VLOOKUP(P2228,'unique fed agency names'!A:C,3,FALSE))
</f>
        <v>U.S. Department of Health and Human Services (DHHS)</v>
      </c>
      <c r="R2228" s="1">
        <v>3.8775243E7</v>
      </c>
      <c r="S2228" s="1" t="s">
        <v>209</v>
      </c>
      <c r="T2228" s="1" t="str">
        <f>IF(ISERROR(VLOOKUP(S2228,'unique org names'!A:C,3,FALSE)),S2228,VLOOKUP(S2228,'unique org names'!A:C,3,FALSE))
</f>
        <v>SOUTHEASTERN MICHIGAN HEALTH ASSOCIATION</v>
      </c>
      <c r="U2228" s="1" t="s">
        <v>210</v>
      </c>
      <c r="V2228" s="1" t="s">
        <v>211</v>
      </c>
      <c r="W2228" s="1" t="s">
        <v>44</v>
      </c>
      <c r="X2228" s="1" t="s">
        <v>45</v>
      </c>
      <c r="Y2228" s="1">
        <v>4.82023068E8</v>
      </c>
      <c r="AA2228" s="1" t="s">
        <v>46</v>
      </c>
      <c r="AB2228" s="1" t="s">
        <v>45</v>
      </c>
      <c r="AC2228" s="1">
        <v>4.82023068E8</v>
      </c>
      <c r="AD2228" s="1">
        <v>3.8775243E7</v>
      </c>
      <c r="AE2228" s="1" t="s">
        <v>209</v>
      </c>
      <c r="AF2228" s="1">
        <v>0.0</v>
      </c>
      <c r="AG2228" s="2">
        <v>41548.0</v>
      </c>
      <c r="AH2228" s="1">
        <v>7500.0</v>
      </c>
      <c r="AI2228" s="1" t="s">
        <v>40</v>
      </c>
      <c r="AJ2228" s="1">
        <v>2.0140734E7</v>
      </c>
      <c r="AK2228" s="1" t="s">
        <v>212</v>
      </c>
      <c r="AL2228" s="1">
        <v>10.0</v>
      </c>
      <c r="AM2228" s="1">
        <v>2013.0</v>
      </c>
      <c r="AN2228" s="1">
        <v>2014.0</v>
      </c>
      <c r="AO2228" s="1" t="s">
        <v>213</v>
      </c>
    </row>
    <row r="2229">
      <c r="A2229" s="5">
        <v>1.0</v>
      </c>
      <c r="B2229" s="1">
        <f t="shared" si="1"/>
        <v>2229</v>
      </c>
      <c r="C2229" s="1" t="s">
        <v>3961</v>
      </c>
      <c r="D2229" s="1" t="s">
        <v>3961</v>
      </c>
      <c r="E2229" s="1" t="s">
        <v>207</v>
      </c>
      <c r="G2229" s="1">
        <v>1.5943497E9</v>
      </c>
      <c r="H2229" s="2">
        <v>41548.0</v>
      </c>
      <c r="I2229" s="1" t="s">
        <v>3962</v>
      </c>
      <c r="K2229" s="1" t="s">
        <v>3962</v>
      </c>
      <c r="N2229" s="1" t="s">
        <v>40</v>
      </c>
      <c r="O2229" s="1">
        <v>7500.0</v>
      </c>
      <c r="P2229" s="1" t="s">
        <v>40</v>
      </c>
      <c r="Q2229" s="1" t="str">
        <f>IF(ISERROR(VLOOKUP(P2229,'unique fed agency names'!A:C,3,FALSE)),P2229,VLOOKUP(P2229,'unique fed agency names'!A:C,3,FALSE))
</f>
        <v>U.S. Department of Health and Human Services (DHHS)</v>
      </c>
      <c r="R2229" s="1">
        <v>3.8775243E7</v>
      </c>
      <c r="S2229" s="1" t="s">
        <v>209</v>
      </c>
      <c r="T2229" s="1" t="str">
        <f>IF(ISERROR(VLOOKUP(S2229,'unique org names'!A:C,3,FALSE)),S2229,VLOOKUP(S2229,'unique org names'!A:C,3,FALSE))
</f>
        <v>SOUTHEASTERN MICHIGAN HEALTH ASSOCIATION</v>
      </c>
      <c r="U2229" s="1" t="s">
        <v>210</v>
      </c>
      <c r="V2229" s="1" t="s">
        <v>211</v>
      </c>
      <c r="W2229" s="1" t="s">
        <v>44</v>
      </c>
      <c r="X2229" s="1" t="s">
        <v>45</v>
      </c>
      <c r="Y2229" s="1">
        <v>4.82023068E8</v>
      </c>
      <c r="AA2229" s="1" t="s">
        <v>46</v>
      </c>
      <c r="AB2229" s="1" t="s">
        <v>45</v>
      </c>
      <c r="AC2229" s="1">
        <v>4.82023068E8</v>
      </c>
      <c r="AD2229" s="1">
        <v>3.8775243E7</v>
      </c>
      <c r="AE2229" s="1" t="s">
        <v>209</v>
      </c>
      <c r="AF2229" s="1">
        <v>9966.75</v>
      </c>
      <c r="AG2229" s="2">
        <v>41548.0</v>
      </c>
      <c r="AH2229" s="1">
        <v>7500.0</v>
      </c>
      <c r="AI2229" s="1" t="s">
        <v>40</v>
      </c>
      <c r="AJ2229" s="1">
        <v>2.0140687E7</v>
      </c>
      <c r="AK2229" s="1" t="s">
        <v>212</v>
      </c>
      <c r="AL2229" s="1">
        <v>10.0</v>
      </c>
      <c r="AM2229" s="1">
        <v>2013.0</v>
      </c>
      <c r="AN2229" s="1">
        <v>2014.0</v>
      </c>
      <c r="AO2229" s="1" t="s">
        <v>213</v>
      </c>
    </row>
    <row r="2230">
      <c r="A2230" s="5">
        <v>1.0</v>
      </c>
      <c r="B2230" s="1">
        <f t="shared" si="1"/>
        <v>2230</v>
      </c>
      <c r="C2230" s="1" t="s">
        <v>3963</v>
      </c>
      <c r="D2230" s="1" t="s">
        <v>3963</v>
      </c>
      <c r="E2230" s="1" t="s">
        <v>207</v>
      </c>
      <c r="G2230" s="1">
        <v>2.32482304E9</v>
      </c>
      <c r="H2230" s="2">
        <v>41548.0</v>
      </c>
      <c r="I2230" s="1" t="s">
        <v>3964</v>
      </c>
      <c r="K2230" s="1" t="s">
        <v>3964</v>
      </c>
      <c r="N2230" s="1" t="s">
        <v>40</v>
      </c>
      <c r="O2230" s="1">
        <v>7500.0</v>
      </c>
      <c r="P2230" s="1" t="s">
        <v>40</v>
      </c>
      <c r="Q2230" s="1" t="str">
        <f>IF(ISERROR(VLOOKUP(P2230,'unique fed agency names'!A:C,3,FALSE)),P2230,VLOOKUP(P2230,'unique fed agency names'!A:C,3,FALSE))
</f>
        <v>U.S. Department of Health and Human Services (DHHS)</v>
      </c>
      <c r="R2230" s="1">
        <v>4.6842605E7</v>
      </c>
      <c r="S2230" s="1" t="s">
        <v>165</v>
      </c>
      <c r="T2230" s="1" t="str">
        <f>IF(ISERROR(VLOOKUP(S2230,'unique org names'!A:C,3,FALSE)),S2230,VLOOKUP(S2230,'unique org names'!A:C,3,FALSE))
</f>
        <v>DETROIT AREA AGENCY ON AGING</v>
      </c>
      <c r="U2230" s="1" t="s">
        <v>166</v>
      </c>
      <c r="V2230" s="1" t="s">
        <v>167</v>
      </c>
      <c r="W2230" s="1" t="s">
        <v>44</v>
      </c>
      <c r="X2230" s="1" t="s">
        <v>45</v>
      </c>
      <c r="Y2230" s="1">
        <v>4.82074544E8</v>
      </c>
      <c r="AA2230" s="1" t="s">
        <v>46</v>
      </c>
      <c r="AB2230" s="1" t="s">
        <v>45</v>
      </c>
      <c r="AC2230" s="1">
        <v>4.82074544E8</v>
      </c>
      <c r="AD2230" s="1">
        <v>7.3134603E7</v>
      </c>
      <c r="AE2230" s="1" t="s">
        <v>41</v>
      </c>
      <c r="AF2230" s="1">
        <v>4701738.64</v>
      </c>
      <c r="AG2230" s="2">
        <v>41548.0</v>
      </c>
      <c r="AH2230" s="1">
        <v>7500.0</v>
      </c>
      <c r="AI2230" s="1" t="s">
        <v>40</v>
      </c>
      <c r="AJ2230" s="1">
        <v>2.0141101E7</v>
      </c>
      <c r="AK2230" s="1" t="s">
        <v>212</v>
      </c>
      <c r="AL2230" s="1">
        <v>10.0</v>
      </c>
      <c r="AM2230" s="1">
        <v>2013.0</v>
      </c>
      <c r="AN2230" s="1">
        <v>2014.0</v>
      </c>
      <c r="AO2230" s="1" t="s">
        <v>213</v>
      </c>
    </row>
    <row r="2231">
      <c r="A2231" s="5">
        <v>1.0</v>
      </c>
      <c r="B2231" s="1">
        <f t="shared" si="1"/>
        <v>2231</v>
      </c>
      <c r="C2231" s="1" t="s">
        <v>3963</v>
      </c>
      <c r="D2231" s="1" t="s">
        <v>3963</v>
      </c>
      <c r="E2231" s="1" t="s">
        <v>207</v>
      </c>
      <c r="G2231" s="1">
        <v>2.32482304E9</v>
      </c>
      <c r="H2231" s="2">
        <v>41548.0</v>
      </c>
      <c r="I2231" s="1" t="s">
        <v>3964</v>
      </c>
      <c r="K2231" s="1" t="s">
        <v>3964</v>
      </c>
      <c r="N2231" s="1" t="s">
        <v>40</v>
      </c>
      <c r="O2231" s="1">
        <v>7500.0</v>
      </c>
      <c r="P2231" s="1" t="s">
        <v>40</v>
      </c>
      <c r="Q2231" s="1" t="str">
        <f>IF(ISERROR(VLOOKUP(P2231,'unique fed agency names'!A:C,3,FALSE)),P2231,VLOOKUP(P2231,'unique fed agency names'!A:C,3,FALSE))
</f>
        <v>U.S. Department of Health and Human Services (DHHS)</v>
      </c>
      <c r="R2231" s="1">
        <v>3.8775243E7</v>
      </c>
      <c r="S2231" s="1" t="s">
        <v>209</v>
      </c>
      <c r="T2231" s="1" t="str">
        <f>IF(ISERROR(VLOOKUP(S2231,'unique org names'!A:C,3,FALSE)),S2231,VLOOKUP(S2231,'unique org names'!A:C,3,FALSE))
</f>
        <v>SOUTHEASTERN MICHIGAN HEALTH ASSOCIATION</v>
      </c>
      <c r="U2231" s="1" t="s">
        <v>210</v>
      </c>
      <c r="V2231" s="1" t="s">
        <v>211</v>
      </c>
      <c r="W2231" s="1" t="s">
        <v>44</v>
      </c>
      <c r="X2231" s="1" t="s">
        <v>45</v>
      </c>
      <c r="Y2231" s="1">
        <v>4.82023068E8</v>
      </c>
      <c r="AA2231" s="1" t="s">
        <v>46</v>
      </c>
      <c r="AB2231" s="1" t="s">
        <v>45</v>
      </c>
      <c r="AC2231" s="1">
        <v>4.82023068E8</v>
      </c>
      <c r="AD2231" s="1">
        <v>3.8775243E7</v>
      </c>
      <c r="AE2231" s="1" t="s">
        <v>209</v>
      </c>
      <c r="AF2231" s="1">
        <v>0.0</v>
      </c>
      <c r="AG2231" s="2">
        <v>41548.0</v>
      </c>
      <c r="AH2231" s="1">
        <v>7500.0</v>
      </c>
      <c r="AI2231" s="1" t="s">
        <v>40</v>
      </c>
      <c r="AJ2231" s="1">
        <v>2.0140734E7</v>
      </c>
      <c r="AK2231" s="1" t="s">
        <v>212</v>
      </c>
      <c r="AL2231" s="1">
        <v>10.0</v>
      </c>
      <c r="AM2231" s="1">
        <v>2013.0</v>
      </c>
      <c r="AN2231" s="1">
        <v>2014.0</v>
      </c>
      <c r="AO2231" s="1" t="s">
        <v>213</v>
      </c>
    </row>
    <row r="2232">
      <c r="A2232" s="5">
        <v>1.0</v>
      </c>
      <c r="B2232" s="1">
        <f t="shared" si="1"/>
        <v>2232</v>
      </c>
      <c r="C2232" s="1" t="s">
        <v>3965</v>
      </c>
      <c r="D2232" s="1" t="s">
        <v>3965</v>
      </c>
      <c r="E2232" s="1" t="s">
        <v>2091</v>
      </c>
      <c r="G2232" s="1">
        <v>1.7354832E7</v>
      </c>
      <c r="H2232" s="2">
        <v>41617.0</v>
      </c>
      <c r="I2232" s="1" t="s">
        <v>2092</v>
      </c>
      <c r="K2232" s="1" t="s">
        <v>2092</v>
      </c>
      <c r="N2232" s="1" t="s">
        <v>151</v>
      </c>
      <c r="O2232" s="1">
        <v>6900.0</v>
      </c>
      <c r="P2232" s="1" t="s">
        <v>151</v>
      </c>
      <c r="Q2232" s="1" t="str">
        <f>IF(ISERROR(VLOOKUP(P2232,'unique fed agency names'!A:C,3,FALSE)),P2232,VLOOKUP(P2232,'unique fed agency names'!A:C,3,FALSE))
</f>
        <v>U.S. Department of Transportation (DOT)</v>
      </c>
      <c r="R2232" s="1">
        <v>2.082621E7</v>
      </c>
      <c r="S2232" s="1" t="s">
        <v>983</v>
      </c>
      <c r="T2232" s="1" t="str">
        <f>IF(ISERROR(VLOOKUP(S2232,'unique org names'!A:C,3,FALSE)),S2232,VLOOKUP(S2232,'unique org names'!A:C,3,FALSE))
</f>
        <v>City of Detroit</v>
      </c>
      <c r="U2232" s="1" t="s">
        <v>984</v>
      </c>
      <c r="V2232" s="1" t="s">
        <v>2093</v>
      </c>
      <c r="W2232" s="1" t="s">
        <v>44</v>
      </c>
      <c r="X2232" s="1" t="s">
        <v>45</v>
      </c>
      <c r="Y2232" s="1">
        <v>4.82131204E8</v>
      </c>
      <c r="AA2232" s="1" t="s">
        <v>46</v>
      </c>
      <c r="AB2232" s="1" t="s">
        <v>45</v>
      </c>
      <c r="AC2232" s="1">
        <v>4.82131204E8</v>
      </c>
      <c r="AD2232" s="1">
        <v>6530661.0</v>
      </c>
      <c r="AE2232" s="1" t="s">
        <v>76</v>
      </c>
      <c r="AF2232" s="1">
        <v>330832.0</v>
      </c>
      <c r="AG2232" s="2">
        <v>41617.0</v>
      </c>
      <c r="AH2232" s="1">
        <v>6900.0</v>
      </c>
      <c r="AI2232" s="1" t="s">
        <v>151</v>
      </c>
      <c r="AJ2232" s="1" t="s">
        <v>3966</v>
      </c>
      <c r="AK2232" s="1" t="s">
        <v>3967</v>
      </c>
      <c r="AL2232" s="1">
        <v>1.0</v>
      </c>
      <c r="AM2232" s="1">
        <v>2015.0</v>
      </c>
      <c r="AN2232" s="1">
        <v>2014.0</v>
      </c>
      <c r="AO2232" s="1" t="s">
        <v>2096</v>
      </c>
    </row>
    <row r="2233">
      <c r="A2233" s="5">
        <v>1.0</v>
      </c>
      <c r="B2233" s="1">
        <f t="shared" si="1"/>
        <v>2233</v>
      </c>
      <c r="C2233" s="1" t="s">
        <v>3968</v>
      </c>
      <c r="D2233" s="1" t="s">
        <v>3968</v>
      </c>
      <c r="E2233" s="1" t="s">
        <v>207</v>
      </c>
      <c r="G2233" s="1">
        <v>2.98917299E9</v>
      </c>
      <c r="H2233" s="2">
        <v>41913.0</v>
      </c>
      <c r="I2233" s="1" t="s">
        <v>3969</v>
      </c>
      <c r="K2233" s="1" t="s">
        <v>3969</v>
      </c>
      <c r="N2233" s="1" t="s">
        <v>40</v>
      </c>
      <c r="O2233" s="1">
        <v>7500.0</v>
      </c>
      <c r="P2233" s="1" t="s">
        <v>40</v>
      </c>
      <c r="Q2233" s="1" t="str">
        <f>IF(ISERROR(VLOOKUP(P2233,'unique fed agency names'!A:C,3,FALSE)),P2233,VLOOKUP(P2233,'unique fed agency names'!A:C,3,FALSE))
</f>
        <v>U.S. Department of Health and Human Services (DHHS)</v>
      </c>
      <c r="R2233" s="1">
        <v>4.6842605E7</v>
      </c>
      <c r="S2233" s="1" t="s">
        <v>165</v>
      </c>
      <c r="T2233" s="1" t="str">
        <f>IF(ISERROR(VLOOKUP(S2233,'unique org names'!A:C,3,FALSE)),S2233,VLOOKUP(S2233,'unique org names'!A:C,3,FALSE))
</f>
        <v>DETROIT AREA AGENCY ON AGING</v>
      </c>
      <c r="U2233" s="1" t="s">
        <v>166</v>
      </c>
      <c r="V2233" s="1" t="s">
        <v>167</v>
      </c>
      <c r="W2233" s="1" t="s">
        <v>44</v>
      </c>
      <c r="X2233" s="1" t="s">
        <v>45</v>
      </c>
      <c r="Y2233" s="1">
        <v>4.82074544E8</v>
      </c>
      <c r="AA2233" s="1" t="s">
        <v>46</v>
      </c>
      <c r="AB2233" s="1" t="s">
        <v>45</v>
      </c>
      <c r="AC2233" s="1">
        <v>4.82074544E8</v>
      </c>
      <c r="AF2233" s="1">
        <v>4992620.28</v>
      </c>
      <c r="AG2233" s="2">
        <v>41913.0</v>
      </c>
      <c r="AH2233" s="1">
        <v>7500.0</v>
      </c>
      <c r="AI2233" s="1" t="s">
        <v>40</v>
      </c>
      <c r="AJ2233" s="1">
        <v>2.0150467E7</v>
      </c>
      <c r="AK2233" s="1" t="s">
        <v>212</v>
      </c>
      <c r="AL2233" s="1">
        <v>10.0</v>
      </c>
      <c r="AM2233" s="1">
        <v>2014.0</v>
      </c>
      <c r="AN2233" s="1">
        <v>2015.0</v>
      </c>
      <c r="AO2233" s="1" t="s">
        <v>213</v>
      </c>
    </row>
    <row r="2234">
      <c r="A2234" s="5">
        <v>1.0</v>
      </c>
      <c r="B2234" s="1">
        <f t="shared" si="1"/>
        <v>2234</v>
      </c>
      <c r="C2234" s="1" t="s">
        <v>3968</v>
      </c>
      <c r="D2234" s="1" t="s">
        <v>3968</v>
      </c>
      <c r="E2234" s="1" t="s">
        <v>207</v>
      </c>
      <c r="G2234" s="1">
        <v>2.98917299E9</v>
      </c>
      <c r="H2234" s="2">
        <v>41913.0</v>
      </c>
      <c r="I2234" s="1" t="s">
        <v>3969</v>
      </c>
      <c r="K2234" s="1" t="s">
        <v>3969</v>
      </c>
      <c r="N2234" s="1" t="s">
        <v>40</v>
      </c>
      <c r="O2234" s="1">
        <v>7500.0</v>
      </c>
      <c r="P2234" s="1" t="s">
        <v>40</v>
      </c>
      <c r="Q2234" s="1" t="str">
        <f>IF(ISERROR(VLOOKUP(P2234,'unique fed agency names'!A:C,3,FALSE)),P2234,VLOOKUP(P2234,'unique fed agency names'!A:C,3,FALSE))
</f>
        <v>U.S. Department of Health and Human Services (DHHS)</v>
      </c>
      <c r="R2234" s="1">
        <v>7.92267549E8</v>
      </c>
      <c r="S2234" s="1" t="s">
        <v>41</v>
      </c>
      <c r="T2234" s="1" t="str">
        <f>IF(ISERROR(VLOOKUP(S2234,'unique org names'!A:C,3,FALSE)),S2234,VLOOKUP(S2234,'unique org names'!A:C,3,FALSE))
</f>
        <v>Henry Ford Health System</v>
      </c>
      <c r="U2234" s="1" t="s">
        <v>2769</v>
      </c>
      <c r="V2234" s="1" t="s">
        <v>2770</v>
      </c>
      <c r="W2234" s="1" t="s">
        <v>44</v>
      </c>
      <c r="X2234" s="1" t="s">
        <v>45</v>
      </c>
      <c r="Y2234" s="1">
        <v>4.82353296E8</v>
      </c>
      <c r="AA2234" s="1" t="s">
        <v>46</v>
      </c>
      <c r="AB2234" s="1" t="s">
        <v>45</v>
      </c>
      <c r="AC2234" s="1">
        <v>4.82353456E8</v>
      </c>
      <c r="AD2234" s="1">
        <v>7.3134603E7</v>
      </c>
      <c r="AE2234" s="1" t="s">
        <v>41</v>
      </c>
      <c r="AF2234" s="1">
        <v>2489625.0</v>
      </c>
      <c r="AG2234" s="2">
        <v>41913.0</v>
      </c>
      <c r="AH2234" s="1">
        <v>7500.0</v>
      </c>
      <c r="AI2234" s="1" t="s">
        <v>40</v>
      </c>
      <c r="AJ2234" s="1">
        <v>2.0150439E7</v>
      </c>
      <c r="AK2234" s="1" t="s">
        <v>212</v>
      </c>
      <c r="AL2234" s="1">
        <v>10.0</v>
      </c>
      <c r="AM2234" s="1">
        <v>2014.0</v>
      </c>
      <c r="AN2234" s="1">
        <v>2015.0</v>
      </c>
      <c r="AO2234" s="1" t="s">
        <v>213</v>
      </c>
    </row>
    <row r="2235">
      <c r="A2235" s="5">
        <v>1.0</v>
      </c>
      <c r="B2235" s="1">
        <f t="shared" si="1"/>
        <v>2235</v>
      </c>
      <c r="C2235" s="1" t="s">
        <v>3968</v>
      </c>
      <c r="D2235" s="1" t="s">
        <v>3968</v>
      </c>
      <c r="E2235" s="1" t="s">
        <v>207</v>
      </c>
      <c r="G2235" s="1">
        <v>2.98917299E9</v>
      </c>
      <c r="H2235" s="2">
        <v>41913.0</v>
      </c>
      <c r="I2235" s="1" t="s">
        <v>3969</v>
      </c>
      <c r="K2235" s="1" t="s">
        <v>3969</v>
      </c>
      <c r="N2235" s="1" t="s">
        <v>40</v>
      </c>
      <c r="O2235" s="1">
        <v>7500.0</v>
      </c>
      <c r="P2235" s="1" t="s">
        <v>40</v>
      </c>
      <c r="Q2235" s="1" t="str">
        <f>IF(ISERROR(VLOOKUP(P2235,'unique fed agency names'!A:C,3,FALSE)),P2235,VLOOKUP(P2235,'unique fed agency names'!A:C,3,FALSE))
</f>
        <v>U.S. Department of Health and Human Services (DHHS)</v>
      </c>
      <c r="R2235" s="1">
        <v>3.8775243E7</v>
      </c>
      <c r="S2235" s="1" t="s">
        <v>209</v>
      </c>
      <c r="T2235" s="1" t="str">
        <f>IF(ISERROR(VLOOKUP(S2235,'unique org names'!A:C,3,FALSE)),S2235,VLOOKUP(S2235,'unique org names'!A:C,3,FALSE))
</f>
        <v>SOUTHEASTERN MICHIGAN HEALTH ASSOCIATION</v>
      </c>
      <c r="U2235" s="1" t="s">
        <v>210</v>
      </c>
      <c r="V2235" s="1" t="s">
        <v>211</v>
      </c>
      <c r="W2235" s="1" t="s">
        <v>44</v>
      </c>
      <c r="X2235" s="1" t="s">
        <v>45</v>
      </c>
      <c r="Y2235" s="1">
        <v>4.82023068E8</v>
      </c>
      <c r="AA2235" s="1" t="s">
        <v>46</v>
      </c>
      <c r="AB2235" s="1" t="s">
        <v>45</v>
      </c>
      <c r="AC2235" s="1">
        <v>4.82023068E8</v>
      </c>
      <c r="AD2235" s="1">
        <v>3.8775243E7</v>
      </c>
      <c r="AE2235" s="1" t="s">
        <v>209</v>
      </c>
      <c r="AF2235" s="1">
        <v>44.65</v>
      </c>
      <c r="AG2235" s="2">
        <v>41913.0</v>
      </c>
      <c r="AH2235" s="1">
        <v>7500.0</v>
      </c>
      <c r="AI2235" s="1" t="s">
        <v>40</v>
      </c>
      <c r="AJ2235" s="1">
        <v>2.014069E7</v>
      </c>
      <c r="AK2235" s="1" t="s">
        <v>212</v>
      </c>
      <c r="AL2235" s="1">
        <v>10.0</v>
      </c>
      <c r="AM2235" s="1">
        <v>2014.0</v>
      </c>
      <c r="AN2235" s="1">
        <v>2015.0</v>
      </c>
      <c r="AO2235" s="1" t="s">
        <v>213</v>
      </c>
    </row>
    <row r="2236">
      <c r="A2236" s="5">
        <v>1.0</v>
      </c>
      <c r="B2236" s="1">
        <f t="shared" si="1"/>
        <v>2236</v>
      </c>
      <c r="C2236" s="1" t="s">
        <v>3970</v>
      </c>
      <c r="D2236" s="1" t="s">
        <v>3970</v>
      </c>
      <c r="E2236" s="1" t="s">
        <v>38</v>
      </c>
      <c r="G2236" s="1">
        <v>578150.0</v>
      </c>
      <c r="H2236" s="2">
        <v>41894.0</v>
      </c>
      <c r="I2236" s="1" t="s">
        <v>3971</v>
      </c>
      <c r="K2236" s="1" t="s">
        <v>3971</v>
      </c>
      <c r="N2236" s="1" t="s">
        <v>40</v>
      </c>
      <c r="O2236" s="1">
        <v>7500.0</v>
      </c>
      <c r="P2236" s="1" t="s">
        <v>40</v>
      </c>
      <c r="Q2236" s="1" t="str">
        <f>IF(ISERROR(VLOOKUP(P2236,'unique fed agency names'!A:C,3,FALSE)),P2236,VLOOKUP(P2236,'unique fed agency names'!A:C,3,FALSE))
</f>
        <v>U.S. Department of Health and Human Services (DHHS)</v>
      </c>
      <c r="R2236" s="1">
        <v>1962224.0</v>
      </c>
      <c r="S2236" s="1" t="s">
        <v>52</v>
      </c>
      <c r="T2236" s="1" t="str">
        <f>IF(ISERROR(VLOOKUP(S2236,'unique org names'!A:C,3,FALSE)),S2236,VLOOKUP(S2236,'unique org names'!A:C,3,FALSE))
</f>
        <v>WAYNE STATE UNIVERSITY</v>
      </c>
      <c r="V2236" s="1" t="s">
        <v>1885</v>
      </c>
      <c r="W2236" s="1" t="s">
        <v>44</v>
      </c>
      <c r="X2236" s="1" t="s">
        <v>45</v>
      </c>
      <c r="Y2236" s="1">
        <v>4.82021347E8</v>
      </c>
      <c r="AA2236" s="1" t="s">
        <v>46</v>
      </c>
      <c r="AB2236" s="1" t="s">
        <v>45</v>
      </c>
      <c r="AC2236" s="1">
        <v>4.82021347E8</v>
      </c>
      <c r="AD2236" s="1">
        <v>1962224.0</v>
      </c>
      <c r="AE2236" s="1" t="s">
        <v>52</v>
      </c>
      <c r="AF2236" s="1">
        <v>26600.0</v>
      </c>
      <c r="AG2236" s="2">
        <v>41894.0</v>
      </c>
      <c r="AH2236" s="1">
        <v>7500.0</v>
      </c>
      <c r="AI2236" s="1" t="s">
        <v>40</v>
      </c>
      <c r="AJ2236" s="1">
        <v>8137.0</v>
      </c>
      <c r="AK2236" s="1" t="s">
        <v>3972</v>
      </c>
      <c r="AL2236" s="1">
        <v>2.0</v>
      </c>
      <c r="AM2236" s="1">
        <v>2015.0</v>
      </c>
      <c r="AN2236" s="1">
        <v>2014.0</v>
      </c>
      <c r="AO2236" s="1" t="s">
        <v>2053</v>
      </c>
    </row>
    <row r="2237">
      <c r="A2237" s="5">
        <v>1.0</v>
      </c>
      <c r="B2237" s="1">
        <f t="shared" si="1"/>
        <v>2237</v>
      </c>
      <c r="C2237" s="1" t="s">
        <v>3973</v>
      </c>
      <c r="D2237" s="1" t="s">
        <v>3973</v>
      </c>
      <c r="E2237" s="1" t="s">
        <v>2091</v>
      </c>
      <c r="G2237" s="1">
        <v>1.0877311E7</v>
      </c>
      <c r="H2237" s="2">
        <v>41617.0</v>
      </c>
      <c r="I2237" s="1" t="s">
        <v>2092</v>
      </c>
      <c r="K2237" s="1" t="s">
        <v>2092</v>
      </c>
      <c r="N2237" s="1" t="s">
        <v>151</v>
      </c>
      <c r="O2237" s="1">
        <v>6900.0</v>
      </c>
      <c r="P2237" s="1" t="s">
        <v>151</v>
      </c>
      <c r="Q2237" s="1" t="str">
        <f>IF(ISERROR(VLOOKUP(P2237,'unique fed agency names'!A:C,3,FALSE)),P2237,VLOOKUP(P2237,'unique fed agency names'!A:C,3,FALSE))
</f>
        <v>U.S. Department of Transportation (DOT)</v>
      </c>
      <c r="R2237" s="1">
        <v>2.082621E7</v>
      </c>
      <c r="S2237" s="1" t="s">
        <v>983</v>
      </c>
      <c r="T2237" s="1" t="str">
        <f>IF(ISERROR(VLOOKUP(S2237,'unique org names'!A:C,3,FALSE)),S2237,VLOOKUP(S2237,'unique org names'!A:C,3,FALSE))
</f>
        <v>City of Detroit</v>
      </c>
      <c r="U2237" s="1" t="s">
        <v>984</v>
      </c>
      <c r="V2237" s="1" t="s">
        <v>2093</v>
      </c>
      <c r="W2237" s="1" t="s">
        <v>44</v>
      </c>
      <c r="X2237" s="1" t="s">
        <v>45</v>
      </c>
      <c r="Y2237" s="1">
        <v>4.82131204E8</v>
      </c>
      <c r="AA2237" s="1" t="s">
        <v>46</v>
      </c>
      <c r="AB2237" s="1" t="s">
        <v>45</v>
      </c>
      <c r="AC2237" s="1">
        <v>4.82131204E8</v>
      </c>
      <c r="AD2237" s="1">
        <v>6530661.0</v>
      </c>
      <c r="AE2237" s="1" t="s">
        <v>76</v>
      </c>
      <c r="AF2237" s="1">
        <v>39900.0</v>
      </c>
      <c r="AG2237" s="2">
        <v>41617.0</v>
      </c>
      <c r="AH2237" s="1">
        <v>6900.0</v>
      </c>
      <c r="AI2237" s="1" t="s">
        <v>151</v>
      </c>
      <c r="AJ2237" s="1" t="s">
        <v>3974</v>
      </c>
      <c r="AK2237" s="1" t="s">
        <v>3975</v>
      </c>
      <c r="AL2237" s="1">
        <v>1.0</v>
      </c>
      <c r="AM2237" s="1">
        <v>2015.0</v>
      </c>
      <c r="AN2237" s="1">
        <v>2014.0</v>
      </c>
      <c r="AO2237" s="1" t="s">
        <v>2096</v>
      </c>
    </row>
    <row r="2238">
      <c r="A2238" s="5">
        <v>1.0</v>
      </c>
      <c r="B2238" s="1">
        <f t="shared" si="1"/>
        <v>2238</v>
      </c>
      <c r="C2238" s="1" t="s">
        <v>3956</v>
      </c>
      <c r="D2238" s="1" t="s">
        <v>3956</v>
      </c>
      <c r="E2238" s="1" t="s">
        <v>207</v>
      </c>
      <c r="G2238" s="1">
        <v>2.48575334E9</v>
      </c>
      <c r="H2238" s="2">
        <v>41548.0</v>
      </c>
      <c r="I2238" s="1" t="s">
        <v>3957</v>
      </c>
      <c r="K2238" s="1" t="s">
        <v>3957</v>
      </c>
      <c r="N2238" s="1" t="s">
        <v>40</v>
      </c>
      <c r="O2238" s="1">
        <v>7500.0</v>
      </c>
      <c r="P2238" s="1" t="s">
        <v>40</v>
      </c>
      <c r="Q2238" s="1" t="str">
        <f>IF(ISERROR(VLOOKUP(P2238,'unique fed agency names'!A:C,3,FALSE)),P2238,VLOOKUP(P2238,'unique fed agency names'!A:C,3,FALSE))
</f>
        <v>U.S. Department of Health and Human Services (DHHS)</v>
      </c>
      <c r="R2238" s="1">
        <v>4.6842605E7</v>
      </c>
      <c r="S2238" s="1" t="s">
        <v>165</v>
      </c>
      <c r="T2238" s="1" t="str">
        <f>IF(ISERROR(VLOOKUP(S2238,'unique org names'!A:C,3,FALSE)),S2238,VLOOKUP(S2238,'unique org names'!A:C,3,FALSE))
</f>
        <v>DETROIT AREA AGENCY ON AGING</v>
      </c>
      <c r="U2238" s="1" t="s">
        <v>166</v>
      </c>
      <c r="V2238" s="1" t="s">
        <v>167</v>
      </c>
      <c r="W2238" s="1" t="s">
        <v>44</v>
      </c>
      <c r="X2238" s="1" t="s">
        <v>45</v>
      </c>
      <c r="Y2238" s="1">
        <v>4.82074544E8</v>
      </c>
      <c r="AA2238" s="1" t="s">
        <v>46</v>
      </c>
      <c r="AB2238" s="1" t="s">
        <v>45</v>
      </c>
      <c r="AC2238" s="1">
        <v>4.82074544E8</v>
      </c>
      <c r="AD2238" s="1">
        <v>2.0280947E7</v>
      </c>
      <c r="AE2238" s="1" t="s">
        <v>3976</v>
      </c>
      <c r="AF2238" s="1">
        <v>4701738.64</v>
      </c>
      <c r="AG2238" s="2">
        <v>41548.0</v>
      </c>
      <c r="AH2238" s="1">
        <v>7500.0</v>
      </c>
      <c r="AI2238" s="1" t="s">
        <v>40</v>
      </c>
      <c r="AJ2238" s="1">
        <v>2.0141101E7</v>
      </c>
      <c r="AK2238" s="1" t="s">
        <v>212</v>
      </c>
      <c r="AL2238" s="1">
        <v>10.0</v>
      </c>
      <c r="AM2238" s="1">
        <v>2013.0</v>
      </c>
      <c r="AN2238" s="1">
        <v>2014.0</v>
      </c>
      <c r="AO2238" s="1" t="s">
        <v>213</v>
      </c>
    </row>
    <row r="2239">
      <c r="A2239" s="5">
        <v>1.0</v>
      </c>
      <c r="B2239" s="1">
        <f t="shared" si="1"/>
        <v>2239</v>
      </c>
      <c r="C2239" s="1" t="s">
        <v>3956</v>
      </c>
      <c r="D2239" s="1" t="s">
        <v>3956</v>
      </c>
      <c r="E2239" s="1" t="s">
        <v>207</v>
      </c>
      <c r="G2239" s="1">
        <v>2.48575334E9</v>
      </c>
      <c r="H2239" s="2">
        <v>41548.0</v>
      </c>
      <c r="I2239" s="1" t="s">
        <v>3957</v>
      </c>
      <c r="K2239" s="1" t="s">
        <v>3957</v>
      </c>
      <c r="N2239" s="1" t="s">
        <v>40</v>
      </c>
      <c r="O2239" s="1">
        <v>7500.0</v>
      </c>
      <c r="P2239" s="1" t="s">
        <v>40</v>
      </c>
      <c r="Q2239" s="1" t="str">
        <f>IF(ISERROR(VLOOKUP(P2239,'unique fed agency names'!A:C,3,FALSE)),P2239,VLOOKUP(P2239,'unique fed agency names'!A:C,3,FALSE))
</f>
        <v>U.S. Department of Health and Human Services (DHHS)</v>
      </c>
      <c r="R2239" s="1">
        <v>3.8775243E7</v>
      </c>
      <c r="S2239" s="1" t="s">
        <v>209</v>
      </c>
      <c r="T2239" s="1" t="str">
        <f>IF(ISERROR(VLOOKUP(S2239,'unique org names'!A:C,3,FALSE)),S2239,VLOOKUP(S2239,'unique org names'!A:C,3,FALSE))
</f>
        <v>SOUTHEASTERN MICHIGAN HEALTH ASSOCIATION</v>
      </c>
      <c r="U2239" s="1" t="s">
        <v>210</v>
      </c>
      <c r="V2239" s="1" t="s">
        <v>211</v>
      </c>
      <c r="W2239" s="1" t="s">
        <v>44</v>
      </c>
      <c r="X2239" s="1" t="s">
        <v>45</v>
      </c>
      <c r="Y2239" s="1">
        <v>4.82023068E8</v>
      </c>
      <c r="AA2239" s="1" t="s">
        <v>46</v>
      </c>
      <c r="AB2239" s="1" t="s">
        <v>45</v>
      </c>
      <c r="AC2239" s="1">
        <v>4.82023068E8</v>
      </c>
      <c r="AD2239" s="1">
        <v>3.8775243E7</v>
      </c>
      <c r="AE2239" s="1" t="s">
        <v>209</v>
      </c>
      <c r="AF2239" s="1">
        <v>26013.75</v>
      </c>
      <c r="AG2239" s="2">
        <v>41548.0</v>
      </c>
      <c r="AH2239" s="1">
        <v>7500.0</v>
      </c>
      <c r="AI2239" s="1" t="s">
        <v>40</v>
      </c>
      <c r="AJ2239" s="1">
        <v>2.014192E7</v>
      </c>
      <c r="AK2239" s="1" t="s">
        <v>212</v>
      </c>
      <c r="AL2239" s="1">
        <v>10.0</v>
      </c>
      <c r="AM2239" s="1">
        <v>2013.0</v>
      </c>
      <c r="AN2239" s="1">
        <v>2014.0</v>
      </c>
      <c r="AO2239" s="1" t="s">
        <v>213</v>
      </c>
    </row>
    <row r="2240">
      <c r="A2240" s="5">
        <v>1.0</v>
      </c>
      <c r="B2240" s="1">
        <f t="shared" si="1"/>
        <v>2240</v>
      </c>
      <c r="C2240" s="1" t="s">
        <v>3956</v>
      </c>
      <c r="D2240" s="1" t="s">
        <v>3956</v>
      </c>
      <c r="E2240" s="1" t="s">
        <v>207</v>
      </c>
      <c r="G2240" s="1">
        <v>2.48575334E9</v>
      </c>
      <c r="H2240" s="2">
        <v>41548.0</v>
      </c>
      <c r="I2240" s="1" t="s">
        <v>3957</v>
      </c>
      <c r="K2240" s="1" t="s">
        <v>3957</v>
      </c>
      <c r="N2240" s="1" t="s">
        <v>40</v>
      </c>
      <c r="O2240" s="1">
        <v>7500.0</v>
      </c>
      <c r="P2240" s="1" t="s">
        <v>40</v>
      </c>
      <c r="Q2240" s="1" t="str">
        <f>IF(ISERROR(VLOOKUP(P2240,'unique fed agency names'!A:C,3,FALSE)),P2240,VLOOKUP(P2240,'unique fed agency names'!A:C,3,FALSE))
</f>
        <v>U.S. Department of Health and Human Services (DHHS)</v>
      </c>
      <c r="R2240" s="1">
        <v>3.8775243E7</v>
      </c>
      <c r="S2240" s="1" t="s">
        <v>209</v>
      </c>
      <c r="T2240" s="1" t="str">
        <f>IF(ISERROR(VLOOKUP(S2240,'unique org names'!A:C,3,FALSE)),S2240,VLOOKUP(S2240,'unique org names'!A:C,3,FALSE))
</f>
        <v>SOUTHEASTERN MICHIGAN HEALTH ASSOCIATION</v>
      </c>
      <c r="U2240" s="1" t="s">
        <v>210</v>
      </c>
      <c r="V2240" s="1" t="s">
        <v>211</v>
      </c>
      <c r="W2240" s="1" t="s">
        <v>44</v>
      </c>
      <c r="X2240" s="1" t="s">
        <v>45</v>
      </c>
      <c r="Y2240" s="1">
        <v>4.82023068E8</v>
      </c>
      <c r="AA2240" s="1" t="s">
        <v>46</v>
      </c>
      <c r="AB2240" s="1" t="s">
        <v>45</v>
      </c>
      <c r="AC2240" s="1">
        <v>4.82023068E8</v>
      </c>
      <c r="AD2240" s="1">
        <v>3.8775243E7</v>
      </c>
      <c r="AE2240" s="1" t="s">
        <v>209</v>
      </c>
      <c r="AF2240" s="1">
        <v>13067.38</v>
      </c>
      <c r="AG2240" s="2">
        <v>41548.0</v>
      </c>
      <c r="AH2240" s="1">
        <v>7500.0</v>
      </c>
      <c r="AI2240" s="1" t="s">
        <v>40</v>
      </c>
      <c r="AJ2240" s="1">
        <v>2.0140688E7</v>
      </c>
      <c r="AK2240" s="1" t="s">
        <v>212</v>
      </c>
      <c r="AL2240" s="1">
        <v>10.0</v>
      </c>
      <c r="AM2240" s="1">
        <v>2013.0</v>
      </c>
      <c r="AN2240" s="1">
        <v>2014.0</v>
      </c>
      <c r="AO2240" s="1" t="s">
        <v>213</v>
      </c>
    </row>
    <row r="2241">
      <c r="A2241" s="5">
        <v>1.0</v>
      </c>
      <c r="B2241" s="1">
        <f t="shared" si="1"/>
        <v>2241</v>
      </c>
      <c r="C2241" s="1" t="s">
        <v>3958</v>
      </c>
      <c r="D2241" s="1" t="s">
        <v>3958</v>
      </c>
      <c r="E2241" s="1" t="s">
        <v>207</v>
      </c>
      <c r="G2241" s="1">
        <v>4.972778E9</v>
      </c>
      <c r="H2241" s="2">
        <v>41183.0</v>
      </c>
      <c r="I2241" s="1" t="s">
        <v>3959</v>
      </c>
      <c r="K2241" s="1" t="s">
        <v>3959</v>
      </c>
      <c r="N2241" s="1" t="s">
        <v>40</v>
      </c>
      <c r="O2241" s="1">
        <v>7500.0</v>
      </c>
      <c r="P2241" s="1" t="s">
        <v>40</v>
      </c>
      <c r="Q2241" s="1" t="str">
        <f>IF(ISERROR(VLOOKUP(P2241,'unique fed agency names'!A:C,3,FALSE)),P2241,VLOOKUP(P2241,'unique fed agency names'!A:C,3,FALSE))
</f>
        <v>U.S. Department of Health and Human Services (DHHS)</v>
      </c>
      <c r="R2241" s="1">
        <v>3.8775243E7</v>
      </c>
      <c r="S2241" s="1" t="s">
        <v>209</v>
      </c>
      <c r="T2241" s="1" t="str">
        <f>IF(ISERROR(VLOOKUP(S2241,'unique org names'!A:C,3,FALSE)),S2241,VLOOKUP(S2241,'unique org names'!A:C,3,FALSE))
</f>
        <v>SOUTHEASTERN MICHIGAN HEALTH ASSOCIATION</v>
      </c>
      <c r="U2241" s="1" t="s">
        <v>210</v>
      </c>
      <c r="V2241" s="1" t="s">
        <v>211</v>
      </c>
      <c r="W2241" s="1" t="s">
        <v>44</v>
      </c>
      <c r="X2241" s="1" t="s">
        <v>45</v>
      </c>
      <c r="Y2241" s="1">
        <v>4.82023068E8</v>
      </c>
      <c r="AA2241" s="1" t="s">
        <v>46</v>
      </c>
      <c r="AB2241" s="1" t="s">
        <v>45</v>
      </c>
      <c r="AC2241" s="1">
        <v>4.82023068E8</v>
      </c>
      <c r="AD2241" s="1">
        <v>3.8775243E7</v>
      </c>
      <c r="AE2241" s="1" t="s">
        <v>209</v>
      </c>
      <c r="AF2241" s="1">
        <v>416.12</v>
      </c>
      <c r="AG2241" s="2">
        <v>41183.0</v>
      </c>
      <c r="AH2241" s="1">
        <v>7500.0</v>
      </c>
      <c r="AI2241" s="1" t="s">
        <v>40</v>
      </c>
      <c r="AJ2241" s="1">
        <v>2.0131083E7</v>
      </c>
      <c r="AK2241" s="1" t="s">
        <v>212</v>
      </c>
      <c r="AL2241" s="1">
        <v>10.0</v>
      </c>
      <c r="AM2241" s="1">
        <v>2013.0</v>
      </c>
      <c r="AN2241" s="1">
        <v>2013.0</v>
      </c>
      <c r="AO2241" s="1" t="s">
        <v>213</v>
      </c>
    </row>
    <row r="2242">
      <c r="A2242" s="5">
        <v>1.0</v>
      </c>
      <c r="B2242" s="1">
        <f t="shared" si="1"/>
        <v>2242</v>
      </c>
      <c r="C2242" s="1" t="s">
        <v>3958</v>
      </c>
      <c r="D2242" s="1" t="s">
        <v>3958</v>
      </c>
      <c r="E2242" s="1" t="s">
        <v>207</v>
      </c>
      <c r="G2242" s="1">
        <v>4.972778E9</v>
      </c>
      <c r="H2242" s="2">
        <v>41548.0</v>
      </c>
      <c r="I2242" s="1" t="s">
        <v>3959</v>
      </c>
      <c r="K2242" s="1" t="s">
        <v>3959</v>
      </c>
      <c r="N2242" s="1" t="s">
        <v>40</v>
      </c>
      <c r="O2242" s="1">
        <v>7500.0</v>
      </c>
      <c r="P2242" s="1" t="s">
        <v>40</v>
      </c>
      <c r="Q2242" s="1" t="str">
        <f>IF(ISERROR(VLOOKUP(P2242,'unique fed agency names'!A:C,3,FALSE)),P2242,VLOOKUP(P2242,'unique fed agency names'!A:C,3,FALSE))
</f>
        <v>U.S. Department of Health and Human Services (DHHS)</v>
      </c>
      <c r="R2242" s="1">
        <v>7.92267549E8</v>
      </c>
      <c r="S2242" s="1" t="s">
        <v>41</v>
      </c>
      <c r="T2242" s="1" t="str">
        <f>IF(ISERROR(VLOOKUP(S2242,'unique org names'!A:C,3,FALSE)),S2242,VLOOKUP(S2242,'unique org names'!A:C,3,FALSE))
</f>
        <v>Henry Ford Health System</v>
      </c>
      <c r="U2242" s="1" t="s">
        <v>2769</v>
      </c>
      <c r="V2242" s="1" t="s">
        <v>2770</v>
      </c>
      <c r="W2242" s="1" t="s">
        <v>44</v>
      </c>
      <c r="X2242" s="1" t="s">
        <v>45</v>
      </c>
      <c r="Y2242" s="1">
        <v>4.82353296E8</v>
      </c>
      <c r="AA2242" s="1" t="s">
        <v>46</v>
      </c>
      <c r="AB2242" s="1" t="s">
        <v>45</v>
      </c>
      <c r="AC2242" s="1">
        <v>4.82353456E8</v>
      </c>
      <c r="AD2242" s="1">
        <v>7.3134603E7</v>
      </c>
      <c r="AE2242" s="1" t="s">
        <v>41</v>
      </c>
      <c r="AF2242" s="1">
        <v>2074687.5</v>
      </c>
      <c r="AG2242" s="2">
        <v>41548.0</v>
      </c>
      <c r="AH2242" s="1">
        <v>7500.0</v>
      </c>
      <c r="AI2242" s="1" t="s">
        <v>40</v>
      </c>
      <c r="AJ2242" s="1">
        <v>2.0140478E7</v>
      </c>
      <c r="AK2242" s="1" t="s">
        <v>212</v>
      </c>
      <c r="AL2242" s="1">
        <v>10.0</v>
      </c>
      <c r="AM2242" s="1">
        <v>2013.0</v>
      </c>
      <c r="AN2242" s="1">
        <v>2014.0</v>
      </c>
      <c r="AO2242" s="1" t="s">
        <v>213</v>
      </c>
    </row>
    <row r="2243">
      <c r="A2243" s="5">
        <v>1.0</v>
      </c>
      <c r="B2243" s="1">
        <f t="shared" si="1"/>
        <v>2243</v>
      </c>
      <c r="C2243" s="1" t="s">
        <v>3958</v>
      </c>
      <c r="D2243" s="1" t="s">
        <v>3958</v>
      </c>
      <c r="E2243" s="1" t="s">
        <v>207</v>
      </c>
      <c r="G2243" s="1">
        <v>4.972778E9</v>
      </c>
      <c r="H2243" s="2">
        <v>41548.0</v>
      </c>
      <c r="I2243" s="1" t="s">
        <v>3959</v>
      </c>
      <c r="K2243" s="1" t="s">
        <v>3959</v>
      </c>
      <c r="N2243" s="1" t="s">
        <v>40</v>
      </c>
      <c r="O2243" s="1">
        <v>7500.0</v>
      </c>
      <c r="P2243" s="1" t="s">
        <v>40</v>
      </c>
      <c r="Q2243" s="1" t="str">
        <f>IF(ISERROR(VLOOKUP(P2243,'unique fed agency names'!A:C,3,FALSE)),P2243,VLOOKUP(P2243,'unique fed agency names'!A:C,3,FALSE))
</f>
        <v>U.S. Department of Health and Human Services (DHHS)</v>
      </c>
      <c r="R2243" s="1">
        <v>3.8775243E7</v>
      </c>
      <c r="S2243" s="1" t="s">
        <v>209</v>
      </c>
      <c r="T2243" s="1" t="str">
        <f>IF(ISERROR(VLOOKUP(S2243,'unique org names'!A:C,3,FALSE)),S2243,VLOOKUP(S2243,'unique org names'!A:C,3,FALSE))
</f>
        <v>SOUTHEASTERN MICHIGAN HEALTH ASSOCIATION</v>
      </c>
      <c r="U2243" s="1" t="s">
        <v>210</v>
      </c>
      <c r="V2243" s="1" t="s">
        <v>211</v>
      </c>
      <c r="W2243" s="1" t="s">
        <v>44</v>
      </c>
      <c r="X2243" s="1" t="s">
        <v>45</v>
      </c>
      <c r="Y2243" s="1">
        <v>4.82023068E8</v>
      </c>
      <c r="AA2243" s="1" t="s">
        <v>46</v>
      </c>
      <c r="AB2243" s="1" t="s">
        <v>45</v>
      </c>
      <c r="AC2243" s="1">
        <v>4.82023068E8</v>
      </c>
      <c r="AD2243" s="1">
        <v>3.8775243E7</v>
      </c>
      <c r="AE2243" s="1" t="s">
        <v>209</v>
      </c>
      <c r="AF2243" s="1">
        <v>8418.2</v>
      </c>
      <c r="AG2243" s="2">
        <v>41548.0</v>
      </c>
      <c r="AH2243" s="1">
        <v>7500.0</v>
      </c>
      <c r="AI2243" s="1" t="s">
        <v>40</v>
      </c>
      <c r="AJ2243" s="1">
        <v>2.0140722E7</v>
      </c>
      <c r="AK2243" s="1" t="s">
        <v>212</v>
      </c>
      <c r="AL2243" s="1">
        <v>10.0</v>
      </c>
      <c r="AM2243" s="1">
        <v>2013.0</v>
      </c>
      <c r="AN2243" s="1">
        <v>2014.0</v>
      </c>
      <c r="AO2243" s="1" t="s">
        <v>213</v>
      </c>
    </row>
    <row r="2244">
      <c r="A2244" s="5">
        <v>1.0</v>
      </c>
      <c r="B2244" s="1">
        <f t="shared" si="1"/>
        <v>2244</v>
      </c>
      <c r="C2244" s="1" t="s">
        <v>3958</v>
      </c>
      <c r="D2244" s="1" t="s">
        <v>3958</v>
      </c>
      <c r="E2244" s="1" t="s">
        <v>207</v>
      </c>
      <c r="G2244" s="1">
        <v>4.972778E9</v>
      </c>
      <c r="H2244" s="2">
        <v>41548.0</v>
      </c>
      <c r="I2244" s="1" t="s">
        <v>3959</v>
      </c>
      <c r="K2244" s="1" t="s">
        <v>3959</v>
      </c>
      <c r="N2244" s="1" t="s">
        <v>40</v>
      </c>
      <c r="O2244" s="1">
        <v>7500.0</v>
      </c>
      <c r="P2244" s="1" t="s">
        <v>40</v>
      </c>
      <c r="Q2244" s="1" t="str">
        <f>IF(ISERROR(VLOOKUP(P2244,'unique fed agency names'!A:C,3,FALSE)),P2244,VLOOKUP(P2244,'unique fed agency names'!A:C,3,FALSE))
</f>
        <v>U.S. Department of Health and Human Services (DHHS)</v>
      </c>
      <c r="R2244" s="1">
        <v>3.8775243E7</v>
      </c>
      <c r="S2244" s="1" t="s">
        <v>209</v>
      </c>
      <c r="T2244" s="1" t="str">
        <f>IF(ISERROR(VLOOKUP(S2244,'unique org names'!A:C,3,FALSE)),S2244,VLOOKUP(S2244,'unique org names'!A:C,3,FALSE))
</f>
        <v>SOUTHEASTERN MICHIGAN HEALTH ASSOCIATION</v>
      </c>
      <c r="U2244" s="1" t="s">
        <v>210</v>
      </c>
      <c r="V2244" s="1" t="s">
        <v>211</v>
      </c>
      <c r="W2244" s="1" t="s">
        <v>44</v>
      </c>
      <c r="X2244" s="1" t="s">
        <v>45</v>
      </c>
      <c r="Y2244" s="1">
        <v>4.82023068E8</v>
      </c>
      <c r="AA2244" s="1" t="s">
        <v>46</v>
      </c>
      <c r="AB2244" s="1" t="s">
        <v>45</v>
      </c>
      <c r="AC2244" s="1">
        <v>4.82023068E8</v>
      </c>
      <c r="AD2244" s="1">
        <v>3.8775243E7</v>
      </c>
      <c r="AE2244" s="1" t="s">
        <v>209</v>
      </c>
      <c r="AF2244" s="1">
        <v>0.0</v>
      </c>
      <c r="AG2244" s="2">
        <v>41548.0</v>
      </c>
      <c r="AH2244" s="1">
        <v>7500.0</v>
      </c>
      <c r="AI2244" s="1" t="s">
        <v>40</v>
      </c>
      <c r="AJ2244" s="1">
        <v>2.0140734E7</v>
      </c>
      <c r="AK2244" s="1" t="s">
        <v>212</v>
      </c>
      <c r="AL2244" s="1">
        <v>10.0</v>
      </c>
      <c r="AM2244" s="1">
        <v>2013.0</v>
      </c>
      <c r="AN2244" s="1">
        <v>2014.0</v>
      </c>
      <c r="AO2244" s="1" t="s">
        <v>213</v>
      </c>
    </row>
    <row r="2245">
      <c r="A2245" s="5">
        <v>1.0</v>
      </c>
      <c r="B2245" s="1">
        <f t="shared" si="1"/>
        <v>2245</v>
      </c>
      <c r="C2245" s="1" t="s">
        <v>3958</v>
      </c>
      <c r="D2245" s="1" t="s">
        <v>3958</v>
      </c>
      <c r="E2245" s="1" t="s">
        <v>207</v>
      </c>
      <c r="G2245" s="1">
        <v>4.972778E9</v>
      </c>
      <c r="H2245" s="2">
        <v>41548.0</v>
      </c>
      <c r="I2245" s="1" t="s">
        <v>3959</v>
      </c>
      <c r="K2245" s="1" t="s">
        <v>3959</v>
      </c>
      <c r="N2245" s="1" t="s">
        <v>40</v>
      </c>
      <c r="O2245" s="1">
        <v>7500.0</v>
      </c>
      <c r="P2245" s="1" t="s">
        <v>40</v>
      </c>
      <c r="Q2245" s="1" t="str">
        <f>IF(ISERROR(VLOOKUP(P2245,'unique fed agency names'!A:C,3,FALSE)),P2245,VLOOKUP(P2245,'unique fed agency names'!A:C,3,FALSE))
</f>
        <v>U.S. Department of Health and Human Services (DHHS)</v>
      </c>
      <c r="R2245" s="1">
        <v>3.8775243E7</v>
      </c>
      <c r="S2245" s="1" t="s">
        <v>209</v>
      </c>
      <c r="T2245" s="1" t="str">
        <f>IF(ISERROR(VLOOKUP(S2245,'unique org names'!A:C,3,FALSE)),S2245,VLOOKUP(S2245,'unique org names'!A:C,3,FALSE))
</f>
        <v>SOUTHEASTERN MICHIGAN HEALTH ASSOCIATION</v>
      </c>
      <c r="U2245" s="1" t="s">
        <v>210</v>
      </c>
      <c r="V2245" s="1" t="s">
        <v>211</v>
      </c>
      <c r="W2245" s="1" t="s">
        <v>44</v>
      </c>
      <c r="X2245" s="1" t="s">
        <v>45</v>
      </c>
      <c r="Y2245" s="1">
        <v>4.82023068E8</v>
      </c>
      <c r="AA2245" s="1" t="s">
        <v>46</v>
      </c>
      <c r="AB2245" s="1" t="s">
        <v>45</v>
      </c>
      <c r="AC2245" s="1">
        <v>4.82023068E8</v>
      </c>
      <c r="AD2245" s="1">
        <v>3.8775243E7</v>
      </c>
      <c r="AE2245" s="1" t="s">
        <v>209</v>
      </c>
      <c r="AF2245" s="1">
        <v>8199.72</v>
      </c>
      <c r="AG2245" s="2">
        <v>41548.0</v>
      </c>
      <c r="AH2245" s="1">
        <v>7500.0</v>
      </c>
      <c r="AI2245" s="1" t="s">
        <v>40</v>
      </c>
      <c r="AJ2245" s="1">
        <v>2.014069E7</v>
      </c>
      <c r="AK2245" s="1" t="s">
        <v>212</v>
      </c>
      <c r="AL2245" s="1">
        <v>10.0</v>
      </c>
      <c r="AM2245" s="1">
        <v>2013.0</v>
      </c>
      <c r="AN2245" s="1">
        <v>2014.0</v>
      </c>
      <c r="AO2245" s="1" t="s">
        <v>213</v>
      </c>
    </row>
    <row r="2246">
      <c r="A2246" s="5">
        <v>1.0</v>
      </c>
      <c r="B2246" s="1">
        <f t="shared" si="1"/>
        <v>2246</v>
      </c>
      <c r="C2246" s="1" t="s">
        <v>3961</v>
      </c>
      <c r="D2246" s="1" t="s">
        <v>3961</v>
      </c>
      <c r="E2246" s="1" t="s">
        <v>207</v>
      </c>
      <c r="G2246" s="1">
        <v>1.5943497E9</v>
      </c>
      <c r="H2246" s="2">
        <v>41548.0</v>
      </c>
      <c r="I2246" s="1" t="s">
        <v>3962</v>
      </c>
      <c r="K2246" s="1" t="s">
        <v>3962</v>
      </c>
      <c r="N2246" s="1" t="s">
        <v>40</v>
      </c>
      <c r="O2246" s="1">
        <v>7500.0</v>
      </c>
      <c r="P2246" s="1" t="s">
        <v>40</v>
      </c>
      <c r="Q2246" s="1" t="str">
        <f>IF(ISERROR(VLOOKUP(P2246,'unique fed agency names'!A:C,3,FALSE)),P2246,VLOOKUP(P2246,'unique fed agency names'!A:C,3,FALSE))
</f>
        <v>U.S. Department of Health and Human Services (DHHS)</v>
      </c>
      <c r="R2246" s="1">
        <v>3.8775243E7</v>
      </c>
      <c r="S2246" s="1" t="s">
        <v>209</v>
      </c>
      <c r="T2246" s="1" t="str">
        <f>IF(ISERROR(VLOOKUP(S2246,'unique org names'!A:C,3,FALSE)),S2246,VLOOKUP(S2246,'unique org names'!A:C,3,FALSE))
</f>
        <v>SOUTHEASTERN MICHIGAN HEALTH ASSOCIATION</v>
      </c>
      <c r="U2246" s="1" t="s">
        <v>210</v>
      </c>
      <c r="V2246" s="1" t="s">
        <v>211</v>
      </c>
      <c r="W2246" s="1" t="s">
        <v>44</v>
      </c>
      <c r="X2246" s="1" t="s">
        <v>45</v>
      </c>
      <c r="Y2246" s="1">
        <v>4.82023068E8</v>
      </c>
      <c r="AA2246" s="1" t="s">
        <v>46</v>
      </c>
      <c r="AB2246" s="1" t="s">
        <v>45</v>
      </c>
      <c r="AC2246" s="1">
        <v>4.82023068E8</v>
      </c>
      <c r="AD2246" s="1">
        <v>3.8775243E7</v>
      </c>
      <c r="AE2246" s="1" t="s">
        <v>209</v>
      </c>
      <c r="AF2246" s="1">
        <v>8418.18</v>
      </c>
      <c r="AG2246" s="2">
        <v>41548.0</v>
      </c>
      <c r="AH2246" s="1">
        <v>7500.0</v>
      </c>
      <c r="AI2246" s="1" t="s">
        <v>40</v>
      </c>
      <c r="AJ2246" s="1">
        <v>2.0140722E7</v>
      </c>
      <c r="AK2246" s="1" t="s">
        <v>212</v>
      </c>
      <c r="AL2246" s="1">
        <v>10.0</v>
      </c>
      <c r="AM2246" s="1">
        <v>2013.0</v>
      </c>
      <c r="AN2246" s="1">
        <v>2014.0</v>
      </c>
      <c r="AO2246" s="1" t="s">
        <v>213</v>
      </c>
    </row>
    <row r="2247">
      <c r="A2247" s="5">
        <v>1.0</v>
      </c>
      <c r="B2247" s="1">
        <f t="shared" si="1"/>
        <v>2247</v>
      </c>
      <c r="C2247" s="1" t="s">
        <v>3961</v>
      </c>
      <c r="D2247" s="1" t="s">
        <v>3961</v>
      </c>
      <c r="E2247" s="1" t="s">
        <v>207</v>
      </c>
      <c r="G2247" s="1">
        <v>1.5943497E9</v>
      </c>
      <c r="H2247" s="2">
        <v>41548.0</v>
      </c>
      <c r="I2247" s="1" t="s">
        <v>3962</v>
      </c>
      <c r="K2247" s="1" t="s">
        <v>3962</v>
      </c>
      <c r="N2247" s="1" t="s">
        <v>40</v>
      </c>
      <c r="O2247" s="1">
        <v>7500.0</v>
      </c>
      <c r="P2247" s="1" t="s">
        <v>40</v>
      </c>
      <c r="Q2247" s="1" t="str">
        <f>IF(ISERROR(VLOOKUP(P2247,'unique fed agency names'!A:C,3,FALSE)),P2247,VLOOKUP(P2247,'unique fed agency names'!A:C,3,FALSE))
</f>
        <v>U.S. Department of Health and Human Services (DHHS)</v>
      </c>
      <c r="R2247" s="1">
        <v>3.8775243E7</v>
      </c>
      <c r="S2247" s="1" t="s">
        <v>209</v>
      </c>
      <c r="T2247" s="1" t="str">
        <f>IF(ISERROR(VLOOKUP(S2247,'unique org names'!A:C,3,FALSE)),S2247,VLOOKUP(S2247,'unique org names'!A:C,3,FALSE))
</f>
        <v>SOUTHEASTERN MICHIGAN HEALTH ASSOCIATION</v>
      </c>
      <c r="U2247" s="1" t="s">
        <v>210</v>
      </c>
      <c r="V2247" s="1" t="s">
        <v>211</v>
      </c>
      <c r="W2247" s="1" t="s">
        <v>44</v>
      </c>
      <c r="X2247" s="1" t="s">
        <v>45</v>
      </c>
      <c r="Y2247" s="1">
        <v>4.82023068E8</v>
      </c>
      <c r="AA2247" s="1" t="s">
        <v>46</v>
      </c>
      <c r="AB2247" s="1" t="s">
        <v>45</v>
      </c>
      <c r="AC2247" s="1">
        <v>4.82023068E8</v>
      </c>
      <c r="AD2247" s="1">
        <v>3.8775243E7</v>
      </c>
      <c r="AE2247" s="1" t="s">
        <v>209</v>
      </c>
      <c r="AF2247" s="1">
        <v>26013.75</v>
      </c>
      <c r="AG2247" s="2">
        <v>41548.0</v>
      </c>
      <c r="AH2247" s="1">
        <v>7500.0</v>
      </c>
      <c r="AI2247" s="1" t="s">
        <v>40</v>
      </c>
      <c r="AJ2247" s="1">
        <v>2.014192E7</v>
      </c>
      <c r="AK2247" s="1" t="s">
        <v>212</v>
      </c>
      <c r="AL2247" s="1">
        <v>10.0</v>
      </c>
      <c r="AM2247" s="1">
        <v>2013.0</v>
      </c>
      <c r="AN2247" s="1">
        <v>2014.0</v>
      </c>
      <c r="AO2247" s="1" t="s">
        <v>213</v>
      </c>
    </row>
    <row r="2248">
      <c r="A2248" s="5">
        <v>1.0</v>
      </c>
      <c r="B2248" s="1">
        <f t="shared" si="1"/>
        <v>2248</v>
      </c>
      <c r="C2248" s="1" t="s">
        <v>3961</v>
      </c>
      <c r="D2248" s="1" t="s">
        <v>3961</v>
      </c>
      <c r="E2248" s="1" t="s">
        <v>207</v>
      </c>
      <c r="G2248" s="1">
        <v>1.5943497E9</v>
      </c>
      <c r="H2248" s="2">
        <v>41548.0</v>
      </c>
      <c r="I2248" s="1" t="s">
        <v>3962</v>
      </c>
      <c r="K2248" s="1" t="s">
        <v>3962</v>
      </c>
      <c r="N2248" s="1" t="s">
        <v>40</v>
      </c>
      <c r="O2248" s="1">
        <v>7500.0</v>
      </c>
      <c r="P2248" s="1" t="s">
        <v>40</v>
      </c>
      <c r="Q2248" s="1" t="str">
        <f>IF(ISERROR(VLOOKUP(P2248,'unique fed agency names'!A:C,3,FALSE)),P2248,VLOOKUP(P2248,'unique fed agency names'!A:C,3,FALSE))
</f>
        <v>U.S. Department of Health and Human Services (DHHS)</v>
      </c>
      <c r="R2248" s="1">
        <v>3.8775243E7</v>
      </c>
      <c r="S2248" s="1" t="s">
        <v>209</v>
      </c>
      <c r="T2248" s="1" t="str">
        <f>IF(ISERROR(VLOOKUP(S2248,'unique org names'!A:C,3,FALSE)),S2248,VLOOKUP(S2248,'unique org names'!A:C,3,FALSE))
</f>
        <v>SOUTHEASTERN MICHIGAN HEALTH ASSOCIATION</v>
      </c>
      <c r="U2248" s="1" t="s">
        <v>210</v>
      </c>
      <c r="V2248" s="1" t="s">
        <v>211</v>
      </c>
      <c r="W2248" s="1" t="s">
        <v>44</v>
      </c>
      <c r="X2248" s="1" t="s">
        <v>45</v>
      </c>
      <c r="Y2248" s="1">
        <v>4.82023068E8</v>
      </c>
      <c r="AA2248" s="1" t="s">
        <v>46</v>
      </c>
      <c r="AB2248" s="1" t="s">
        <v>45</v>
      </c>
      <c r="AC2248" s="1">
        <v>4.82023068E8</v>
      </c>
      <c r="AD2248" s="1">
        <v>3.8775243E7</v>
      </c>
      <c r="AE2248" s="1" t="s">
        <v>209</v>
      </c>
      <c r="AF2248" s="1">
        <v>731.13</v>
      </c>
      <c r="AG2248" s="2">
        <v>41548.0</v>
      </c>
      <c r="AH2248" s="1">
        <v>7500.0</v>
      </c>
      <c r="AI2248" s="1" t="s">
        <v>40</v>
      </c>
      <c r="AJ2248" s="1">
        <v>2.0140695E7</v>
      </c>
      <c r="AK2248" s="1" t="s">
        <v>212</v>
      </c>
      <c r="AL2248" s="1">
        <v>10.0</v>
      </c>
      <c r="AM2248" s="1">
        <v>2013.0</v>
      </c>
      <c r="AN2248" s="1">
        <v>2014.0</v>
      </c>
      <c r="AO2248" s="1" t="s">
        <v>213</v>
      </c>
    </row>
    <row r="2249">
      <c r="A2249" s="5">
        <v>1.0</v>
      </c>
      <c r="B2249" s="1">
        <f t="shared" si="1"/>
        <v>2249</v>
      </c>
      <c r="C2249" s="1" t="s">
        <v>3961</v>
      </c>
      <c r="D2249" s="1" t="s">
        <v>3961</v>
      </c>
      <c r="E2249" s="1" t="s">
        <v>207</v>
      </c>
      <c r="G2249" s="1">
        <v>1.5943497E9</v>
      </c>
      <c r="H2249" s="2">
        <v>41548.0</v>
      </c>
      <c r="I2249" s="1" t="s">
        <v>3962</v>
      </c>
      <c r="K2249" s="1" t="s">
        <v>3962</v>
      </c>
      <c r="N2249" s="1" t="s">
        <v>40</v>
      </c>
      <c r="O2249" s="1">
        <v>7500.0</v>
      </c>
      <c r="P2249" s="1" t="s">
        <v>40</v>
      </c>
      <c r="Q2249" s="1" t="str">
        <f>IF(ISERROR(VLOOKUP(P2249,'unique fed agency names'!A:C,3,FALSE)),P2249,VLOOKUP(P2249,'unique fed agency names'!A:C,3,FALSE))
</f>
        <v>U.S. Department of Health and Human Services (DHHS)</v>
      </c>
      <c r="R2249" s="1">
        <v>3.8775243E7</v>
      </c>
      <c r="S2249" s="1" t="s">
        <v>209</v>
      </c>
      <c r="T2249" s="1" t="str">
        <f>IF(ISERROR(VLOOKUP(S2249,'unique org names'!A:C,3,FALSE)),S2249,VLOOKUP(S2249,'unique org names'!A:C,3,FALSE))
</f>
        <v>SOUTHEASTERN MICHIGAN HEALTH ASSOCIATION</v>
      </c>
      <c r="U2249" s="1" t="s">
        <v>210</v>
      </c>
      <c r="V2249" s="1" t="s">
        <v>211</v>
      </c>
      <c r="W2249" s="1" t="s">
        <v>44</v>
      </c>
      <c r="X2249" s="1" t="s">
        <v>45</v>
      </c>
      <c r="Y2249" s="1">
        <v>4.82023068E8</v>
      </c>
      <c r="AA2249" s="1" t="s">
        <v>46</v>
      </c>
      <c r="AB2249" s="1" t="s">
        <v>45</v>
      </c>
      <c r="AC2249" s="1">
        <v>4.82023068E8</v>
      </c>
      <c r="AD2249" s="1">
        <v>3.8775243E7</v>
      </c>
      <c r="AE2249" s="1" t="s">
        <v>209</v>
      </c>
      <c r="AF2249" s="1">
        <v>8199.72</v>
      </c>
      <c r="AG2249" s="2">
        <v>41548.0</v>
      </c>
      <c r="AH2249" s="1">
        <v>7500.0</v>
      </c>
      <c r="AI2249" s="1" t="s">
        <v>40</v>
      </c>
      <c r="AJ2249" s="1">
        <v>2.014069E7</v>
      </c>
      <c r="AK2249" s="1" t="s">
        <v>212</v>
      </c>
      <c r="AL2249" s="1">
        <v>10.0</v>
      </c>
      <c r="AM2249" s="1">
        <v>2013.0</v>
      </c>
      <c r="AN2249" s="1">
        <v>2014.0</v>
      </c>
      <c r="AO2249" s="1" t="s">
        <v>213</v>
      </c>
    </row>
    <row r="2250">
      <c r="A2250" s="5">
        <v>1.0</v>
      </c>
      <c r="B2250" s="1">
        <f t="shared" si="1"/>
        <v>2250</v>
      </c>
      <c r="C2250" s="1" t="s">
        <v>3961</v>
      </c>
      <c r="D2250" s="1" t="s">
        <v>3961</v>
      </c>
      <c r="E2250" s="1" t="s">
        <v>207</v>
      </c>
      <c r="G2250" s="1">
        <v>1.5943497E9</v>
      </c>
      <c r="H2250" s="2">
        <v>41548.0</v>
      </c>
      <c r="I2250" s="1" t="s">
        <v>3962</v>
      </c>
      <c r="K2250" s="1" t="s">
        <v>3962</v>
      </c>
      <c r="N2250" s="1" t="s">
        <v>40</v>
      </c>
      <c r="O2250" s="1">
        <v>7500.0</v>
      </c>
      <c r="P2250" s="1" t="s">
        <v>40</v>
      </c>
      <c r="Q2250" s="1" t="str">
        <f>IF(ISERROR(VLOOKUP(P2250,'unique fed agency names'!A:C,3,FALSE)),P2250,VLOOKUP(P2250,'unique fed agency names'!A:C,3,FALSE))
</f>
        <v>U.S. Department of Health and Human Services (DHHS)</v>
      </c>
      <c r="R2250" s="1">
        <v>3.8775243E7</v>
      </c>
      <c r="S2250" s="1" t="s">
        <v>209</v>
      </c>
      <c r="T2250" s="1" t="str">
        <f>IF(ISERROR(VLOOKUP(S2250,'unique org names'!A:C,3,FALSE)),S2250,VLOOKUP(S2250,'unique org names'!A:C,3,FALSE))
</f>
        <v>SOUTHEASTERN MICHIGAN HEALTH ASSOCIATION</v>
      </c>
      <c r="U2250" s="1" t="s">
        <v>210</v>
      </c>
      <c r="V2250" s="1" t="s">
        <v>211</v>
      </c>
      <c r="W2250" s="1" t="s">
        <v>44</v>
      </c>
      <c r="X2250" s="1" t="s">
        <v>45</v>
      </c>
      <c r="Y2250" s="1">
        <v>4.82023068E8</v>
      </c>
      <c r="AA2250" s="1" t="s">
        <v>46</v>
      </c>
      <c r="AB2250" s="1" t="s">
        <v>45</v>
      </c>
      <c r="AC2250" s="1">
        <v>4.82023068E8</v>
      </c>
      <c r="AD2250" s="1">
        <v>3.8775243E7</v>
      </c>
      <c r="AE2250" s="1" t="s">
        <v>209</v>
      </c>
      <c r="AF2250" s="1">
        <v>3750.0</v>
      </c>
      <c r="AG2250" s="2">
        <v>41548.0</v>
      </c>
      <c r="AH2250" s="1">
        <v>7500.0</v>
      </c>
      <c r="AI2250" s="1" t="s">
        <v>40</v>
      </c>
      <c r="AJ2250" s="1">
        <v>2.0142024E7</v>
      </c>
      <c r="AK2250" s="1" t="s">
        <v>212</v>
      </c>
      <c r="AL2250" s="1">
        <v>10.0</v>
      </c>
      <c r="AM2250" s="1">
        <v>2013.0</v>
      </c>
      <c r="AN2250" s="1">
        <v>2014.0</v>
      </c>
      <c r="AO2250" s="1" t="s">
        <v>213</v>
      </c>
    </row>
    <row r="2251">
      <c r="A2251" s="5">
        <v>1.0</v>
      </c>
      <c r="B2251" s="1">
        <f t="shared" si="1"/>
        <v>2251</v>
      </c>
      <c r="C2251" s="1" t="s">
        <v>3956</v>
      </c>
      <c r="D2251" s="1" t="s">
        <v>3956</v>
      </c>
      <c r="E2251" s="1" t="s">
        <v>207</v>
      </c>
      <c r="G2251" s="1">
        <v>2.48575334E9</v>
      </c>
      <c r="H2251" s="2">
        <v>41548.0</v>
      </c>
      <c r="I2251" s="1" t="s">
        <v>3957</v>
      </c>
      <c r="K2251" s="1" t="s">
        <v>3957</v>
      </c>
      <c r="N2251" s="1" t="s">
        <v>40</v>
      </c>
      <c r="O2251" s="1">
        <v>7500.0</v>
      </c>
      <c r="P2251" s="1" t="s">
        <v>40</v>
      </c>
      <c r="Q2251" s="1" t="str">
        <f>IF(ISERROR(VLOOKUP(P2251,'unique fed agency names'!A:C,3,FALSE)),P2251,VLOOKUP(P2251,'unique fed agency names'!A:C,3,FALSE))
</f>
        <v>U.S. Department of Health and Human Services (DHHS)</v>
      </c>
      <c r="R2251" s="1">
        <v>7.92267549E8</v>
      </c>
      <c r="S2251" s="1" t="s">
        <v>41</v>
      </c>
      <c r="T2251" s="1" t="str">
        <f>IF(ISERROR(VLOOKUP(S2251,'unique org names'!A:C,3,FALSE)),S2251,VLOOKUP(S2251,'unique org names'!A:C,3,FALSE))
</f>
        <v>Henry Ford Health System</v>
      </c>
      <c r="U2251" s="1" t="s">
        <v>2769</v>
      </c>
      <c r="V2251" s="1" t="s">
        <v>2770</v>
      </c>
      <c r="W2251" s="1" t="s">
        <v>44</v>
      </c>
      <c r="X2251" s="1" t="s">
        <v>45</v>
      </c>
      <c r="Y2251" s="1">
        <v>4.82353296E8</v>
      </c>
      <c r="AA2251" s="1" t="s">
        <v>46</v>
      </c>
      <c r="AB2251" s="1" t="s">
        <v>45</v>
      </c>
      <c r="AC2251" s="1">
        <v>4.82353456E8</v>
      </c>
      <c r="AD2251" s="1">
        <v>7.3134603E7</v>
      </c>
      <c r="AE2251" s="1" t="s">
        <v>41</v>
      </c>
      <c r="AF2251" s="1">
        <v>2074687.5</v>
      </c>
      <c r="AG2251" s="2">
        <v>41548.0</v>
      </c>
      <c r="AH2251" s="1">
        <v>7500.0</v>
      </c>
      <c r="AI2251" s="1" t="s">
        <v>40</v>
      </c>
      <c r="AJ2251" s="1">
        <v>2.0140478E7</v>
      </c>
      <c r="AK2251" s="1" t="s">
        <v>212</v>
      </c>
      <c r="AL2251" s="1">
        <v>10.0</v>
      </c>
      <c r="AM2251" s="1">
        <v>2013.0</v>
      </c>
      <c r="AN2251" s="1">
        <v>2014.0</v>
      </c>
      <c r="AO2251" s="1" t="s">
        <v>213</v>
      </c>
    </row>
    <row r="2252">
      <c r="A2252" s="5">
        <v>1.0</v>
      </c>
      <c r="B2252" s="1">
        <f t="shared" si="1"/>
        <v>2252</v>
      </c>
      <c r="C2252" s="1" t="s">
        <v>3956</v>
      </c>
      <c r="D2252" s="1" t="s">
        <v>3956</v>
      </c>
      <c r="E2252" s="1" t="s">
        <v>207</v>
      </c>
      <c r="G2252" s="1">
        <v>2.48575334E9</v>
      </c>
      <c r="H2252" s="2">
        <v>41548.0</v>
      </c>
      <c r="I2252" s="1" t="s">
        <v>3957</v>
      </c>
      <c r="K2252" s="1" t="s">
        <v>3957</v>
      </c>
      <c r="N2252" s="1" t="s">
        <v>40</v>
      </c>
      <c r="O2252" s="1">
        <v>7500.0</v>
      </c>
      <c r="P2252" s="1" t="s">
        <v>40</v>
      </c>
      <c r="Q2252" s="1" t="str">
        <f>IF(ISERROR(VLOOKUP(P2252,'unique fed agency names'!A:C,3,FALSE)),P2252,VLOOKUP(P2252,'unique fed agency names'!A:C,3,FALSE))
</f>
        <v>U.S. Department of Health and Human Services (DHHS)</v>
      </c>
      <c r="R2252" s="1">
        <v>3.8775243E7</v>
      </c>
      <c r="S2252" s="1" t="s">
        <v>209</v>
      </c>
      <c r="T2252" s="1" t="str">
        <f>IF(ISERROR(VLOOKUP(S2252,'unique org names'!A:C,3,FALSE)),S2252,VLOOKUP(S2252,'unique org names'!A:C,3,FALSE))
</f>
        <v>SOUTHEASTERN MICHIGAN HEALTH ASSOCIATION</v>
      </c>
      <c r="U2252" s="1" t="s">
        <v>210</v>
      </c>
      <c r="V2252" s="1" t="s">
        <v>211</v>
      </c>
      <c r="W2252" s="1" t="s">
        <v>44</v>
      </c>
      <c r="X2252" s="1" t="s">
        <v>45</v>
      </c>
      <c r="Y2252" s="1">
        <v>4.82023068E8</v>
      </c>
      <c r="AA2252" s="1" t="s">
        <v>46</v>
      </c>
      <c r="AB2252" s="1" t="s">
        <v>45</v>
      </c>
      <c r="AC2252" s="1">
        <v>4.82023068E8</v>
      </c>
      <c r="AD2252" s="1">
        <v>3.8775243E7</v>
      </c>
      <c r="AE2252" s="1" t="s">
        <v>209</v>
      </c>
      <c r="AF2252" s="1">
        <v>21481.18</v>
      </c>
      <c r="AG2252" s="2">
        <v>41548.0</v>
      </c>
      <c r="AH2252" s="1">
        <v>7500.0</v>
      </c>
      <c r="AI2252" s="1" t="s">
        <v>40</v>
      </c>
      <c r="AJ2252" s="1">
        <v>2.0140693E7</v>
      </c>
      <c r="AK2252" s="1" t="s">
        <v>212</v>
      </c>
      <c r="AL2252" s="1">
        <v>10.0</v>
      </c>
      <c r="AM2252" s="1">
        <v>2013.0</v>
      </c>
      <c r="AN2252" s="1">
        <v>2014.0</v>
      </c>
      <c r="AO2252" s="1" t="s">
        <v>213</v>
      </c>
    </row>
    <row r="2253">
      <c r="A2253" s="5">
        <v>1.0</v>
      </c>
      <c r="B2253" s="1">
        <f t="shared" si="1"/>
        <v>2253</v>
      </c>
      <c r="C2253" s="1" t="s">
        <v>3956</v>
      </c>
      <c r="D2253" s="1" t="s">
        <v>3956</v>
      </c>
      <c r="E2253" s="1" t="s">
        <v>207</v>
      </c>
      <c r="G2253" s="1">
        <v>2.48575334E9</v>
      </c>
      <c r="H2253" s="2">
        <v>41548.0</v>
      </c>
      <c r="I2253" s="1" t="s">
        <v>3957</v>
      </c>
      <c r="K2253" s="1" t="s">
        <v>3957</v>
      </c>
      <c r="N2253" s="1" t="s">
        <v>40</v>
      </c>
      <c r="O2253" s="1">
        <v>7500.0</v>
      </c>
      <c r="P2253" s="1" t="s">
        <v>40</v>
      </c>
      <c r="Q2253" s="1" t="str">
        <f>IF(ISERROR(VLOOKUP(P2253,'unique fed agency names'!A:C,3,FALSE)),P2253,VLOOKUP(P2253,'unique fed agency names'!A:C,3,FALSE))
</f>
        <v>U.S. Department of Health and Human Services (DHHS)</v>
      </c>
      <c r="R2253" s="1">
        <v>7596352.0</v>
      </c>
      <c r="S2253" s="1" t="s">
        <v>73</v>
      </c>
      <c r="T2253" s="1" t="str">
        <f>IF(ISERROR(VLOOKUP(S2253,'unique org names'!A:C,3,FALSE)),S2253,VLOOKUP(S2253,'unique org names'!A:C,3,FALSE))
</f>
        <v>City Of Detroit</v>
      </c>
      <c r="U2253" s="1" t="s">
        <v>2700</v>
      </c>
      <c r="V2253" s="1" t="s">
        <v>1578</v>
      </c>
      <c r="W2253" s="1" t="s">
        <v>44</v>
      </c>
      <c r="X2253" s="1" t="s">
        <v>45</v>
      </c>
      <c r="Y2253" s="1">
        <v>4.82263269E8</v>
      </c>
      <c r="AA2253" s="1" t="s">
        <v>46</v>
      </c>
      <c r="AB2253" s="1" t="s">
        <v>45</v>
      </c>
      <c r="AC2253" s="1">
        <v>4.82263269E8</v>
      </c>
      <c r="AD2253" s="1">
        <v>6530661.0</v>
      </c>
      <c r="AE2253" s="1" t="s">
        <v>76</v>
      </c>
      <c r="AF2253" s="1">
        <v>100785.0</v>
      </c>
      <c r="AG2253" s="2">
        <v>41548.0</v>
      </c>
      <c r="AH2253" s="1">
        <v>7500.0</v>
      </c>
      <c r="AI2253" s="1" t="s">
        <v>40</v>
      </c>
      <c r="AJ2253" s="1">
        <v>2.0141454E7</v>
      </c>
      <c r="AK2253" s="1" t="s">
        <v>212</v>
      </c>
      <c r="AL2253" s="1">
        <v>10.0</v>
      </c>
      <c r="AM2253" s="1">
        <v>2013.0</v>
      </c>
      <c r="AN2253" s="1">
        <v>2014.0</v>
      </c>
      <c r="AO2253" s="1" t="s">
        <v>213</v>
      </c>
    </row>
    <row r="2254">
      <c r="A2254" s="5">
        <v>1.0</v>
      </c>
      <c r="B2254" s="1">
        <f t="shared" si="1"/>
        <v>2254</v>
      </c>
      <c r="C2254" s="1" t="s">
        <v>3963</v>
      </c>
      <c r="D2254" s="1" t="s">
        <v>3963</v>
      </c>
      <c r="E2254" s="1" t="s">
        <v>207</v>
      </c>
      <c r="G2254" s="1">
        <v>2.32482304E9</v>
      </c>
      <c r="H2254" s="2">
        <v>41548.0</v>
      </c>
      <c r="I2254" s="1" t="s">
        <v>3964</v>
      </c>
      <c r="K2254" s="1" t="s">
        <v>3964</v>
      </c>
      <c r="N2254" s="1" t="s">
        <v>40</v>
      </c>
      <c r="O2254" s="1">
        <v>7500.0</v>
      </c>
      <c r="P2254" s="1" t="s">
        <v>40</v>
      </c>
      <c r="Q2254" s="1" t="str">
        <f>IF(ISERROR(VLOOKUP(P2254,'unique fed agency names'!A:C,3,FALSE)),P2254,VLOOKUP(P2254,'unique fed agency names'!A:C,3,FALSE))
</f>
        <v>U.S. Department of Health and Human Services (DHHS)</v>
      </c>
      <c r="R2254" s="1">
        <v>3.8775243E7</v>
      </c>
      <c r="S2254" s="1" t="s">
        <v>209</v>
      </c>
      <c r="T2254" s="1" t="str">
        <f>IF(ISERROR(VLOOKUP(S2254,'unique org names'!A:C,3,FALSE)),S2254,VLOOKUP(S2254,'unique org names'!A:C,3,FALSE))
</f>
        <v>SOUTHEASTERN MICHIGAN HEALTH ASSOCIATION</v>
      </c>
      <c r="U2254" s="1" t="s">
        <v>210</v>
      </c>
      <c r="V2254" s="1" t="s">
        <v>211</v>
      </c>
      <c r="W2254" s="1" t="s">
        <v>44</v>
      </c>
      <c r="X2254" s="1" t="s">
        <v>45</v>
      </c>
      <c r="Y2254" s="1">
        <v>4.82023068E8</v>
      </c>
      <c r="AA2254" s="1" t="s">
        <v>46</v>
      </c>
      <c r="AB2254" s="1" t="s">
        <v>45</v>
      </c>
      <c r="AC2254" s="1">
        <v>4.82023068E8</v>
      </c>
      <c r="AD2254" s="1">
        <v>3.8775243E7</v>
      </c>
      <c r="AE2254" s="1" t="s">
        <v>209</v>
      </c>
      <c r="AF2254" s="1">
        <v>13067.38</v>
      </c>
      <c r="AG2254" s="2">
        <v>41548.0</v>
      </c>
      <c r="AH2254" s="1">
        <v>7500.0</v>
      </c>
      <c r="AI2254" s="1" t="s">
        <v>40</v>
      </c>
      <c r="AJ2254" s="1">
        <v>2.0140688E7</v>
      </c>
      <c r="AK2254" s="1" t="s">
        <v>212</v>
      </c>
      <c r="AL2254" s="1">
        <v>10.0</v>
      </c>
      <c r="AM2254" s="1">
        <v>2013.0</v>
      </c>
      <c r="AN2254" s="1">
        <v>2014.0</v>
      </c>
      <c r="AO2254" s="1" t="s">
        <v>213</v>
      </c>
    </row>
    <row r="2255">
      <c r="A2255" s="5">
        <v>1.0</v>
      </c>
      <c r="B2255" s="1">
        <f t="shared" si="1"/>
        <v>2255</v>
      </c>
      <c r="C2255" s="1" t="s">
        <v>3963</v>
      </c>
      <c r="D2255" s="1" t="s">
        <v>3963</v>
      </c>
      <c r="E2255" s="1" t="s">
        <v>207</v>
      </c>
      <c r="G2255" s="1">
        <v>2.32482304E9</v>
      </c>
      <c r="H2255" s="2">
        <v>41548.0</v>
      </c>
      <c r="I2255" s="1" t="s">
        <v>3964</v>
      </c>
      <c r="K2255" s="1" t="s">
        <v>3964</v>
      </c>
      <c r="N2255" s="1" t="s">
        <v>40</v>
      </c>
      <c r="O2255" s="1">
        <v>7500.0</v>
      </c>
      <c r="P2255" s="1" t="s">
        <v>40</v>
      </c>
      <c r="Q2255" s="1" t="str">
        <f>IF(ISERROR(VLOOKUP(P2255,'unique fed agency names'!A:C,3,FALSE)),P2255,VLOOKUP(P2255,'unique fed agency names'!A:C,3,FALSE))
</f>
        <v>U.S. Department of Health and Human Services (DHHS)</v>
      </c>
      <c r="R2255" s="1">
        <v>3.8775243E7</v>
      </c>
      <c r="S2255" s="1" t="s">
        <v>209</v>
      </c>
      <c r="T2255" s="1" t="str">
        <f>IF(ISERROR(VLOOKUP(S2255,'unique org names'!A:C,3,FALSE)),S2255,VLOOKUP(S2255,'unique org names'!A:C,3,FALSE))
</f>
        <v>SOUTHEASTERN MICHIGAN HEALTH ASSOCIATION</v>
      </c>
      <c r="U2255" s="1" t="s">
        <v>210</v>
      </c>
      <c r="V2255" s="1" t="s">
        <v>211</v>
      </c>
      <c r="W2255" s="1" t="s">
        <v>44</v>
      </c>
      <c r="X2255" s="1" t="s">
        <v>45</v>
      </c>
      <c r="Y2255" s="1">
        <v>4.82023068E8</v>
      </c>
      <c r="AA2255" s="1" t="s">
        <v>46</v>
      </c>
      <c r="AB2255" s="1" t="s">
        <v>45</v>
      </c>
      <c r="AC2255" s="1">
        <v>4.82023068E8</v>
      </c>
      <c r="AD2255" s="1">
        <v>3.8775243E7</v>
      </c>
      <c r="AE2255" s="1" t="s">
        <v>209</v>
      </c>
      <c r="AF2255" s="1">
        <v>9966.75</v>
      </c>
      <c r="AG2255" s="2">
        <v>41548.0</v>
      </c>
      <c r="AH2255" s="1">
        <v>7500.0</v>
      </c>
      <c r="AI2255" s="1" t="s">
        <v>40</v>
      </c>
      <c r="AJ2255" s="1">
        <v>2.0140687E7</v>
      </c>
      <c r="AK2255" s="1" t="s">
        <v>212</v>
      </c>
      <c r="AL2255" s="1">
        <v>10.0</v>
      </c>
      <c r="AM2255" s="1">
        <v>2013.0</v>
      </c>
      <c r="AN2255" s="1">
        <v>2014.0</v>
      </c>
      <c r="AO2255" s="1" t="s">
        <v>213</v>
      </c>
    </row>
    <row r="2256">
      <c r="A2256" s="5">
        <v>1.0</v>
      </c>
      <c r="B2256" s="1">
        <f t="shared" si="1"/>
        <v>2256</v>
      </c>
      <c r="C2256" s="1" t="s">
        <v>3958</v>
      </c>
      <c r="D2256" s="1" t="s">
        <v>3958</v>
      </c>
      <c r="E2256" s="1" t="s">
        <v>207</v>
      </c>
      <c r="G2256" s="1">
        <v>4.972778E9</v>
      </c>
      <c r="H2256" s="2">
        <v>41183.0</v>
      </c>
      <c r="I2256" s="1" t="s">
        <v>3959</v>
      </c>
      <c r="K2256" s="1" t="s">
        <v>3959</v>
      </c>
      <c r="N2256" s="1" t="s">
        <v>40</v>
      </c>
      <c r="O2256" s="1">
        <v>7500.0</v>
      </c>
      <c r="P2256" s="1" t="s">
        <v>40</v>
      </c>
      <c r="Q2256" s="1" t="str">
        <f>IF(ISERROR(VLOOKUP(P2256,'unique fed agency names'!A:C,3,FALSE)),P2256,VLOOKUP(P2256,'unique fed agency names'!A:C,3,FALSE))
</f>
        <v>U.S. Department of Health and Human Services (DHHS)</v>
      </c>
      <c r="R2256" s="1">
        <v>3.8775243E7</v>
      </c>
      <c r="S2256" s="1" t="s">
        <v>209</v>
      </c>
      <c r="T2256" s="1" t="str">
        <f>IF(ISERROR(VLOOKUP(S2256,'unique org names'!A:C,3,FALSE)),S2256,VLOOKUP(S2256,'unique org names'!A:C,3,FALSE))
</f>
        <v>SOUTHEASTERN MICHIGAN HEALTH ASSOCIATION</v>
      </c>
      <c r="U2256" s="1" t="s">
        <v>210</v>
      </c>
      <c r="V2256" s="1" t="s">
        <v>211</v>
      </c>
      <c r="W2256" s="1" t="s">
        <v>44</v>
      </c>
      <c r="X2256" s="1" t="s">
        <v>45</v>
      </c>
      <c r="Y2256" s="1">
        <v>4.82023068E8</v>
      </c>
      <c r="AA2256" s="1" t="s">
        <v>46</v>
      </c>
      <c r="AB2256" s="1" t="s">
        <v>45</v>
      </c>
      <c r="AC2256" s="1">
        <v>4.82023068E8</v>
      </c>
      <c r="AD2256" s="1">
        <v>3.8775243E7</v>
      </c>
      <c r="AE2256" s="1" t="s">
        <v>209</v>
      </c>
      <c r="AF2256" s="1">
        <v>416.12</v>
      </c>
      <c r="AG2256" s="2">
        <v>41183.0</v>
      </c>
      <c r="AH2256" s="1">
        <v>7500.0</v>
      </c>
      <c r="AI2256" s="1" t="s">
        <v>40</v>
      </c>
      <c r="AJ2256" s="1">
        <v>2.0131083E7</v>
      </c>
      <c r="AK2256" s="1" t="s">
        <v>212</v>
      </c>
      <c r="AL2256" s="1">
        <v>10.0</v>
      </c>
      <c r="AM2256" s="1">
        <v>2013.0</v>
      </c>
      <c r="AN2256" s="1">
        <v>2013.0</v>
      </c>
      <c r="AO2256" s="1" t="s">
        <v>213</v>
      </c>
    </row>
    <row r="2257">
      <c r="A2257" s="5">
        <v>1.0</v>
      </c>
      <c r="B2257" s="1">
        <f t="shared" si="1"/>
        <v>2257</v>
      </c>
      <c r="C2257" s="1" t="s">
        <v>3958</v>
      </c>
      <c r="D2257" s="1" t="s">
        <v>3958</v>
      </c>
      <c r="E2257" s="1" t="s">
        <v>207</v>
      </c>
      <c r="G2257" s="1">
        <v>4.972778E9</v>
      </c>
      <c r="H2257" s="2">
        <v>41548.0</v>
      </c>
      <c r="I2257" s="1" t="s">
        <v>3959</v>
      </c>
      <c r="K2257" s="1" t="s">
        <v>3959</v>
      </c>
      <c r="N2257" s="1" t="s">
        <v>40</v>
      </c>
      <c r="O2257" s="1">
        <v>7500.0</v>
      </c>
      <c r="P2257" s="1" t="s">
        <v>40</v>
      </c>
      <c r="Q2257" s="1" t="str">
        <f>IF(ISERROR(VLOOKUP(P2257,'unique fed agency names'!A:C,3,FALSE)),P2257,VLOOKUP(P2257,'unique fed agency names'!A:C,3,FALSE))
</f>
        <v>U.S. Department of Health and Human Services (DHHS)</v>
      </c>
      <c r="R2257" s="1">
        <v>4.6842605E7</v>
      </c>
      <c r="S2257" s="1" t="s">
        <v>165</v>
      </c>
      <c r="T2257" s="1" t="str">
        <f>IF(ISERROR(VLOOKUP(S2257,'unique org names'!A:C,3,FALSE)),S2257,VLOOKUP(S2257,'unique org names'!A:C,3,FALSE))
</f>
        <v>DETROIT AREA AGENCY ON AGING</v>
      </c>
      <c r="U2257" s="1" t="s">
        <v>166</v>
      </c>
      <c r="V2257" s="1" t="s">
        <v>167</v>
      </c>
      <c r="W2257" s="1" t="s">
        <v>44</v>
      </c>
      <c r="X2257" s="1" t="s">
        <v>45</v>
      </c>
      <c r="Y2257" s="1">
        <v>4.82074544E8</v>
      </c>
      <c r="AA2257" s="1" t="s">
        <v>46</v>
      </c>
      <c r="AB2257" s="1" t="s">
        <v>45</v>
      </c>
      <c r="AC2257" s="1">
        <v>4.82074544E8</v>
      </c>
      <c r="AD2257" s="1">
        <v>7.3134603E7</v>
      </c>
      <c r="AE2257" s="1" t="s">
        <v>41</v>
      </c>
      <c r="AF2257" s="1">
        <v>4701738.64</v>
      </c>
      <c r="AG2257" s="2">
        <v>41548.0</v>
      </c>
      <c r="AH2257" s="1">
        <v>7500.0</v>
      </c>
      <c r="AI2257" s="1" t="s">
        <v>40</v>
      </c>
      <c r="AJ2257" s="1">
        <v>2.0141101E7</v>
      </c>
      <c r="AK2257" s="1" t="s">
        <v>212</v>
      </c>
      <c r="AL2257" s="1">
        <v>10.0</v>
      </c>
      <c r="AM2257" s="1">
        <v>2013.0</v>
      </c>
      <c r="AN2257" s="1">
        <v>2014.0</v>
      </c>
      <c r="AO2257" s="1" t="s">
        <v>213</v>
      </c>
    </row>
    <row r="2258">
      <c r="A2258" s="5">
        <v>1.0</v>
      </c>
      <c r="B2258" s="1">
        <f t="shared" si="1"/>
        <v>2258</v>
      </c>
      <c r="C2258" s="1" t="s">
        <v>3958</v>
      </c>
      <c r="D2258" s="1" t="s">
        <v>3958</v>
      </c>
      <c r="E2258" s="1" t="s">
        <v>207</v>
      </c>
      <c r="G2258" s="1">
        <v>4.972778E9</v>
      </c>
      <c r="H2258" s="2">
        <v>41548.0</v>
      </c>
      <c r="I2258" s="1" t="s">
        <v>3959</v>
      </c>
      <c r="K2258" s="1" t="s">
        <v>3959</v>
      </c>
      <c r="N2258" s="1" t="s">
        <v>40</v>
      </c>
      <c r="O2258" s="1">
        <v>7500.0</v>
      </c>
      <c r="P2258" s="1" t="s">
        <v>40</v>
      </c>
      <c r="Q2258" s="1" t="str">
        <f>IF(ISERROR(VLOOKUP(P2258,'unique fed agency names'!A:C,3,FALSE)),P2258,VLOOKUP(P2258,'unique fed agency names'!A:C,3,FALSE))
</f>
        <v>U.S. Department of Health and Human Services (DHHS)</v>
      </c>
      <c r="R2258" s="1">
        <v>3.8775243E7</v>
      </c>
      <c r="S2258" s="1" t="s">
        <v>209</v>
      </c>
      <c r="T2258" s="1" t="str">
        <f>IF(ISERROR(VLOOKUP(S2258,'unique org names'!A:C,3,FALSE)),S2258,VLOOKUP(S2258,'unique org names'!A:C,3,FALSE))
</f>
        <v>SOUTHEASTERN MICHIGAN HEALTH ASSOCIATION</v>
      </c>
      <c r="U2258" s="1" t="s">
        <v>210</v>
      </c>
      <c r="V2258" s="1" t="s">
        <v>211</v>
      </c>
      <c r="W2258" s="1" t="s">
        <v>44</v>
      </c>
      <c r="X2258" s="1" t="s">
        <v>45</v>
      </c>
      <c r="Y2258" s="1">
        <v>4.82023068E8</v>
      </c>
      <c r="AA2258" s="1" t="s">
        <v>46</v>
      </c>
      <c r="AB2258" s="1" t="s">
        <v>45</v>
      </c>
      <c r="AC2258" s="1">
        <v>4.82023068E8</v>
      </c>
      <c r="AD2258" s="1">
        <v>3.8775243E7</v>
      </c>
      <c r="AE2258" s="1" t="s">
        <v>209</v>
      </c>
      <c r="AF2258" s="1">
        <v>26013.73</v>
      </c>
      <c r="AG2258" s="2">
        <v>41548.0</v>
      </c>
      <c r="AH2258" s="1">
        <v>7500.0</v>
      </c>
      <c r="AI2258" s="1" t="s">
        <v>40</v>
      </c>
      <c r="AJ2258" s="1">
        <v>2.014192E7</v>
      </c>
      <c r="AK2258" s="1" t="s">
        <v>212</v>
      </c>
      <c r="AL2258" s="1">
        <v>10.0</v>
      </c>
      <c r="AM2258" s="1">
        <v>2013.0</v>
      </c>
      <c r="AN2258" s="1">
        <v>2014.0</v>
      </c>
      <c r="AO2258" s="1" t="s">
        <v>213</v>
      </c>
    </row>
    <row r="2259">
      <c r="A2259" s="5">
        <v>1.0</v>
      </c>
      <c r="B2259" s="1">
        <f t="shared" si="1"/>
        <v>2259</v>
      </c>
      <c r="C2259" s="1" t="s">
        <v>3958</v>
      </c>
      <c r="D2259" s="1" t="s">
        <v>3958</v>
      </c>
      <c r="E2259" s="1" t="s">
        <v>207</v>
      </c>
      <c r="G2259" s="1">
        <v>4.972778E9</v>
      </c>
      <c r="H2259" s="2">
        <v>41548.0</v>
      </c>
      <c r="I2259" s="1" t="s">
        <v>3959</v>
      </c>
      <c r="K2259" s="1" t="s">
        <v>3959</v>
      </c>
      <c r="N2259" s="1" t="s">
        <v>40</v>
      </c>
      <c r="O2259" s="1">
        <v>7500.0</v>
      </c>
      <c r="P2259" s="1" t="s">
        <v>40</v>
      </c>
      <c r="Q2259" s="1" t="str">
        <f>IF(ISERROR(VLOOKUP(P2259,'unique fed agency names'!A:C,3,FALSE)),P2259,VLOOKUP(P2259,'unique fed agency names'!A:C,3,FALSE))
</f>
        <v>U.S. Department of Health and Human Services (DHHS)</v>
      </c>
      <c r="R2259" s="1">
        <v>3.8775243E7</v>
      </c>
      <c r="S2259" s="1" t="s">
        <v>209</v>
      </c>
      <c r="T2259" s="1" t="str">
        <f>IF(ISERROR(VLOOKUP(S2259,'unique org names'!A:C,3,FALSE)),S2259,VLOOKUP(S2259,'unique org names'!A:C,3,FALSE))
</f>
        <v>SOUTHEASTERN MICHIGAN HEALTH ASSOCIATION</v>
      </c>
      <c r="U2259" s="1" t="s">
        <v>210</v>
      </c>
      <c r="V2259" s="1" t="s">
        <v>211</v>
      </c>
      <c r="W2259" s="1" t="s">
        <v>44</v>
      </c>
      <c r="X2259" s="1" t="s">
        <v>45</v>
      </c>
      <c r="Y2259" s="1">
        <v>4.82023068E8</v>
      </c>
      <c r="AA2259" s="1" t="s">
        <v>46</v>
      </c>
      <c r="AB2259" s="1" t="s">
        <v>45</v>
      </c>
      <c r="AC2259" s="1">
        <v>4.82023068E8</v>
      </c>
      <c r="AD2259" s="1">
        <v>3.8775243E7</v>
      </c>
      <c r="AE2259" s="1" t="s">
        <v>209</v>
      </c>
      <c r="AF2259" s="1">
        <v>21481.18</v>
      </c>
      <c r="AG2259" s="2">
        <v>41548.0</v>
      </c>
      <c r="AH2259" s="1">
        <v>7500.0</v>
      </c>
      <c r="AI2259" s="1" t="s">
        <v>40</v>
      </c>
      <c r="AJ2259" s="1">
        <v>2.0140693E7</v>
      </c>
      <c r="AK2259" s="1" t="s">
        <v>212</v>
      </c>
      <c r="AL2259" s="1">
        <v>10.0</v>
      </c>
      <c r="AM2259" s="1">
        <v>2013.0</v>
      </c>
      <c r="AN2259" s="1">
        <v>2014.0</v>
      </c>
      <c r="AO2259" s="1" t="s">
        <v>213</v>
      </c>
    </row>
    <row r="2260">
      <c r="A2260" s="5">
        <v>1.0</v>
      </c>
      <c r="B2260" s="1">
        <f t="shared" si="1"/>
        <v>2260</v>
      </c>
      <c r="C2260" s="1" t="s">
        <v>3958</v>
      </c>
      <c r="D2260" s="1" t="s">
        <v>3958</v>
      </c>
      <c r="E2260" s="1" t="s">
        <v>207</v>
      </c>
      <c r="G2260" s="1">
        <v>4.972778E9</v>
      </c>
      <c r="H2260" s="2">
        <v>41548.0</v>
      </c>
      <c r="I2260" s="1" t="s">
        <v>3959</v>
      </c>
      <c r="K2260" s="1" t="s">
        <v>3959</v>
      </c>
      <c r="N2260" s="1" t="s">
        <v>40</v>
      </c>
      <c r="O2260" s="1">
        <v>7500.0</v>
      </c>
      <c r="P2260" s="1" t="s">
        <v>40</v>
      </c>
      <c r="Q2260" s="1" t="str">
        <f>IF(ISERROR(VLOOKUP(P2260,'unique fed agency names'!A:C,3,FALSE)),P2260,VLOOKUP(P2260,'unique fed agency names'!A:C,3,FALSE))
</f>
        <v>U.S. Department of Health and Human Services (DHHS)</v>
      </c>
      <c r="R2260" s="1">
        <v>3.8775243E7</v>
      </c>
      <c r="S2260" s="1" t="s">
        <v>209</v>
      </c>
      <c r="T2260" s="1" t="str">
        <f>IF(ISERROR(VLOOKUP(S2260,'unique org names'!A:C,3,FALSE)),S2260,VLOOKUP(S2260,'unique org names'!A:C,3,FALSE))
</f>
        <v>SOUTHEASTERN MICHIGAN HEALTH ASSOCIATION</v>
      </c>
      <c r="U2260" s="1" t="s">
        <v>210</v>
      </c>
      <c r="V2260" s="1" t="s">
        <v>211</v>
      </c>
      <c r="W2260" s="1" t="s">
        <v>44</v>
      </c>
      <c r="X2260" s="1" t="s">
        <v>45</v>
      </c>
      <c r="Y2260" s="1">
        <v>4.82023068E8</v>
      </c>
      <c r="AA2260" s="1" t="s">
        <v>46</v>
      </c>
      <c r="AB2260" s="1" t="s">
        <v>45</v>
      </c>
      <c r="AC2260" s="1">
        <v>4.82023068E8</v>
      </c>
      <c r="AD2260" s="1">
        <v>3.8775243E7</v>
      </c>
      <c r="AE2260" s="1" t="s">
        <v>209</v>
      </c>
      <c r="AF2260" s="1">
        <v>9966.75</v>
      </c>
      <c r="AG2260" s="2">
        <v>41548.0</v>
      </c>
      <c r="AH2260" s="1">
        <v>7500.0</v>
      </c>
      <c r="AI2260" s="1" t="s">
        <v>40</v>
      </c>
      <c r="AJ2260" s="1">
        <v>2.0140687E7</v>
      </c>
      <c r="AK2260" s="1" t="s">
        <v>212</v>
      </c>
      <c r="AL2260" s="1">
        <v>10.0</v>
      </c>
      <c r="AM2260" s="1">
        <v>2013.0</v>
      </c>
      <c r="AN2260" s="1">
        <v>2014.0</v>
      </c>
      <c r="AO2260" s="1" t="s">
        <v>213</v>
      </c>
    </row>
    <row r="2261">
      <c r="A2261" s="5">
        <v>1.0</v>
      </c>
      <c r="B2261" s="1">
        <f t="shared" si="1"/>
        <v>2261</v>
      </c>
      <c r="C2261" s="1" t="s">
        <v>3958</v>
      </c>
      <c r="D2261" s="1" t="s">
        <v>3958</v>
      </c>
      <c r="E2261" s="1" t="s">
        <v>207</v>
      </c>
      <c r="G2261" s="1">
        <v>4.972778E9</v>
      </c>
      <c r="H2261" s="2">
        <v>41548.0</v>
      </c>
      <c r="I2261" s="1" t="s">
        <v>3959</v>
      </c>
      <c r="K2261" s="1" t="s">
        <v>3959</v>
      </c>
      <c r="N2261" s="1" t="s">
        <v>40</v>
      </c>
      <c r="O2261" s="1">
        <v>7500.0</v>
      </c>
      <c r="P2261" s="1" t="s">
        <v>40</v>
      </c>
      <c r="Q2261" s="1" t="str">
        <f>IF(ISERROR(VLOOKUP(P2261,'unique fed agency names'!A:C,3,FALSE)),P2261,VLOOKUP(P2261,'unique fed agency names'!A:C,3,FALSE))
</f>
        <v>U.S. Department of Health and Human Services (DHHS)</v>
      </c>
      <c r="R2261" s="1">
        <v>3.8775243E7</v>
      </c>
      <c r="S2261" s="1" t="s">
        <v>209</v>
      </c>
      <c r="T2261" s="1" t="str">
        <f>IF(ISERROR(VLOOKUP(S2261,'unique org names'!A:C,3,FALSE)),S2261,VLOOKUP(S2261,'unique org names'!A:C,3,FALSE))
</f>
        <v>SOUTHEASTERN MICHIGAN HEALTH ASSOCIATION</v>
      </c>
      <c r="U2261" s="1" t="s">
        <v>210</v>
      </c>
      <c r="V2261" s="1" t="s">
        <v>211</v>
      </c>
      <c r="W2261" s="1" t="s">
        <v>44</v>
      </c>
      <c r="X2261" s="1" t="s">
        <v>45</v>
      </c>
      <c r="Y2261" s="1">
        <v>4.82023068E8</v>
      </c>
      <c r="AA2261" s="1" t="s">
        <v>46</v>
      </c>
      <c r="AB2261" s="1" t="s">
        <v>45</v>
      </c>
      <c r="AC2261" s="1">
        <v>4.82023068E8</v>
      </c>
      <c r="AD2261" s="1">
        <v>3.8775243E7</v>
      </c>
      <c r="AE2261" s="1" t="s">
        <v>209</v>
      </c>
      <c r="AF2261" s="1">
        <v>0.0</v>
      </c>
      <c r="AG2261" s="2">
        <v>41548.0</v>
      </c>
      <c r="AH2261" s="1">
        <v>7500.0</v>
      </c>
      <c r="AI2261" s="1" t="s">
        <v>40</v>
      </c>
      <c r="AJ2261" s="1">
        <v>2.0140704E7</v>
      </c>
      <c r="AK2261" s="1" t="s">
        <v>212</v>
      </c>
      <c r="AL2261" s="1">
        <v>10.0</v>
      </c>
      <c r="AM2261" s="1">
        <v>2013.0</v>
      </c>
      <c r="AN2261" s="1">
        <v>2014.0</v>
      </c>
      <c r="AO2261" s="1" t="s">
        <v>213</v>
      </c>
    </row>
    <row r="2262">
      <c r="A2262" s="5">
        <v>1.0</v>
      </c>
      <c r="B2262" s="1">
        <f t="shared" si="1"/>
        <v>2262</v>
      </c>
      <c r="C2262" s="1" t="s">
        <v>3958</v>
      </c>
      <c r="D2262" s="1" t="s">
        <v>3958</v>
      </c>
      <c r="E2262" s="1" t="s">
        <v>207</v>
      </c>
      <c r="G2262" s="1">
        <v>4.972778E9</v>
      </c>
      <c r="H2262" s="2">
        <v>41548.0</v>
      </c>
      <c r="I2262" s="1" t="s">
        <v>3959</v>
      </c>
      <c r="K2262" s="1" t="s">
        <v>3959</v>
      </c>
      <c r="N2262" s="1" t="s">
        <v>40</v>
      </c>
      <c r="O2262" s="1">
        <v>7500.0</v>
      </c>
      <c r="P2262" s="1" t="s">
        <v>40</v>
      </c>
      <c r="Q2262" s="1" t="str">
        <f>IF(ISERROR(VLOOKUP(P2262,'unique fed agency names'!A:C,3,FALSE)),P2262,VLOOKUP(P2262,'unique fed agency names'!A:C,3,FALSE))
</f>
        <v>U.S. Department of Health and Human Services (DHHS)</v>
      </c>
      <c r="R2262" s="1">
        <v>3.8775243E7</v>
      </c>
      <c r="S2262" s="1" t="s">
        <v>209</v>
      </c>
      <c r="T2262" s="1" t="str">
        <f>IF(ISERROR(VLOOKUP(S2262,'unique org names'!A:C,3,FALSE)),S2262,VLOOKUP(S2262,'unique org names'!A:C,3,FALSE))
</f>
        <v>SOUTHEASTERN MICHIGAN HEALTH ASSOCIATION</v>
      </c>
      <c r="U2262" s="1" t="s">
        <v>210</v>
      </c>
      <c r="V2262" s="1" t="s">
        <v>211</v>
      </c>
      <c r="W2262" s="1" t="s">
        <v>44</v>
      </c>
      <c r="X2262" s="1" t="s">
        <v>45</v>
      </c>
      <c r="Y2262" s="1">
        <v>4.82023068E8</v>
      </c>
      <c r="AA2262" s="1" t="s">
        <v>46</v>
      </c>
      <c r="AB2262" s="1" t="s">
        <v>45</v>
      </c>
      <c r="AC2262" s="1">
        <v>4.82023068E8</v>
      </c>
      <c r="AD2262" s="1">
        <v>3.8775243E7</v>
      </c>
      <c r="AE2262" s="1" t="s">
        <v>209</v>
      </c>
      <c r="AF2262" s="1">
        <v>13067.38</v>
      </c>
      <c r="AG2262" s="2">
        <v>41548.0</v>
      </c>
      <c r="AH2262" s="1">
        <v>7500.0</v>
      </c>
      <c r="AI2262" s="1" t="s">
        <v>40</v>
      </c>
      <c r="AJ2262" s="1">
        <v>2.0140688E7</v>
      </c>
      <c r="AK2262" s="1" t="s">
        <v>212</v>
      </c>
      <c r="AL2262" s="1">
        <v>10.0</v>
      </c>
      <c r="AM2262" s="1">
        <v>2013.0</v>
      </c>
      <c r="AN2262" s="1">
        <v>2014.0</v>
      </c>
      <c r="AO2262" s="1" t="s">
        <v>213</v>
      </c>
    </row>
    <row r="2263">
      <c r="A2263" s="5">
        <v>1.0</v>
      </c>
      <c r="B2263" s="1">
        <f t="shared" si="1"/>
        <v>2263</v>
      </c>
      <c r="C2263" s="1" t="s">
        <v>3961</v>
      </c>
      <c r="D2263" s="1" t="s">
        <v>3961</v>
      </c>
      <c r="E2263" s="1" t="s">
        <v>207</v>
      </c>
      <c r="G2263" s="1">
        <v>1.5943497E9</v>
      </c>
      <c r="H2263" s="2">
        <v>41548.0</v>
      </c>
      <c r="I2263" s="1" t="s">
        <v>3962</v>
      </c>
      <c r="K2263" s="1" t="s">
        <v>3962</v>
      </c>
      <c r="N2263" s="1" t="s">
        <v>40</v>
      </c>
      <c r="O2263" s="1">
        <v>7500.0</v>
      </c>
      <c r="P2263" s="1" t="s">
        <v>40</v>
      </c>
      <c r="Q2263" s="1" t="str">
        <f>IF(ISERROR(VLOOKUP(P2263,'unique fed agency names'!A:C,3,FALSE)),P2263,VLOOKUP(P2263,'unique fed agency names'!A:C,3,FALSE))
</f>
        <v>U.S. Department of Health and Human Services (DHHS)</v>
      </c>
      <c r="R2263" s="1">
        <v>4.6842605E7</v>
      </c>
      <c r="S2263" s="1" t="s">
        <v>165</v>
      </c>
      <c r="T2263" s="1" t="str">
        <f>IF(ISERROR(VLOOKUP(S2263,'unique org names'!A:C,3,FALSE)),S2263,VLOOKUP(S2263,'unique org names'!A:C,3,FALSE))
</f>
        <v>DETROIT AREA AGENCY ON AGING</v>
      </c>
      <c r="U2263" s="1" t="s">
        <v>166</v>
      </c>
      <c r="V2263" s="1" t="s">
        <v>167</v>
      </c>
      <c r="W2263" s="1" t="s">
        <v>44</v>
      </c>
      <c r="X2263" s="1" t="s">
        <v>45</v>
      </c>
      <c r="Y2263" s="1">
        <v>4.82074544E8</v>
      </c>
      <c r="AA2263" s="1" t="s">
        <v>46</v>
      </c>
      <c r="AB2263" s="1" t="s">
        <v>45</v>
      </c>
      <c r="AC2263" s="1">
        <v>4.82074544E8</v>
      </c>
      <c r="AD2263" s="1">
        <v>7.3134603E7</v>
      </c>
      <c r="AE2263" s="1" t="s">
        <v>41</v>
      </c>
      <c r="AF2263" s="1">
        <v>4701738.64</v>
      </c>
      <c r="AG2263" s="2">
        <v>41548.0</v>
      </c>
      <c r="AH2263" s="1">
        <v>7500.0</v>
      </c>
      <c r="AI2263" s="1" t="s">
        <v>40</v>
      </c>
      <c r="AJ2263" s="1">
        <v>2.0141101E7</v>
      </c>
      <c r="AK2263" s="1" t="s">
        <v>212</v>
      </c>
      <c r="AL2263" s="1">
        <v>10.0</v>
      </c>
      <c r="AM2263" s="1">
        <v>2013.0</v>
      </c>
      <c r="AN2263" s="1">
        <v>2014.0</v>
      </c>
      <c r="AO2263" s="1" t="s">
        <v>213</v>
      </c>
    </row>
    <row r="2264">
      <c r="A2264" s="5">
        <v>1.0</v>
      </c>
      <c r="B2264" s="1">
        <f t="shared" si="1"/>
        <v>2264</v>
      </c>
      <c r="C2264" s="1" t="s">
        <v>3961</v>
      </c>
      <c r="D2264" s="1" t="s">
        <v>3961</v>
      </c>
      <c r="E2264" s="1" t="s">
        <v>207</v>
      </c>
      <c r="G2264" s="1">
        <v>1.5943497E9</v>
      </c>
      <c r="H2264" s="2">
        <v>41548.0</v>
      </c>
      <c r="I2264" s="1" t="s">
        <v>3962</v>
      </c>
      <c r="K2264" s="1" t="s">
        <v>3962</v>
      </c>
      <c r="N2264" s="1" t="s">
        <v>40</v>
      </c>
      <c r="O2264" s="1">
        <v>7500.0</v>
      </c>
      <c r="P2264" s="1" t="s">
        <v>40</v>
      </c>
      <c r="Q2264" s="1" t="str">
        <f>IF(ISERROR(VLOOKUP(P2264,'unique fed agency names'!A:C,3,FALSE)),P2264,VLOOKUP(P2264,'unique fed agency names'!A:C,3,FALSE))
</f>
        <v>U.S. Department of Health and Human Services (DHHS)</v>
      </c>
      <c r="R2264" s="1">
        <v>3.8775243E7</v>
      </c>
      <c r="S2264" s="1" t="s">
        <v>209</v>
      </c>
      <c r="T2264" s="1" t="str">
        <f>IF(ISERROR(VLOOKUP(S2264,'unique org names'!A:C,3,FALSE)),S2264,VLOOKUP(S2264,'unique org names'!A:C,3,FALSE))
</f>
        <v>SOUTHEASTERN MICHIGAN HEALTH ASSOCIATION</v>
      </c>
      <c r="U2264" s="1" t="s">
        <v>210</v>
      </c>
      <c r="V2264" s="1" t="s">
        <v>211</v>
      </c>
      <c r="W2264" s="1" t="s">
        <v>44</v>
      </c>
      <c r="X2264" s="1" t="s">
        <v>45</v>
      </c>
      <c r="Y2264" s="1">
        <v>4.82023068E8</v>
      </c>
      <c r="AA2264" s="1" t="s">
        <v>46</v>
      </c>
      <c r="AB2264" s="1" t="s">
        <v>45</v>
      </c>
      <c r="AC2264" s="1">
        <v>4.82023068E8</v>
      </c>
      <c r="AD2264" s="1">
        <v>3.8775243E7</v>
      </c>
      <c r="AE2264" s="1" t="s">
        <v>209</v>
      </c>
      <c r="AF2264" s="1">
        <v>0.0</v>
      </c>
      <c r="AG2264" s="2">
        <v>41548.0</v>
      </c>
      <c r="AH2264" s="1">
        <v>7500.0</v>
      </c>
      <c r="AI2264" s="1" t="s">
        <v>40</v>
      </c>
      <c r="AJ2264" s="1">
        <v>2.0140704E7</v>
      </c>
      <c r="AK2264" s="1" t="s">
        <v>212</v>
      </c>
      <c r="AL2264" s="1">
        <v>10.0</v>
      </c>
      <c r="AM2264" s="1">
        <v>2013.0</v>
      </c>
      <c r="AN2264" s="1">
        <v>2014.0</v>
      </c>
      <c r="AO2264" s="1" t="s">
        <v>213</v>
      </c>
    </row>
    <row r="2265">
      <c r="A2265" s="5">
        <v>1.0</v>
      </c>
      <c r="B2265" s="1">
        <f t="shared" si="1"/>
        <v>2265</v>
      </c>
      <c r="C2265" s="1" t="s">
        <v>3961</v>
      </c>
      <c r="D2265" s="1" t="s">
        <v>3961</v>
      </c>
      <c r="E2265" s="1" t="s">
        <v>207</v>
      </c>
      <c r="G2265" s="1">
        <v>1.5943497E9</v>
      </c>
      <c r="H2265" s="2">
        <v>41548.0</v>
      </c>
      <c r="I2265" s="1" t="s">
        <v>3962</v>
      </c>
      <c r="K2265" s="1" t="s">
        <v>3962</v>
      </c>
      <c r="N2265" s="1" t="s">
        <v>40</v>
      </c>
      <c r="O2265" s="1">
        <v>7500.0</v>
      </c>
      <c r="P2265" s="1" t="s">
        <v>40</v>
      </c>
      <c r="Q2265" s="1" t="str">
        <f>IF(ISERROR(VLOOKUP(P2265,'unique fed agency names'!A:C,3,FALSE)),P2265,VLOOKUP(P2265,'unique fed agency names'!A:C,3,FALSE))
</f>
        <v>U.S. Department of Health and Human Services (DHHS)</v>
      </c>
      <c r="R2265" s="1">
        <v>3.8775243E7</v>
      </c>
      <c r="S2265" s="1" t="s">
        <v>209</v>
      </c>
      <c r="T2265" s="1" t="str">
        <f>IF(ISERROR(VLOOKUP(S2265,'unique org names'!A:C,3,FALSE)),S2265,VLOOKUP(S2265,'unique org names'!A:C,3,FALSE))
</f>
        <v>SOUTHEASTERN MICHIGAN HEALTH ASSOCIATION</v>
      </c>
      <c r="U2265" s="1" t="s">
        <v>210</v>
      </c>
      <c r="V2265" s="1" t="s">
        <v>211</v>
      </c>
      <c r="W2265" s="1" t="s">
        <v>44</v>
      </c>
      <c r="X2265" s="1" t="s">
        <v>45</v>
      </c>
      <c r="Y2265" s="1">
        <v>4.82023068E8</v>
      </c>
      <c r="AA2265" s="1" t="s">
        <v>46</v>
      </c>
      <c r="AB2265" s="1" t="s">
        <v>45</v>
      </c>
      <c r="AC2265" s="1">
        <v>4.82023068E8</v>
      </c>
      <c r="AD2265" s="1">
        <v>3.8775243E7</v>
      </c>
      <c r="AE2265" s="1" t="s">
        <v>209</v>
      </c>
      <c r="AF2265" s="1">
        <v>13067.38</v>
      </c>
      <c r="AG2265" s="2">
        <v>41548.0</v>
      </c>
      <c r="AH2265" s="1">
        <v>7500.0</v>
      </c>
      <c r="AI2265" s="1" t="s">
        <v>40</v>
      </c>
      <c r="AJ2265" s="1">
        <v>2.0140688E7</v>
      </c>
      <c r="AK2265" s="1" t="s">
        <v>212</v>
      </c>
      <c r="AL2265" s="1">
        <v>10.0</v>
      </c>
      <c r="AM2265" s="1">
        <v>2013.0</v>
      </c>
      <c r="AN2265" s="1">
        <v>2014.0</v>
      </c>
      <c r="AO2265" s="1" t="s">
        <v>213</v>
      </c>
    </row>
    <row r="2266">
      <c r="A2266" s="5">
        <v>1.0</v>
      </c>
      <c r="B2266" s="1">
        <f t="shared" si="1"/>
        <v>2266</v>
      </c>
      <c r="C2266" s="1" t="s">
        <v>3968</v>
      </c>
      <c r="D2266" s="1" t="s">
        <v>3968</v>
      </c>
      <c r="E2266" s="1" t="s">
        <v>207</v>
      </c>
      <c r="G2266" s="1">
        <v>2.98917299E9</v>
      </c>
      <c r="H2266" s="2">
        <v>41913.0</v>
      </c>
      <c r="I2266" s="1" t="s">
        <v>3969</v>
      </c>
      <c r="K2266" s="1" t="s">
        <v>3969</v>
      </c>
      <c r="N2266" s="1" t="s">
        <v>40</v>
      </c>
      <c r="O2266" s="1">
        <v>7500.0</v>
      </c>
      <c r="P2266" s="1" t="s">
        <v>40</v>
      </c>
      <c r="Q2266" s="1" t="str">
        <f>IF(ISERROR(VLOOKUP(P2266,'unique fed agency names'!A:C,3,FALSE)),P2266,VLOOKUP(P2266,'unique fed agency names'!A:C,3,FALSE))
</f>
        <v>U.S. Department of Health and Human Services (DHHS)</v>
      </c>
      <c r="R2266" s="1">
        <v>3.8775243E7</v>
      </c>
      <c r="S2266" s="1" t="s">
        <v>209</v>
      </c>
      <c r="T2266" s="1" t="str">
        <f>IF(ISERROR(VLOOKUP(S2266,'unique org names'!A:C,3,FALSE)),S2266,VLOOKUP(S2266,'unique org names'!A:C,3,FALSE))
</f>
        <v>SOUTHEASTERN MICHIGAN HEALTH ASSOCIATION</v>
      </c>
      <c r="U2266" s="1" t="s">
        <v>210</v>
      </c>
      <c r="V2266" s="1" t="s">
        <v>211</v>
      </c>
      <c r="W2266" s="1" t="s">
        <v>44</v>
      </c>
      <c r="X2266" s="1" t="s">
        <v>45</v>
      </c>
      <c r="Y2266" s="1">
        <v>4.82023068E8</v>
      </c>
      <c r="AA2266" s="1" t="s">
        <v>46</v>
      </c>
      <c r="AB2266" s="1" t="s">
        <v>45</v>
      </c>
      <c r="AC2266" s="1">
        <v>4.82023068E8</v>
      </c>
      <c r="AD2266" s="1">
        <v>3.8775243E7</v>
      </c>
      <c r="AE2266" s="1" t="s">
        <v>209</v>
      </c>
      <c r="AF2266" s="1">
        <v>743.19</v>
      </c>
      <c r="AG2266" s="2">
        <v>41913.0</v>
      </c>
      <c r="AH2266" s="1">
        <v>7500.0</v>
      </c>
      <c r="AI2266" s="1" t="s">
        <v>40</v>
      </c>
      <c r="AJ2266" s="1">
        <v>2.0140693E7</v>
      </c>
      <c r="AK2266" s="1" t="s">
        <v>212</v>
      </c>
      <c r="AL2266" s="1">
        <v>10.0</v>
      </c>
      <c r="AM2266" s="1">
        <v>2014.0</v>
      </c>
      <c r="AN2266" s="1">
        <v>2015.0</v>
      </c>
      <c r="AO2266" s="1" t="s">
        <v>213</v>
      </c>
    </row>
    <row r="2267">
      <c r="A2267" s="5">
        <v>1.0</v>
      </c>
      <c r="B2267" s="1">
        <f t="shared" si="1"/>
        <v>2267</v>
      </c>
      <c r="C2267" s="1" t="s">
        <v>3961</v>
      </c>
      <c r="D2267" s="1" t="s">
        <v>3961</v>
      </c>
      <c r="E2267" s="1" t="s">
        <v>207</v>
      </c>
      <c r="G2267" s="1">
        <v>1.5943497E9</v>
      </c>
      <c r="H2267" s="2">
        <v>41548.0</v>
      </c>
      <c r="I2267" s="1" t="s">
        <v>3962</v>
      </c>
      <c r="K2267" s="1" t="s">
        <v>3962</v>
      </c>
      <c r="N2267" s="1" t="s">
        <v>40</v>
      </c>
      <c r="O2267" s="1">
        <v>7500.0</v>
      </c>
      <c r="P2267" s="1" t="s">
        <v>40</v>
      </c>
      <c r="Q2267" s="1" t="str">
        <f>IF(ISERROR(VLOOKUP(P2267,'unique fed agency names'!A:C,3,FALSE)),P2267,VLOOKUP(P2267,'unique fed agency names'!A:C,3,FALSE))
</f>
        <v>U.S. Department of Health and Human Services (DHHS)</v>
      </c>
      <c r="R2267" s="1">
        <v>8.09204196E8</v>
      </c>
      <c r="S2267" s="1" t="s">
        <v>175</v>
      </c>
      <c r="T2267" s="1" t="str">
        <f>IF(ISERROR(VLOOKUP(S2267,'unique org names'!A:C,3,FALSE)),S2267,VLOOKUP(S2267,'unique org names'!A:C,3,FALSE))
</f>
        <v>DETROIT WAYNE COUNTY HEALTH AUTHORITY</v>
      </c>
      <c r="U2267" s="1" t="s">
        <v>3977</v>
      </c>
      <c r="V2267" s="1" t="s">
        <v>2078</v>
      </c>
      <c r="W2267" s="1" t="s">
        <v>44</v>
      </c>
      <c r="X2267" s="1" t="s">
        <v>45</v>
      </c>
      <c r="Y2267" s="1">
        <v>4.82023026E8</v>
      </c>
      <c r="AA2267" s="1" t="s">
        <v>46</v>
      </c>
      <c r="AB2267" s="1" t="s">
        <v>45</v>
      </c>
      <c r="AC2267" s="1">
        <v>4.82023026E8</v>
      </c>
      <c r="AD2267" s="1">
        <v>8.09204196E8</v>
      </c>
      <c r="AE2267" s="1" t="s">
        <v>175</v>
      </c>
      <c r="AF2267" s="1">
        <v>63359.0</v>
      </c>
      <c r="AG2267" s="2">
        <v>41548.0</v>
      </c>
      <c r="AH2267" s="1">
        <v>7500.0</v>
      </c>
      <c r="AI2267" s="1" t="s">
        <v>40</v>
      </c>
      <c r="AJ2267" s="1">
        <v>2.0141916E7</v>
      </c>
      <c r="AK2267" s="1" t="s">
        <v>212</v>
      </c>
      <c r="AL2267" s="1">
        <v>10.0</v>
      </c>
      <c r="AM2267" s="1">
        <v>2013.0</v>
      </c>
      <c r="AN2267" s="1">
        <v>2014.0</v>
      </c>
      <c r="AO2267" s="1" t="s">
        <v>213</v>
      </c>
    </row>
    <row r="2268">
      <c r="A2268" s="5">
        <v>1.0</v>
      </c>
      <c r="B2268" s="1">
        <f t="shared" si="1"/>
        <v>2268</v>
      </c>
      <c r="C2268" s="1" t="s">
        <v>3961</v>
      </c>
      <c r="D2268" s="1" t="s">
        <v>3961</v>
      </c>
      <c r="E2268" s="1" t="s">
        <v>207</v>
      </c>
      <c r="G2268" s="1">
        <v>1.5943497E9</v>
      </c>
      <c r="H2268" s="2">
        <v>41548.0</v>
      </c>
      <c r="I2268" s="1" t="s">
        <v>3962</v>
      </c>
      <c r="K2268" s="1" t="s">
        <v>3962</v>
      </c>
      <c r="N2268" s="1" t="s">
        <v>40</v>
      </c>
      <c r="O2268" s="1">
        <v>7500.0</v>
      </c>
      <c r="P2268" s="1" t="s">
        <v>40</v>
      </c>
      <c r="Q2268" s="1" t="str">
        <f>IF(ISERROR(VLOOKUP(P2268,'unique fed agency names'!A:C,3,FALSE)),P2268,VLOOKUP(P2268,'unique fed agency names'!A:C,3,FALSE))
</f>
        <v>U.S. Department of Health and Human Services (DHHS)</v>
      </c>
      <c r="R2268" s="1">
        <v>7596352.0</v>
      </c>
      <c r="S2268" s="1" t="s">
        <v>73</v>
      </c>
      <c r="T2268" s="1" t="str">
        <f>IF(ISERROR(VLOOKUP(S2268,'unique org names'!A:C,3,FALSE)),S2268,VLOOKUP(S2268,'unique org names'!A:C,3,FALSE))
</f>
        <v>City Of Detroit</v>
      </c>
      <c r="U2268" s="1" t="s">
        <v>2014</v>
      </c>
      <c r="V2268" s="1" t="s">
        <v>1578</v>
      </c>
      <c r="W2268" s="1" t="s">
        <v>44</v>
      </c>
      <c r="X2268" s="1" t="s">
        <v>45</v>
      </c>
      <c r="Y2268" s="1">
        <v>4.82263269E8</v>
      </c>
      <c r="AA2268" s="1" t="s">
        <v>46</v>
      </c>
      <c r="AB2268" s="1" t="s">
        <v>45</v>
      </c>
      <c r="AC2268" s="1">
        <v>4.82263269E8</v>
      </c>
      <c r="AD2268" s="1">
        <v>6530661.0</v>
      </c>
      <c r="AE2268" s="1" t="s">
        <v>76</v>
      </c>
      <c r="AF2268" s="1">
        <v>100785.0</v>
      </c>
      <c r="AG2268" s="2">
        <v>41548.0</v>
      </c>
      <c r="AH2268" s="1">
        <v>7500.0</v>
      </c>
      <c r="AI2268" s="1" t="s">
        <v>40</v>
      </c>
      <c r="AJ2268" s="1">
        <v>2.0141454E7</v>
      </c>
      <c r="AK2268" s="1" t="s">
        <v>212</v>
      </c>
      <c r="AL2268" s="1">
        <v>10.0</v>
      </c>
      <c r="AM2268" s="1">
        <v>2013.0</v>
      </c>
      <c r="AN2268" s="1">
        <v>2014.0</v>
      </c>
      <c r="AO2268" s="1" t="s">
        <v>213</v>
      </c>
    </row>
    <row r="2269">
      <c r="A2269" s="5">
        <v>1.0</v>
      </c>
      <c r="B2269" s="1">
        <f t="shared" si="1"/>
        <v>2269</v>
      </c>
      <c r="C2269" s="1" t="s">
        <v>3963</v>
      </c>
      <c r="D2269" s="1" t="s">
        <v>3963</v>
      </c>
      <c r="E2269" s="1" t="s">
        <v>207</v>
      </c>
      <c r="G2269" s="1">
        <v>2.32482304E9</v>
      </c>
      <c r="H2269" s="2">
        <v>41548.0</v>
      </c>
      <c r="I2269" s="1" t="s">
        <v>3964</v>
      </c>
      <c r="K2269" s="1" t="s">
        <v>3964</v>
      </c>
      <c r="N2269" s="1" t="s">
        <v>40</v>
      </c>
      <c r="O2269" s="1">
        <v>7500.0</v>
      </c>
      <c r="P2269" s="1" t="s">
        <v>40</v>
      </c>
      <c r="Q2269" s="1" t="str">
        <f>IF(ISERROR(VLOOKUP(P2269,'unique fed agency names'!A:C,3,FALSE)),P2269,VLOOKUP(P2269,'unique fed agency names'!A:C,3,FALSE))
</f>
        <v>U.S. Department of Health and Human Services (DHHS)</v>
      </c>
      <c r="R2269" s="1">
        <v>7.6377316E7</v>
      </c>
      <c r="S2269" s="1" t="s">
        <v>2302</v>
      </c>
      <c r="T2269" s="1" t="str">
        <f>IF(ISERROR(VLOOKUP(S2269,'unique org names'!A:C,3,FALSE)),S2269,VLOOKUP(S2269,'unique org names'!A:C,3,FALSE))
</f>
        <v>VHS CHILDREN'S HOSPITAL OF MICHIGAN, INC.</v>
      </c>
      <c r="U2269" s="1" t="s">
        <v>3960</v>
      </c>
      <c r="V2269" s="1" t="s">
        <v>2303</v>
      </c>
      <c r="W2269" s="1" t="s">
        <v>44</v>
      </c>
      <c r="X2269" s="1" t="s">
        <v>45</v>
      </c>
      <c r="Y2269" s="1">
        <v>4.82012119E8</v>
      </c>
      <c r="AA2269" s="1" t="s">
        <v>46</v>
      </c>
      <c r="AB2269" s="1" t="s">
        <v>45</v>
      </c>
      <c r="AC2269" s="1">
        <v>4.82012119E8</v>
      </c>
      <c r="AD2269" s="1">
        <v>5.3866661E7</v>
      </c>
      <c r="AF2269" s="1">
        <v>11697.73</v>
      </c>
      <c r="AG2269" s="2">
        <v>41548.0</v>
      </c>
      <c r="AH2269" s="1">
        <v>7500.0</v>
      </c>
      <c r="AI2269" s="1" t="s">
        <v>40</v>
      </c>
      <c r="AJ2269" s="1">
        <v>2.0140061E7</v>
      </c>
      <c r="AK2269" s="1" t="s">
        <v>212</v>
      </c>
      <c r="AL2269" s="1">
        <v>10.0</v>
      </c>
      <c r="AM2269" s="1">
        <v>2013.0</v>
      </c>
      <c r="AN2269" s="1">
        <v>2014.0</v>
      </c>
      <c r="AO2269" s="1" t="s">
        <v>213</v>
      </c>
    </row>
    <row r="2270">
      <c r="A2270" s="5">
        <v>1.0</v>
      </c>
      <c r="B2270" s="1">
        <f t="shared" si="1"/>
        <v>2270</v>
      </c>
      <c r="C2270" s="1" t="s">
        <v>3978</v>
      </c>
      <c r="D2270" s="1" t="s">
        <v>3978</v>
      </c>
      <c r="E2270" s="1" t="s">
        <v>38</v>
      </c>
      <c r="G2270" s="1">
        <v>2035483.0</v>
      </c>
      <c r="H2270" s="2">
        <v>41964.0</v>
      </c>
      <c r="I2270" s="1" t="s">
        <v>3979</v>
      </c>
      <c r="K2270" s="1" t="s">
        <v>3979</v>
      </c>
      <c r="N2270" s="1" t="s">
        <v>40</v>
      </c>
      <c r="O2270" s="1">
        <v>7500.0</v>
      </c>
      <c r="P2270" s="1" t="s">
        <v>40</v>
      </c>
      <c r="Q2270" s="1" t="str">
        <f>IF(ISERROR(VLOOKUP(P2270,'unique fed agency names'!A:C,3,FALSE)),P2270,VLOOKUP(P2270,'unique fed agency names'!A:C,3,FALSE))
</f>
        <v>U.S. Department of Health and Human Services (DHHS)</v>
      </c>
      <c r="R2270" s="1">
        <v>7.3134603E7</v>
      </c>
      <c r="S2270" s="1" t="s">
        <v>41</v>
      </c>
      <c r="T2270" s="1" t="str">
        <f>IF(ISERROR(VLOOKUP(S2270,'unique org names'!A:C,3,FALSE)),S2270,VLOOKUP(S2270,'unique org names'!A:C,3,FALSE))
</f>
        <v>Henry Ford Health System</v>
      </c>
      <c r="U2270" s="1" t="s">
        <v>42</v>
      </c>
      <c r="V2270" s="1" t="s">
        <v>43</v>
      </c>
      <c r="W2270" s="1" t="s">
        <v>44</v>
      </c>
      <c r="X2270" s="1" t="s">
        <v>45</v>
      </c>
      <c r="Y2270" s="1">
        <v>4.8202345E8</v>
      </c>
      <c r="AA2270" s="1" t="s">
        <v>46</v>
      </c>
      <c r="AB2270" s="1" t="s">
        <v>45</v>
      </c>
      <c r="AC2270" s="1">
        <v>4.82022689E8</v>
      </c>
      <c r="AD2270" s="1">
        <v>7.3134603E7</v>
      </c>
      <c r="AE2270" s="1" t="s">
        <v>41</v>
      </c>
      <c r="AF2270" s="1">
        <v>244526.0</v>
      </c>
      <c r="AG2270" s="2">
        <v>41964.0</v>
      </c>
      <c r="AH2270" s="1">
        <v>7500.0</v>
      </c>
      <c r="AI2270" s="1" t="s">
        <v>40</v>
      </c>
      <c r="AJ2270" s="1" t="s">
        <v>3980</v>
      </c>
      <c r="AK2270" s="1" t="s">
        <v>3981</v>
      </c>
      <c r="AL2270" s="1">
        <v>10.0</v>
      </c>
      <c r="AM2270" s="1">
        <v>2011.0</v>
      </c>
      <c r="AN2270" s="1">
        <v>2015.0</v>
      </c>
      <c r="AO2270" s="1" t="s">
        <v>202</v>
      </c>
    </row>
    <row r="2271">
      <c r="A2271" s="5">
        <v>1.0</v>
      </c>
      <c r="B2271" s="1">
        <f t="shared" si="1"/>
        <v>2271</v>
      </c>
      <c r="C2271" s="1" t="s">
        <v>3963</v>
      </c>
      <c r="D2271" s="1" t="s">
        <v>3963</v>
      </c>
      <c r="E2271" s="1" t="s">
        <v>207</v>
      </c>
      <c r="G2271" s="1">
        <v>2.32482304E9</v>
      </c>
      <c r="H2271" s="2">
        <v>41548.0</v>
      </c>
      <c r="I2271" s="1" t="s">
        <v>3964</v>
      </c>
      <c r="K2271" s="1" t="s">
        <v>3964</v>
      </c>
      <c r="N2271" s="1" t="s">
        <v>40</v>
      </c>
      <c r="O2271" s="1">
        <v>7500.0</v>
      </c>
      <c r="P2271" s="1" t="s">
        <v>40</v>
      </c>
      <c r="Q2271" s="1" t="str">
        <f>IF(ISERROR(VLOOKUP(P2271,'unique fed agency names'!A:C,3,FALSE)),P2271,VLOOKUP(P2271,'unique fed agency names'!A:C,3,FALSE))
</f>
        <v>U.S. Department of Health and Human Services (DHHS)</v>
      </c>
      <c r="R2271" s="1">
        <v>7.92267549E8</v>
      </c>
      <c r="S2271" s="1" t="s">
        <v>41</v>
      </c>
      <c r="T2271" s="1" t="str">
        <f>IF(ISERROR(VLOOKUP(S2271,'unique org names'!A:C,3,FALSE)),S2271,VLOOKUP(S2271,'unique org names'!A:C,3,FALSE))
</f>
        <v>Henry Ford Health System</v>
      </c>
      <c r="U2271" s="1" t="s">
        <v>2769</v>
      </c>
      <c r="V2271" s="1" t="s">
        <v>2770</v>
      </c>
      <c r="W2271" s="1" t="s">
        <v>44</v>
      </c>
      <c r="X2271" s="1" t="s">
        <v>45</v>
      </c>
      <c r="Y2271" s="1">
        <v>4.82353296E8</v>
      </c>
      <c r="AA2271" s="1" t="s">
        <v>46</v>
      </c>
      <c r="AB2271" s="1" t="s">
        <v>45</v>
      </c>
      <c r="AC2271" s="1">
        <v>4.82353456E8</v>
      </c>
      <c r="AD2271" s="1">
        <v>7.3134603E7</v>
      </c>
      <c r="AE2271" s="1" t="s">
        <v>41</v>
      </c>
      <c r="AF2271" s="1">
        <v>2074687.5</v>
      </c>
      <c r="AG2271" s="2">
        <v>41548.0</v>
      </c>
      <c r="AH2271" s="1">
        <v>7500.0</v>
      </c>
      <c r="AI2271" s="1" t="s">
        <v>40</v>
      </c>
      <c r="AJ2271" s="1">
        <v>2.0140478E7</v>
      </c>
      <c r="AK2271" s="1" t="s">
        <v>212</v>
      </c>
      <c r="AL2271" s="1">
        <v>10.0</v>
      </c>
      <c r="AM2271" s="1">
        <v>2013.0</v>
      </c>
      <c r="AN2271" s="1">
        <v>2014.0</v>
      </c>
      <c r="AO2271" s="1" t="s">
        <v>213</v>
      </c>
    </row>
    <row r="2272">
      <c r="A2272" s="5">
        <v>1.0</v>
      </c>
      <c r="B2272" s="1">
        <f t="shared" si="1"/>
        <v>2272</v>
      </c>
      <c r="C2272" s="1" t="s">
        <v>3963</v>
      </c>
      <c r="D2272" s="1" t="s">
        <v>3963</v>
      </c>
      <c r="E2272" s="1" t="s">
        <v>207</v>
      </c>
      <c r="G2272" s="1">
        <v>2.32482304E9</v>
      </c>
      <c r="H2272" s="2">
        <v>41548.0</v>
      </c>
      <c r="I2272" s="1" t="s">
        <v>3964</v>
      </c>
      <c r="K2272" s="1" t="s">
        <v>3964</v>
      </c>
      <c r="N2272" s="1" t="s">
        <v>40</v>
      </c>
      <c r="O2272" s="1">
        <v>7500.0</v>
      </c>
      <c r="P2272" s="1" t="s">
        <v>40</v>
      </c>
      <c r="Q2272" s="1" t="str">
        <f>IF(ISERROR(VLOOKUP(P2272,'unique fed agency names'!A:C,3,FALSE)),P2272,VLOOKUP(P2272,'unique fed agency names'!A:C,3,FALSE))
</f>
        <v>U.S. Department of Health and Human Services (DHHS)</v>
      </c>
      <c r="R2272" s="1">
        <v>3.8775243E7</v>
      </c>
      <c r="S2272" s="1" t="s">
        <v>209</v>
      </c>
      <c r="T2272" s="1" t="str">
        <f>IF(ISERROR(VLOOKUP(S2272,'unique org names'!A:C,3,FALSE)),S2272,VLOOKUP(S2272,'unique org names'!A:C,3,FALSE))
</f>
        <v>SOUTHEASTERN MICHIGAN HEALTH ASSOCIATION</v>
      </c>
      <c r="U2272" s="1" t="s">
        <v>210</v>
      </c>
      <c r="V2272" s="1" t="s">
        <v>211</v>
      </c>
      <c r="W2272" s="1" t="s">
        <v>44</v>
      </c>
      <c r="X2272" s="1" t="s">
        <v>45</v>
      </c>
      <c r="Y2272" s="1">
        <v>4.82023068E8</v>
      </c>
      <c r="AA2272" s="1" t="s">
        <v>46</v>
      </c>
      <c r="AB2272" s="1" t="s">
        <v>45</v>
      </c>
      <c r="AC2272" s="1">
        <v>4.82023068E8</v>
      </c>
      <c r="AD2272" s="1">
        <v>3.8775243E7</v>
      </c>
      <c r="AE2272" s="1" t="s">
        <v>209</v>
      </c>
      <c r="AF2272" s="1">
        <v>0.0</v>
      </c>
      <c r="AG2272" s="2">
        <v>41548.0</v>
      </c>
      <c r="AH2272" s="1">
        <v>7500.0</v>
      </c>
      <c r="AI2272" s="1" t="s">
        <v>40</v>
      </c>
      <c r="AJ2272" s="1">
        <v>2.0140704E7</v>
      </c>
      <c r="AK2272" s="1" t="s">
        <v>212</v>
      </c>
      <c r="AL2272" s="1">
        <v>10.0</v>
      </c>
      <c r="AM2272" s="1">
        <v>2013.0</v>
      </c>
      <c r="AN2272" s="1">
        <v>2014.0</v>
      </c>
      <c r="AO2272" s="1" t="s">
        <v>213</v>
      </c>
    </row>
    <row r="2273">
      <c r="A2273" s="5">
        <v>1.0</v>
      </c>
      <c r="B2273" s="1">
        <f t="shared" si="1"/>
        <v>2273</v>
      </c>
      <c r="C2273" s="1" t="s">
        <v>3963</v>
      </c>
      <c r="D2273" s="1" t="s">
        <v>3963</v>
      </c>
      <c r="E2273" s="1" t="s">
        <v>207</v>
      </c>
      <c r="G2273" s="1">
        <v>2.32482304E9</v>
      </c>
      <c r="H2273" s="2">
        <v>41548.0</v>
      </c>
      <c r="I2273" s="1" t="s">
        <v>3964</v>
      </c>
      <c r="K2273" s="1" t="s">
        <v>3964</v>
      </c>
      <c r="N2273" s="1" t="s">
        <v>40</v>
      </c>
      <c r="O2273" s="1">
        <v>7500.0</v>
      </c>
      <c r="P2273" s="1" t="s">
        <v>40</v>
      </c>
      <c r="Q2273" s="1" t="str">
        <f>IF(ISERROR(VLOOKUP(P2273,'unique fed agency names'!A:C,3,FALSE)),P2273,VLOOKUP(P2273,'unique fed agency names'!A:C,3,FALSE))
</f>
        <v>U.S. Department of Health and Human Services (DHHS)</v>
      </c>
      <c r="R2273" s="1">
        <v>3.8775243E7</v>
      </c>
      <c r="S2273" s="1" t="s">
        <v>209</v>
      </c>
      <c r="T2273" s="1" t="str">
        <f>IF(ISERROR(VLOOKUP(S2273,'unique org names'!A:C,3,FALSE)),S2273,VLOOKUP(S2273,'unique org names'!A:C,3,FALSE))
</f>
        <v>SOUTHEASTERN MICHIGAN HEALTH ASSOCIATION</v>
      </c>
      <c r="U2273" s="1" t="s">
        <v>210</v>
      </c>
      <c r="V2273" s="1" t="s">
        <v>211</v>
      </c>
      <c r="W2273" s="1" t="s">
        <v>44</v>
      </c>
      <c r="X2273" s="1" t="s">
        <v>45</v>
      </c>
      <c r="Y2273" s="1">
        <v>4.82023068E8</v>
      </c>
      <c r="AA2273" s="1" t="s">
        <v>46</v>
      </c>
      <c r="AB2273" s="1" t="s">
        <v>45</v>
      </c>
      <c r="AC2273" s="1">
        <v>4.82023068E8</v>
      </c>
      <c r="AD2273" s="1">
        <v>3.8775243E7</v>
      </c>
      <c r="AE2273" s="1" t="s">
        <v>209</v>
      </c>
      <c r="AF2273" s="1">
        <v>26013.77</v>
      </c>
      <c r="AG2273" s="2">
        <v>41548.0</v>
      </c>
      <c r="AH2273" s="1">
        <v>7500.0</v>
      </c>
      <c r="AI2273" s="1" t="s">
        <v>40</v>
      </c>
      <c r="AJ2273" s="1">
        <v>2.014192E7</v>
      </c>
      <c r="AK2273" s="1" t="s">
        <v>212</v>
      </c>
      <c r="AL2273" s="1">
        <v>10.0</v>
      </c>
      <c r="AM2273" s="1">
        <v>2013.0</v>
      </c>
      <c r="AN2273" s="1">
        <v>2014.0</v>
      </c>
      <c r="AO2273" s="1" t="s">
        <v>213</v>
      </c>
    </row>
    <row r="2274">
      <c r="A2274" s="5">
        <v>1.0</v>
      </c>
      <c r="B2274" s="1">
        <f t="shared" si="1"/>
        <v>2274</v>
      </c>
      <c r="C2274" s="1" t="s">
        <v>3963</v>
      </c>
      <c r="D2274" s="1" t="s">
        <v>3963</v>
      </c>
      <c r="E2274" s="1" t="s">
        <v>207</v>
      </c>
      <c r="G2274" s="1">
        <v>2.32482304E9</v>
      </c>
      <c r="H2274" s="2">
        <v>41548.0</v>
      </c>
      <c r="I2274" s="1" t="s">
        <v>3964</v>
      </c>
      <c r="K2274" s="1" t="s">
        <v>3964</v>
      </c>
      <c r="N2274" s="1" t="s">
        <v>40</v>
      </c>
      <c r="O2274" s="1">
        <v>7500.0</v>
      </c>
      <c r="P2274" s="1" t="s">
        <v>40</v>
      </c>
      <c r="Q2274" s="1" t="str">
        <f>IF(ISERROR(VLOOKUP(P2274,'unique fed agency names'!A:C,3,FALSE)),P2274,VLOOKUP(P2274,'unique fed agency names'!A:C,3,FALSE))
</f>
        <v>U.S. Department of Health and Human Services (DHHS)</v>
      </c>
      <c r="R2274" s="1">
        <v>3.8775243E7</v>
      </c>
      <c r="S2274" s="1" t="s">
        <v>209</v>
      </c>
      <c r="T2274" s="1" t="str">
        <f>IF(ISERROR(VLOOKUP(S2274,'unique org names'!A:C,3,FALSE)),S2274,VLOOKUP(S2274,'unique org names'!A:C,3,FALSE))
</f>
        <v>SOUTHEASTERN MICHIGAN HEALTH ASSOCIATION</v>
      </c>
      <c r="U2274" s="1" t="s">
        <v>210</v>
      </c>
      <c r="V2274" s="1" t="s">
        <v>211</v>
      </c>
      <c r="W2274" s="1" t="s">
        <v>44</v>
      </c>
      <c r="X2274" s="1" t="s">
        <v>45</v>
      </c>
      <c r="Y2274" s="1">
        <v>4.82023068E8</v>
      </c>
      <c r="AA2274" s="1" t="s">
        <v>46</v>
      </c>
      <c r="AB2274" s="1" t="s">
        <v>45</v>
      </c>
      <c r="AC2274" s="1">
        <v>4.82023068E8</v>
      </c>
      <c r="AD2274" s="1">
        <v>3.8775243E7</v>
      </c>
      <c r="AE2274" s="1" t="s">
        <v>209</v>
      </c>
      <c r="AF2274" s="1">
        <v>731.13</v>
      </c>
      <c r="AG2274" s="2">
        <v>41548.0</v>
      </c>
      <c r="AH2274" s="1">
        <v>7500.0</v>
      </c>
      <c r="AI2274" s="1" t="s">
        <v>40</v>
      </c>
      <c r="AJ2274" s="1">
        <v>2.0140695E7</v>
      </c>
      <c r="AK2274" s="1" t="s">
        <v>212</v>
      </c>
      <c r="AL2274" s="1">
        <v>10.0</v>
      </c>
      <c r="AM2274" s="1">
        <v>2013.0</v>
      </c>
      <c r="AN2274" s="1">
        <v>2014.0</v>
      </c>
      <c r="AO2274" s="1" t="s">
        <v>213</v>
      </c>
    </row>
    <row r="2275">
      <c r="A2275" s="5">
        <v>1.0</v>
      </c>
      <c r="B2275" s="1">
        <f t="shared" si="1"/>
        <v>2275</v>
      </c>
      <c r="C2275" s="1" t="s">
        <v>3963</v>
      </c>
      <c r="D2275" s="1" t="s">
        <v>3963</v>
      </c>
      <c r="E2275" s="1" t="s">
        <v>207</v>
      </c>
      <c r="G2275" s="1">
        <v>2.32482304E9</v>
      </c>
      <c r="H2275" s="2">
        <v>41548.0</v>
      </c>
      <c r="I2275" s="1" t="s">
        <v>3964</v>
      </c>
      <c r="K2275" s="1" t="s">
        <v>3964</v>
      </c>
      <c r="N2275" s="1" t="s">
        <v>40</v>
      </c>
      <c r="O2275" s="1">
        <v>7500.0</v>
      </c>
      <c r="P2275" s="1" t="s">
        <v>40</v>
      </c>
      <c r="Q2275" s="1" t="str">
        <f>IF(ISERROR(VLOOKUP(P2275,'unique fed agency names'!A:C,3,FALSE)),P2275,VLOOKUP(P2275,'unique fed agency names'!A:C,3,FALSE))
</f>
        <v>U.S. Department of Health and Human Services (DHHS)</v>
      </c>
      <c r="R2275" s="1">
        <v>3.8775243E7</v>
      </c>
      <c r="S2275" s="1" t="s">
        <v>209</v>
      </c>
      <c r="T2275" s="1" t="str">
        <f>IF(ISERROR(VLOOKUP(S2275,'unique org names'!A:C,3,FALSE)),S2275,VLOOKUP(S2275,'unique org names'!A:C,3,FALSE))
</f>
        <v>SOUTHEASTERN MICHIGAN HEALTH ASSOCIATION</v>
      </c>
      <c r="U2275" s="1" t="s">
        <v>210</v>
      </c>
      <c r="V2275" s="1" t="s">
        <v>211</v>
      </c>
      <c r="W2275" s="1" t="s">
        <v>44</v>
      </c>
      <c r="X2275" s="1" t="s">
        <v>45</v>
      </c>
      <c r="Y2275" s="1">
        <v>4.82023068E8</v>
      </c>
      <c r="AA2275" s="1" t="s">
        <v>46</v>
      </c>
      <c r="AB2275" s="1" t="s">
        <v>45</v>
      </c>
      <c r="AC2275" s="1">
        <v>4.82023068E8</v>
      </c>
      <c r="AD2275" s="1">
        <v>3.8775243E7</v>
      </c>
      <c r="AE2275" s="1" t="s">
        <v>209</v>
      </c>
      <c r="AF2275" s="1">
        <v>8199.72</v>
      </c>
      <c r="AG2275" s="2">
        <v>41548.0</v>
      </c>
      <c r="AH2275" s="1">
        <v>7500.0</v>
      </c>
      <c r="AI2275" s="1" t="s">
        <v>40</v>
      </c>
      <c r="AJ2275" s="1">
        <v>2.014069E7</v>
      </c>
      <c r="AK2275" s="1" t="s">
        <v>212</v>
      </c>
      <c r="AL2275" s="1">
        <v>10.0</v>
      </c>
      <c r="AM2275" s="1">
        <v>2013.0</v>
      </c>
      <c r="AN2275" s="1">
        <v>2014.0</v>
      </c>
      <c r="AO2275" s="1" t="s">
        <v>213</v>
      </c>
    </row>
    <row r="2276">
      <c r="A2276" s="5">
        <v>1.0</v>
      </c>
      <c r="B2276" s="1">
        <f t="shared" si="1"/>
        <v>2276</v>
      </c>
      <c r="C2276" s="1" t="s">
        <v>3963</v>
      </c>
      <c r="D2276" s="1" t="s">
        <v>3963</v>
      </c>
      <c r="E2276" s="1" t="s">
        <v>207</v>
      </c>
      <c r="G2276" s="1">
        <v>2.32482304E9</v>
      </c>
      <c r="H2276" s="2">
        <v>41548.0</v>
      </c>
      <c r="I2276" s="1" t="s">
        <v>3964</v>
      </c>
      <c r="K2276" s="1" t="s">
        <v>3964</v>
      </c>
      <c r="N2276" s="1" t="s">
        <v>40</v>
      </c>
      <c r="O2276" s="1">
        <v>7500.0</v>
      </c>
      <c r="P2276" s="1" t="s">
        <v>40</v>
      </c>
      <c r="Q2276" s="1" t="str">
        <f>IF(ISERROR(VLOOKUP(P2276,'unique fed agency names'!A:C,3,FALSE)),P2276,VLOOKUP(P2276,'unique fed agency names'!A:C,3,FALSE))
</f>
        <v>U.S. Department of Health and Human Services (DHHS)</v>
      </c>
      <c r="R2276" s="1">
        <v>3.8775243E7</v>
      </c>
      <c r="S2276" s="1" t="s">
        <v>209</v>
      </c>
      <c r="T2276" s="1" t="str">
        <f>IF(ISERROR(VLOOKUP(S2276,'unique org names'!A:C,3,FALSE)),S2276,VLOOKUP(S2276,'unique org names'!A:C,3,FALSE))
</f>
        <v>SOUTHEASTERN MICHIGAN HEALTH ASSOCIATION</v>
      </c>
      <c r="U2276" s="1" t="s">
        <v>210</v>
      </c>
      <c r="V2276" s="1" t="s">
        <v>211</v>
      </c>
      <c r="W2276" s="1" t="s">
        <v>44</v>
      </c>
      <c r="X2276" s="1" t="s">
        <v>45</v>
      </c>
      <c r="Y2276" s="1">
        <v>4.82023068E8</v>
      </c>
      <c r="AA2276" s="1" t="s">
        <v>46</v>
      </c>
      <c r="AB2276" s="1" t="s">
        <v>45</v>
      </c>
      <c r="AC2276" s="1">
        <v>4.82023068E8</v>
      </c>
      <c r="AD2276" s="1">
        <v>3.8775243E7</v>
      </c>
      <c r="AE2276" s="1" t="s">
        <v>209</v>
      </c>
      <c r="AF2276" s="1">
        <v>3750.0</v>
      </c>
      <c r="AG2276" s="2">
        <v>41548.0</v>
      </c>
      <c r="AH2276" s="1">
        <v>7500.0</v>
      </c>
      <c r="AI2276" s="1" t="s">
        <v>40</v>
      </c>
      <c r="AJ2276" s="1">
        <v>2.0142024E7</v>
      </c>
      <c r="AK2276" s="1" t="s">
        <v>212</v>
      </c>
      <c r="AL2276" s="1">
        <v>10.0</v>
      </c>
      <c r="AM2276" s="1">
        <v>2013.0</v>
      </c>
      <c r="AN2276" s="1">
        <v>2014.0</v>
      </c>
      <c r="AO2276" s="1" t="s">
        <v>213</v>
      </c>
    </row>
    <row r="2277">
      <c r="A2277" s="5">
        <v>1.0</v>
      </c>
      <c r="B2277" s="1">
        <f t="shared" si="1"/>
        <v>2277</v>
      </c>
      <c r="C2277" s="1" t="s">
        <v>3968</v>
      </c>
      <c r="D2277" s="1" t="s">
        <v>3968</v>
      </c>
      <c r="E2277" s="1" t="s">
        <v>207</v>
      </c>
      <c r="G2277" s="1">
        <v>2.98917299E9</v>
      </c>
      <c r="H2277" s="2">
        <v>41913.0</v>
      </c>
      <c r="I2277" s="1" t="s">
        <v>3969</v>
      </c>
      <c r="K2277" s="1" t="s">
        <v>3969</v>
      </c>
      <c r="N2277" s="1" t="s">
        <v>40</v>
      </c>
      <c r="O2277" s="1">
        <v>7500.0</v>
      </c>
      <c r="P2277" s="1" t="s">
        <v>40</v>
      </c>
      <c r="Q2277" s="1" t="str">
        <f>IF(ISERROR(VLOOKUP(P2277,'unique fed agency names'!A:C,3,FALSE)),P2277,VLOOKUP(P2277,'unique fed agency names'!A:C,3,FALSE))
</f>
        <v>U.S. Department of Health and Human Services (DHHS)</v>
      </c>
      <c r="R2277" s="1">
        <v>3.8775243E7</v>
      </c>
      <c r="S2277" s="1" t="s">
        <v>209</v>
      </c>
      <c r="T2277" s="1" t="str">
        <f>IF(ISERROR(VLOOKUP(S2277,'unique org names'!A:C,3,FALSE)),S2277,VLOOKUP(S2277,'unique org names'!A:C,3,FALSE))
</f>
        <v>SOUTHEASTERN MICHIGAN HEALTH ASSOCIATION</v>
      </c>
      <c r="U2277" s="1" t="s">
        <v>210</v>
      </c>
      <c r="V2277" s="1" t="s">
        <v>211</v>
      </c>
      <c r="W2277" s="1" t="s">
        <v>44</v>
      </c>
      <c r="X2277" s="1" t="s">
        <v>45</v>
      </c>
      <c r="Y2277" s="1">
        <v>4.82023068E8</v>
      </c>
      <c r="AA2277" s="1" t="s">
        <v>46</v>
      </c>
      <c r="AB2277" s="1" t="s">
        <v>45</v>
      </c>
      <c r="AC2277" s="1">
        <v>4.82023068E8</v>
      </c>
      <c r="AD2277" s="1">
        <v>3.8775243E7</v>
      </c>
      <c r="AE2277" s="1" t="s">
        <v>209</v>
      </c>
      <c r="AF2277" s="1">
        <v>1625.0</v>
      </c>
      <c r="AG2277" s="2">
        <v>41913.0</v>
      </c>
      <c r="AH2277" s="1">
        <v>7500.0</v>
      </c>
      <c r="AI2277" s="1" t="s">
        <v>40</v>
      </c>
      <c r="AJ2277" s="1">
        <v>2.0151813E7</v>
      </c>
      <c r="AK2277" s="1" t="s">
        <v>212</v>
      </c>
      <c r="AL2277" s="1">
        <v>10.0</v>
      </c>
      <c r="AM2277" s="1">
        <v>2014.0</v>
      </c>
      <c r="AN2277" s="1">
        <v>2015.0</v>
      </c>
      <c r="AO2277" s="1" t="s">
        <v>213</v>
      </c>
    </row>
    <row r="2278">
      <c r="A2278" s="5">
        <v>1.0</v>
      </c>
      <c r="B2278" s="1">
        <f t="shared" si="1"/>
        <v>2278</v>
      </c>
      <c r="C2278" s="1" t="s">
        <v>3968</v>
      </c>
      <c r="D2278" s="1" t="s">
        <v>3968</v>
      </c>
      <c r="E2278" s="1" t="s">
        <v>207</v>
      </c>
      <c r="G2278" s="1">
        <v>2.98917299E9</v>
      </c>
      <c r="H2278" s="2">
        <v>41913.0</v>
      </c>
      <c r="I2278" s="1" t="s">
        <v>3969</v>
      </c>
      <c r="K2278" s="1" t="s">
        <v>3969</v>
      </c>
      <c r="N2278" s="1" t="s">
        <v>40</v>
      </c>
      <c r="O2278" s="1">
        <v>7500.0</v>
      </c>
      <c r="P2278" s="1" t="s">
        <v>40</v>
      </c>
      <c r="Q2278" s="1" t="str">
        <f>IF(ISERROR(VLOOKUP(P2278,'unique fed agency names'!A:C,3,FALSE)),P2278,VLOOKUP(P2278,'unique fed agency names'!A:C,3,FALSE))
</f>
        <v>U.S. Department of Health and Human Services (DHHS)</v>
      </c>
      <c r="R2278" s="1">
        <v>3.8775243E7</v>
      </c>
      <c r="S2278" s="1" t="s">
        <v>209</v>
      </c>
      <c r="T2278" s="1" t="str">
        <f>IF(ISERROR(VLOOKUP(S2278,'unique org names'!A:C,3,FALSE)),S2278,VLOOKUP(S2278,'unique org names'!A:C,3,FALSE))
</f>
        <v>SOUTHEASTERN MICHIGAN HEALTH ASSOCIATION</v>
      </c>
      <c r="U2278" s="1" t="s">
        <v>210</v>
      </c>
      <c r="V2278" s="1" t="s">
        <v>211</v>
      </c>
      <c r="W2278" s="1" t="s">
        <v>44</v>
      </c>
      <c r="X2278" s="1" t="s">
        <v>45</v>
      </c>
      <c r="Y2278" s="1">
        <v>4.82023068E8</v>
      </c>
      <c r="AA2278" s="1" t="s">
        <v>46</v>
      </c>
      <c r="AB2278" s="1" t="s">
        <v>45</v>
      </c>
      <c r="AC2278" s="1">
        <v>4.82023068E8</v>
      </c>
      <c r="AD2278" s="1">
        <v>3.8775243E7</v>
      </c>
      <c r="AE2278" s="1" t="s">
        <v>209</v>
      </c>
      <c r="AF2278" s="1">
        <v>9966.75</v>
      </c>
      <c r="AG2278" s="2">
        <v>41913.0</v>
      </c>
      <c r="AH2278" s="1">
        <v>7500.0</v>
      </c>
      <c r="AI2278" s="1" t="s">
        <v>40</v>
      </c>
      <c r="AJ2278" s="1">
        <v>2.0151612E7</v>
      </c>
      <c r="AK2278" s="1" t="s">
        <v>212</v>
      </c>
      <c r="AL2278" s="1">
        <v>10.0</v>
      </c>
      <c r="AM2278" s="1">
        <v>2014.0</v>
      </c>
      <c r="AN2278" s="1">
        <v>2015.0</v>
      </c>
      <c r="AO2278" s="1" t="s">
        <v>213</v>
      </c>
    </row>
    <row r="2279">
      <c r="A2279" s="5">
        <v>1.0</v>
      </c>
      <c r="B2279" s="1">
        <f t="shared" si="1"/>
        <v>2279</v>
      </c>
      <c r="C2279" s="1" t="s">
        <v>3968</v>
      </c>
      <c r="D2279" s="1" t="s">
        <v>3968</v>
      </c>
      <c r="E2279" s="1" t="s">
        <v>207</v>
      </c>
      <c r="G2279" s="1">
        <v>2.98917299E9</v>
      </c>
      <c r="H2279" s="2">
        <v>41913.0</v>
      </c>
      <c r="I2279" s="1" t="s">
        <v>3969</v>
      </c>
      <c r="K2279" s="1" t="s">
        <v>3969</v>
      </c>
      <c r="N2279" s="1" t="s">
        <v>40</v>
      </c>
      <c r="O2279" s="1">
        <v>7500.0</v>
      </c>
      <c r="P2279" s="1" t="s">
        <v>40</v>
      </c>
      <c r="Q2279" s="1" t="str">
        <f>IF(ISERROR(VLOOKUP(P2279,'unique fed agency names'!A:C,3,FALSE)),P2279,VLOOKUP(P2279,'unique fed agency names'!A:C,3,FALSE))
</f>
        <v>U.S. Department of Health and Human Services (DHHS)</v>
      </c>
      <c r="R2279" s="1">
        <v>3.8775243E7</v>
      </c>
      <c r="S2279" s="1" t="s">
        <v>209</v>
      </c>
      <c r="T2279" s="1" t="str">
        <f>IF(ISERROR(VLOOKUP(S2279,'unique org names'!A:C,3,FALSE)),S2279,VLOOKUP(S2279,'unique org names'!A:C,3,FALSE))
</f>
        <v>SOUTHEASTERN MICHIGAN HEALTH ASSOCIATION</v>
      </c>
      <c r="U2279" s="1" t="s">
        <v>210</v>
      </c>
      <c r="V2279" s="1" t="s">
        <v>211</v>
      </c>
      <c r="W2279" s="1" t="s">
        <v>44</v>
      </c>
      <c r="X2279" s="1" t="s">
        <v>45</v>
      </c>
      <c r="Y2279" s="1">
        <v>4.82023068E8</v>
      </c>
      <c r="AA2279" s="1" t="s">
        <v>46</v>
      </c>
      <c r="AB2279" s="1" t="s">
        <v>45</v>
      </c>
      <c r="AC2279" s="1">
        <v>4.82023068E8</v>
      </c>
      <c r="AD2279" s="1">
        <v>3.8775243E7</v>
      </c>
      <c r="AE2279" s="1" t="s">
        <v>209</v>
      </c>
      <c r="AF2279" s="1">
        <v>26013.75</v>
      </c>
      <c r="AG2279" s="2">
        <v>41913.0</v>
      </c>
      <c r="AH2279" s="1">
        <v>7500.0</v>
      </c>
      <c r="AI2279" s="1" t="s">
        <v>40</v>
      </c>
      <c r="AJ2279" s="1">
        <v>2.0151622E7</v>
      </c>
      <c r="AK2279" s="1" t="s">
        <v>212</v>
      </c>
      <c r="AL2279" s="1">
        <v>10.0</v>
      </c>
      <c r="AM2279" s="1">
        <v>2014.0</v>
      </c>
      <c r="AN2279" s="1">
        <v>2015.0</v>
      </c>
      <c r="AO2279" s="1" t="s">
        <v>213</v>
      </c>
    </row>
    <row r="2280">
      <c r="A2280" s="5">
        <v>1.0</v>
      </c>
      <c r="B2280" s="1">
        <f t="shared" si="1"/>
        <v>2280</v>
      </c>
      <c r="C2280" s="1" t="s">
        <v>3968</v>
      </c>
      <c r="D2280" s="1" t="s">
        <v>3968</v>
      </c>
      <c r="E2280" s="1" t="s">
        <v>207</v>
      </c>
      <c r="G2280" s="1">
        <v>2.98917299E9</v>
      </c>
      <c r="H2280" s="2">
        <v>41913.0</v>
      </c>
      <c r="I2280" s="1" t="s">
        <v>3969</v>
      </c>
      <c r="K2280" s="1" t="s">
        <v>3969</v>
      </c>
      <c r="N2280" s="1" t="s">
        <v>40</v>
      </c>
      <c r="O2280" s="1">
        <v>7500.0</v>
      </c>
      <c r="P2280" s="1" t="s">
        <v>40</v>
      </c>
      <c r="Q2280" s="1" t="str">
        <f>IF(ISERROR(VLOOKUP(P2280,'unique fed agency names'!A:C,3,FALSE)),P2280,VLOOKUP(P2280,'unique fed agency names'!A:C,3,FALSE))
</f>
        <v>U.S. Department of Health and Human Services (DHHS)</v>
      </c>
      <c r="R2280" s="1">
        <v>7596352.0</v>
      </c>
      <c r="S2280" s="1" t="s">
        <v>73</v>
      </c>
      <c r="T2280" s="1" t="str">
        <f>IF(ISERROR(VLOOKUP(S2280,'unique org names'!A:C,3,FALSE)),S2280,VLOOKUP(S2280,'unique org names'!A:C,3,FALSE))
</f>
        <v>City Of Detroit</v>
      </c>
      <c r="V2280" s="1" t="s">
        <v>1578</v>
      </c>
      <c r="W2280" s="1" t="s">
        <v>44</v>
      </c>
      <c r="X2280" s="1" t="s">
        <v>45</v>
      </c>
      <c r="Y2280" s="1">
        <v>4.82263269E8</v>
      </c>
      <c r="AA2280" s="1" t="s">
        <v>46</v>
      </c>
      <c r="AB2280" s="1" t="s">
        <v>45</v>
      </c>
      <c r="AC2280" s="1">
        <v>4.82263269E8</v>
      </c>
      <c r="AD2280" s="1">
        <v>6530661.0</v>
      </c>
      <c r="AE2280" s="1" t="s">
        <v>76</v>
      </c>
      <c r="AF2280" s="1">
        <v>70625.0</v>
      </c>
      <c r="AG2280" s="2">
        <v>41913.0</v>
      </c>
      <c r="AH2280" s="1">
        <v>7500.0</v>
      </c>
      <c r="AI2280" s="1" t="s">
        <v>40</v>
      </c>
      <c r="AJ2280" s="1">
        <v>2.0151729E7</v>
      </c>
      <c r="AK2280" s="1" t="s">
        <v>212</v>
      </c>
      <c r="AL2280" s="1">
        <v>10.0</v>
      </c>
      <c r="AM2280" s="1">
        <v>2014.0</v>
      </c>
      <c r="AN2280" s="1">
        <v>2015.0</v>
      </c>
      <c r="AO2280" s="1" t="s">
        <v>213</v>
      </c>
    </row>
    <row r="2281">
      <c r="A2281" s="5">
        <v>1.0</v>
      </c>
      <c r="B2281" s="1">
        <f t="shared" si="1"/>
        <v>2281</v>
      </c>
      <c r="C2281" s="1" t="s">
        <v>702</v>
      </c>
      <c r="D2281" s="1" t="s">
        <v>702</v>
      </c>
      <c r="E2281" s="1" t="s">
        <v>129</v>
      </c>
      <c r="G2281" s="1">
        <v>6863687.0</v>
      </c>
      <c r="H2281" s="2">
        <v>41760.0</v>
      </c>
      <c r="I2281" s="1" t="s">
        <v>703</v>
      </c>
      <c r="K2281" s="1" t="s">
        <v>703</v>
      </c>
      <c r="N2281" s="1" t="s">
        <v>40</v>
      </c>
      <c r="O2281" s="1">
        <v>7500.0</v>
      </c>
      <c r="P2281" s="1" t="s">
        <v>40</v>
      </c>
      <c r="Q2281" s="1" t="str">
        <f>IF(ISERROR(VLOOKUP(P2281,'unique fed agency names'!A:C,3,FALSE)),P2281,VLOOKUP(P2281,'unique fed agency names'!A:C,3,FALSE))
</f>
        <v>U.S. Department of Health and Human Services (DHHS)</v>
      </c>
      <c r="R2281" s="1">
        <v>8.5464519E7</v>
      </c>
      <c r="S2281" s="1" t="s">
        <v>704</v>
      </c>
      <c r="T2281" s="1" t="str">
        <f>IF(ISERROR(VLOOKUP(S2281,'unique org names'!A:C,3,FALSE)),S2281,VLOOKUP(S2281,'unique org names'!A:C,3,FALSE))
</f>
        <v>Children's Center of Wayne County Inc.</v>
      </c>
      <c r="U2281" s="1" t="s">
        <v>705</v>
      </c>
      <c r="V2281" s="1" t="s">
        <v>706</v>
      </c>
      <c r="W2281" s="1" t="s">
        <v>44</v>
      </c>
      <c r="X2281" s="1" t="s">
        <v>45</v>
      </c>
      <c r="Y2281" s="1">
        <v>4.82012015E8</v>
      </c>
      <c r="AA2281" s="1" t="s">
        <v>44</v>
      </c>
      <c r="AB2281" s="1" t="s">
        <v>45</v>
      </c>
      <c r="AC2281" s="1">
        <v>4.82192044E8</v>
      </c>
      <c r="AF2281" s="1">
        <v>2260762.0</v>
      </c>
      <c r="AG2281" s="2">
        <v>41760.0</v>
      </c>
      <c r="AH2281" s="1">
        <v>7500.0</v>
      </c>
      <c r="AI2281" s="1" t="s">
        <v>40</v>
      </c>
      <c r="AJ2281" s="1" t="s">
        <v>707</v>
      </c>
      <c r="AK2281" s="1" t="s">
        <v>3982</v>
      </c>
      <c r="AL2281" s="1">
        <v>5.0</v>
      </c>
      <c r="AM2281" s="1">
        <v>2014.0</v>
      </c>
      <c r="AN2281" s="1">
        <v>2014.0</v>
      </c>
      <c r="AO2281" s="1" t="s">
        <v>708</v>
      </c>
    </row>
    <row r="2282">
      <c r="A2282" s="5">
        <v>1.0</v>
      </c>
      <c r="B2282" s="1">
        <f t="shared" si="1"/>
        <v>2282</v>
      </c>
      <c r="C2282" s="1" t="s">
        <v>3983</v>
      </c>
      <c r="D2282" s="1" t="s">
        <v>3983</v>
      </c>
      <c r="E2282" s="1" t="s">
        <v>645</v>
      </c>
      <c r="G2282" s="1">
        <v>1590633.0</v>
      </c>
      <c r="H2282" s="2">
        <v>41913.0</v>
      </c>
      <c r="I2282" s="1" t="s">
        <v>1577</v>
      </c>
      <c r="K2282" s="1" t="s">
        <v>1577</v>
      </c>
      <c r="N2282" s="1" t="s">
        <v>647</v>
      </c>
      <c r="O2282" s="1">
        <v>1200.0</v>
      </c>
      <c r="P2282" s="1" t="s">
        <v>647</v>
      </c>
      <c r="Q2282" s="1" t="str">
        <f>IF(ISERROR(VLOOKUP(P2282,'unique fed agency names'!A:C,3,FALSE)),P2282,VLOOKUP(P2282,'unique fed agency names'!A:C,3,FALSE))
</f>
        <v>U.S. Department of Agriculture (USDA)</v>
      </c>
      <c r="R2282" s="1">
        <v>7596352.0</v>
      </c>
      <c r="S2282" s="1" t="s">
        <v>73</v>
      </c>
      <c r="T2282" s="1" t="str">
        <f>IF(ISERROR(VLOOKUP(S2282,'unique org names'!A:C,3,FALSE)),S2282,VLOOKUP(S2282,'unique org names'!A:C,3,FALSE))
</f>
        <v>City Of Detroit</v>
      </c>
      <c r="V2282" s="1" t="s">
        <v>1578</v>
      </c>
      <c r="W2282" s="1" t="s">
        <v>44</v>
      </c>
      <c r="X2282" s="1" t="s">
        <v>45</v>
      </c>
      <c r="Y2282" s="1">
        <v>4.82263269E8</v>
      </c>
      <c r="AA2282" s="1" t="s">
        <v>46</v>
      </c>
      <c r="AB2282" s="1" t="s">
        <v>45</v>
      </c>
      <c r="AC2282" s="1">
        <v>4.82263269E8</v>
      </c>
      <c r="AD2282" s="1">
        <v>6530661.0</v>
      </c>
      <c r="AE2282" s="1" t="s">
        <v>76</v>
      </c>
      <c r="AF2282" s="1">
        <v>88378.0</v>
      </c>
      <c r="AG2282" s="2">
        <v>41913.0</v>
      </c>
      <c r="AH2282" s="1">
        <v>1200.0</v>
      </c>
      <c r="AI2282" s="1" t="s">
        <v>647</v>
      </c>
      <c r="AJ2282" s="1">
        <v>2.0151729E7</v>
      </c>
      <c r="AK2282" s="1" t="s">
        <v>1579</v>
      </c>
      <c r="AL2282" s="1">
        <v>10.0</v>
      </c>
      <c r="AM2282" s="1">
        <v>2013.0</v>
      </c>
      <c r="AN2282" s="1">
        <v>2015.0</v>
      </c>
      <c r="AO2282" s="1" t="s">
        <v>1580</v>
      </c>
    </row>
    <row r="2283">
      <c r="A2283" s="5">
        <v>1.0</v>
      </c>
      <c r="B2283" s="1">
        <f t="shared" si="1"/>
        <v>2283</v>
      </c>
      <c r="C2283" s="1" t="s">
        <v>3973</v>
      </c>
      <c r="D2283" s="1" t="s">
        <v>3973</v>
      </c>
      <c r="E2283" s="1" t="s">
        <v>2091</v>
      </c>
      <c r="G2283" s="1">
        <v>1.0877311E7</v>
      </c>
      <c r="H2283" s="2">
        <v>41617.0</v>
      </c>
      <c r="I2283" s="1" t="s">
        <v>2092</v>
      </c>
      <c r="K2283" s="1" t="s">
        <v>2092</v>
      </c>
      <c r="N2283" s="1" t="s">
        <v>151</v>
      </c>
      <c r="O2283" s="1">
        <v>6900.0</v>
      </c>
      <c r="P2283" s="1" t="s">
        <v>151</v>
      </c>
      <c r="Q2283" s="1" t="str">
        <f>IF(ISERROR(VLOOKUP(P2283,'unique fed agency names'!A:C,3,FALSE)),P2283,VLOOKUP(P2283,'unique fed agency names'!A:C,3,FALSE))
</f>
        <v>U.S. Department of Transportation (DOT)</v>
      </c>
      <c r="R2283" s="1">
        <v>2.082621E7</v>
      </c>
      <c r="S2283" s="1" t="s">
        <v>983</v>
      </c>
      <c r="T2283" s="1" t="str">
        <f>IF(ISERROR(VLOOKUP(S2283,'unique org names'!A:C,3,FALSE)),S2283,VLOOKUP(S2283,'unique org names'!A:C,3,FALSE))
</f>
        <v>City of Detroit</v>
      </c>
      <c r="U2283" s="1" t="s">
        <v>984</v>
      </c>
      <c r="V2283" s="1" t="s">
        <v>2093</v>
      </c>
      <c r="W2283" s="1" t="s">
        <v>44</v>
      </c>
      <c r="X2283" s="1" t="s">
        <v>45</v>
      </c>
      <c r="Y2283" s="1">
        <v>4.82131204E8</v>
      </c>
      <c r="AA2283" s="1" t="s">
        <v>46</v>
      </c>
      <c r="AB2283" s="1" t="s">
        <v>45</v>
      </c>
      <c r="AC2283" s="1">
        <v>4.82131204E8</v>
      </c>
      <c r="AD2283" s="1">
        <v>6530661.0</v>
      </c>
      <c r="AE2283" s="1" t="s">
        <v>76</v>
      </c>
      <c r="AF2283" s="1">
        <v>508287.0</v>
      </c>
      <c r="AG2283" s="2">
        <v>41617.0</v>
      </c>
      <c r="AH2283" s="1">
        <v>6900.0</v>
      </c>
      <c r="AI2283" s="1" t="s">
        <v>151</v>
      </c>
      <c r="AJ2283" s="1" t="s">
        <v>3966</v>
      </c>
      <c r="AK2283" s="1" t="s">
        <v>3967</v>
      </c>
      <c r="AL2283" s="1">
        <v>1.0</v>
      </c>
      <c r="AM2283" s="1">
        <v>2015.0</v>
      </c>
      <c r="AN2283" s="1">
        <v>2014.0</v>
      </c>
      <c r="AO2283" s="1" t="s">
        <v>2096</v>
      </c>
    </row>
    <row r="2284">
      <c r="A2284" s="5">
        <v>1.0</v>
      </c>
      <c r="B2284" s="1">
        <f t="shared" si="1"/>
        <v>2284</v>
      </c>
      <c r="C2284" s="1" t="s">
        <v>3984</v>
      </c>
      <c r="D2284" s="1" t="s">
        <v>3984</v>
      </c>
      <c r="E2284" s="1" t="s">
        <v>224</v>
      </c>
      <c r="G2284" s="1">
        <v>50000.0</v>
      </c>
      <c r="H2284" s="2">
        <v>41991.0</v>
      </c>
      <c r="I2284" s="1" t="s">
        <v>3985</v>
      </c>
      <c r="K2284" s="1" t="s">
        <v>3985</v>
      </c>
      <c r="N2284" s="1" t="s">
        <v>151</v>
      </c>
      <c r="O2284" s="1">
        <v>6900.0</v>
      </c>
      <c r="P2284" s="1" t="s">
        <v>151</v>
      </c>
      <c r="Q2284" s="1" t="str">
        <f>IF(ISERROR(VLOOKUP(P2284,'unique fed agency names'!A:C,3,FALSE)),P2284,VLOOKUP(P2284,'unique fed agency names'!A:C,3,FALSE))
</f>
        <v>U.S. Department of Transportation (DOT)</v>
      </c>
      <c r="R2284" s="1">
        <v>4.057865E7</v>
      </c>
      <c r="S2284" s="1" t="s">
        <v>661</v>
      </c>
      <c r="T2284" s="1" t="str">
        <f>IF(ISERROR(VLOOKUP(S2284,'unique org names'!A:C,3,FALSE)),S2284,VLOOKUP(S2284,'unique org names'!A:C,3,FALSE))
</f>
        <v>SOUTHEAST MICHIGAN COUNCIL OF GOVERNMENTS</v>
      </c>
      <c r="V2284" s="1" t="s">
        <v>3986</v>
      </c>
      <c r="W2284" s="1" t="s">
        <v>44</v>
      </c>
      <c r="X2284" s="1" t="s">
        <v>45</v>
      </c>
      <c r="Y2284" s="1">
        <v>4.82261927E8</v>
      </c>
      <c r="AA2284" s="1" t="s">
        <v>44</v>
      </c>
      <c r="AB2284" s="1" t="s">
        <v>45</v>
      </c>
      <c r="AC2284" s="1">
        <v>4.82261927E8</v>
      </c>
      <c r="AF2284" s="1">
        <v>50000.0</v>
      </c>
      <c r="AG2284" s="2">
        <v>41991.0</v>
      </c>
      <c r="AH2284" s="1">
        <v>6900.0</v>
      </c>
      <c r="AI2284" s="1" t="s">
        <v>151</v>
      </c>
      <c r="AJ2284" s="1">
        <v>1.0</v>
      </c>
      <c r="AK2284" s="1" t="s">
        <v>3987</v>
      </c>
      <c r="AL2284" s="1">
        <v>1.0</v>
      </c>
      <c r="AM2284" s="1">
        <v>2015.0</v>
      </c>
      <c r="AN2284" s="1">
        <v>2015.0</v>
      </c>
      <c r="AO2284" s="1" t="s">
        <v>229</v>
      </c>
    </row>
    <row r="2285">
      <c r="A2285" s="5">
        <v>1.0</v>
      </c>
      <c r="B2285" s="1">
        <f t="shared" si="1"/>
        <v>2285</v>
      </c>
      <c r="C2285" s="1" t="s">
        <v>3988</v>
      </c>
      <c r="D2285" s="1" t="s">
        <v>3988</v>
      </c>
      <c r="E2285" s="1" t="s">
        <v>645</v>
      </c>
      <c r="G2285" s="1">
        <v>5.6528832E7</v>
      </c>
      <c r="H2285" s="2">
        <v>41548.0</v>
      </c>
      <c r="I2285" s="1" t="s">
        <v>1577</v>
      </c>
      <c r="K2285" s="1" t="s">
        <v>1577</v>
      </c>
      <c r="N2285" s="1" t="s">
        <v>647</v>
      </c>
      <c r="O2285" s="1">
        <v>1200.0</v>
      </c>
      <c r="P2285" s="1" t="s">
        <v>647</v>
      </c>
      <c r="Q2285" s="1" t="str">
        <f>IF(ISERROR(VLOOKUP(P2285,'unique fed agency names'!A:C,3,FALSE)),P2285,VLOOKUP(P2285,'unique fed agency names'!A:C,3,FALSE))
</f>
        <v>U.S. Department of Agriculture (USDA)</v>
      </c>
      <c r="R2285" s="1">
        <v>1.51978897E8</v>
      </c>
      <c r="S2285" s="1" t="s">
        <v>2831</v>
      </c>
      <c r="T2285" s="1" t="str">
        <f>IF(ISERROR(VLOOKUP(S2285,'unique org names'!A:C,3,FALSE)),S2285,VLOOKUP(S2285,'unique org names'!A:C,3,FALSE))
</f>
        <v>Detroit Urban League, Inc</v>
      </c>
      <c r="V2285" s="1" t="s">
        <v>2832</v>
      </c>
      <c r="W2285" s="1" t="s">
        <v>44</v>
      </c>
      <c r="X2285" s="1" t="s">
        <v>45</v>
      </c>
      <c r="Y2285" s="1">
        <v>4.82012418E8</v>
      </c>
      <c r="AA2285" s="1" t="s">
        <v>46</v>
      </c>
      <c r="AB2285" s="1" t="s">
        <v>45</v>
      </c>
      <c r="AC2285" s="1">
        <v>4.82012418E8</v>
      </c>
      <c r="AD2285" s="1">
        <v>1.51978897E8</v>
      </c>
      <c r="AE2285" s="1" t="s">
        <v>2831</v>
      </c>
      <c r="AF2285" s="1">
        <v>2018268.0</v>
      </c>
      <c r="AG2285" s="2">
        <v>41548.0</v>
      </c>
      <c r="AH2285" s="1">
        <v>1200.0</v>
      </c>
      <c r="AI2285" s="1" t="s">
        <v>647</v>
      </c>
      <c r="AJ2285" s="1">
        <v>2.0140349E7</v>
      </c>
      <c r="AK2285" s="1" t="s">
        <v>2826</v>
      </c>
      <c r="AL2285" s="1">
        <v>10.0</v>
      </c>
      <c r="AM2285" s="1">
        <v>2013.0</v>
      </c>
      <c r="AN2285" s="1">
        <v>2014.0</v>
      </c>
      <c r="AO2285" s="1" t="s">
        <v>1580</v>
      </c>
    </row>
    <row r="2286">
      <c r="A2286" s="5">
        <v>1.0</v>
      </c>
      <c r="B2286" s="1">
        <f t="shared" si="1"/>
        <v>2286</v>
      </c>
      <c r="C2286" s="1" t="s">
        <v>3989</v>
      </c>
      <c r="D2286" s="1" t="s">
        <v>3989</v>
      </c>
      <c r="E2286" s="1" t="s">
        <v>645</v>
      </c>
      <c r="G2286" s="1">
        <v>3.2942648E7</v>
      </c>
      <c r="H2286" s="2">
        <v>41913.0</v>
      </c>
      <c r="I2286" s="1" t="s">
        <v>1577</v>
      </c>
      <c r="K2286" s="1" t="s">
        <v>1577</v>
      </c>
      <c r="N2286" s="1" t="s">
        <v>647</v>
      </c>
      <c r="O2286" s="1">
        <v>1200.0</v>
      </c>
      <c r="P2286" s="1" t="s">
        <v>647</v>
      </c>
      <c r="Q2286" s="1" t="str">
        <f>IF(ISERROR(VLOOKUP(P2286,'unique fed agency names'!A:C,3,FALSE)),P2286,VLOOKUP(P2286,'unique fed agency names'!A:C,3,FALSE))
</f>
        <v>U.S. Department of Agriculture (USDA)</v>
      </c>
      <c r="R2286" s="1">
        <v>1.51978897E8</v>
      </c>
      <c r="S2286" s="1" t="s">
        <v>2831</v>
      </c>
      <c r="T2286" s="1" t="str">
        <f>IF(ISERROR(VLOOKUP(S2286,'unique org names'!A:C,3,FALSE)),S2286,VLOOKUP(S2286,'unique org names'!A:C,3,FALSE))
</f>
        <v>Detroit Urban League, Inc</v>
      </c>
      <c r="V2286" s="1" t="s">
        <v>2832</v>
      </c>
      <c r="W2286" s="1" t="s">
        <v>44</v>
      </c>
      <c r="X2286" s="1" t="s">
        <v>45</v>
      </c>
      <c r="Y2286" s="1">
        <v>4.82012418E8</v>
      </c>
      <c r="AA2286" s="1" t="s">
        <v>46</v>
      </c>
      <c r="AB2286" s="1" t="s">
        <v>45</v>
      </c>
      <c r="AC2286" s="1">
        <v>4.82012418E8</v>
      </c>
      <c r="AD2286" s="1">
        <v>1.51978897E8</v>
      </c>
      <c r="AE2286" s="1" t="s">
        <v>2831</v>
      </c>
      <c r="AF2286" s="1">
        <v>1769451.12</v>
      </c>
      <c r="AG2286" s="2">
        <v>41913.0</v>
      </c>
      <c r="AH2286" s="1">
        <v>1200.0</v>
      </c>
      <c r="AI2286" s="1" t="s">
        <v>647</v>
      </c>
      <c r="AJ2286" s="1">
        <v>2.015039E7</v>
      </c>
      <c r="AK2286" s="1" t="s">
        <v>2826</v>
      </c>
      <c r="AL2286" s="1">
        <v>10.0</v>
      </c>
      <c r="AM2286" s="1">
        <v>2014.0</v>
      </c>
      <c r="AN2286" s="1">
        <v>2015.0</v>
      </c>
      <c r="AO2286" s="1" t="s">
        <v>1580</v>
      </c>
    </row>
    <row r="2287">
      <c r="A2287" s="5">
        <v>1.0</v>
      </c>
      <c r="B2287" s="1">
        <f t="shared" si="1"/>
        <v>2287</v>
      </c>
      <c r="C2287" s="1" t="s">
        <v>3989</v>
      </c>
      <c r="D2287" s="1" t="s">
        <v>3989</v>
      </c>
      <c r="E2287" s="1" t="s">
        <v>645</v>
      </c>
      <c r="G2287" s="1">
        <v>3.2942648E7</v>
      </c>
      <c r="H2287" s="2">
        <v>41913.0</v>
      </c>
      <c r="I2287" s="1" t="s">
        <v>1577</v>
      </c>
      <c r="K2287" s="1" t="s">
        <v>1577</v>
      </c>
      <c r="N2287" s="1" t="s">
        <v>647</v>
      </c>
      <c r="O2287" s="1">
        <v>1200.0</v>
      </c>
      <c r="P2287" s="1" t="s">
        <v>647</v>
      </c>
      <c r="Q2287" s="1" t="str">
        <f>IF(ISERROR(VLOOKUP(P2287,'unique fed agency names'!A:C,3,FALSE)),P2287,VLOOKUP(P2287,'unique fed agency names'!A:C,3,FALSE))
</f>
        <v>U.S. Department of Agriculture (USDA)</v>
      </c>
      <c r="R2287" s="1">
        <v>4.3419399E7</v>
      </c>
      <c r="S2287" s="1" t="s">
        <v>979</v>
      </c>
      <c r="T2287" s="1" t="str">
        <f>IF(ISERROR(VLOOKUP(S2287,'unique org names'!A:C,3,FALSE)),S2287,VLOOKUP(S2287,'unique org names'!A:C,3,FALSE))
</f>
        <v>NEIGHBORHOOD SERVICE ORGANIZATION</v>
      </c>
      <c r="V2287" s="1" t="s">
        <v>1934</v>
      </c>
      <c r="W2287" s="1" t="s">
        <v>44</v>
      </c>
      <c r="X2287" s="1" t="s">
        <v>45</v>
      </c>
      <c r="Y2287" s="1">
        <v>4.82384019E8</v>
      </c>
      <c r="AA2287" s="1" t="s">
        <v>46</v>
      </c>
      <c r="AB2287" s="1" t="s">
        <v>45</v>
      </c>
      <c r="AC2287" s="1">
        <v>4.82384019E8</v>
      </c>
      <c r="AD2287" s="1">
        <v>4.3419399E7</v>
      </c>
      <c r="AE2287" s="1" t="s">
        <v>979</v>
      </c>
      <c r="AF2287" s="1">
        <v>44712.6</v>
      </c>
      <c r="AG2287" s="2">
        <v>41913.0</v>
      </c>
      <c r="AH2287" s="1">
        <v>1200.0</v>
      </c>
      <c r="AI2287" s="1" t="s">
        <v>647</v>
      </c>
      <c r="AJ2287" s="1">
        <v>2.0151564E7</v>
      </c>
      <c r="AK2287" s="1" t="s">
        <v>2826</v>
      </c>
      <c r="AL2287" s="1">
        <v>10.0</v>
      </c>
      <c r="AM2287" s="1">
        <v>2014.0</v>
      </c>
      <c r="AN2287" s="1">
        <v>2015.0</v>
      </c>
      <c r="AO2287" s="1" t="s">
        <v>1580</v>
      </c>
    </row>
    <row r="2288">
      <c r="A2288" s="5">
        <v>1.0</v>
      </c>
      <c r="B2288" s="1">
        <f t="shared" si="1"/>
        <v>2288</v>
      </c>
      <c r="C2288" s="1" t="s">
        <v>3990</v>
      </c>
      <c r="D2288" s="1" t="s">
        <v>3990</v>
      </c>
      <c r="E2288" s="1" t="s">
        <v>38</v>
      </c>
      <c r="G2288" s="1">
        <v>233672.0</v>
      </c>
      <c r="H2288" s="2">
        <v>41974.0</v>
      </c>
      <c r="I2288" s="1" t="s">
        <v>3991</v>
      </c>
      <c r="K2288" s="1" t="s">
        <v>3991</v>
      </c>
      <c r="N2288" s="1" t="s">
        <v>40</v>
      </c>
      <c r="O2288" s="1">
        <v>7500.0</v>
      </c>
      <c r="P2288" s="1" t="s">
        <v>40</v>
      </c>
      <c r="Q2288" s="1" t="str">
        <f>IF(ISERROR(VLOOKUP(P2288,'unique fed agency names'!A:C,3,FALSE)),P2288,VLOOKUP(P2288,'unique fed agency names'!A:C,3,FALSE))
</f>
        <v>U.S. Department of Health and Human Services (DHHS)</v>
      </c>
      <c r="R2288" s="1">
        <v>1962224.0</v>
      </c>
      <c r="S2288" s="1" t="s">
        <v>52</v>
      </c>
      <c r="T2288" s="1" t="str">
        <f>IF(ISERROR(VLOOKUP(S2288,'unique org names'!A:C,3,FALSE)),S2288,VLOOKUP(S2288,'unique org names'!A:C,3,FALSE))
</f>
        <v>WAYNE STATE UNIVERSITY</v>
      </c>
      <c r="V2288" s="1" t="s">
        <v>1885</v>
      </c>
      <c r="W2288" s="1" t="s">
        <v>44</v>
      </c>
      <c r="X2288" s="1" t="s">
        <v>45</v>
      </c>
      <c r="Y2288" s="1">
        <v>4.82021347E8</v>
      </c>
      <c r="AA2288" s="1" t="s">
        <v>1366</v>
      </c>
      <c r="AB2288" s="1" t="s">
        <v>45</v>
      </c>
      <c r="AC2288" s="1">
        <v>4.8202406E8</v>
      </c>
      <c r="AD2288" s="1">
        <v>1962224.0</v>
      </c>
      <c r="AE2288" s="1" t="s">
        <v>52</v>
      </c>
      <c r="AF2288" s="1">
        <v>141806.0</v>
      </c>
      <c r="AG2288" s="2">
        <v>41974.0</v>
      </c>
      <c r="AH2288" s="1">
        <v>7500.0</v>
      </c>
      <c r="AI2288" s="1" t="s">
        <v>40</v>
      </c>
      <c r="AJ2288" s="1" t="s">
        <v>3992</v>
      </c>
      <c r="AK2288" s="1" t="s">
        <v>3993</v>
      </c>
      <c r="AL2288" s="1">
        <v>2.0</v>
      </c>
      <c r="AM2288" s="1">
        <v>2015.0</v>
      </c>
      <c r="AN2288" s="1">
        <v>2015.0</v>
      </c>
      <c r="AO2288" s="1" t="s">
        <v>3994</v>
      </c>
    </row>
    <row r="2289">
      <c r="A2289" s="5">
        <v>1.0</v>
      </c>
      <c r="B2289" s="1">
        <f t="shared" si="1"/>
        <v>2289</v>
      </c>
      <c r="C2289" s="1" t="s">
        <v>3995</v>
      </c>
      <c r="D2289" s="1" t="s">
        <v>3995</v>
      </c>
      <c r="E2289" s="1" t="s">
        <v>63</v>
      </c>
      <c r="G2289" s="1">
        <v>6092441.0</v>
      </c>
      <c r="H2289" s="2">
        <v>41913.0</v>
      </c>
      <c r="I2289" s="1" t="s">
        <v>3996</v>
      </c>
      <c r="K2289" s="1" t="s">
        <v>3996</v>
      </c>
      <c r="N2289" s="1" t="s">
        <v>40</v>
      </c>
      <c r="O2289" s="1">
        <v>7500.0</v>
      </c>
      <c r="P2289" s="1" t="s">
        <v>40</v>
      </c>
      <c r="Q2289" s="1" t="str">
        <f>IF(ISERROR(VLOOKUP(P2289,'unique fed agency names'!A:C,3,FALSE)),P2289,VLOOKUP(P2289,'unique fed agency names'!A:C,3,FALSE))
</f>
        <v>U.S. Department of Health and Human Services (DHHS)</v>
      </c>
      <c r="R2289" s="1">
        <v>3.8775243E7</v>
      </c>
      <c r="S2289" s="1" t="s">
        <v>209</v>
      </c>
      <c r="T2289" s="1" t="str">
        <f>IF(ISERROR(VLOOKUP(S2289,'unique org names'!A:C,3,FALSE)),S2289,VLOOKUP(S2289,'unique org names'!A:C,3,FALSE))
</f>
        <v>SOUTHEASTERN MICHIGAN HEALTH ASSOCIATION</v>
      </c>
      <c r="U2289" s="1" t="s">
        <v>210</v>
      </c>
      <c r="V2289" s="1" t="s">
        <v>211</v>
      </c>
      <c r="W2289" s="1" t="s">
        <v>44</v>
      </c>
      <c r="X2289" s="1" t="s">
        <v>45</v>
      </c>
      <c r="Y2289" s="1">
        <v>4.82023068E8</v>
      </c>
      <c r="AA2289" s="1" t="s">
        <v>46</v>
      </c>
      <c r="AB2289" s="1" t="s">
        <v>45</v>
      </c>
      <c r="AC2289" s="1">
        <v>4.82023068E8</v>
      </c>
      <c r="AD2289" s="1">
        <v>3.8775243E7</v>
      </c>
      <c r="AE2289" s="1" t="s">
        <v>209</v>
      </c>
      <c r="AF2289" s="1">
        <v>228417.0</v>
      </c>
      <c r="AG2289" s="2">
        <v>41913.0</v>
      </c>
      <c r="AH2289" s="1">
        <v>7500.0</v>
      </c>
      <c r="AI2289" s="1" t="s">
        <v>40</v>
      </c>
      <c r="AJ2289" s="1">
        <v>2.0151639E7</v>
      </c>
      <c r="AK2289" s="1" t="s">
        <v>2931</v>
      </c>
      <c r="AL2289" s="1">
        <v>10.0</v>
      </c>
      <c r="AM2289" s="1">
        <v>2013.0</v>
      </c>
      <c r="AN2289" s="1">
        <v>2015.0</v>
      </c>
      <c r="AO2289" s="1" t="s">
        <v>3997</v>
      </c>
    </row>
    <row r="2290">
      <c r="A2290" s="5">
        <v>1.0</v>
      </c>
      <c r="B2290" s="1">
        <f t="shared" si="1"/>
        <v>2290</v>
      </c>
      <c r="C2290" s="1" t="s">
        <v>3956</v>
      </c>
      <c r="D2290" s="1" t="s">
        <v>3956</v>
      </c>
      <c r="E2290" s="1" t="s">
        <v>207</v>
      </c>
      <c r="G2290" s="1">
        <v>2.48575334E9</v>
      </c>
      <c r="H2290" s="2">
        <v>41548.0</v>
      </c>
      <c r="I2290" s="1" t="s">
        <v>3957</v>
      </c>
      <c r="K2290" s="1" t="s">
        <v>3957</v>
      </c>
      <c r="N2290" s="1" t="s">
        <v>40</v>
      </c>
      <c r="O2290" s="1">
        <v>7500.0</v>
      </c>
      <c r="P2290" s="1" t="s">
        <v>40</v>
      </c>
      <c r="Q2290" s="1" t="str">
        <f>IF(ISERROR(VLOOKUP(P2290,'unique fed agency names'!A:C,3,FALSE)),P2290,VLOOKUP(P2290,'unique fed agency names'!A:C,3,FALSE))
</f>
        <v>U.S. Department of Health and Human Services (DHHS)</v>
      </c>
      <c r="R2290" s="1">
        <v>3.8775243E7</v>
      </c>
      <c r="S2290" s="1" t="s">
        <v>209</v>
      </c>
      <c r="T2290" s="1" t="str">
        <f>IF(ISERROR(VLOOKUP(S2290,'unique org names'!A:C,3,FALSE)),S2290,VLOOKUP(S2290,'unique org names'!A:C,3,FALSE))
</f>
        <v>SOUTHEASTERN MICHIGAN HEALTH ASSOCIATION</v>
      </c>
      <c r="U2290" s="1" t="s">
        <v>210</v>
      </c>
      <c r="V2290" s="1" t="s">
        <v>211</v>
      </c>
      <c r="W2290" s="1" t="s">
        <v>44</v>
      </c>
      <c r="X2290" s="1" t="s">
        <v>45</v>
      </c>
      <c r="Y2290" s="1">
        <v>4.82023068E8</v>
      </c>
      <c r="AA2290" s="1" t="s">
        <v>46</v>
      </c>
      <c r="AB2290" s="1" t="s">
        <v>45</v>
      </c>
      <c r="AC2290" s="1">
        <v>4.82023068E8</v>
      </c>
      <c r="AD2290" s="1">
        <v>3.8775243E7</v>
      </c>
      <c r="AE2290" s="1" t="s">
        <v>209</v>
      </c>
      <c r="AF2290" s="1">
        <v>8418.18</v>
      </c>
      <c r="AG2290" s="2">
        <v>41548.0</v>
      </c>
      <c r="AH2290" s="1">
        <v>7500.0</v>
      </c>
      <c r="AI2290" s="1" t="s">
        <v>40</v>
      </c>
      <c r="AJ2290" s="1">
        <v>2.0140722E7</v>
      </c>
      <c r="AK2290" s="1" t="s">
        <v>212</v>
      </c>
      <c r="AL2290" s="1">
        <v>10.0</v>
      </c>
      <c r="AM2290" s="1">
        <v>2013.0</v>
      </c>
      <c r="AN2290" s="1">
        <v>2014.0</v>
      </c>
      <c r="AO2290" s="1" t="s">
        <v>213</v>
      </c>
    </row>
    <row r="2291">
      <c r="A2291" s="5">
        <v>1.0</v>
      </c>
      <c r="B2291" s="1">
        <f t="shared" si="1"/>
        <v>2291</v>
      </c>
      <c r="C2291" s="1" t="s">
        <v>3956</v>
      </c>
      <c r="D2291" s="1" t="s">
        <v>3956</v>
      </c>
      <c r="E2291" s="1" t="s">
        <v>207</v>
      </c>
      <c r="G2291" s="1">
        <v>2.48575334E9</v>
      </c>
      <c r="H2291" s="2">
        <v>41548.0</v>
      </c>
      <c r="I2291" s="1" t="s">
        <v>3957</v>
      </c>
      <c r="K2291" s="1" t="s">
        <v>3957</v>
      </c>
      <c r="N2291" s="1" t="s">
        <v>40</v>
      </c>
      <c r="O2291" s="1">
        <v>7500.0</v>
      </c>
      <c r="P2291" s="1" t="s">
        <v>40</v>
      </c>
      <c r="Q2291" s="1" t="str">
        <f>IF(ISERROR(VLOOKUP(P2291,'unique fed agency names'!A:C,3,FALSE)),P2291,VLOOKUP(P2291,'unique fed agency names'!A:C,3,FALSE))
</f>
        <v>U.S. Department of Health and Human Services (DHHS)</v>
      </c>
      <c r="R2291" s="1">
        <v>3.8775243E7</v>
      </c>
      <c r="S2291" s="1" t="s">
        <v>209</v>
      </c>
      <c r="T2291" s="1" t="str">
        <f>IF(ISERROR(VLOOKUP(S2291,'unique org names'!A:C,3,FALSE)),S2291,VLOOKUP(S2291,'unique org names'!A:C,3,FALSE))
</f>
        <v>SOUTHEASTERN MICHIGAN HEALTH ASSOCIATION</v>
      </c>
      <c r="U2291" s="1" t="s">
        <v>210</v>
      </c>
      <c r="V2291" s="1" t="s">
        <v>211</v>
      </c>
      <c r="W2291" s="1" t="s">
        <v>44</v>
      </c>
      <c r="X2291" s="1" t="s">
        <v>45</v>
      </c>
      <c r="Y2291" s="1">
        <v>4.82023068E8</v>
      </c>
      <c r="AA2291" s="1" t="s">
        <v>46</v>
      </c>
      <c r="AB2291" s="1" t="s">
        <v>45</v>
      </c>
      <c r="AC2291" s="1">
        <v>4.82023068E8</v>
      </c>
      <c r="AD2291" s="1">
        <v>3.8775243E7</v>
      </c>
      <c r="AE2291" s="1" t="s">
        <v>209</v>
      </c>
      <c r="AF2291" s="1">
        <v>0.0</v>
      </c>
      <c r="AG2291" s="2">
        <v>41548.0</v>
      </c>
      <c r="AH2291" s="1">
        <v>7500.0</v>
      </c>
      <c r="AI2291" s="1" t="s">
        <v>40</v>
      </c>
      <c r="AJ2291" s="1">
        <v>2.0140734E7</v>
      </c>
      <c r="AK2291" s="1" t="s">
        <v>212</v>
      </c>
      <c r="AL2291" s="1">
        <v>10.0</v>
      </c>
      <c r="AM2291" s="1">
        <v>2013.0</v>
      </c>
      <c r="AN2291" s="1">
        <v>2014.0</v>
      </c>
      <c r="AO2291" s="1" t="s">
        <v>213</v>
      </c>
    </row>
    <row r="2292">
      <c r="A2292" s="5">
        <v>1.0</v>
      </c>
      <c r="B2292" s="1">
        <f t="shared" si="1"/>
        <v>2292</v>
      </c>
      <c r="C2292" s="1" t="s">
        <v>3956</v>
      </c>
      <c r="D2292" s="1" t="s">
        <v>3956</v>
      </c>
      <c r="E2292" s="1" t="s">
        <v>207</v>
      </c>
      <c r="G2292" s="1">
        <v>2.48575334E9</v>
      </c>
      <c r="H2292" s="2">
        <v>41548.0</v>
      </c>
      <c r="I2292" s="1" t="s">
        <v>3957</v>
      </c>
      <c r="K2292" s="1" t="s">
        <v>3957</v>
      </c>
      <c r="N2292" s="1" t="s">
        <v>40</v>
      </c>
      <c r="O2292" s="1">
        <v>7500.0</v>
      </c>
      <c r="P2292" s="1" t="s">
        <v>40</v>
      </c>
      <c r="Q2292" s="1" t="str">
        <f>IF(ISERROR(VLOOKUP(P2292,'unique fed agency names'!A:C,3,FALSE)),P2292,VLOOKUP(P2292,'unique fed agency names'!A:C,3,FALSE))
</f>
        <v>U.S. Department of Health and Human Services (DHHS)</v>
      </c>
      <c r="R2292" s="1">
        <v>3.8775243E7</v>
      </c>
      <c r="S2292" s="1" t="s">
        <v>209</v>
      </c>
      <c r="T2292" s="1" t="str">
        <f>IF(ISERROR(VLOOKUP(S2292,'unique org names'!A:C,3,FALSE)),S2292,VLOOKUP(S2292,'unique org names'!A:C,3,FALSE))
</f>
        <v>SOUTHEASTERN MICHIGAN HEALTH ASSOCIATION</v>
      </c>
      <c r="U2292" s="1" t="s">
        <v>210</v>
      </c>
      <c r="V2292" s="1" t="s">
        <v>211</v>
      </c>
      <c r="W2292" s="1" t="s">
        <v>44</v>
      </c>
      <c r="X2292" s="1" t="s">
        <v>45</v>
      </c>
      <c r="Y2292" s="1">
        <v>4.82023068E8</v>
      </c>
      <c r="AA2292" s="1" t="s">
        <v>46</v>
      </c>
      <c r="AB2292" s="1" t="s">
        <v>45</v>
      </c>
      <c r="AC2292" s="1">
        <v>4.82023068E8</v>
      </c>
      <c r="AD2292" s="1">
        <v>3.8775243E7</v>
      </c>
      <c r="AE2292" s="1" t="s">
        <v>209</v>
      </c>
      <c r="AF2292" s="1">
        <v>0.0</v>
      </c>
      <c r="AG2292" s="2">
        <v>41548.0</v>
      </c>
      <c r="AH2292" s="1">
        <v>7500.0</v>
      </c>
      <c r="AI2292" s="1" t="s">
        <v>40</v>
      </c>
      <c r="AJ2292" s="1">
        <v>2.0140704E7</v>
      </c>
      <c r="AK2292" s="1" t="s">
        <v>212</v>
      </c>
      <c r="AL2292" s="1">
        <v>10.0</v>
      </c>
      <c r="AM2292" s="1">
        <v>2013.0</v>
      </c>
      <c r="AN2292" s="1">
        <v>2014.0</v>
      </c>
      <c r="AO2292" s="1" t="s">
        <v>213</v>
      </c>
    </row>
    <row r="2293">
      <c r="A2293" s="5">
        <v>1.0</v>
      </c>
      <c r="B2293" s="1">
        <f t="shared" si="1"/>
        <v>2293</v>
      </c>
      <c r="C2293" s="1" t="s">
        <v>3956</v>
      </c>
      <c r="D2293" s="1" t="s">
        <v>3956</v>
      </c>
      <c r="E2293" s="1" t="s">
        <v>207</v>
      </c>
      <c r="G2293" s="1">
        <v>2.48575334E9</v>
      </c>
      <c r="H2293" s="2">
        <v>41548.0</v>
      </c>
      <c r="I2293" s="1" t="s">
        <v>3957</v>
      </c>
      <c r="K2293" s="1" t="s">
        <v>3957</v>
      </c>
      <c r="N2293" s="1" t="s">
        <v>40</v>
      </c>
      <c r="O2293" s="1">
        <v>7500.0</v>
      </c>
      <c r="P2293" s="1" t="s">
        <v>40</v>
      </c>
      <c r="Q2293" s="1" t="str">
        <f>IF(ISERROR(VLOOKUP(P2293,'unique fed agency names'!A:C,3,FALSE)),P2293,VLOOKUP(P2293,'unique fed agency names'!A:C,3,FALSE))
</f>
        <v>U.S. Department of Health and Human Services (DHHS)</v>
      </c>
      <c r="R2293" s="1">
        <v>3.8775243E7</v>
      </c>
      <c r="S2293" s="1" t="s">
        <v>209</v>
      </c>
      <c r="T2293" s="1" t="str">
        <f>IF(ISERROR(VLOOKUP(S2293,'unique org names'!A:C,3,FALSE)),S2293,VLOOKUP(S2293,'unique org names'!A:C,3,FALSE))
</f>
        <v>SOUTHEASTERN MICHIGAN HEALTH ASSOCIATION</v>
      </c>
      <c r="U2293" s="1" t="s">
        <v>210</v>
      </c>
      <c r="V2293" s="1" t="s">
        <v>211</v>
      </c>
      <c r="W2293" s="1" t="s">
        <v>44</v>
      </c>
      <c r="X2293" s="1" t="s">
        <v>45</v>
      </c>
      <c r="Y2293" s="1">
        <v>4.82023068E8</v>
      </c>
      <c r="AA2293" s="1" t="s">
        <v>46</v>
      </c>
      <c r="AB2293" s="1" t="s">
        <v>45</v>
      </c>
      <c r="AC2293" s="1">
        <v>4.82023068E8</v>
      </c>
      <c r="AD2293" s="1">
        <v>3.8775243E7</v>
      </c>
      <c r="AE2293" s="1" t="s">
        <v>209</v>
      </c>
      <c r="AF2293" s="1">
        <v>3750.0</v>
      </c>
      <c r="AG2293" s="2">
        <v>41548.0</v>
      </c>
      <c r="AH2293" s="1">
        <v>7500.0</v>
      </c>
      <c r="AI2293" s="1" t="s">
        <v>40</v>
      </c>
      <c r="AJ2293" s="1">
        <v>2.0142024E7</v>
      </c>
      <c r="AK2293" s="1" t="s">
        <v>212</v>
      </c>
      <c r="AL2293" s="1">
        <v>10.0</v>
      </c>
      <c r="AM2293" s="1">
        <v>2013.0</v>
      </c>
      <c r="AN2293" s="1">
        <v>2014.0</v>
      </c>
      <c r="AO2293" s="1" t="s">
        <v>213</v>
      </c>
    </row>
    <row r="2294">
      <c r="A2294" s="5">
        <v>1.0</v>
      </c>
      <c r="B2294" s="1">
        <f t="shared" si="1"/>
        <v>2294</v>
      </c>
      <c r="C2294" s="1" t="s">
        <v>3956</v>
      </c>
      <c r="D2294" s="1" t="s">
        <v>3956</v>
      </c>
      <c r="E2294" s="1" t="s">
        <v>207</v>
      </c>
      <c r="G2294" s="1">
        <v>2.48575334E9</v>
      </c>
      <c r="H2294" s="2">
        <v>41548.0</v>
      </c>
      <c r="I2294" s="1" t="s">
        <v>3957</v>
      </c>
      <c r="K2294" s="1" t="s">
        <v>3957</v>
      </c>
      <c r="N2294" s="1" t="s">
        <v>40</v>
      </c>
      <c r="O2294" s="1">
        <v>7500.0</v>
      </c>
      <c r="P2294" s="1" t="s">
        <v>40</v>
      </c>
      <c r="Q2294" s="1" t="str">
        <f>IF(ISERROR(VLOOKUP(P2294,'unique fed agency names'!A:C,3,FALSE)),P2294,VLOOKUP(P2294,'unique fed agency names'!A:C,3,FALSE))
</f>
        <v>U.S. Department of Health and Human Services (DHHS)</v>
      </c>
      <c r="R2294" s="1">
        <v>7.914812E7</v>
      </c>
      <c r="S2294" s="1" t="s">
        <v>1944</v>
      </c>
      <c r="T2294" s="1" t="str">
        <f>IF(ISERROR(VLOOKUP(S2294,'unique org names'!A:C,3,FALSE)),S2294,VLOOKUP(S2294,'unique org names'!A:C,3,FALSE))
</f>
        <v>DETROIT WAYNE MENTAL HEALTH AUTHORITY</v>
      </c>
      <c r="V2294" s="1" t="s">
        <v>1945</v>
      </c>
      <c r="W2294" s="1" t="s">
        <v>44</v>
      </c>
      <c r="X2294" s="1" t="s">
        <v>45</v>
      </c>
      <c r="Y2294" s="1">
        <v>4.820125E8</v>
      </c>
      <c r="AA2294" s="1" t="s">
        <v>46</v>
      </c>
      <c r="AB2294" s="1" t="s">
        <v>45</v>
      </c>
      <c r="AC2294" s="1">
        <v>4.820125E8</v>
      </c>
      <c r="AF2294" s="1">
        <v>447049.73</v>
      </c>
      <c r="AG2294" s="2">
        <v>41548.0</v>
      </c>
      <c r="AH2294" s="1">
        <v>7500.0</v>
      </c>
      <c r="AI2294" s="1" t="s">
        <v>40</v>
      </c>
      <c r="AJ2294" s="1">
        <v>2.0141293E7</v>
      </c>
      <c r="AK2294" s="1" t="s">
        <v>212</v>
      </c>
      <c r="AL2294" s="1">
        <v>10.0</v>
      </c>
      <c r="AM2294" s="1">
        <v>2013.0</v>
      </c>
      <c r="AN2294" s="1">
        <v>2014.0</v>
      </c>
      <c r="AO2294" s="1" t="s">
        <v>213</v>
      </c>
    </row>
    <row r="2295">
      <c r="A2295" s="5">
        <v>1.0</v>
      </c>
      <c r="B2295" s="1">
        <f t="shared" si="1"/>
        <v>2295</v>
      </c>
      <c r="C2295" s="1" t="s">
        <v>3956</v>
      </c>
      <c r="D2295" s="1" t="s">
        <v>3956</v>
      </c>
      <c r="E2295" s="1" t="s">
        <v>207</v>
      </c>
      <c r="G2295" s="1">
        <v>2.48575334E9</v>
      </c>
      <c r="H2295" s="2">
        <v>41548.0</v>
      </c>
      <c r="I2295" s="1" t="s">
        <v>3957</v>
      </c>
      <c r="K2295" s="1" t="s">
        <v>3957</v>
      </c>
      <c r="N2295" s="1" t="s">
        <v>40</v>
      </c>
      <c r="O2295" s="1">
        <v>7500.0</v>
      </c>
      <c r="P2295" s="1" t="s">
        <v>40</v>
      </c>
      <c r="Q2295" s="1" t="str">
        <f>IF(ISERROR(VLOOKUP(P2295,'unique fed agency names'!A:C,3,FALSE)),P2295,VLOOKUP(P2295,'unique fed agency names'!A:C,3,FALSE))
</f>
        <v>U.S. Department of Health and Human Services (DHHS)</v>
      </c>
      <c r="R2295" s="1">
        <v>8.09204196E8</v>
      </c>
      <c r="S2295" s="1" t="s">
        <v>175</v>
      </c>
      <c r="T2295" s="1" t="str">
        <f>IF(ISERROR(VLOOKUP(S2295,'unique org names'!A:C,3,FALSE)),S2295,VLOOKUP(S2295,'unique org names'!A:C,3,FALSE))
</f>
        <v>DETROIT WAYNE COUNTY HEALTH AUTHORITY</v>
      </c>
      <c r="U2295" s="1" t="s">
        <v>3998</v>
      </c>
      <c r="V2295" s="1" t="s">
        <v>2078</v>
      </c>
      <c r="W2295" s="1" t="s">
        <v>44</v>
      </c>
      <c r="X2295" s="1" t="s">
        <v>45</v>
      </c>
      <c r="Y2295" s="1">
        <v>4.82023026E8</v>
      </c>
      <c r="AA2295" s="1" t="s">
        <v>46</v>
      </c>
      <c r="AB2295" s="1" t="s">
        <v>45</v>
      </c>
      <c r="AC2295" s="1">
        <v>4.82023026E8</v>
      </c>
      <c r="AD2295" s="1">
        <v>8.09204196E8</v>
      </c>
      <c r="AE2295" s="1" t="s">
        <v>175</v>
      </c>
      <c r="AF2295" s="1">
        <v>63359.0</v>
      </c>
      <c r="AG2295" s="2">
        <v>41548.0</v>
      </c>
      <c r="AH2295" s="1">
        <v>7500.0</v>
      </c>
      <c r="AI2295" s="1" t="s">
        <v>40</v>
      </c>
      <c r="AJ2295" s="1">
        <v>2.0141916E7</v>
      </c>
      <c r="AK2295" s="1" t="s">
        <v>212</v>
      </c>
      <c r="AL2295" s="1">
        <v>10.0</v>
      </c>
      <c r="AM2295" s="1">
        <v>2013.0</v>
      </c>
      <c r="AN2295" s="1">
        <v>2014.0</v>
      </c>
      <c r="AO2295" s="1" t="s">
        <v>213</v>
      </c>
    </row>
    <row r="2296">
      <c r="A2296" s="5">
        <v>1.0</v>
      </c>
      <c r="B2296" s="1">
        <f t="shared" si="1"/>
        <v>2296</v>
      </c>
      <c r="C2296" s="1" t="s">
        <v>3958</v>
      </c>
      <c r="D2296" s="1" t="s">
        <v>3958</v>
      </c>
      <c r="E2296" s="1" t="s">
        <v>207</v>
      </c>
      <c r="G2296" s="1">
        <v>4.972778E9</v>
      </c>
      <c r="H2296" s="2">
        <v>41548.0</v>
      </c>
      <c r="I2296" s="1" t="s">
        <v>3959</v>
      </c>
      <c r="K2296" s="1" t="s">
        <v>3959</v>
      </c>
      <c r="N2296" s="1" t="s">
        <v>40</v>
      </c>
      <c r="O2296" s="1">
        <v>7500.0</v>
      </c>
      <c r="P2296" s="1" t="s">
        <v>40</v>
      </c>
      <c r="Q2296" s="1" t="str">
        <f>IF(ISERROR(VLOOKUP(P2296,'unique fed agency names'!A:C,3,FALSE)),P2296,VLOOKUP(P2296,'unique fed agency names'!A:C,3,FALSE))
</f>
        <v>U.S. Department of Health and Human Services (DHHS)</v>
      </c>
      <c r="R2296" s="1">
        <v>3.8775243E7</v>
      </c>
      <c r="S2296" s="1" t="s">
        <v>209</v>
      </c>
      <c r="T2296" s="1" t="str">
        <f>IF(ISERROR(VLOOKUP(S2296,'unique org names'!A:C,3,FALSE)),S2296,VLOOKUP(S2296,'unique org names'!A:C,3,FALSE))
</f>
        <v>SOUTHEASTERN MICHIGAN HEALTH ASSOCIATION</v>
      </c>
      <c r="U2296" s="1" t="s">
        <v>210</v>
      </c>
      <c r="V2296" s="1" t="s">
        <v>211</v>
      </c>
      <c r="W2296" s="1" t="s">
        <v>44</v>
      </c>
      <c r="X2296" s="1" t="s">
        <v>45</v>
      </c>
      <c r="Y2296" s="1">
        <v>4.82023068E8</v>
      </c>
      <c r="AA2296" s="1" t="s">
        <v>46</v>
      </c>
      <c r="AB2296" s="1" t="s">
        <v>45</v>
      </c>
      <c r="AC2296" s="1">
        <v>4.82023068E8</v>
      </c>
      <c r="AD2296" s="1">
        <v>3.8775243E7</v>
      </c>
      <c r="AE2296" s="1" t="s">
        <v>209</v>
      </c>
      <c r="AF2296" s="1">
        <v>731.13</v>
      </c>
      <c r="AG2296" s="2">
        <v>41548.0</v>
      </c>
      <c r="AH2296" s="1">
        <v>7500.0</v>
      </c>
      <c r="AI2296" s="1" t="s">
        <v>40</v>
      </c>
      <c r="AJ2296" s="1">
        <v>2.0140695E7</v>
      </c>
      <c r="AK2296" s="1" t="s">
        <v>212</v>
      </c>
      <c r="AL2296" s="1">
        <v>10.0</v>
      </c>
      <c r="AM2296" s="1">
        <v>2013.0</v>
      </c>
      <c r="AN2296" s="1">
        <v>2014.0</v>
      </c>
      <c r="AO2296" s="1" t="s">
        <v>213</v>
      </c>
    </row>
    <row r="2297">
      <c r="A2297" s="5">
        <v>1.0</v>
      </c>
      <c r="B2297" s="1">
        <f t="shared" si="1"/>
        <v>2297</v>
      </c>
      <c r="C2297" s="1" t="s">
        <v>3958</v>
      </c>
      <c r="D2297" s="1" t="s">
        <v>3958</v>
      </c>
      <c r="E2297" s="1" t="s">
        <v>207</v>
      </c>
      <c r="G2297" s="1">
        <v>4.972778E9</v>
      </c>
      <c r="H2297" s="2">
        <v>41548.0</v>
      </c>
      <c r="I2297" s="1" t="s">
        <v>3959</v>
      </c>
      <c r="K2297" s="1" t="s">
        <v>3959</v>
      </c>
      <c r="N2297" s="1" t="s">
        <v>40</v>
      </c>
      <c r="O2297" s="1">
        <v>7500.0</v>
      </c>
      <c r="P2297" s="1" t="s">
        <v>40</v>
      </c>
      <c r="Q2297" s="1" t="str">
        <f>IF(ISERROR(VLOOKUP(P2297,'unique fed agency names'!A:C,3,FALSE)),P2297,VLOOKUP(P2297,'unique fed agency names'!A:C,3,FALSE))
</f>
        <v>U.S. Department of Health and Human Services (DHHS)</v>
      </c>
      <c r="R2297" s="1">
        <v>7.914812E7</v>
      </c>
      <c r="S2297" s="1" t="s">
        <v>1944</v>
      </c>
      <c r="T2297" s="1" t="str">
        <f>IF(ISERROR(VLOOKUP(S2297,'unique org names'!A:C,3,FALSE)),S2297,VLOOKUP(S2297,'unique org names'!A:C,3,FALSE))
</f>
        <v>DETROIT WAYNE MENTAL HEALTH AUTHORITY</v>
      </c>
      <c r="U2297" s="1" t="s">
        <v>2775</v>
      </c>
      <c r="V2297" s="1" t="s">
        <v>1945</v>
      </c>
      <c r="W2297" s="1" t="s">
        <v>44</v>
      </c>
      <c r="X2297" s="1" t="s">
        <v>45</v>
      </c>
      <c r="Y2297" s="1">
        <v>4.820125E8</v>
      </c>
      <c r="AA2297" s="1" t="s">
        <v>46</v>
      </c>
      <c r="AB2297" s="1" t="s">
        <v>45</v>
      </c>
      <c r="AC2297" s="1">
        <v>4.820125E8</v>
      </c>
      <c r="AD2297" s="1">
        <v>1.51679586E8</v>
      </c>
      <c r="AE2297" s="1" t="s">
        <v>3999</v>
      </c>
      <c r="AF2297" s="1">
        <v>447049.73</v>
      </c>
      <c r="AG2297" s="2">
        <v>41548.0</v>
      </c>
      <c r="AH2297" s="1">
        <v>7500.0</v>
      </c>
      <c r="AI2297" s="1" t="s">
        <v>40</v>
      </c>
      <c r="AJ2297" s="1">
        <v>2.0141293E7</v>
      </c>
      <c r="AK2297" s="1" t="s">
        <v>212</v>
      </c>
      <c r="AL2297" s="1">
        <v>10.0</v>
      </c>
      <c r="AM2297" s="1">
        <v>2013.0</v>
      </c>
      <c r="AN2297" s="1">
        <v>2014.0</v>
      </c>
      <c r="AO2297" s="1" t="s">
        <v>213</v>
      </c>
    </row>
    <row r="2298">
      <c r="A2298" s="5">
        <v>1.0</v>
      </c>
      <c r="B2298" s="1">
        <f t="shared" si="1"/>
        <v>2298</v>
      </c>
      <c r="C2298" s="1" t="s">
        <v>3958</v>
      </c>
      <c r="D2298" s="1" t="s">
        <v>3958</v>
      </c>
      <c r="E2298" s="1" t="s">
        <v>207</v>
      </c>
      <c r="G2298" s="1">
        <v>4.972778E9</v>
      </c>
      <c r="H2298" s="2">
        <v>41548.0</v>
      </c>
      <c r="I2298" s="1" t="s">
        <v>3959</v>
      </c>
      <c r="K2298" s="1" t="s">
        <v>3959</v>
      </c>
      <c r="N2298" s="1" t="s">
        <v>40</v>
      </c>
      <c r="O2298" s="1">
        <v>7500.0</v>
      </c>
      <c r="P2298" s="1" t="s">
        <v>40</v>
      </c>
      <c r="Q2298" s="1" t="str">
        <f>IF(ISERROR(VLOOKUP(P2298,'unique fed agency names'!A:C,3,FALSE)),P2298,VLOOKUP(P2298,'unique fed agency names'!A:C,3,FALSE))
</f>
        <v>U.S. Department of Health and Human Services (DHHS)</v>
      </c>
      <c r="R2298" s="1">
        <v>7596352.0</v>
      </c>
      <c r="S2298" s="1" t="s">
        <v>73</v>
      </c>
      <c r="T2298" s="1" t="str">
        <f>IF(ISERROR(VLOOKUP(S2298,'unique org names'!A:C,3,FALSE)),S2298,VLOOKUP(S2298,'unique org names'!A:C,3,FALSE))
</f>
        <v>City Of Detroit</v>
      </c>
      <c r="U2298" s="1" t="s">
        <v>2014</v>
      </c>
      <c r="V2298" s="1" t="s">
        <v>1578</v>
      </c>
      <c r="W2298" s="1" t="s">
        <v>44</v>
      </c>
      <c r="X2298" s="1" t="s">
        <v>45</v>
      </c>
      <c r="Y2298" s="1">
        <v>4.82263269E8</v>
      </c>
      <c r="AA2298" s="1" t="s">
        <v>46</v>
      </c>
      <c r="AB2298" s="1" t="s">
        <v>45</v>
      </c>
      <c r="AC2298" s="1">
        <v>4.82263269E8</v>
      </c>
      <c r="AD2298" s="1">
        <v>6530661.0</v>
      </c>
      <c r="AE2298" s="1" t="s">
        <v>76</v>
      </c>
      <c r="AF2298" s="1">
        <v>100785.0</v>
      </c>
      <c r="AG2298" s="2">
        <v>41548.0</v>
      </c>
      <c r="AH2298" s="1">
        <v>7500.0</v>
      </c>
      <c r="AI2298" s="1" t="s">
        <v>40</v>
      </c>
      <c r="AJ2298" s="1">
        <v>2.0141454E7</v>
      </c>
      <c r="AK2298" s="1" t="s">
        <v>212</v>
      </c>
      <c r="AL2298" s="1">
        <v>10.0</v>
      </c>
      <c r="AM2298" s="1">
        <v>2013.0</v>
      </c>
      <c r="AN2298" s="1">
        <v>2014.0</v>
      </c>
      <c r="AO2298" s="1" t="s">
        <v>213</v>
      </c>
    </row>
    <row r="2299">
      <c r="A2299" s="5">
        <v>1.0</v>
      </c>
      <c r="B2299" s="1">
        <f t="shared" si="1"/>
        <v>2299</v>
      </c>
      <c r="C2299" s="1" t="s">
        <v>3961</v>
      </c>
      <c r="D2299" s="1" t="s">
        <v>3961</v>
      </c>
      <c r="E2299" s="1" t="s">
        <v>207</v>
      </c>
      <c r="G2299" s="1">
        <v>1.5943497E9</v>
      </c>
      <c r="H2299" s="2">
        <v>41548.0</v>
      </c>
      <c r="I2299" s="1" t="s">
        <v>3962</v>
      </c>
      <c r="K2299" s="1" t="s">
        <v>3962</v>
      </c>
      <c r="N2299" s="1" t="s">
        <v>40</v>
      </c>
      <c r="O2299" s="1">
        <v>7500.0</v>
      </c>
      <c r="P2299" s="1" t="s">
        <v>40</v>
      </c>
      <c r="Q2299" s="1" t="str">
        <f>IF(ISERROR(VLOOKUP(P2299,'unique fed agency names'!A:C,3,FALSE)),P2299,VLOOKUP(P2299,'unique fed agency names'!A:C,3,FALSE))
</f>
        <v>U.S. Department of Health and Human Services (DHHS)</v>
      </c>
      <c r="R2299" s="1">
        <v>3.8775243E7</v>
      </c>
      <c r="S2299" s="1" t="s">
        <v>209</v>
      </c>
      <c r="T2299" s="1" t="str">
        <f>IF(ISERROR(VLOOKUP(S2299,'unique org names'!A:C,3,FALSE)),S2299,VLOOKUP(S2299,'unique org names'!A:C,3,FALSE))
</f>
        <v>SOUTHEASTERN MICHIGAN HEALTH ASSOCIATION</v>
      </c>
      <c r="U2299" s="1" t="s">
        <v>210</v>
      </c>
      <c r="V2299" s="1" t="s">
        <v>211</v>
      </c>
      <c r="W2299" s="1" t="s">
        <v>44</v>
      </c>
      <c r="X2299" s="1" t="s">
        <v>45</v>
      </c>
      <c r="Y2299" s="1">
        <v>4.82023068E8</v>
      </c>
      <c r="AA2299" s="1" t="s">
        <v>46</v>
      </c>
      <c r="AB2299" s="1" t="s">
        <v>45</v>
      </c>
      <c r="AC2299" s="1">
        <v>4.82023068E8</v>
      </c>
      <c r="AD2299" s="1">
        <v>3.8775243E7</v>
      </c>
      <c r="AE2299" s="1" t="s">
        <v>209</v>
      </c>
      <c r="AF2299" s="1">
        <v>21481.18</v>
      </c>
      <c r="AG2299" s="2">
        <v>41548.0</v>
      </c>
      <c r="AH2299" s="1">
        <v>7500.0</v>
      </c>
      <c r="AI2299" s="1" t="s">
        <v>40</v>
      </c>
      <c r="AJ2299" s="1">
        <v>2.0140693E7</v>
      </c>
      <c r="AK2299" s="1" t="s">
        <v>212</v>
      </c>
      <c r="AL2299" s="1">
        <v>10.0</v>
      </c>
      <c r="AM2299" s="1">
        <v>2013.0</v>
      </c>
      <c r="AN2299" s="1">
        <v>2014.0</v>
      </c>
      <c r="AO2299" s="1" t="s">
        <v>213</v>
      </c>
    </row>
    <row r="2300">
      <c r="A2300" s="5">
        <v>1.0</v>
      </c>
      <c r="B2300" s="1">
        <f t="shared" si="1"/>
        <v>2300</v>
      </c>
      <c r="C2300" s="1" t="s">
        <v>3961</v>
      </c>
      <c r="D2300" s="1" t="s">
        <v>3961</v>
      </c>
      <c r="E2300" s="1" t="s">
        <v>207</v>
      </c>
      <c r="G2300" s="1">
        <v>1.5943497E9</v>
      </c>
      <c r="H2300" s="2">
        <v>41548.0</v>
      </c>
      <c r="I2300" s="1" t="s">
        <v>3962</v>
      </c>
      <c r="K2300" s="1" t="s">
        <v>3962</v>
      </c>
      <c r="N2300" s="1" t="s">
        <v>40</v>
      </c>
      <c r="O2300" s="1">
        <v>7500.0</v>
      </c>
      <c r="P2300" s="1" t="s">
        <v>40</v>
      </c>
      <c r="Q2300" s="1" t="str">
        <f>IF(ISERROR(VLOOKUP(P2300,'unique fed agency names'!A:C,3,FALSE)),P2300,VLOOKUP(P2300,'unique fed agency names'!A:C,3,FALSE))
</f>
        <v>U.S. Department of Health and Human Services (DHHS)</v>
      </c>
      <c r="R2300" s="1">
        <v>7.914812E7</v>
      </c>
      <c r="S2300" s="1" t="s">
        <v>1944</v>
      </c>
      <c r="T2300" s="1" t="str">
        <f>IF(ISERROR(VLOOKUP(S2300,'unique org names'!A:C,3,FALSE)),S2300,VLOOKUP(S2300,'unique org names'!A:C,3,FALSE))
</f>
        <v>DETROIT WAYNE MENTAL HEALTH AUTHORITY</v>
      </c>
      <c r="U2300" s="1" t="s">
        <v>2775</v>
      </c>
      <c r="V2300" s="1" t="s">
        <v>1945</v>
      </c>
      <c r="W2300" s="1" t="s">
        <v>44</v>
      </c>
      <c r="X2300" s="1" t="s">
        <v>45</v>
      </c>
      <c r="Y2300" s="1">
        <v>4.820125E8</v>
      </c>
      <c r="AA2300" s="1" t="s">
        <v>46</v>
      </c>
      <c r="AB2300" s="1" t="s">
        <v>45</v>
      </c>
      <c r="AC2300" s="1">
        <v>4.820125E8</v>
      </c>
      <c r="AD2300" s="1">
        <v>1.51679586E8</v>
      </c>
      <c r="AE2300" s="1" t="s">
        <v>3999</v>
      </c>
      <c r="AF2300" s="1">
        <v>447049.73</v>
      </c>
      <c r="AG2300" s="2">
        <v>41548.0</v>
      </c>
      <c r="AH2300" s="1">
        <v>7500.0</v>
      </c>
      <c r="AI2300" s="1" t="s">
        <v>40</v>
      </c>
      <c r="AJ2300" s="1">
        <v>2.0141293E7</v>
      </c>
      <c r="AK2300" s="1" t="s">
        <v>212</v>
      </c>
      <c r="AL2300" s="1">
        <v>10.0</v>
      </c>
      <c r="AM2300" s="1">
        <v>2013.0</v>
      </c>
      <c r="AN2300" s="1">
        <v>2014.0</v>
      </c>
      <c r="AO2300" s="1" t="s">
        <v>213</v>
      </c>
    </row>
    <row r="2301">
      <c r="A2301" s="5">
        <v>1.0</v>
      </c>
      <c r="B2301" s="1">
        <f t="shared" si="1"/>
        <v>2301</v>
      </c>
      <c r="C2301" s="1" t="s">
        <v>3963</v>
      </c>
      <c r="D2301" s="1" t="s">
        <v>3963</v>
      </c>
      <c r="E2301" s="1" t="s">
        <v>207</v>
      </c>
      <c r="G2301" s="1">
        <v>2.32482304E9</v>
      </c>
      <c r="H2301" s="2">
        <v>41548.0</v>
      </c>
      <c r="I2301" s="1" t="s">
        <v>3964</v>
      </c>
      <c r="K2301" s="1" t="s">
        <v>3964</v>
      </c>
      <c r="N2301" s="1" t="s">
        <v>40</v>
      </c>
      <c r="O2301" s="1">
        <v>7500.0</v>
      </c>
      <c r="P2301" s="1" t="s">
        <v>40</v>
      </c>
      <c r="Q2301" s="1" t="str">
        <f>IF(ISERROR(VLOOKUP(P2301,'unique fed agency names'!A:C,3,FALSE)),P2301,VLOOKUP(P2301,'unique fed agency names'!A:C,3,FALSE))
</f>
        <v>U.S. Department of Health and Human Services (DHHS)</v>
      </c>
      <c r="R2301" s="1">
        <v>3.8775243E7</v>
      </c>
      <c r="S2301" s="1" t="s">
        <v>209</v>
      </c>
      <c r="T2301" s="1" t="str">
        <f>IF(ISERROR(VLOOKUP(S2301,'unique org names'!A:C,3,FALSE)),S2301,VLOOKUP(S2301,'unique org names'!A:C,3,FALSE))
</f>
        <v>SOUTHEASTERN MICHIGAN HEALTH ASSOCIATION</v>
      </c>
      <c r="U2301" s="1" t="s">
        <v>210</v>
      </c>
      <c r="V2301" s="1" t="s">
        <v>211</v>
      </c>
      <c r="W2301" s="1" t="s">
        <v>44</v>
      </c>
      <c r="X2301" s="1" t="s">
        <v>45</v>
      </c>
      <c r="Y2301" s="1">
        <v>4.82023068E8</v>
      </c>
      <c r="AA2301" s="1" t="s">
        <v>46</v>
      </c>
      <c r="AB2301" s="1" t="s">
        <v>45</v>
      </c>
      <c r="AC2301" s="1">
        <v>4.82023068E8</v>
      </c>
      <c r="AD2301" s="1">
        <v>3.8775243E7</v>
      </c>
      <c r="AE2301" s="1" t="s">
        <v>209</v>
      </c>
      <c r="AF2301" s="1">
        <v>8418.18</v>
      </c>
      <c r="AG2301" s="2">
        <v>41548.0</v>
      </c>
      <c r="AH2301" s="1">
        <v>7500.0</v>
      </c>
      <c r="AI2301" s="1" t="s">
        <v>40</v>
      </c>
      <c r="AJ2301" s="1">
        <v>2.0140722E7</v>
      </c>
      <c r="AK2301" s="1" t="s">
        <v>212</v>
      </c>
      <c r="AL2301" s="1">
        <v>10.0</v>
      </c>
      <c r="AM2301" s="1">
        <v>2013.0</v>
      </c>
      <c r="AN2301" s="1">
        <v>2014.0</v>
      </c>
      <c r="AO2301" s="1" t="s">
        <v>213</v>
      </c>
    </row>
    <row r="2302">
      <c r="A2302" s="5">
        <v>1.0</v>
      </c>
      <c r="B2302" s="1">
        <f t="shared" si="1"/>
        <v>2302</v>
      </c>
      <c r="C2302" s="1" t="s">
        <v>3963</v>
      </c>
      <c r="D2302" s="1" t="s">
        <v>3963</v>
      </c>
      <c r="E2302" s="1" t="s">
        <v>207</v>
      </c>
      <c r="G2302" s="1">
        <v>2.32482304E9</v>
      </c>
      <c r="H2302" s="2">
        <v>41548.0</v>
      </c>
      <c r="I2302" s="1" t="s">
        <v>3964</v>
      </c>
      <c r="K2302" s="1" t="s">
        <v>3964</v>
      </c>
      <c r="N2302" s="1" t="s">
        <v>40</v>
      </c>
      <c r="O2302" s="1">
        <v>7500.0</v>
      </c>
      <c r="P2302" s="1" t="s">
        <v>40</v>
      </c>
      <c r="Q2302" s="1" t="str">
        <f>IF(ISERROR(VLOOKUP(P2302,'unique fed agency names'!A:C,3,FALSE)),P2302,VLOOKUP(P2302,'unique fed agency names'!A:C,3,FALSE))
</f>
        <v>U.S. Department of Health and Human Services (DHHS)</v>
      </c>
      <c r="R2302" s="1">
        <v>3.8775243E7</v>
      </c>
      <c r="S2302" s="1" t="s">
        <v>209</v>
      </c>
      <c r="T2302" s="1" t="str">
        <f>IF(ISERROR(VLOOKUP(S2302,'unique org names'!A:C,3,FALSE)),S2302,VLOOKUP(S2302,'unique org names'!A:C,3,FALSE))
</f>
        <v>SOUTHEASTERN MICHIGAN HEALTH ASSOCIATION</v>
      </c>
      <c r="U2302" s="1" t="s">
        <v>210</v>
      </c>
      <c r="V2302" s="1" t="s">
        <v>211</v>
      </c>
      <c r="W2302" s="1" t="s">
        <v>44</v>
      </c>
      <c r="X2302" s="1" t="s">
        <v>45</v>
      </c>
      <c r="Y2302" s="1">
        <v>4.82023068E8</v>
      </c>
      <c r="AA2302" s="1" t="s">
        <v>46</v>
      </c>
      <c r="AB2302" s="1" t="s">
        <v>45</v>
      </c>
      <c r="AC2302" s="1">
        <v>4.82023068E8</v>
      </c>
      <c r="AD2302" s="1">
        <v>3.8775243E7</v>
      </c>
      <c r="AE2302" s="1" t="s">
        <v>209</v>
      </c>
      <c r="AF2302" s="1">
        <v>21481.18</v>
      </c>
      <c r="AG2302" s="2">
        <v>41548.0</v>
      </c>
      <c r="AH2302" s="1">
        <v>7500.0</v>
      </c>
      <c r="AI2302" s="1" t="s">
        <v>40</v>
      </c>
      <c r="AJ2302" s="1">
        <v>2.0140693E7</v>
      </c>
      <c r="AK2302" s="1" t="s">
        <v>212</v>
      </c>
      <c r="AL2302" s="1">
        <v>10.0</v>
      </c>
      <c r="AM2302" s="1">
        <v>2013.0</v>
      </c>
      <c r="AN2302" s="1">
        <v>2014.0</v>
      </c>
      <c r="AO2302" s="1" t="s">
        <v>213</v>
      </c>
    </row>
    <row r="2303">
      <c r="A2303" s="5">
        <v>1.0</v>
      </c>
      <c r="B2303" s="1">
        <f t="shared" si="1"/>
        <v>2303</v>
      </c>
      <c r="C2303" s="1" t="s">
        <v>3963</v>
      </c>
      <c r="D2303" s="1" t="s">
        <v>3963</v>
      </c>
      <c r="E2303" s="1" t="s">
        <v>207</v>
      </c>
      <c r="G2303" s="1">
        <v>2.32482304E9</v>
      </c>
      <c r="H2303" s="2">
        <v>41548.0</v>
      </c>
      <c r="I2303" s="1" t="s">
        <v>3964</v>
      </c>
      <c r="K2303" s="1" t="s">
        <v>3964</v>
      </c>
      <c r="N2303" s="1" t="s">
        <v>40</v>
      </c>
      <c r="O2303" s="1">
        <v>7500.0</v>
      </c>
      <c r="P2303" s="1" t="s">
        <v>40</v>
      </c>
      <c r="Q2303" s="1" t="str">
        <f>IF(ISERROR(VLOOKUP(P2303,'unique fed agency names'!A:C,3,FALSE)),P2303,VLOOKUP(P2303,'unique fed agency names'!A:C,3,FALSE))
</f>
        <v>U.S. Department of Health and Human Services (DHHS)</v>
      </c>
      <c r="R2303" s="1">
        <v>8.09204196E8</v>
      </c>
      <c r="S2303" s="1" t="s">
        <v>175</v>
      </c>
      <c r="T2303" s="1" t="str">
        <f>IF(ISERROR(VLOOKUP(S2303,'unique org names'!A:C,3,FALSE)),S2303,VLOOKUP(S2303,'unique org names'!A:C,3,FALSE))
</f>
        <v>DETROIT WAYNE COUNTY HEALTH AUTHORITY</v>
      </c>
      <c r="U2303" s="1" t="s">
        <v>1420</v>
      </c>
      <c r="V2303" s="1" t="s">
        <v>2078</v>
      </c>
      <c r="W2303" s="1" t="s">
        <v>44</v>
      </c>
      <c r="X2303" s="1" t="s">
        <v>45</v>
      </c>
      <c r="Y2303" s="1">
        <v>4.82023026E8</v>
      </c>
      <c r="AA2303" s="1" t="s">
        <v>46</v>
      </c>
      <c r="AB2303" s="1" t="s">
        <v>45</v>
      </c>
      <c r="AC2303" s="1">
        <v>4.82023026E8</v>
      </c>
      <c r="AD2303" s="1">
        <v>8.09204196E8</v>
      </c>
      <c r="AE2303" s="1" t="s">
        <v>175</v>
      </c>
      <c r="AF2303" s="1">
        <v>63359.0</v>
      </c>
      <c r="AG2303" s="2">
        <v>41548.0</v>
      </c>
      <c r="AH2303" s="1">
        <v>7500.0</v>
      </c>
      <c r="AI2303" s="1" t="s">
        <v>40</v>
      </c>
      <c r="AJ2303" s="1">
        <v>2.0141916E7</v>
      </c>
      <c r="AK2303" s="1" t="s">
        <v>212</v>
      </c>
      <c r="AL2303" s="1">
        <v>10.0</v>
      </c>
      <c r="AM2303" s="1">
        <v>2013.0</v>
      </c>
      <c r="AN2303" s="1">
        <v>2014.0</v>
      </c>
      <c r="AO2303" s="1" t="s">
        <v>213</v>
      </c>
    </row>
    <row r="2304">
      <c r="A2304" s="5">
        <v>1.0</v>
      </c>
      <c r="B2304" s="1">
        <f t="shared" si="1"/>
        <v>2304</v>
      </c>
      <c r="C2304" s="1" t="s">
        <v>3963</v>
      </c>
      <c r="D2304" s="1" t="s">
        <v>3963</v>
      </c>
      <c r="E2304" s="1" t="s">
        <v>207</v>
      </c>
      <c r="G2304" s="1">
        <v>2.32482304E9</v>
      </c>
      <c r="H2304" s="2">
        <v>41548.0</v>
      </c>
      <c r="I2304" s="1" t="s">
        <v>3964</v>
      </c>
      <c r="K2304" s="1" t="s">
        <v>3964</v>
      </c>
      <c r="N2304" s="1" t="s">
        <v>40</v>
      </c>
      <c r="O2304" s="1">
        <v>7500.0</v>
      </c>
      <c r="P2304" s="1" t="s">
        <v>40</v>
      </c>
      <c r="Q2304" s="1" t="str">
        <f>IF(ISERROR(VLOOKUP(P2304,'unique fed agency names'!A:C,3,FALSE)),P2304,VLOOKUP(P2304,'unique fed agency names'!A:C,3,FALSE))
</f>
        <v>U.S. Department of Health and Human Services (DHHS)</v>
      </c>
      <c r="R2304" s="1">
        <v>7.914812E7</v>
      </c>
      <c r="S2304" s="1" t="s">
        <v>1944</v>
      </c>
      <c r="T2304" s="1" t="str">
        <f>IF(ISERROR(VLOOKUP(S2304,'unique org names'!A:C,3,FALSE)),S2304,VLOOKUP(S2304,'unique org names'!A:C,3,FALSE))
</f>
        <v>DETROIT WAYNE MENTAL HEALTH AUTHORITY</v>
      </c>
      <c r="V2304" s="1" t="s">
        <v>1945</v>
      </c>
      <c r="W2304" s="1" t="s">
        <v>44</v>
      </c>
      <c r="X2304" s="1" t="s">
        <v>45</v>
      </c>
      <c r="Y2304" s="1">
        <v>4.820125E8</v>
      </c>
      <c r="AA2304" s="1" t="s">
        <v>46</v>
      </c>
      <c r="AB2304" s="1" t="s">
        <v>45</v>
      </c>
      <c r="AC2304" s="1">
        <v>4.820125E8</v>
      </c>
      <c r="AF2304" s="1">
        <v>447049.73</v>
      </c>
      <c r="AG2304" s="2">
        <v>41548.0</v>
      </c>
      <c r="AH2304" s="1">
        <v>7500.0</v>
      </c>
      <c r="AI2304" s="1" t="s">
        <v>40</v>
      </c>
      <c r="AJ2304" s="1">
        <v>2.0141293E7</v>
      </c>
      <c r="AK2304" s="1" t="s">
        <v>212</v>
      </c>
      <c r="AL2304" s="1">
        <v>10.0</v>
      </c>
      <c r="AM2304" s="1">
        <v>2013.0</v>
      </c>
      <c r="AN2304" s="1">
        <v>2014.0</v>
      </c>
      <c r="AO2304" s="1" t="s">
        <v>213</v>
      </c>
    </row>
    <row r="2305">
      <c r="A2305" s="5">
        <v>1.0</v>
      </c>
      <c r="B2305" s="1">
        <f t="shared" si="1"/>
        <v>2305</v>
      </c>
      <c r="C2305" s="1" t="s">
        <v>3963</v>
      </c>
      <c r="D2305" s="1" t="s">
        <v>3963</v>
      </c>
      <c r="E2305" s="1" t="s">
        <v>207</v>
      </c>
      <c r="G2305" s="1">
        <v>2.32482304E9</v>
      </c>
      <c r="H2305" s="2">
        <v>41548.0</v>
      </c>
      <c r="I2305" s="1" t="s">
        <v>3964</v>
      </c>
      <c r="K2305" s="1" t="s">
        <v>3964</v>
      </c>
      <c r="N2305" s="1" t="s">
        <v>40</v>
      </c>
      <c r="O2305" s="1">
        <v>7500.0</v>
      </c>
      <c r="P2305" s="1" t="s">
        <v>40</v>
      </c>
      <c r="Q2305" s="1" t="str">
        <f>IF(ISERROR(VLOOKUP(P2305,'unique fed agency names'!A:C,3,FALSE)),P2305,VLOOKUP(P2305,'unique fed agency names'!A:C,3,FALSE))
</f>
        <v>U.S. Department of Health and Human Services (DHHS)</v>
      </c>
      <c r="R2305" s="1">
        <v>7596352.0</v>
      </c>
      <c r="S2305" s="1" t="s">
        <v>73</v>
      </c>
      <c r="T2305" s="1" t="str">
        <f>IF(ISERROR(VLOOKUP(S2305,'unique org names'!A:C,3,FALSE)),S2305,VLOOKUP(S2305,'unique org names'!A:C,3,FALSE))
</f>
        <v>City Of Detroit</v>
      </c>
      <c r="U2305" s="1" t="s">
        <v>2309</v>
      </c>
      <c r="V2305" s="1" t="s">
        <v>1578</v>
      </c>
      <c r="W2305" s="1" t="s">
        <v>44</v>
      </c>
      <c r="X2305" s="1" t="s">
        <v>45</v>
      </c>
      <c r="Y2305" s="1">
        <v>4.82263269E8</v>
      </c>
      <c r="AA2305" s="1" t="s">
        <v>46</v>
      </c>
      <c r="AB2305" s="1" t="s">
        <v>45</v>
      </c>
      <c r="AC2305" s="1">
        <v>4.82263269E8</v>
      </c>
      <c r="AD2305" s="1">
        <v>6530661.0</v>
      </c>
      <c r="AE2305" s="1" t="s">
        <v>76</v>
      </c>
      <c r="AF2305" s="1">
        <v>100785.0</v>
      </c>
      <c r="AG2305" s="2">
        <v>41548.0</v>
      </c>
      <c r="AH2305" s="1">
        <v>7500.0</v>
      </c>
      <c r="AI2305" s="1" t="s">
        <v>40</v>
      </c>
      <c r="AJ2305" s="1">
        <v>2.0141454E7</v>
      </c>
      <c r="AK2305" s="1" t="s">
        <v>212</v>
      </c>
      <c r="AL2305" s="1">
        <v>10.0</v>
      </c>
      <c r="AM2305" s="1">
        <v>2013.0</v>
      </c>
      <c r="AN2305" s="1">
        <v>2014.0</v>
      </c>
      <c r="AO2305" s="1" t="s">
        <v>213</v>
      </c>
    </row>
    <row r="2306">
      <c r="A2306" s="5">
        <v>1.0</v>
      </c>
      <c r="B2306" s="1">
        <f t="shared" si="1"/>
        <v>2306</v>
      </c>
      <c r="C2306" s="1" t="s">
        <v>4000</v>
      </c>
      <c r="D2306" s="1" t="s">
        <v>4000</v>
      </c>
      <c r="E2306" s="1" t="s">
        <v>63</v>
      </c>
      <c r="G2306" s="1">
        <v>1832896.0</v>
      </c>
      <c r="H2306" s="2">
        <v>41183.0</v>
      </c>
      <c r="I2306" s="1" t="s">
        <v>4001</v>
      </c>
      <c r="K2306" s="1" t="s">
        <v>4001</v>
      </c>
      <c r="N2306" s="1" t="s">
        <v>40</v>
      </c>
      <c r="O2306" s="1">
        <v>7500.0</v>
      </c>
      <c r="P2306" s="1" t="s">
        <v>40</v>
      </c>
      <c r="Q2306" s="1" t="str">
        <f>IF(ISERROR(VLOOKUP(P2306,'unique fed agency names'!A:C,3,FALSE)),P2306,VLOOKUP(P2306,'unique fed agency names'!A:C,3,FALSE))
</f>
        <v>U.S. Department of Health and Human Services (DHHS)</v>
      </c>
      <c r="R2306" s="1">
        <v>7.8583404E7</v>
      </c>
      <c r="S2306" s="1" t="s">
        <v>65</v>
      </c>
      <c r="T2306" s="1" t="str">
        <f>IF(ISERROR(VLOOKUP(S2306,'unique org names'!A:C,3,FALSE)),S2306,VLOOKUP(S2306,'unique org names'!A:C,3,FALSE))
</f>
        <v>Institute for Population Health Inc.</v>
      </c>
      <c r="V2306" s="1" t="s">
        <v>1573</v>
      </c>
      <c r="W2306" s="1" t="s">
        <v>44</v>
      </c>
      <c r="X2306" s="1" t="s">
        <v>45</v>
      </c>
      <c r="Y2306" s="1">
        <v>4.8207311E8</v>
      </c>
      <c r="AA2306" s="1" t="s">
        <v>46</v>
      </c>
      <c r="AB2306" s="1" t="s">
        <v>45</v>
      </c>
      <c r="AC2306" s="1">
        <v>4.82021732E8</v>
      </c>
      <c r="AF2306" s="1">
        <v>4500.0</v>
      </c>
      <c r="AG2306" s="2">
        <v>41183.0</v>
      </c>
      <c r="AH2306" s="1">
        <v>7500.0</v>
      </c>
      <c r="AI2306" s="1" t="s">
        <v>40</v>
      </c>
      <c r="AJ2306" s="1">
        <v>2.01304E7</v>
      </c>
      <c r="AK2306" s="1" t="s">
        <v>4002</v>
      </c>
      <c r="AL2306" s="1">
        <v>10.0</v>
      </c>
      <c r="AM2306" s="1">
        <v>2010.0</v>
      </c>
      <c r="AN2306" s="1">
        <v>2013.0</v>
      </c>
      <c r="AO2306" s="1" t="s">
        <v>4003</v>
      </c>
    </row>
    <row r="2307">
      <c r="A2307" s="5">
        <v>1.0</v>
      </c>
      <c r="B2307" s="1">
        <f t="shared" si="1"/>
        <v>2307</v>
      </c>
      <c r="C2307" s="1" t="s">
        <v>4004</v>
      </c>
      <c r="D2307" s="1" t="s">
        <v>4004</v>
      </c>
      <c r="E2307" s="1" t="s">
        <v>63</v>
      </c>
      <c r="G2307" s="1">
        <v>1039500.0</v>
      </c>
      <c r="H2307" s="2">
        <v>41183.0</v>
      </c>
      <c r="I2307" s="1" t="s">
        <v>4005</v>
      </c>
      <c r="K2307" s="1" t="s">
        <v>4005</v>
      </c>
      <c r="N2307" s="1" t="s">
        <v>40</v>
      </c>
      <c r="O2307" s="1">
        <v>7500.0</v>
      </c>
      <c r="P2307" s="1" t="s">
        <v>40</v>
      </c>
      <c r="Q2307" s="1" t="str">
        <f>IF(ISERROR(VLOOKUP(P2307,'unique fed agency names'!A:C,3,FALSE)),P2307,VLOOKUP(P2307,'unique fed agency names'!A:C,3,FALSE))
</f>
        <v>U.S. Department of Health and Human Services (DHHS)</v>
      </c>
      <c r="R2307" s="1">
        <v>3.8775243E7</v>
      </c>
      <c r="S2307" s="1" t="s">
        <v>209</v>
      </c>
      <c r="T2307" s="1" t="str">
        <f>IF(ISERROR(VLOOKUP(S2307,'unique org names'!A:C,3,FALSE)),S2307,VLOOKUP(S2307,'unique org names'!A:C,3,FALSE))
</f>
        <v>SOUTHEASTERN MICHIGAN HEALTH ASSOCIATION</v>
      </c>
      <c r="U2307" s="1" t="s">
        <v>210</v>
      </c>
      <c r="V2307" s="1" t="s">
        <v>211</v>
      </c>
      <c r="W2307" s="1" t="s">
        <v>44</v>
      </c>
      <c r="X2307" s="1" t="s">
        <v>45</v>
      </c>
      <c r="Y2307" s="1">
        <v>4.82023068E8</v>
      </c>
      <c r="AA2307" s="1" t="s">
        <v>46</v>
      </c>
      <c r="AB2307" s="1" t="s">
        <v>45</v>
      </c>
      <c r="AC2307" s="1">
        <v>4.82023068E8</v>
      </c>
      <c r="AD2307" s="1">
        <v>3.8775243E7</v>
      </c>
      <c r="AE2307" s="1" t="s">
        <v>209</v>
      </c>
      <c r="AF2307" s="1">
        <v>0.0</v>
      </c>
      <c r="AG2307" s="2">
        <v>41183.0</v>
      </c>
      <c r="AH2307" s="1">
        <v>7500.0</v>
      </c>
      <c r="AI2307" s="1" t="s">
        <v>40</v>
      </c>
      <c r="AJ2307" s="1">
        <v>2.0131224E7</v>
      </c>
      <c r="AK2307" s="1" t="s">
        <v>4006</v>
      </c>
      <c r="AL2307" s="1">
        <v>10.0</v>
      </c>
      <c r="AM2307" s="1">
        <v>2012.0</v>
      </c>
      <c r="AN2307" s="1">
        <v>2013.0</v>
      </c>
      <c r="AO2307" s="1" t="s">
        <v>342</v>
      </c>
    </row>
    <row r="2308">
      <c r="A2308" s="5">
        <v>1.0</v>
      </c>
      <c r="B2308" s="1">
        <f t="shared" si="1"/>
        <v>2308</v>
      </c>
      <c r="C2308" s="1" t="s">
        <v>4004</v>
      </c>
      <c r="D2308" s="1" t="s">
        <v>4004</v>
      </c>
      <c r="E2308" s="1" t="s">
        <v>63</v>
      </c>
      <c r="G2308" s="1">
        <v>1039500.0</v>
      </c>
      <c r="H2308" s="2">
        <v>41913.0</v>
      </c>
      <c r="I2308" s="1" t="s">
        <v>4005</v>
      </c>
      <c r="K2308" s="1" t="s">
        <v>4005</v>
      </c>
      <c r="N2308" s="1" t="s">
        <v>40</v>
      </c>
      <c r="O2308" s="1">
        <v>7500.0</v>
      </c>
      <c r="P2308" s="1" t="s">
        <v>40</v>
      </c>
      <c r="Q2308" s="1" t="str">
        <f>IF(ISERROR(VLOOKUP(P2308,'unique fed agency names'!A:C,3,FALSE)),P2308,VLOOKUP(P2308,'unique fed agency names'!A:C,3,FALSE))
</f>
        <v>U.S. Department of Health and Human Services (DHHS)</v>
      </c>
      <c r="R2308" s="1">
        <v>7.3134603E7</v>
      </c>
      <c r="S2308" s="1" t="s">
        <v>41</v>
      </c>
      <c r="T2308" s="1" t="str">
        <f>IF(ISERROR(VLOOKUP(S2308,'unique org names'!A:C,3,FALSE)),S2308,VLOOKUP(S2308,'unique org names'!A:C,3,FALSE))
</f>
        <v>Henry Ford Health System</v>
      </c>
      <c r="U2308" s="1" t="s">
        <v>252</v>
      </c>
      <c r="V2308" s="1" t="s">
        <v>253</v>
      </c>
      <c r="W2308" s="1" t="s">
        <v>44</v>
      </c>
      <c r="X2308" s="1" t="s">
        <v>45</v>
      </c>
      <c r="Y2308" s="1">
        <v>4.8202345E8</v>
      </c>
      <c r="AA2308" s="1" t="s">
        <v>46</v>
      </c>
      <c r="AB2308" s="1" t="s">
        <v>45</v>
      </c>
      <c r="AC2308" s="1">
        <v>4.8202345E8</v>
      </c>
      <c r="AD2308" s="1">
        <v>7.3134603E7</v>
      </c>
      <c r="AE2308" s="1" t="s">
        <v>41</v>
      </c>
      <c r="AF2308" s="1">
        <v>2500.0</v>
      </c>
      <c r="AG2308" s="2">
        <v>41913.0</v>
      </c>
      <c r="AH2308" s="1">
        <v>7500.0</v>
      </c>
      <c r="AI2308" s="1" t="s">
        <v>40</v>
      </c>
      <c r="AJ2308" s="1">
        <v>2.015124E7</v>
      </c>
      <c r="AK2308" s="1" t="s">
        <v>4006</v>
      </c>
      <c r="AL2308" s="1">
        <v>10.0</v>
      </c>
      <c r="AM2308" s="1">
        <v>2012.0</v>
      </c>
      <c r="AN2308" s="1">
        <v>2015.0</v>
      </c>
      <c r="AO2308" s="1" t="s">
        <v>342</v>
      </c>
    </row>
    <row r="2309">
      <c r="A2309" s="5">
        <v>1.0</v>
      </c>
      <c r="B2309" s="1">
        <f t="shared" si="1"/>
        <v>2309</v>
      </c>
      <c r="C2309" s="1" t="s">
        <v>4007</v>
      </c>
      <c r="D2309" s="1" t="s">
        <v>4007</v>
      </c>
      <c r="E2309" s="1" t="s">
        <v>63</v>
      </c>
      <c r="G2309" s="1">
        <v>3.0692876E7</v>
      </c>
      <c r="H2309" s="2">
        <v>41183.0</v>
      </c>
      <c r="I2309" s="1" t="s">
        <v>4008</v>
      </c>
      <c r="K2309" s="1" t="s">
        <v>4008</v>
      </c>
      <c r="N2309" s="1" t="s">
        <v>40</v>
      </c>
      <c r="O2309" s="1">
        <v>7500.0</v>
      </c>
      <c r="P2309" s="1" t="s">
        <v>40</v>
      </c>
      <c r="Q2309" s="1" t="str">
        <f>IF(ISERROR(VLOOKUP(P2309,'unique fed agency names'!A:C,3,FALSE)),P2309,VLOOKUP(P2309,'unique fed agency names'!A:C,3,FALSE))
</f>
        <v>U.S. Department of Health and Human Services (DHHS)</v>
      </c>
      <c r="R2309" s="1">
        <v>1962224.0</v>
      </c>
      <c r="S2309" s="1" t="s">
        <v>52</v>
      </c>
      <c r="T2309" s="1" t="str">
        <f>IF(ISERROR(VLOOKUP(S2309,'unique org names'!A:C,3,FALSE)),S2309,VLOOKUP(S2309,'unique org names'!A:C,3,FALSE))
</f>
        <v>WAYNE STATE UNIVERSITY</v>
      </c>
      <c r="U2309" s="1" t="s">
        <v>4009</v>
      </c>
      <c r="V2309" s="1" t="s">
        <v>1885</v>
      </c>
      <c r="W2309" s="1" t="s">
        <v>44</v>
      </c>
      <c r="X2309" s="1" t="s">
        <v>45</v>
      </c>
      <c r="Y2309" s="1">
        <v>4.82021347E8</v>
      </c>
      <c r="AA2309" s="1" t="s">
        <v>46</v>
      </c>
      <c r="AB2309" s="1" t="s">
        <v>45</v>
      </c>
      <c r="AC2309" s="1">
        <v>4.82023692E8</v>
      </c>
      <c r="AD2309" s="1">
        <v>1962224.0</v>
      </c>
      <c r="AE2309" s="1" t="s">
        <v>52</v>
      </c>
      <c r="AF2309" s="1">
        <v>178554.0</v>
      </c>
      <c r="AG2309" s="2">
        <v>41183.0</v>
      </c>
      <c r="AH2309" s="1">
        <v>7500.0</v>
      </c>
      <c r="AI2309" s="1" t="s">
        <v>40</v>
      </c>
      <c r="AJ2309" s="1">
        <v>2.0131061E7</v>
      </c>
      <c r="AK2309" s="1" t="s">
        <v>4010</v>
      </c>
      <c r="AL2309" s="1">
        <v>10.0</v>
      </c>
      <c r="AM2309" s="1">
        <v>2011.0</v>
      </c>
      <c r="AN2309" s="1">
        <v>2013.0</v>
      </c>
      <c r="AO2309" s="1" t="s">
        <v>4011</v>
      </c>
    </row>
    <row r="2310">
      <c r="A2310" s="5">
        <v>1.0</v>
      </c>
      <c r="B2310" s="1">
        <f t="shared" si="1"/>
        <v>2310</v>
      </c>
      <c r="C2310" s="1" t="s">
        <v>3968</v>
      </c>
      <c r="D2310" s="1" t="s">
        <v>3968</v>
      </c>
      <c r="E2310" s="1" t="s">
        <v>207</v>
      </c>
      <c r="G2310" s="1">
        <v>2.98917299E9</v>
      </c>
      <c r="H2310" s="2">
        <v>41913.0</v>
      </c>
      <c r="I2310" s="1" t="s">
        <v>3969</v>
      </c>
      <c r="K2310" s="1" t="s">
        <v>3969</v>
      </c>
      <c r="N2310" s="1" t="s">
        <v>40</v>
      </c>
      <c r="O2310" s="1">
        <v>7500.0</v>
      </c>
      <c r="P2310" s="1" t="s">
        <v>40</v>
      </c>
      <c r="Q2310" s="1" t="str">
        <f>IF(ISERROR(VLOOKUP(P2310,'unique fed agency names'!A:C,3,FALSE)),P2310,VLOOKUP(P2310,'unique fed agency names'!A:C,3,FALSE))
</f>
        <v>U.S. Department of Health and Human Services (DHHS)</v>
      </c>
      <c r="R2310" s="1">
        <v>7.914812E7</v>
      </c>
      <c r="S2310" s="1" t="s">
        <v>1944</v>
      </c>
      <c r="T2310" s="1" t="str">
        <f>IF(ISERROR(VLOOKUP(S2310,'unique org names'!A:C,3,FALSE)),S2310,VLOOKUP(S2310,'unique org names'!A:C,3,FALSE))
</f>
        <v>DETROIT WAYNE MENTAL HEALTH AUTHORITY</v>
      </c>
      <c r="V2310" s="1" t="s">
        <v>1945</v>
      </c>
      <c r="W2310" s="1" t="s">
        <v>44</v>
      </c>
      <c r="X2310" s="1" t="s">
        <v>45</v>
      </c>
      <c r="Y2310" s="1">
        <v>4.820125E8</v>
      </c>
      <c r="AA2310" s="1" t="s">
        <v>46</v>
      </c>
      <c r="AB2310" s="1" t="s">
        <v>45</v>
      </c>
      <c r="AC2310" s="1">
        <v>4.820125E8</v>
      </c>
      <c r="AF2310" s="1">
        <v>447049.73</v>
      </c>
      <c r="AG2310" s="2">
        <v>41913.0</v>
      </c>
      <c r="AH2310" s="1">
        <v>7500.0</v>
      </c>
      <c r="AI2310" s="1" t="s">
        <v>40</v>
      </c>
      <c r="AJ2310" s="1">
        <v>2.0151267E7</v>
      </c>
      <c r="AK2310" s="1" t="s">
        <v>212</v>
      </c>
      <c r="AL2310" s="1">
        <v>10.0</v>
      </c>
      <c r="AM2310" s="1">
        <v>2014.0</v>
      </c>
      <c r="AN2310" s="1">
        <v>2015.0</v>
      </c>
      <c r="AO2310" s="1" t="s">
        <v>213</v>
      </c>
    </row>
    <row r="2311">
      <c r="A2311" s="5">
        <v>1.0</v>
      </c>
      <c r="B2311" s="1">
        <f t="shared" si="1"/>
        <v>2311</v>
      </c>
      <c r="C2311" s="1" t="s">
        <v>3968</v>
      </c>
      <c r="D2311" s="1" t="s">
        <v>3968</v>
      </c>
      <c r="E2311" s="1" t="s">
        <v>207</v>
      </c>
      <c r="G2311" s="1">
        <v>2.98917299E9</v>
      </c>
      <c r="H2311" s="2">
        <v>41913.0</v>
      </c>
      <c r="I2311" s="1" t="s">
        <v>3969</v>
      </c>
      <c r="K2311" s="1" t="s">
        <v>3969</v>
      </c>
      <c r="N2311" s="1" t="s">
        <v>40</v>
      </c>
      <c r="O2311" s="1">
        <v>7500.0</v>
      </c>
      <c r="P2311" s="1" t="s">
        <v>40</v>
      </c>
      <c r="Q2311" s="1" t="str">
        <f>IF(ISERROR(VLOOKUP(P2311,'unique fed agency names'!A:C,3,FALSE)),P2311,VLOOKUP(P2311,'unique fed agency names'!A:C,3,FALSE))
</f>
        <v>U.S. Department of Health and Human Services (DHHS)</v>
      </c>
      <c r="R2311" s="1">
        <v>3.8775243E7</v>
      </c>
      <c r="S2311" s="1" t="s">
        <v>209</v>
      </c>
      <c r="T2311" s="1" t="str">
        <f>IF(ISERROR(VLOOKUP(S2311,'unique org names'!A:C,3,FALSE)),S2311,VLOOKUP(S2311,'unique org names'!A:C,3,FALSE))
</f>
        <v>SOUTHEASTERN MICHIGAN HEALTH ASSOCIATION</v>
      </c>
      <c r="U2311" s="1" t="s">
        <v>210</v>
      </c>
      <c r="V2311" s="1" t="s">
        <v>211</v>
      </c>
      <c r="W2311" s="1" t="s">
        <v>44</v>
      </c>
      <c r="X2311" s="1" t="s">
        <v>45</v>
      </c>
      <c r="Y2311" s="1">
        <v>4.82023068E8</v>
      </c>
      <c r="AA2311" s="1" t="s">
        <v>46</v>
      </c>
      <c r="AB2311" s="1" t="s">
        <v>45</v>
      </c>
      <c r="AC2311" s="1">
        <v>4.82023068E8</v>
      </c>
      <c r="AD2311" s="1">
        <v>3.8775243E7</v>
      </c>
      <c r="AE2311" s="1" t="s">
        <v>209</v>
      </c>
      <c r="AF2311" s="1">
        <v>8244.38</v>
      </c>
      <c r="AG2311" s="2">
        <v>41913.0</v>
      </c>
      <c r="AH2311" s="1">
        <v>7500.0</v>
      </c>
      <c r="AI2311" s="1" t="s">
        <v>40</v>
      </c>
      <c r="AJ2311" s="1">
        <v>2.0151609E7</v>
      </c>
      <c r="AK2311" s="1" t="s">
        <v>212</v>
      </c>
      <c r="AL2311" s="1">
        <v>10.0</v>
      </c>
      <c r="AM2311" s="1">
        <v>2014.0</v>
      </c>
      <c r="AN2311" s="1">
        <v>2015.0</v>
      </c>
      <c r="AO2311" s="1" t="s">
        <v>213</v>
      </c>
    </row>
    <row r="2312">
      <c r="A2312" s="5">
        <v>1.0</v>
      </c>
      <c r="B2312" s="1">
        <f t="shared" si="1"/>
        <v>2312</v>
      </c>
      <c r="C2312" s="1" t="s">
        <v>3968</v>
      </c>
      <c r="D2312" s="1" t="s">
        <v>3968</v>
      </c>
      <c r="E2312" s="1" t="s">
        <v>207</v>
      </c>
      <c r="G2312" s="1">
        <v>2.98917299E9</v>
      </c>
      <c r="H2312" s="2">
        <v>41913.0</v>
      </c>
      <c r="I2312" s="1" t="s">
        <v>3969</v>
      </c>
      <c r="K2312" s="1" t="s">
        <v>3969</v>
      </c>
      <c r="N2312" s="1" t="s">
        <v>40</v>
      </c>
      <c r="O2312" s="1">
        <v>7500.0</v>
      </c>
      <c r="P2312" s="1" t="s">
        <v>40</v>
      </c>
      <c r="Q2312" s="1" t="str">
        <f>IF(ISERROR(VLOOKUP(P2312,'unique fed agency names'!A:C,3,FALSE)),P2312,VLOOKUP(P2312,'unique fed agency names'!A:C,3,FALSE))
</f>
        <v>U.S. Department of Health and Human Services (DHHS)</v>
      </c>
      <c r="R2312" s="1">
        <v>3.8775243E7</v>
      </c>
      <c r="S2312" s="1" t="s">
        <v>209</v>
      </c>
      <c r="T2312" s="1" t="str">
        <f>IF(ISERROR(VLOOKUP(S2312,'unique org names'!A:C,3,FALSE)),S2312,VLOOKUP(S2312,'unique org names'!A:C,3,FALSE))
</f>
        <v>SOUTHEASTERN MICHIGAN HEALTH ASSOCIATION</v>
      </c>
      <c r="U2312" s="1" t="s">
        <v>210</v>
      </c>
      <c r="V2312" s="1" t="s">
        <v>211</v>
      </c>
      <c r="W2312" s="1" t="s">
        <v>44</v>
      </c>
      <c r="X2312" s="1" t="s">
        <v>45</v>
      </c>
      <c r="Y2312" s="1">
        <v>4.82023068E8</v>
      </c>
      <c r="AA2312" s="1" t="s">
        <v>46</v>
      </c>
      <c r="AB2312" s="1" t="s">
        <v>45</v>
      </c>
      <c r="AC2312" s="1">
        <v>4.82023068E8</v>
      </c>
      <c r="AD2312" s="1">
        <v>3.8775243E7</v>
      </c>
      <c r="AE2312" s="1" t="s">
        <v>209</v>
      </c>
      <c r="AF2312" s="1">
        <v>731.13</v>
      </c>
      <c r="AG2312" s="2">
        <v>41913.0</v>
      </c>
      <c r="AH2312" s="1">
        <v>7500.0</v>
      </c>
      <c r="AI2312" s="1" t="s">
        <v>40</v>
      </c>
      <c r="AJ2312" s="1">
        <v>2.0151614E7</v>
      </c>
      <c r="AK2312" s="1" t="s">
        <v>212</v>
      </c>
      <c r="AL2312" s="1">
        <v>10.0</v>
      </c>
      <c r="AM2312" s="1">
        <v>2014.0</v>
      </c>
      <c r="AN2312" s="1">
        <v>2015.0</v>
      </c>
      <c r="AO2312" s="1" t="s">
        <v>213</v>
      </c>
    </row>
    <row r="2313">
      <c r="A2313" s="5">
        <v>1.0</v>
      </c>
      <c r="B2313" s="1">
        <f t="shared" si="1"/>
        <v>2313</v>
      </c>
      <c r="C2313" s="1" t="s">
        <v>3988</v>
      </c>
      <c r="D2313" s="1" t="s">
        <v>3988</v>
      </c>
      <c r="E2313" s="1" t="s">
        <v>645</v>
      </c>
      <c r="G2313" s="1">
        <v>5.6528832E7</v>
      </c>
      <c r="H2313" s="2">
        <v>41548.0</v>
      </c>
      <c r="I2313" s="1" t="s">
        <v>1577</v>
      </c>
      <c r="K2313" s="1" t="s">
        <v>1577</v>
      </c>
      <c r="N2313" s="1" t="s">
        <v>647</v>
      </c>
      <c r="O2313" s="1">
        <v>1200.0</v>
      </c>
      <c r="P2313" s="1" t="s">
        <v>647</v>
      </c>
      <c r="Q2313" s="1" t="str">
        <f>IF(ISERROR(VLOOKUP(P2313,'unique fed agency names'!A:C,3,FALSE)),P2313,VLOOKUP(P2313,'unique fed agency names'!A:C,3,FALSE))
</f>
        <v>U.S. Department of Agriculture (USDA)</v>
      </c>
      <c r="R2313" s="1">
        <v>7.6377316E7</v>
      </c>
      <c r="S2313" s="1" t="s">
        <v>2302</v>
      </c>
      <c r="T2313" s="1" t="str">
        <f>IF(ISERROR(VLOOKUP(S2313,'unique org names'!A:C,3,FALSE)),S2313,VLOOKUP(S2313,'unique org names'!A:C,3,FALSE))
</f>
        <v>VHS CHILDREN'S HOSPITAL OF MICHIGAN, INC.</v>
      </c>
      <c r="U2313" s="1" t="s">
        <v>4012</v>
      </c>
      <c r="V2313" s="1" t="s">
        <v>2303</v>
      </c>
      <c r="W2313" s="1" t="s">
        <v>44</v>
      </c>
      <c r="X2313" s="1" t="s">
        <v>45</v>
      </c>
      <c r="Y2313" s="1">
        <v>4.82012119E8</v>
      </c>
      <c r="AA2313" s="1" t="s">
        <v>46</v>
      </c>
      <c r="AB2313" s="1" t="s">
        <v>45</v>
      </c>
      <c r="AC2313" s="1">
        <v>4.82012119E8</v>
      </c>
      <c r="AD2313" s="1">
        <v>5.3866661E7</v>
      </c>
      <c r="AF2313" s="1">
        <v>11745.0</v>
      </c>
      <c r="AG2313" s="2">
        <v>41548.0</v>
      </c>
      <c r="AH2313" s="1">
        <v>1200.0</v>
      </c>
      <c r="AI2313" s="1" t="s">
        <v>647</v>
      </c>
      <c r="AJ2313" s="1">
        <v>2.0140066E7</v>
      </c>
      <c r="AK2313" s="1" t="s">
        <v>2826</v>
      </c>
      <c r="AL2313" s="1">
        <v>10.0</v>
      </c>
      <c r="AM2313" s="1">
        <v>2013.0</v>
      </c>
      <c r="AN2313" s="1">
        <v>2014.0</v>
      </c>
      <c r="AO2313" s="1" t="s">
        <v>1580</v>
      </c>
    </row>
    <row r="2314">
      <c r="A2314" s="5">
        <v>1.0</v>
      </c>
      <c r="B2314" s="1">
        <f t="shared" si="1"/>
        <v>2314</v>
      </c>
      <c r="C2314" s="1" t="s">
        <v>3988</v>
      </c>
      <c r="D2314" s="1" t="s">
        <v>3988</v>
      </c>
      <c r="E2314" s="1" t="s">
        <v>645</v>
      </c>
      <c r="G2314" s="1">
        <v>5.6528832E7</v>
      </c>
      <c r="H2314" s="2">
        <v>41548.0</v>
      </c>
      <c r="I2314" s="1" t="s">
        <v>1577</v>
      </c>
      <c r="K2314" s="1" t="s">
        <v>1577</v>
      </c>
      <c r="N2314" s="1" t="s">
        <v>647</v>
      </c>
      <c r="O2314" s="1">
        <v>1200.0</v>
      </c>
      <c r="P2314" s="1" t="s">
        <v>647</v>
      </c>
      <c r="Q2314" s="1" t="str">
        <f>IF(ISERROR(VLOOKUP(P2314,'unique fed agency names'!A:C,3,FALSE)),P2314,VLOOKUP(P2314,'unique fed agency names'!A:C,3,FALSE))
</f>
        <v>U.S. Department of Agriculture (USDA)</v>
      </c>
      <c r="R2314" s="1">
        <v>4.3419399E7</v>
      </c>
      <c r="S2314" s="1" t="s">
        <v>979</v>
      </c>
      <c r="T2314" s="1" t="str">
        <f>IF(ISERROR(VLOOKUP(S2314,'unique org names'!A:C,3,FALSE)),S2314,VLOOKUP(S2314,'unique org names'!A:C,3,FALSE))
</f>
        <v>NEIGHBORHOOD SERVICE ORGANIZATION</v>
      </c>
      <c r="V2314" s="1" t="s">
        <v>1934</v>
      </c>
      <c r="W2314" s="1" t="s">
        <v>44</v>
      </c>
      <c r="X2314" s="1" t="s">
        <v>45</v>
      </c>
      <c r="Y2314" s="1">
        <v>4.82384019E8</v>
      </c>
      <c r="AA2314" s="1" t="s">
        <v>46</v>
      </c>
      <c r="AB2314" s="1" t="s">
        <v>45</v>
      </c>
      <c r="AC2314" s="1">
        <v>4.82384019E8</v>
      </c>
      <c r="AD2314" s="1">
        <v>4.3419399E7</v>
      </c>
      <c r="AE2314" s="1" t="s">
        <v>979</v>
      </c>
      <c r="AF2314" s="1">
        <v>51000.0</v>
      </c>
      <c r="AG2314" s="2">
        <v>41548.0</v>
      </c>
      <c r="AH2314" s="1">
        <v>1200.0</v>
      </c>
      <c r="AI2314" s="1" t="s">
        <v>647</v>
      </c>
      <c r="AJ2314" s="1">
        <v>2.0141499E7</v>
      </c>
      <c r="AK2314" s="1" t="s">
        <v>2826</v>
      </c>
      <c r="AL2314" s="1">
        <v>10.0</v>
      </c>
      <c r="AM2314" s="1">
        <v>2013.0</v>
      </c>
      <c r="AN2314" s="1">
        <v>2014.0</v>
      </c>
      <c r="AO2314" s="1" t="s">
        <v>1580</v>
      </c>
    </row>
    <row r="2315">
      <c r="A2315" s="5">
        <v>1.0</v>
      </c>
      <c r="B2315" s="1">
        <f t="shared" si="1"/>
        <v>2315</v>
      </c>
      <c r="C2315" s="1" t="s">
        <v>3988</v>
      </c>
      <c r="D2315" s="1" t="s">
        <v>3988</v>
      </c>
      <c r="E2315" s="1" t="s">
        <v>645</v>
      </c>
      <c r="G2315" s="1">
        <v>5.6528832E7</v>
      </c>
      <c r="H2315" s="2">
        <v>41548.0</v>
      </c>
      <c r="I2315" s="1" t="s">
        <v>1577</v>
      </c>
      <c r="K2315" s="1" t="s">
        <v>1577</v>
      </c>
      <c r="N2315" s="1" t="s">
        <v>647</v>
      </c>
      <c r="O2315" s="1">
        <v>1200.0</v>
      </c>
      <c r="P2315" s="1" t="s">
        <v>647</v>
      </c>
      <c r="Q2315" s="1" t="str">
        <f>IF(ISERROR(VLOOKUP(P2315,'unique fed agency names'!A:C,3,FALSE)),P2315,VLOOKUP(P2315,'unique fed agency names'!A:C,3,FALSE))
</f>
        <v>U.S. Department of Agriculture (USDA)</v>
      </c>
      <c r="R2315" s="1">
        <v>7596352.0</v>
      </c>
      <c r="S2315" s="1" t="s">
        <v>73</v>
      </c>
      <c r="T2315" s="1" t="str">
        <f>IF(ISERROR(VLOOKUP(S2315,'unique org names'!A:C,3,FALSE)),S2315,VLOOKUP(S2315,'unique org names'!A:C,3,FALSE))
</f>
        <v>City Of Detroit</v>
      </c>
      <c r="V2315" s="1" t="s">
        <v>1578</v>
      </c>
      <c r="W2315" s="1" t="s">
        <v>44</v>
      </c>
      <c r="X2315" s="1" t="s">
        <v>45</v>
      </c>
      <c r="Y2315" s="1">
        <v>4.82263269E8</v>
      </c>
      <c r="AA2315" s="1" t="s">
        <v>46</v>
      </c>
      <c r="AB2315" s="1" t="s">
        <v>45</v>
      </c>
      <c r="AC2315" s="1">
        <v>4.82263269E8</v>
      </c>
      <c r="AD2315" s="1">
        <v>6530661.0</v>
      </c>
      <c r="AE2315" s="1" t="s">
        <v>76</v>
      </c>
      <c r="AF2315" s="1">
        <v>22750.0</v>
      </c>
      <c r="AG2315" s="2">
        <v>41548.0</v>
      </c>
      <c r="AH2315" s="1">
        <v>1200.0</v>
      </c>
      <c r="AI2315" s="1" t="s">
        <v>647</v>
      </c>
      <c r="AJ2315" s="1">
        <v>2.0141454E7</v>
      </c>
      <c r="AK2315" s="1" t="s">
        <v>2826</v>
      </c>
      <c r="AL2315" s="1">
        <v>10.0</v>
      </c>
      <c r="AM2315" s="1">
        <v>2013.0</v>
      </c>
      <c r="AN2315" s="1">
        <v>2014.0</v>
      </c>
      <c r="AO2315" s="1" t="s">
        <v>1580</v>
      </c>
    </row>
    <row r="2316">
      <c r="A2316" s="5">
        <v>1.0</v>
      </c>
      <c r="B2316" s="1">
        <f t="shared" si="1"/>
        <v>2316</v>
      </c>
      <c r="C2316" s="1" t="s">
        <v>3989</v>
      </c>
      <c r="D2316" s="1" t="s">
        <v>3989</v>
      </c>
      <c r="E2316" s="1" t="s">
        <v>645</v>
      </c>
      <c r="G2316" s="1">
        <v>3.2942648E7</v>
      </c>
      <c r="H2316" s="2">
        <v>41913.0</v>
      </c>
      <c r="I2316" s="1" t="s">
        <v>1577</v>
      </c>
      <c r="K2316" s="1" t="s">
        <v>1577</v>
      </c>
      <c r="N2316" s="1" t="s">
        <v>647</v>
      </c>
      <c r="O2316" s="1">
        <v>1200.0</v>
      </c>
      <c r="P2316" s="1" t="s">
        <v>647</v>
      </c>
      <c r="Q2316" s="1" t="str">
        <f>IF(ISERROR(VLOOKUP(P2316,'unique fed agency names'!A:C,3,FALSE)),P2316,VLOOKUP(P2316,'unique fed agency names'!A:C,3,FALSE))
</f>
        <v>U.S. Department of Agriculture (USDA)</v>
      </c>
      <c r="R2316" s="1">
        <v>7596352.0</v>
      </c>
      <c r="S2316" s="1" t="s">
        <v>73</v>
      </c>
      <c r="T2316" s="1" t="str">
        <f>IF(ISERROR(VLOOKUP(S2316,'unique org names'!A:C,3,FALSE)),S2316,VLOOKUP(S2316,'unique org names'!A:C,3,FALSE))
</f>
        <v>City Of Detroit</v>
      </c>
      <c r="U2316" s="1" t="s">
        <v>2014</v>
      </c>
      <c r="V2316" s="1" t="s">
        <v>1578</v>
      </c>
      <c r="W2316" s="1" t="s">
        <v>44</v>
      </c>
      <c r="X2316" s="1" t="s">
        <v>45</v>
      </c>
      <c r="Y2316" s="1">
        <v>4.82263269E8</v>
      </c>
      <c r="AA2316" s="1" t="s">
        <v>46</v>
      </c>
      <c r="AB2316" s="1" t="s">
        <v>45</v>
      </c>
      <c r="AC2316" s="1">
        <v>4.82263269E8</v>
      </c>
      <c r="AD2316" s="1">
        <v>6530661.0</v>
      </c>
      <c r="AE2316" s="1" t="s">
        <v>76</v>
      </c>
      <c r="AF2316" s="1">
        <v>4427475.7</v>
      </c>
      <c r="AG2316" s="2">
        <v>41913.0</v>
      </c>
      <c r="AH2316" s="1">
        <v>1200.0</v>
      </c>
      <c r="AI2316" s="1" t="s">
        <v>647</v>
      </c>
      <c r="AJ2316" s="1">
        <v>2.0151729E7</v>
      </c>
      <c r="AK2316" s="1" t="s">
        <v>2826</v>
      </c>
      <c r="AL2316" s="1">
        <v>10.0</v>
      </c>
      <c r="AM2316" s="1">
        <v>2014.0</v>
      </c>
      <c r="AN2316" s="1">
        <v>2015.0</v>
      </c>
      <c r="AO2316" s="1" t="s">
        <v>1580</v>
      </c>
    </row>
    <row r="2317">
      <c r="A2317" s="5">
        <v>1.0</v>
      </c>
      <c r="B2317" s="1">
        <f t="shared" si="1"/>
        <v>2317</v>
      </c>
      <c r="C2317" s="1" t="s">
        <v>3989</v>
      </c>
      <c r="D2317" s="1" t="s">
        <v>3989</v>
      </c>
      <c r="E2317" s="1" t="s">
        <v>645</v>
      </c>
      <c r="G2317" s="1">
        <v>3.2942648E7</v>
      </c>
      <c r="H2317" s="2">
        <v>41913.0</v>
      </c>
      <c r="I2317" s="1" t="s">
        <v>1577</v>
      </c>
      <c r="K2317" s="1" t="s">
        <v>1577</v>
      </c>
      <c r="N2317" s="1" t="s">
        <v>647</v>
      </c>
      <c r="O2317" s="1">
        <v>1200.0</v>
      </c>
      <c r="P2317" s="1" t="s">
        <v>647</v>
      </c>
      <c r="Q2317" s="1" t="str">
        <f>IF(ISERROR(VLOOKUP(P2317,'unique fed agency names'!A:C,3,FALSE)),P2317,VLOOKUP(P2317,'unique fed agency names'!A:C,3,FALSE))
</f>
        <v>U.S. Department of Agriculture (USDA)</v>
      </c>
      <c r="R2317" s="1">
        <v>7596352.0</v>
      </c>
      <c r="S2317" s="1" t="s">
        <v>73</v>
      </c>
      <c r="T2317" s="1" t="str">
        <f>IF(ISERROR(VLOOKUP(S2317,'unique org names'!A:C,3,FALSE)),S2317,VLOOKUP(S2317,'unique org names'!A:C,3,FALSE))
</f>
        <v>City Of Detroit</v>
      </c>
      <c r="U2317" s="1" t="s">
        <v>2014</v>
      </c>
      <c r="V2317" s="1" t="s">
        <v>1578</v>
      </c>
      <c r="W2317" s="1" t="s">
        <v>44</v>
      </c>
      <c r="X2317" s="1" t="s">
        <v>45</v>
      </c>
      <c r="Y2317" s="1">
        <v>4.82263269E8</v>
      </c>
      <c r="AA2317" s="1" t="s">
        <v>46</v>
      </c>
      <c r="AB2317" s="1" t="s">
        <v>45</v>
      </c>
      <c r="AC2317" s="1">
        <v>4.82263269E8</v>
      </c>
      <c r="AD2317" s="1">
        <v>6530661.0</v>
      </c>
      <c r="AE2317" s="1" t="s">
        <v>76</v>
      </c>
      <c r="AF2317" s="1">
        <v>36490.74</v>
      </c>
      <c r="AG2317" s="2">
        <v>41913.0</v>
      </c>
      <c r="AH2317" s="1">
        <v>1200.0</v>
      </c>
      <c r="AI2317" s="1" t="s">
        <v>647</v>
      </c>
      <c r="AJ2317" s="1">
        <v>2.0151729E7</v>
      </c>
      <c r="AK2317" s="1" t="s">
        <v>2826</v>
      </c>
      <c r="AL2317" s="1">
        <v>10.0</v>
      </c>
      <c r="AM2317" s="1">
        <v>2014.0</v>
      </c>
      <c r="AN2317" s="1">
        <v>2015.0</v>
      </c>
      <c r="AO2317" s="1" t="s">
        <v>1580</v>
      </c>
    </row>
    <row r="2318">
      <c r="A2318" s="5">
        <v>1.0</v>
      </c>
      <c r="B2318" s="1">
        <f t="shared" si="1"/>
        <v>2318</v>
      </c>
      <c r="C2318" s="1" t="s">
        <v>3995</v>
      </c>
      <c r="D2318" s="1" t="s">
        <v>3995</v>
      </c>
      <c r="E2318" s="1" t="s">
        <v>63</v>
      </c>
      <c r="G2318" s="1">
        <v>6092441.0</v>
      </c>
      <c r="H2318" s="2">
        <v>41913.0</v>
      </c>
      <c r="I2318" s="1" t="s">
        <v>3996</v>
      </c>
      <c r="K2318" s="1" t="s">
        <v>3996</v>
      </c>
      <c r="N2318" s="1" t="s">
        <v>40</v>
      </c>
      <c r="O2318" s="1">
        <v>7500.0</v>
      </c>
      <c r="P2318" s="1" t="s">
        <v>40</v>
      </c>
      <c r="Q2318" s="1" t="str">
        <f>IF(ISERROR(VLOOKUP(P2318,'unique fed agency names'!A:C,3,FALSE)),P2318,VLOOKUP(P2318,'unique fed agency names'!A:C,3,FALSE))
</f>
        <v>U.S. Department of Health and Human Services (DHHS)</v>
      </c>
      <c r="R2318" s="1">
        <v>1962224.0</v>
      </c>
      <c r="S2318" s="1" t="s">
        <v>52</v>
      </c>
      <c r="T2318" s="1" t="str">
        <f>IF(ISERROR(VLOOKUP(S2318,'unique org names'!A:C,3,FALSE)),S2318,VLOOKUP(S2318,'unique org names'!A:C,3,FALSE))
</f>
        <v>WAYNE STATE UNIVERSITY</v>
      </c>
      <c r="V2318" s="1" t="s">
        <v>1885</v>
      </c>
      <c r="W2318" s="1" t="s">
        <v>44</v>
      </c>
      <c r="X2318" s="1" t="s">
        <v>45</v>
      </c>
      <c r="Y2318" s="1">
        <v>4.82021347E8</v>
      </c>
      <c r="AA2318" s="1" t="s">
        <v>46</v>
      </c>
      <c r="AB2318" s="1" t="s">
        <v>45</v>
      </c>
      <c r="AC2318" s="1">
        <v>4.82023692E8</v>
      </c>
      <c r="AD2318" s="1">
        <v>1962224.0</v>
      </c>
      <c r="AE2318" s="1" t="s">
        <v>52</v>
      </c>
      <c r="AF2318" s="1">
        <v>100000.0</v>
      </c>
      <c r="AG2318" s="2">
        <v>41913.0</v>
      </c>
      <c r="AH2318" s="1">
        <v>7500.0</v>
      </c>
      <c r="AI2318" s="1" t="s">
        <v>40</v>
      </c>
      <c r="AJ2318" s="1">
        <v>2.0151656E7</v>
      </c>
      <c r="AK2318" s="1" t="s">
        <v>2931</v>
      </c>
      <c r="AL2318" s="1">
        <v>10.0</v>
      </c>
      <c r="AM2318" s="1">
        <v>2013.0</v>
      </c>
      <c r="AN2318" s="1">
        <v>2015.0</v>
      </c>
      <c r="AO2318" s="1" t="s">
        <v>3997</v>
      </c>
    </row>
    <row r="2319">
      <c r="A2319" s="5">
        <v>1.0</v>
      </c>
      <c r="B2319" s="1">
        <f t="shared" si="1"/>
        <v>2319</v>
      </c>
      <c r="C2319" s="1" t="s">
        <v>3995</v>
      </c>
      <c r="D2319" s="1" t="s">
        <v>3995</v>
      </c>
      <c r="E2319" s="1" t="s">
        <v>63</v>
      </c>
      <c r="G2319" s="1">
        <v>6092441.0</v>
      </c>
      <c r="H2319" s="2">
        <v>41548.0</v>
      </c>
      <c r="I2319" s="1" t="s">
        <v>3996</v>
      </c>
      <c r="K2319" s="1" t="s">
        <v>3996</v>
      </c>
      <c r="N2319" s="1" t="s">
        <v>40</v>
      </c>
      <c r="O2319" s="1">
        <v>7500.0</v>
      </c>
      <c r="P2319" s="1" t="s">
        <v>40</v>
      </c>
      <c r="Q2319" s="1" t="str">
        <f>IF(ISERROR(VLOOKUP(P2319,'unique fed agency names'!A:C,3,FALSE)),P2319,VLOOKUP(P2319,'unique fed agency names'!A:C,3,FALSE))
</f>
        <v>U.S. Department of Health and Human Services (DHHS)</v>
      </c>
      <c r="R2319" s="1">
        <v>3.8775243E7</v>
      </c>
      <c r="S2319" s="1" t="s">
        <v>209</v>
      </c>
      <c r="T2319" s="1" t="str">
        <f>IF(ISERROR(VLOOKUP(S2319,'unique org names'!A:C,3,FALSE)),S2319,VLOOKUP(S2319,'unique org names'!A:C,3,FALSE))
</f>
        <v>SOUTHEASTERN MICHIGAN HEALTH ASSOCIATION</v>
      </c>
      <c r="U2319" s="1" t="s">
        <v>210</v>
      </c>
      <c r="V2319" s="1" t="s">
        <v>211</v>
      </c>
      <c r="W2319" s="1" t="s">
        <v>44</v>
      </c>
      <c r="X2319" s="1" t="s">
        <v>45</v>
      </c>
      <c r="Y2319" s="1">
        <v>4.82023068E8</v>
      </c>
      <c r="AA2319" s="1" t="s">
        <v>46</v>
      </c>
      <c r="AB2319" s="1" t="s">
        <v>45</v>
      </c>
      <c r="AC2319" s="1">
        <v>4.82023068E8</v>
      </c>
      <c r="AD2319" s="1">
        <v>3.8775243E7</v>
      </c>
      <c r="AE2319" s="1" t="s">
        <v>209</v>
      </c>
      <c r="AF2319" s="1">
        <v>0.0</v>
      </c>
      <c r="AG2319" s="2">
        <v>41548.0</v>
      </c>
      <c r="AH2319" s="1">
        <v>7500.0</v>
      </c>
      <c r="AI2319" s="1" t="s">
        <v>40</v>
      </c>
      <c r="AJ2319" s="1">
        <v>2.0140707E7</v>
      </c>
      <c r="AK2319" s="1" t="s">
        <v>2931</v>
      </c>
      <c r="AL2319" s="1">
        <v>10.0</v>
      </c>
      <c r="AM2319" s="1">
        <v>2013.0</v>
      </c>
      <c r="AN2319" s="1">
        <v>2014.0</v>
      </c>
      <c r="AO2319" s="1" t="s">
        <v>3997</v>
      </c>
    </row>
    <row r="2320">
      <c r="A2320" s="5">
        <v>1.0</v>
      </c>
      <c r="B2320" s="1">
        <f t="shared" si="1"/>
        <v>2320</v>
      </c>
      <c r="C2320" s="1" t="s">
        <v>4013</v>
      </c>
      <c r="D2320" s="1" t="s">
        <v>4013</v>
      </c>
      <c r="E2320" s="1" t="s">
        <v>63</v>
      </c>
      <c r="G2320" s="1">
        <v>1.9608108E7</v>
      </c>
      <c r="H2320" s="2">
        <v>41913.0</v>
      </c>
      <c r="I2320" s="1" t="s">
        <v>4014</v>
      </c>
      <c r="K2320" s="1" t="s">
        <v>4014</v>
      </c>
      <c r="N2320" s="1" t="s">
        <v>40</v>
      </c>
      <c r="O2320" s="1">
        <v>7500.0</v>
      </c>
      <c r="P2320" s="1" t="s">
        <v>40</v>
      </c>
      <c r="Q2320" s="1" t="str">
        <f>IF(ISERROR(VLOOKUP(P2320,'unique fed agency names'!A:C,3,FALSE)),P2320,VLOOKUP(P2320,'unique fed agency names'!A:C,3,FALSE))
</f>
        <v>U.S. Department of Health and Human Services (DHHS)</v>
      </c>
      <c r="R2320" s="1">
        <v>1962224.0</v>
      </c>
      <c r="S2320" s="1" t="s">
        <v>52</v>
      </c>
      <c r="T2320" s="1" t="str">
        <f>IF(ISERROR(VLOOKUP(S2320,'unique org names'!A:C,3,FALSE)),S2320,VLOOKUP(S2320,'unique org names'!A:C,3,FALSE))
</f>
        <v>WAYNE STATE UNIVERSITY</v>
      </c>
      <c r="U2320" s="1" t="s">
        <v>2014</v>
      </c>
      <c r="V2320" s="1" t="s">
        <v>1885</v>
      </c>
      <c r="W2320" s="1" t="s">
        <v>44</v>
      </c>
      <c r="X2320" s="1" t="s">
        <v>45</v>
      </c>
      <c r="Y2320" s="1">
        <v>4.82021347E8</v>
      </c>
      <c r="AA2320" s="1" t="s">
        <v>46</v>
      </c>
      <c r="AB2320" s="1" t="s">
        <v>45</v>
      </c>
      <c r="AC2320" s="1">
        <v>4.82023692E8</v>
      </c>
      <c r="AD2320" s="1">
        <v>1962224.0</v>
      </c>
      <c r="AE2320" s="1" t="s">
        <v>52</v>
      </c>
      <c r="AF2320" s="1">
        <v>95839.16</v>
      </c>
      <c r="AG2320" s="2">
        <v>41913.0</v>
      </c>
      <c r="AH2320" s="1">
        <v>7500.0</v>
      </c>
      <c r="AI2320" s="1" t="s">
        <v>40</v>
      </c>
      <c r="AJ2320" s="1">
        <v>2.0152067E7</v>
      </c>
      <c r="AK2320" s="1" t="s">
        <v>4015</v>
      </c>
      <c r="AL2320" s="1">
        <v>10.0</v>
      </c>
      <c r="AM2320" s="1">
        <v>2011.0</v>
      </c>
      <c r="AN2320" s="1">
        <v>2015.0</v>
      </c>
      <c r="AO2320" s="1" t="s">
        <v>4003</v>
      </c>
    </row>
    <row r="2321">
      <c r="A2321" s="5">
        <v>1.0</v>
      </c>
      <c r="B2321" s="1">
        <f t="shared" si="1"/>
        <v>2321</v>
      </c>
      <c r="C2321" s="1" t="s">
        <v>4013</v>
      </c>
      <c r="D2321" s="1" t="s">
        <v>4013</v>
      </c>
      <c r="E2321" s="1" t="s">
        <v>63</v>
      </c>
      <c r="G2321" s="1">
        <v>1.9608108E7</v>
      </c>
      <c r="H2321" s="2">
        <v>41913.0</v>
      </c>
      <c r="I2321" s="1" t="s">
        <v>4014</v>
      </c>
      <c r="K2321" s="1" t="s">
        <v>4014</v>
      </c>
      <c r="N2321" s="1" t="s">
        <v>40</v>
      </c>
      <c r="O2321" s="1">
        <v>7500.0</v>
      </c>
      <c r="P2321" s="1" t="s">
        <v>40</v>
      </c>
      <c r="Q2321" s="1" t="str">
        <f>IF(ISERROR(VLOOKUP(P2321,'unique fed agency names'!A:C,3,FALSE)),P2321,VLOOKUP(P2321,'unique fed agency names'!A:C,3,FALSE))
</f>
        <v>U.S. Department of Health and Human Services (DHHS)</v>
      </c>
      <c r="R2321" s="1">
        <v>1.43407687E8</v>
      </c>
      <c r="S2321" s="1" t="s">
        <v>4016</v>
      </c>
      <c r="T2321" s="1" t="str">
        <f>IF(ISERROR(VLOOKUP(S2321,'unique org names'!A:C,3,FALSE)),S2321,VLOOKUP(S2321,'unique org names'!A:C,3,FALSE))
</f>
        <v>GOSPEL AGAINST AIDS INC</v>
      </c>
      <c r="U2321" s="1" t="s">
        <v>4017</v>
      </c>
      <c r="V2321" s="1" t="s">
        <v>4018</v>
      </c>
      <c r="W2321" s="1" t="s">
        <v>44</v>
      </c>
      <c r="X2321" s="1" t="s">
        <v>45</v>
      </c>
      <c r="Y2321" s="1">
        <v>4.82023042E8</v>
      </c>
      <c r="AA2321" s="1" t="s">
        <v>46</v>
      </c>
      <c r="AB2321" s="1" t="s">
        <v>45</v>
      </c>
      <c r="AC2321" s="1">
        <v>4.820741E8</v>
      </c>
      <c r="AD2321" s="1">
        <v>5.5857643E7</v>
      </c>
      <c r="AE2321" s="1" t="s">
        <v>4019</v>
      </c>
      <c r="AF2321" s="1">
        <v>8473.0</v>
      </c>
      <c r="AG2321" s="2">
        <v>41913.0</v>
      </c>
      <c r="AH2321" s="1">
        <v>7500.0</v>
      </c>
      <c r="AI2321" s="1" t="s">
        <v>40</v>
      </c>
      <c r="AJ2321" s="1">
        <v>2.0150668E7</v>
      </c>
      <c r="AK2321" s="1" t="s">
        <v>4015</v>
      </c>
      <c r="AL2321" s="1">
        <v>10.0</v>
      </c>
      <c r="AM2321" s="1">
        <v>2011.0</v>
      </c>
      <c r="AN2321" s="1">
        <v>2015.0</v>
      </c>
      <c r="AO2321" s="1" t="s">
        <v>4003</v>
      </c>
    </row>
    <row r="2322">
      <c r="A2322" s="5">
        <v>1.0</v>
      </c>
      <c r="B2322" s="1">
        <f t="shared" si="1"/>
        <v>2322</v>
      </c>
      <c r="C2322" s="1" t="s">
        <v>4013</v>
      </c>
      <c r="D2322" s="1" t="s">
        <v>4013</v>
      </c>
      <c r="E2322" s="1" t="s">
        <v>63</v>
      </c>
      <c r="G2322" s="1">
        <v>1.9608108E7</v>
      </c>
      <c r="H2322" s="2">
        <v>41913.0</v>
      </c>
      <c r="I2322" s="1" t="s">
        <v>4014</v>
      </c>
      <c r="K2322" s="1" t="s">
        <v>4014</v>
      </c>
      <c r="N2322" s="1" t="s">
        <v>40</v>
      </c>
      <c r="O2322" s="1">
        <v>7500.0</v>
      </c>
      <c r="P2322" s="1" t="s">
        <v>40</v>
      </c>
      <c r="Q2322" s="1" t="str">
        <f>IF(ISERROR(VLOOKUP(P2322,'unique fed agency names'!A:C,3,FALSE)),P2322,VLOOKUP(P2322,'unique fed agency names'!A:C,3,FALSE))
</f>
        <v>U.S. Department of Health and Human Services (DHHS)</v>
      </c>
      <c r="R2322" s="1">
        <v>8.48764171E8</v>
      </c>
      <c r="S2322" s="1" t="s">
        <v>1050</v>
      </c>
      <c r="T2322" s="1" t="str">
        <f>IF(ISERROR(VLOOKUP(S2322,'unique org names'!A:C,3,FALSE)),S2322,VLOOKUP(S2322,'unique org names'!A:C,3,FALSE))
</f>
        <v>AIDS Partnership Michigan, Inc</v>
      </c>
      <c r="U2322" s="1" t="s">
        <v>1051</v>
      </c>
      <c r="V2322" s="1" t="s">
        <v>4020</v>
      </c>
      <c r="W2322" s="1" t="s">
        <v>44</v>
      </c>
      <c r="X2322" s="1" t="s">
        <v>45</v>
      </c>
      <c r="Y2322" s="1">
        <v>4.82023042E8</v>
      </c>
      <c r="AA2322" s="1" t="s">
        <v>46</v>
      </c>
      <c r="AB2322" s="1" t="s">
        <v>45</v>
      </c>
      <c r="AC2322" s="1">
        <v>4.820741E8</v>
      </c>
      <c r="AD2322" s="1">
        <v>5.1214708E7</v>
      </c>
      <c r="AE2322" s="1" t="s">
        <v>2060</v>
      </c>
      <c r="AF2322" s="1">
        <v>24803.09</v>
      </c>
      <c r="AG2322" s="2">
        <v>41913.0</v>
      </c>
      <c r="AH2322" s="1">
        <v>7500.0</v>
      </c>
      <c r="AI2322" s="1" t="s">
        <v>40</v>
      </c>
      <c r="AJ2322" s="1">
        <v>2.0150655E7</v>
      </c>
      <c r="AK2322" s="1" t="s">
        <v>4015</v>
      </c>
      <c r="AL2322" s="1">
        <v>10.0</v>
      </c>
      <c r="AM2322" s="1">
        <v>2011.0</v>
      </c>
      <c r="AN2322" s="1">
        <v>2015.0</v>
      </c>
      <c r="AO2322" s="1" t="s">
        <v>4003</v>
      </c>
    </row>
    <row r="2323">
      <c r="A2323" s="5">
        <v>1.0</v>
      </c>
      <c r="B2323" s="1">
        <f t="shared" si="1"/>
        <v>2323</v>
      </c>
      <c r="C2323" s="1" t="s">
        <v>4013</v>
      </c>
      <c r="D2323" s="1" t="s">
        <v>4013</v>
      </c>
      <c r="E2323" s="1" t="s">
        <v>63</v>
      </c>
      <c r="G2323" s="1">
        <v>1.9608108E7</v>
      </c>
      <c r="H2323" s="2">
        <v>41913.0</v>
      </c>
      <c r="I2323" s="1" t="s">
        <v>4014</v>
      </c>
      <c r="K2323" s="1" t="s">
        <v>4014</v>
      </c>
      <c r="N2323" s="1" t="s">
        <v>40</v>
      </c>
      <c r="O2323" s="1">
        <v>7500.0</v>
      </c>
      <c r="P2323" s="1" t="s">
        <v>40</v>
      </c>
      <c r="Q2323" s="1" t="str">
        <f>IF(ISERROR(VLOOKUP(P2323,'unique fed agency names'!A:C,3,FALSE)),P2323,VLOOKUP(P2323,'unique fed agency names'!A:C,3,FALSE))
</f>
        <v>U.S. Department of Health and Human Services (DHHS)</v>
      </c>
      <c r="R2323" s="1">
        <v>1962224.0</v>
      </c>
      <c r="S2323" s="1" t="s">
        <v>52</v>
      </c>
      <c r="T2323" s="1" t="str">
        <f>IF(ISERROR(VLOOKUP(S2323,'unique org names'!A:C,3,FALSE)),S2323,VLOOKUP(S2323,'unique org names'!A:C,3,FALSE))
</f>
        <v>WAYNE STATE UNIVERSITY</v>
      </c>
      <c r="V2323" s="1" t="s">
        <v>1885</v>
      </c>
      <c r="W2323" s="1" t="s">
        <v>44</v>
      </c>
      <c r="X2323" s="1" t="s">
        <v>45</v>
      </c>
      <c r="Y2323" s="1">
        <v>4.82021347E8</v>
      </c>
      <c r="AA2323" s="1" t="s">
        <v>46</v>
      </c>
      <c r="AB2323" s="1" t="s">
        <v>45</v>
      </c>
      <c r="AC2323" s="1">
        <v>4.82023692E8</v>
      </c>
      <c r="AD2323" s="1">
        <v>1962224.0</v>
      </c>
      <c r="AE2323" s="1" t="s">
        <v>52</v>
      </c>
      <c r="AF2323" s="1">
        <v>39684.95</v>
      </c>
      <c r="AG2323" s="2">
        <v>41913.0</v>
      </c>
      <c r="AH2323" s="1">
        <v>7500.0</v>
      </c>
      <c r="AI2323" s="1" t="s">
        <v>40</v>
      </c>
      <c r="AJ2323" s="1">
        <v>2.0151665E7</v>
      </c>
      <c r="AK2323" s="1" t="s">
        <v>4015</v>
      </c>
      <c r="AL2323" s="1">
        <v>10.0</v>
      </c>
      <c r="AM2323" s="1">
        <v>2011.0</v>
      </c>
      <c r="AN2323" s="1">
        <v>2015.0</v>
      </c>
      <c r="AO2323" s="1" t="s">
        <v>4003</v>
      </c>
    </row>
    <row r="2324">
      <c r="A2324" s="5">
        <v>1.0</v>
      </c>
      <c r="B2324" s="1">
        <f t="shared" si="1"/>
        <v>2324</v>
      </c>
      <c r="C2324" s="1" t="s">
        <v>4013</v>
      </c>
      <c r="D2324" s="1" t="s">
        <v>4013</v>
      </c>
      <c r="E2324" s="1" t="s">
        <v>63</v>
      </c>
      <c r="G2324" s="1">
        <v>1.9608108E7</v>
      </c>
      <c r="H2324" s="2">
        <v>41913.0</v>
      </c>
      <c r="I2324" s="1" t="s">
        <v>4014</v>
      </c>
      <c r="K2324" s="1" t="s">
        <v>4014</v>
      </c>
      <c r="N2324" s="1" t="s">
        <v>40</v>
      </c>
      <c r="O2324" s="1">
        <v>7500.0</v>
      </c>
      <c r="P2324" s="1" t="s">
        <v>40</v>
      </c>
      <c r="Q2324" s="1" t="str">
        <f>IF(ISERROR(VLOOKUP(P2324,'unique fed agency names'!A:C,3,FALSE)),P2324,VLOOKUP(P2324,'unique fed agency names'!A:C,3,FALSE))
</f>
        <v>U.S. Department of Health and Human Services (DHHS)</v>
      </c>
      <c r="R2324" s="1">
        <v>1962224.0</v>
      </c>
      <c r="S2324" s="1" t="s">
        <v>52</v>
      </c>
      <c r="T2324" s="1" t="str">
        <f>IF(ISERROR(VLOOKUP(S2324,'unique org names'!A:C,3,FALSE)),S2324,VLOOKUP(S2324,'unique org names'!A:C,3,FALSE))
</f>
        <v>WAYNE STATE UNIVERSITY</v>
      </c>
      <c r="U2324" s="1" t="s">
        <v>425</v>
      </c>
      <c r="V2324" s="1" t="s">
        <v>1885</v>
      </c>
      <c r="W2324" s="1" t="s">
        <v>44</v>
      </c>
      <c r="X2324" s="1" t="s">
        <v>45</v>
      </c>
      <c r="Y2324" s="1">
        <v>4.82021347E8</v>
      </c>
      <c r="AA2324" s="1" t="s">
        <v>46</v>
      </c>
      <c r="AB2324" s="1" t="s">
        <v>45</v>
      </c>
      <c r="AC2324" s="1">
        <v>4.82023692E8</v>
      </c>
      <c r="AD2324" s="1">
        <v>1962224.0</v>
      </c>
      <c r="AE2324" s="1" t="s">
        <v>52</v>
      </c>
      <c r="AF2324" s="1">
        <v>50000.0</v>
      </c>
      <c r="AG2324" s="2">
        <v>41913.0</v>
      </c>
      <c r="AH2324" s="1">
        <v>7500.0</v>
      </c>
      <c r="AI2324" s="1" t="s">
        <v>40</v>
      </c>
      <c r="AJ2324" s="1">
        <v>2.0151665E7</v>
      </c>
      <c r="AK2324" s="1" t="s">
        <v>4015</v>
      </c>
      <c r="AL2324" s="1">
        <v>10.0</v>
      </c>
      <c r="AM2324" s="1">
        <v>2011.0</v>
      </c>
      <c r="AN2324" s="1">
        <v>2015.0</v>
      </c>
      <c r="AO2324" s="1" t="s">
        <v>4003</v>
      </c>
    </row>
    <row r="2325">
      <c r="A2325" s="5">
        <v>1.0</v>
      </c>
      <c r="B2325" s="1">
        <f t="shared" si="1"/>
        <v>2325</v>
      </c>
      <c r="C2325" s="1" t="s">
        <v>4013</v>
      </c>
      <c r="D2325" s="1" t="s">
        <v>4013</v>
      </c>
      <c r="E2325" s="1" t="s">
        <v>63</v>
      </c>
      <c r="G2325" s="1">
        <v>1.9608108E7</v>
      </c>
      <c r="H2325" s="2">
        <v>41913.0</v>
      </c>
      <c r="I2325" s="1" t="s">
        <v>4014</v>
      </c>
      <c r="K2325" s="1" t="s">
        <v>4014</v>
      </c>
      <c r="N2325" s="1" t="s">
        <v>40</v>
      </c>
      <c r="O2325" s="1">
        <v>7500.0</v>
      </c>
      <c r="P2325" s="1" t="s">
        <v>40</v>
      </c>
      <c r="Q2325" s="1" t="str">
        <f>IF(ISERROR(VLOOKUP(P2325,'unique fed agency names'!A:C,3,FALSE)),P2325,VLOOKUP(P2325,'unique fed agency names'!A:C,3,FALSE))
</f>
        <v>U.S. Department of Health and Human Services (DHHS)</v>
      </c>
      <c r="R2325" s="1">
        <v>1.0107139E7</v>
      </c>
      <c r="S2325" s="1" t="s">
        <v>4021</v>
      </c>
      <c r="T2325" s="1" t="str">
        <f>IF(ISERROR(VLOOKUP(S2325,'unique org names'!A:C,3,FALSE)),S2325,VLOOKUP(S2325,'unique org names'!A:C,3,FALSE))
</f>
        <v>Sacred Heart Rehabilitation Center, Inc</v>
      </c>
      <c r="U2325" s="1" t="s">
        <v>4022</v>
      </c>
      <c r="V2325" s="1" t="s">
        <v>4023</v>
      </c>
      <c r="W2325" s="1" t="s">
        <v>44</v>
      </c>
      <c r="X2325" s="1" t="s">
        <v>45</v>
      </c>
      <c r="Y2325" s="1">
        <v>4.821364E8</v>
      </c>
      <c r="AA2325" s="1" t="s">
        <v>46</v>
      </c>
      <c r="AB2325" s="1" t="s">
        <v>45</v>
      </c>
      <c r="AC2325" s="1">
        <v>4.821364E8</v>
      </c>
      <c r="AD2325" s="1">
        <v>1367960.0</v>
      </c>
      <c r="AE2325" s="1" t="s">
        <v>4024</v>
      </c>
      <c r="AF2325" s="1">
        <v>6250.0</v>
      </c>
      <c r="AG2325" s="2">
        <v>41913.0</v>
      </c>
      <c r="AH2325" s="1">
        <v>7500.0</v>
      </c>
      <c r="AI2325" s="1" t="s">
        <v>40</v>
      </c>
      <c r="AJ2325" s="1">
        <v>2.0151798E7</v>
      </c>
      <c r="AK2325" s="1" t="s">
        <v>4015</v>
      </c>
      <c r="AL2325" s="1">
        <v>10.0</v>
      </c>
      <c r="AM2325" s="1">
        <v>2011.0</v>
      </c>
      <c r="AN2325" s="1">
        <v>2015.0</v>
      </c>
      <c r="AO2325" s="1" t="s">
        <v>4003</v>
      </c>
    </row>
    <row r="2326">
      <c r="A2326" s="5">
        <v>1.0</v>
      </c>
      <c r="B2326" s="1">
        <f t="shared" si="1"/>
        <v>2326</v>
      </c>
      <c r="C2326" s="1" t="s">
        <v>4013</v>
      </c>
      <c r="D2326" s="1" t="s">
        <v>4013</v>
      </c>
      <c r="E2326" s="1" t="s">
        <v>63</v>
      </c>
      <c r="G2326" s="1">
        <v>1.9608108E7</v>
      </c>
      <c r="H2326" s="2">
        <v>41913.0</v>
      </c>
      <c r="I2326" s="1" t="s">
        <v>4014</v>
      </c>
      <c r="K2326" s="1" t="s">
        <v>4014</v>
      </c>
      <c r="N2326" s="1" t="s">
        <v>40</v>
      </c>
      <c r="O2326" s="1">
        <v>7500.0</v>
      </c>
      <c r="P2326" s="1" t="s">
        <v>40</v>
      </c>
      <c r="Q2326" s="1" t="str">
        <f>IF(ISERROR(VLOOKUP(P2326,'unique fed agency names'!A:C,3,FALSE)),P2326,VLOOKUP(P2326,'unique fed agency names'!A:C,3,FALSE))
</f>
        <v>U.S. Department of Health and Human Services (DHHS)</v>
      </c>
      <c r="R2326" s="1">
        <v>3.7748076E7</v>
      </c>
      <c r="S2326" s="1" t="s">
        <v>4025</v>
      </c>
      <c r="T2326" s="1" t="str">
        <f>IF(ISERROR(VLOOKUP(S2326,'unique org names'!A:C,3,FALSE)),S2326,VLOOKUP(S2326,'unique org names'!A:C,3,FALSE))
</f>
        <v>VHS DETROIT RECEIVING HOSPITAL, INC.</v>
      </c>
      <c r="U2326" s="1" t="s">
        <v>4026</v>
      </c>
      <c r="V2326" s="1" t="s">
        <v>4027</v>
      </c>
      <c r="W2326" s="1" t="s">
        <v>44</v>
      </c>
      <c r="X2326" s="1" t="s">
        <v>45</v>
      </c>
      <c r="Y2326" s="1">
        <v>4.82012153E8</v>
      </c>
      <c r="AA2326" s="1" t="s">
        <v>46</v>
      </c>
      <c r="AB2326" s="1" t="s">
        <v>45</v>
      </c>
      <c r="AC2326" s="1">
        <v>4.82012153E8</v>
      </c>
      <c r="AD2326" s="1">
        <v>5.3866661E7</v>
      </c>
      <c r="AF2326" s="1">
        <v>42688.0</v>
      </c>
      <c r="AG2326" s="2">
        <v>41913.0</v>
      </c>
      <c r="AH2326" s="1">
        <v>7500.0</v>
      </c>
      <c r="AI2326" s="1" t="s">
        <v>40</v>
      </c>
      <c r="AJ2326" s="1">
        <v>2.0150702E7</v>
      </c>
      <c r="AK2326" s="1" t="s">
        <v>4015</v>
      </c>
      <c r="AL2326" s="1">
        <v>10.0</v>
      </c>
      <c r="AM2326" s="1">
        <v>2011.0</v>
      </c>
      <c r="AN2326" s="1">
        <v>2015.0</v>
      </c>
      <c r="AO2326" s="1" t="s">
        <v>4003</v>
      </c>
    </row>
    <row r="2327">
      <c r="A2327" s="5">
        <v>1.0</v>
      </c>
      <c r="B2327" s="1">
        <f t="shared" si="1"/>
        <v>2327</v>
      </c>
      <c r="C2327" s="1" t="s">
        <v>4013</v>
      </c>
      <c r="D2327" s="1" t="s">
        <v>4013</v>
      </c>
      <c r="E2327" s="1" t="s">
        <v>63</v>
      </c>
      <c r="G2327" s="1">
        <v>1.9608108E7</v>
      </c>
      <c r="H2327" s="2">
        <v>41913.0</v>
      </c>
      <c r="I2327" s="1" t="s">
        <v>4014</v>
      </c>
      <c r="K2327" s="1" t="s">
        <v>4014</v>
      </c>
      <c r="N2327" s="1" t="s">
        <v>40</v>
      </c>
      <c r="O2327" s="1">
        <v>7500.0</v>
      </c>
      <c r="P2327" s="1" t="s">
        <v>40</v>
      </c>
      <c r="Q2327" s="1" t="str">
        <f>IF(ISERROR(VLOOKUP(P2327,'unique fed agency names'!A:C,3,FALSE)),P2327,VLOOKUP(P2327,'unique fed agency names'!A:C,3,FALSE))
</f>
        <v>U.S. Department of Health and Human Services (DHHS)</v>
      </c>
      <c r="R2327" s="1">
        <v>7.3134603E7</v>
      </c>
      <c r="S2327" s="1" t="s">
        <v>41</v>
      </c>
      <c r="T2327" s="1" t="str">
        <f>IF(ISERROR(VLOOKUP(S2327,'unique org names'!A:C,3,FALSE)),S2327,VLOOKUP(S2327,'unique org names'!A:C,3,FALSE))
</f>
        <v>Henry Ford Health System</v>
      </c>
      <c r="U2327" s="1" t="s">
        <v>252</v>
      </c>
      <c r="V2327" s="1" t="s">
        <v>253</v>
      </c>
      <c r="W2327" s="1" t="s">
        <v>44</v>
      </c>
      <c r="X2327" s="1" t="s">
        <v>45</v>
      </c>
      <c r="Y2327" s="1">
        <v>4.8202345E8</v>
      </c>
      <c r="AA2327" s="1" t="s">
        <v>46</v>
      </c>
      <c r="AB2327" s="1" t="s">
        <v>45</v>
      </c>
      <c r="AC2327" s="1">
        <v>4.8202345E8</v>
      </c>
      <c r="AD2327" s="1">
        <v>7.3134603E7</v>
      </c>
      <c r="AE2327" s="1" t="s">
        <v>41</v>
      </c>
      <c r="AF2327" s="1">
        <v>63956.0</v>
      </c>
      <c r="AG2327" s="2">
        <v>41913.0</v>
      </c>
      <c r="AH2327" s="1">
        <v>7500.0</v>
      </c>
      <c r="AI2327" s="1" t="s">
        <v>40</v>
      </c>
      <c r="AJ2327" s="1">
        <v>2.0151237E7</v>
      </c>
      <c r="AK2327" s="1" t="s">
        <v>4015</v>
      </c>
      <c r="AL2327" s="1">
        <v>10.0</v>
      </c>
      <c r="AM2327" s="1">
        <v>2011.0</v>
      </c>
      <c r="AN2327" s="1">
        <v>2015.0</v>
      </c>
      <c r="AO2327" s="1" t="s">
        <v>4003</v>
      </c>
    </row>
    <row r="2328">
      <c r="A2328" s="5">
        <v>1.0</v>
      </c>
      <c r="B2328" s="1">
        <f t="shared" si="1"/>
        <v>2328</v>
      </c>
      <c r="C2328" s="1" t="s">
        <v>4013</v>
      </c>
      <c r="D2328" s="1" t="s">
        <v>4013</v>
      </c>
      <c r="E2328" s="1" t="s">
        <v>63</v>
      </c>
      <c r="G2328" s="1">
        <v>1.9608108E7</v>
      </c>
      <c r="H2328" s="2">
        <v>41913.0</v>
      </c>
      <c r="I2328" s="1" t="s">
        <v>4014</v>
      </c>
      <c r="K2328" s="1" t="s">
        <v>4014</v>
      </c>
      <c r="N2328" s="1" t="s">
        <v>40</v>
      </c>
      <c r="O2328" s="1">
        <v>7500.0</v>
      </c>
      <c r="P2328" s="1" t="s">
        <v>40</v>
      </c>
      <c r="Q2328" s="1" t="str">
        <f>IF(ISERROR(VLOOKUP(P2328,'unique fed agency names'!A:C,3,FALSE)),P2328,VLOOKUP(P2328,'unique fed agency names'!A:C,3,FALSE))
</f>
        <v>U.S. Department of Health and Human Services (DHHS)</v>
      </c>
      <c r="R2328" s="1">
        <v>1.40133393E8</v>
      </c>
      <c r="S2328" s="1" t="s">
        <v>4028</v>
      </c>
      <c r="T2328" s="1" t="str">
        <f>IF(ISERROR(VLOOKUP(S2328,'unique org names'!A:C,3,FALSE)),S2328,VLOOKUP(S2328,'unique org names'!A:C,3,FALSE))
</f>
        <v>Detroit Health Care for the Homeless dba Advantage Health Centers</v>
      </c>
      <c r="U2328" s="1" t="s">
        <v>4029</v>
      </c>
      <c r="V2328" s="1" t="s">
        <v>4030</v>
      </c>
      <c r="W2328" s="1" t="s">
        <v>44</v>
      </c>
      <c r="X2328" s="1" t="s">
        <v>45</v>
      </c>
      <c r="Y2328" s="1">
        <v>4.82353724E8</v>
      </c>
      <c r="AA2328" s="1" t="s">
        <v>46</v>
      </c>
      <c r="AB2328" s="1" t="s">
        <v>45</v>
      </c>
      <c r="AC2328" s="1">
        <v>4.82353724E8</v>
      </c>
      <c r="AD2328" s="1">
        <v>1.40133393E8</v>
      </c>
      <c r="AE2328" s="1" t="s">
        <v>4028</v>
      </c>
      <c r="AF2328" s="1">
        <v>64775.0</v>
      </c>
      <c r="AG2328" s="2">
        <v>41913.0</v>
      </c>
      <c r="AH2328" s="1">
        <v>7500.0</v>
      </c>
      <c r="AI2328" s="1" t="s">
        <v>40</v>
      </c>
      <c r="AJ2328" s="1">
        <v>2.0150667E7</v>
      </c>
      <c r="AK2328" s="1" t="s">
        <v>4015</v>
      </c>
      <c r="AL2328" s="1">
        <v>10.0</v>
      </c>
      <c r="AM2328" s="1">
        <v>2011.0</v>
      </c>
      <c r="AN2328" s="1">
        <v>2015.0</v>
      </c>
      <c r="AO2328" s="1" t="s">
        <v>4003</v>
      </c>
    </row>
    <row r="2329">
      <c r="A2329" s="5">
        <v>1.0</v>
      </c>
      <c r="B2329" s="1">
        <f t="shared" si="1"/>
        <v>2329</v>
      </c>
      <c r="C2329" s="1" t="s">
        <v>4013</v>
      </c>
      <c r="D2329" s="1" t="s">
        <v>4013</v>
      </c>
      <c r="E2329" s="1" t="s">
        <v>63</v>
      </c>
      <c r="G2329" s="1">
        <v>1.9608108E7</v>
      </c>
      <c r="H2329" s="2">
        <v>41913.0</v>
      </c>
      <c r="I2329" s="1" t="s">
        <v>4014</v>
      </c>
      <c r="K2329" s="1" t="s">
        <v>4014</v>
      </c>
      <c r="N2329" s="1" t="s">
        <v>40</v>
      </c>
      <c r="O2329" s="1">
        <v>7500.0</v>
      </c>
      <c r="P2329" s="1" t="s">
        <v>40</v>
      </c>
      <c r="Q2329" s="1" t="str">
        <f>IF(ISERROR(VLOOKUP(P2329,'unique fed agency names'!A:C,3,FALSE)),P2329,VLOOKUP(P2329,'unique fed agency names'!A:C,3,FALSE))
</f>
        <v>U.S. Department of Health and Human Services (DHHS)</v>
      </c>
      <c r="R2329" s="1">
        <v>8.48764171E8</v>
      </c>
      <c r="S2329" s="1" t="s">
        <v>1050</v>
      </c>
      <c r="T2329" s="1" t="str">
        <f>IF(ISERROR(VLOOKUP(S2329,'unique org names'!A:C,3,FALSE)),S2329,VLOOKUP(S2329,'unique org names'!A:C,3,FALSE))
</f>
        <v>AIDS Partnership Michigan, Inc</v>
      </c>
      <c r="U2329" s="1" t="s">
        <v>1051</v>
      </c>
      <c r="V2329" s="1" t="s">
        <v>4020</v>
      </c>
      <c r="W2329" s="1" t="s">
        <v>44</v>
      </c>
      <c r="X2329" s="1" t="s">
        <v>45</v>
      </c>
      <c r="Y2329" s="1">
        <v>4.82023042E8</v>
      </c>
      <c r="AA2329" s="1" t="s">
        <v>46</v>
      </c>
      <c r="AB2329" s="1" t="s">
        <v>45</v>
      </c>
      <c r="AC2329" s="1">
        <v>4.820741E8</v>
      </c>
      <c r="AD2329" s="1">
        <v>1962224.0</v>
      </c>
      <c r="AE2329" s="1" t="s">
        <v>52</v>
      </c>
      <c r="AF2329" s="1">
        <v>33160.0</v>
      </c>
      <c r="AG2329" s="2">
        <v>41913.0</v>
      </c>
      <c r="AH2329" s="1">
        <v>7500.0</v>
      </c>
      <c r="AI2329" s="1" t="s">
        <v>40</v>
      </c>
      <c r="AJ2329" s="1">
        <v>2.0150656E7</v>
      </c>
      <c r="AK2329" s="1" t="s">
        <v>4015</v>
      </c>
      <c r="AL2329" s="1">
        <v>10.0</v>
      </c>
      <c r="AM2329" s="1">
        <v>2011.0</v>
      </c>
      <c r="AN2329" s="1">
        <v>2015.0</v>
      </c>
      <c r="AO2329" s="1" t="s">
        <v>4003</v>
      </c>
    </row>
    <row r="2330">
      <c r="A2330" s="5">
        <v>1.0</v>
      </c>
      <c r="B2330" s="1">
        <f t="shared" si="1"/>
        <v>2330</v>
      </c>
      <c r="C2330" s="1" t="s">
        <v>4013</v>
      </c>
      <c r="D2330" s="1" t="s">
        <v>4013</v>
      </c>
      <c r="E2330" s="1" t="s">
        <v>63</v>
      </c>
      <c r="G2330" s="1">
        <v>1.9608108E7</v>
      </c>
      <c r="H2330" s="2">
        <v>41548.0</v>
      </c>
      <c r="I2330" s="1" t="s">
        <v>4014</v>
      </c>
      <c r="K2330" s="1" t="s">
        <v>4014</v>
      </c>
      <c r="N2330" s="1" t="s">
        <v>40</v>
      </c>
      <c r="O2330" s="1">
        <v>7500.0</v>
      </c>
      <c r="P2330" s="1" t="s">
        <v>40</v>
      </c>
      <c r="Q2330" s="1" t="str">
        <f>IF(ISERROR(VLOOKUP(P2330,'unique fed agency names'!A:C,3,FALSE)),P2330,VLOOKUP(P2330,'unique fed agency names'!A:C,3,FALSE))
</f>
        <v>U.S. Department of Health and Human Services (DHHS)</v>
      </c>
      <c r="R2330" s="1">
        <v>1962224.0</v>
      </c>
      <c r="S2330" s="1" t="s">
        <v>52</v>
      </c>
      <c r="T2330" s="1" t="str">
        <f>IF(ISERROR(VLOOKUP(S2330,'unique org names'!A:C,3,FALSE)),S2330,VLOOKUP(S2330,'unique org names'!A:C,3,FALSE))
</f>
        <v>WAYNE STATE UNIVERSITY</v>
      </c>
      <c r="U2330" s="1" t="s">
        <v>2059</v>
      </c>
      <c r="V2330" s="1" t="s">
        <v>1885</v>
      </c>
      <c r="W2330" s="1" t="s">
        <v>44</v>
      </c>
      <c r="X2330" s="1" t="s">
        <v>45</v>
      </c>
      <c r="Y2330" s="1">
        <v>4.82021347E8</v>
      </c>
      <c r="AA2330" s="1" t="s">
        <v>46</v>
      </c>
      <c r="AB2330" s="1" t="s">
        <v>45</v>
      </c>
      <c r="AC2330" s="1">
        <v>4.82023692E8</v>
      </c>
      <c r="AD2330" s="1">
        <v>1962224.0</v>
      </c>
      <c r="AE2330" s="1" t="s">
        <v>52</v>
      </c>
      <c r="AF2330" s="1">
        <v>45000.0</v>
      </c>
      <c r="AG2330" s="2">
        <v>41548.0</v>
      </c>
      <c r="AH2330" s="1">
        <v>7500.0</v>
      </c>
      <c r="AI2330" s="1" t="s">
        <v>40</v>
      </c>
      <c r="AJ2330" s="1">
        <v>2.0141511E7</v>
      </c>
      <c r="AK2330" s="1" t="s">
        <v>4015</v>
      </c>
      <c r="AL2330" s="1">
        <v>10.0</v>
      </c>
      <c r="AM2330" s="1">
        <v>2011.0</v>
      </c>
      <c r="AN2330" s="1">
        <v>2014.0</v>
      </c>
      <c r="AO2330" s="1" t="s">
        <v>4003</v>
      </c>
    </row>
    <row r="2331">
      <c r="A2331" s="5">
        <v>1.0</v>
      </c>
      <c r="B2331" s="1">
        <f t="shared" si="1"/>
        <v>2331</v>
      </c>
      <c r="C2331" s="1" t="s">
        <v>4013</v>
      </c>
      <c r="D2331" s="1" t="s">
        <v>4013</v>
      </c>
      <c r="E2331" s="1" t="s">
        <v>63</v>
      </c>
      <c r="G2331" s="1">
        <v>1.9608108E7</v>
      </c>
      <c r="H2331" s="2">
        <v>41548.0</v>
      </c>
      <c r="I2331" s="1" t="s">
        <v>4014</v>
      </c>
      <c r="K2331" s="1" t="s">
        <v>4014</v>
      </c>
      <c r="N2331" s="1" t="s">
        <v>40</v>
      </c>
      <c r="O2331" s="1">
        <v>7500.0</v>
      </c>
      <c r="P2331" s="1" t="s">
        <v>40</v>
      </c>
      <c r="Q2331" s="1" t="str">
        <f>IF(ISERROR(VLOOKUP(P2331,'unique fed agency names'!A:C,3,FALSE)),P2331,VLOOKUP(P2331,'unique fed agency names'!A:C,3,FALSE))
</f>
        <v>U.S. Department of Health and Human Services (DHHS)</v>
      </c>
      <c r="R2331" s="1">
        <v>1962224.0</v>
      </c>
      <c r="S2331" s="1" t="s">
        <v>52</v>
      </c>
      <c r="T2331" s="1" t="str">
        <f>IF(ISERROR(VLOOKUP(S2331,'unique org names'!A:C,3,FALSE)),S2331,VLOOKUP(S2331,'unique org names'!A:C,3,FALSE))
</f>
        <v>WAYNE STATE UNIVERSITY</v>
      </c>
      <c r="V2331" s="1" t="s">
        <v>1885</v>
      </c>
      <c r="W2331" s="1" t="s">
        <v>44</v>
      </c>
      <c r="X2331" s="1" t="s">
        <v>45</v>
      </c>
      <c r="Y2331" s="1">
        <v>4.82021347E8</v>
      </c>
      <c r="AA2331" s="1" t="s">
        <v>46</v>
      </c>
      <c r="AB2331" s="1" t="s">
        <v>45</v>
      </c>
      <c r="AC2331" s="1">
        <v>4.82023692E8</v>
      </c>
      <c r="AD2331" s="1">
        <v>1962224.0</v>
      </c>
      <c r="AE2331" s="1" t="s">
        <v>52</v>
      </c>
      <c r="AF2331" s="1">
        <v>25000.0</v>
      </c>
      <c r="AG2331" s="2">
        <v>41548.0</v>
      </c>
      <c r="AH2331" s="1">
        <v>7500.0</v>
      </c>
      <c r="AI2331" s="1" t="s">
        <v>40</v>
      </c>
      <c r="AJ2331" s="1">
        <v>2.0141595E7</v>
      </c>
      <c r="AK2331" s="1" t="s">
        <v>4015</v>
      </c>
      <c r="AL2331" s="1">
        <v>10.0</v>
      </c>
      <c r="AM2331" s="1">
        <v>2011.0</v>
      </c>
      <c r="AN2331" s="1">
        <v>2014.0</v>
      </c>
      <c r="AO2331" s="1" t="s">
        <v>4003</v>
      </c>
    </row>
    <row r="2332">
      <c r="A2332" s="5">
        <v>1.0</v>
      </c>
      <c r="B2332" s="1">
        <f t="shared" si="1"/>
        <v>2332</v>
      </c>
      <c r="C2332" s="1" t="s">
        <v>4013</v>
      </c>
      <c r="D2332" s="1" t="s">
        <v>4013</v>
      </c>
      <c r="E2332" s="1" t="s">
        <v>63</v>
      </c>
      <c r="G2332" s="1">
        <v>1.9608108E7</v>
      </c>
      <c r="H2332" s="2">
        <v>41548.0</v>
      </c>
      <c r="I2332" s="1" t="s">
        <v>4014</v>
      </c>
      <c r="K2332" s="1" t="s">
        <v>4014</v>
      </c>
      <c r="N2332" s="1" t="s">
        <v>40</v>
      </c>
      <c r="O2332" s="1">
        <v>7500.0</v>
      </c>
      <c r="P2332" s="1" t="s">
        <v>40</v>
      </c>
      <c r="Q2332" s="1" t="str">
        <f>IF(ISERROR(VLOOKUP(P2332,'unique fed agency names'!A:C,3,FALSE)),P2332,VLOOKUP(P2332,'unique fed agency names'!A:C,3,FALSE))
</f>
        <v>U.S. Department of Health and Human Services (DHHS)</v>
      </c>
      <c r="R2332" s="1">
        <v>1962224.0</v>
      </c>
      <c r="S2332" s="1" t="s">
        <v>52</v>
      </c>
      <c r="T2332" s="1" t="str">
        <f>IF(ISERROR(VLOOKUP(S2332,'unique org names'!A:C,3,FALSE)),S2332,VLOOKUP(S2332,'unique org names'!A:C,3,FALSE))
</f>
        <v>WAYNE STATE UNIVERSITY</v>
      </c>
      <c r="V2332" s="1" t="s">
        <v>1885</v>
      </c>
      <c r="W2332" s="1" t="s">
        <v>44</v>
      </c>
      <c r="X2332" s="1" t="s">
        <v>45</v>
      </c>
      <c r="Y2332" s="1">
        <v>4.82021347E8</v>
      </c>
      <c r="AA2332" s="1" t="s">
        <v>46</v>
      </c>
      <c r="AB2332" s="1" t="s">
        <v>45</v>
      </c>
      <c r="AC2332" s="1">
        <v>4.82023692E8</v>
      </c>
      <c r="AD2332" s="1">
        <v>1962224.0</v>
      </c>
      <c r="AE2332" s="1" t="s">
        <v>52</v>
      </c>
      <c r="AF2332" s="1">
        <v>50515.81</v>
      </c>
      <c r="AG2332" s="2">
        <v>41548.0</v>
      </c>
      <c r="AH2332" s="1">
        <v>7500.0</v>
      </c>
      <c r="AI2332" s="1" t="s">
        <v>40</v>
      </c>
      <c r="AJ2332" s="1">
        <v>2.014151E7</v>
      </c>
      <c r="AK2332" s="1" t="s">
        <v>4015</v>
      </c>
      <c r="AL2332" s="1">
        <v>10.0</v>
      </c>
      <c r="AM2332" s="1">
        <v>2011.0</v>
      </c>
      <c r="AN2332" s="1">
        <v>2014.0</v>
      </c>
      <c r="AO2332" s="1" t="s">
        <v>4003</v>
      </c>
    </row>
    <row r="2333">
      <c r="A2333" s="5">
        <v>1.0</v>
      </c>
      <c r="B2333" s="1">
        <f t="shared" si="1"/>
        <v>2333</v>
      </c>
      <c r="C2333" s="1" t="s">
        <v>4013</v>
      </c>
      <c r="D2333" s="1" t="s">
        <v>4013</v>
      </c>
      <c r="E2333" s="1" t="s">
        <v>63</v>
      </c>
      <c r="G2333" s="1">
        <v>1.9608108E7</v>
      </c>
      <c r="H2333" s="2">
        <v>41548.0</v>
      </c>
      <c r="I2333" s="1" t="s">
        <v>4014</v>
      </c>
      <c r="K2333" s="1" t="s">
        <v>4014</v>
      </c>
      <c r="N2333" s="1" t="s">
        <v>40</v>
      </c>
      <c r="O2333" s="1">
        <v>7500.0</v>
      </c>
      <c r="P2333" s="1" t="s">
        <v>40</v>
      </c>
      <c r="Q2333" s="1" t="str">
        <f>IF(ISERROR(VLOOKUP(P2333,'unique fed agency names'!A:C,3,FALSE)),P2333,VLOOKUP(P2333,'unique fed agency names'!A:C,3,FALSE))
</f>
        <v>U.S. Department of Health and Human Services (DHHS)</v>
      </c>
      <c r="R2333" s="1">
        <v>3.7748076E7</v>
      </c>
      <c r="S2333" s="1" t="s">
        <v>4025</v>
      </c>
      <c r="T2333" s="1" t="str">
        <f>IF(ISERROR(VLOOKUP(S2333,'unique org names'!A:C,3,FALSE)),S2333,VLOOKUP(S2333,'unique org names'!A:C,3,FALSE))
</f>
        <v>VHS DETROIT RECEIVING HOSPITAL, INC.</v>
      </c>
      <c r="U2333" s="1" t="s">
        <v>4026</v>
      </c>
      <c r="V2333" s="1" t="s">
        <v>4027</v>
      </c>
      <c r="W2333" s="1" t="s">
        <v>44</v>
      </c>
      <c r="X2333" s="1" t="s">
        <v>45</v>
      </c>
      <c r="Y2333" s="1">
        <v>4.82012153E8</v>
      </c>
      <c r="AA2333" s="1" t="s">
        <v>46</v>
      </c>
      <c r="AB2333" s="1" t="s">
        <v>45</v>
      </c>
      <c r="AC2333" s="1">
        <v>4.82012153E8</v>
      </c>
      <c r="AD2333" s="1">
        <v>5.3866661E7</v>
      </c>
      <c r="AF2333" s="1">
        <v>179384.0</v>
      </c>
      <c r="AG2333" s="2">
        <v>41548.0</v>
      </c>
      <c r="AH2333" s="1">
        <v>7500.0</v>
      </c>
      <c r="AI2333" s="1" t="s">
        <v>40</v>
      </c>
      <c r="AJ2333" s="1">
        <v>2.014157E7</v>
      </c>
      <c r="AK2333" s="1" t="s">
        <v>4015</v>
      </c>
      <c r="AL2333" s="1">
        <v>10.0</v>
      </c>
      <c r="AM2333" s="1">
        <v>2011.0</v>
      </c>
      <c r="AN2333" s="1">
        <v>2014.0</v>
      </c>
      <c r="AO2333" s="1" t="s">
        <v>4003</v>
      </c>
    </row>
    <row r="2334">
      <c r="A2334" s="5">
        <v>1.0</v>
      </c>
      <c r="B2334" s="1">
        <f t="shared" si="1"/>
        <v>2334</v>
      </c>
      <c r="C2334" s="1" t="s">
        <v>4013</v>
      </c>
      <c r="D2334" s="1" t="s">
        <v>4013</v>
      </c>
      <c r="E2334" s="1" t="s">
        <v>63</v>
      </c>
      <c r="G2334" s="1">
        <v>1.9608108E7</v>
      </c>
      <c r="H2334" s="2">
        <v>41548.0</v>
      </c>
      <c r="I2334" s="1" t="s">
        <v>4014</v>
      </c>
      <c r="K2334" s="1" t="s">
        <v>4014</v>
      </c>
      <c r="N2334" s="1" t="s">
        <v>40</v>
      </c>
      <c r="O2334" s="1">
        <v>7500.0</v>
      </c>
      <c r="P2334" s="1" t="s">
        <v>40</v>
      </c>
      <c r="Q2334" s="1" t="str">
        <f>IF(ISERROR(VLOOKUP(P2334,'unique fed agency names'!A:C,3,FALSE)),P2334,VLOOKUP(P2334,'unique fed agency names'!A:C,3,FALSE))
</f>
        <v>U.S. Department of Health and Human Services (DHHS)</v>
      </c>
      <c r="R2334" s="1">
        <v>1962224.0</v>
      </c>
      <c r="S2334" s="1" t="s">
        <v>52</v>
      </c>
      <c r="T2334" s="1" t="str">
        <f>IF(ISERROR(VLOOKUP(S2334,'unique org names'!A:C,3,FALSE)),S2334,VLOOKUP(S2334,'unique org names'!A:C,3,FALSE))
</f>
        <v>WAYNE STATE UNIVERSITY</v>
      </c>
      <c r="U2334" s="1" t="s">
        <v>4031</v>
      </c>
      <c r="V2334" s="1" t="s">
        <v>1885</v>
      </c>
      <c r="W2334" s="1" t="s">
        <v>44</v>
      </c>
      <c r="X2334" s="1" t="s">
        <v>45</v>
      </c>
      <c r="Y2334" s="1">
        <v>4.82021347E8</v>
      </c>
      <c r="AA2334" s="1" t="s">
        <v>46</v>
      </c>
      <c r="AB2334" s="1" t="s">
        <v>45</v>
      </c>
      <c r="AC2334" s="1">
        <v>4.82023692E8</v>
      </c>
      <c r="AD2334" s="1">
        <v>1962224.0</v>
      </c>
      <c r="AE2334" s="1" t="s">
        <v>52</v>
      </c>
      <c r="AF2334" s="1">
        <v>32489.82</v>
      </c>
      <c r="AG2334" s="2">
        <v>41548.0</v>
      </c>
      <c r="AH2334" s="1">
        <v>7500.0</v>
      </c>
      <c r="AI2334" s="1" t="s">
        <v>40</v>
      </c>
      <c r="AJ2334" s="1">
        <v>2.0141509E7</v>
      </c>
      <c r="AK2334" s="1" t="s">
        <v>4015</v>
      </c>
      <c r="AL2334" s="1">
        <v>10.0</v>
      </c>
      <c r="AM2334" s="1">
        <v>2011.0</v>
      </c>
      <c r="AN2334" s="1">
        <v>2014.0</v>
      </c>
      <c r="AO2334" s="1" t="s">
        <v>4003</v>
      </c>
    </row>
    <row r="2335">
      <c r="A2335" s="5">
        <v>1.0</v>
      </c>
      <c r="B2335" s="1">
        <f t="shared" si="1"/>
        <v>2335</v>
      </c>
      <c r="C2335" s="1" t="s">
        <v>4013</v>
      </c>
      <c r="D2335" s="1" t="s">
        <v>4013</v>
      </c>
      <c r="E2335" s="1" t="s">
        <v>63</v>
      </c>
      <c r="G2335" s="1">
        <v>1.9608108E7</v>
      </c>
      <c r="H2335" s="2">
        <v>41548.0</v>
      </c>
      <c r="I2335" s="1" t="s">
        <v>4014</v>
      </c>
      <c r="K2335" s="1" t="s">
        <v>4014</v>
      </c>
      <c r="N2335" s="1" t="s">
        <v>40</v>
      </c>
      <c r="O2335" s="1">
        <v>7500.0</v>
      </c>
      <c r="P2335" s="1" t="s">
        <v>40</v>
      </c>
      <c r="Q2335" s="1" t="str">
        <f>IF(ISERROR(VLOOKUP(P2335,'unique fed agency names'!A:C,3,FALSE)),P2335,VLOOKUP(P2335,'unique fed agency names'!A:C,3,FALSE))
</f>
        <v>U.S. Department of Health and Human Services (DHHS)</v>
      </c>
      <c r="R2335" s="1">
        <v>3.8775243E7</v>
      </c>
      <c r="S2335" s="1" t="s">
        <v>209</v>
      </c>
      <c r="T2335" s="1" t="str">
        <f>IF(ISERROR(VLOOKUP(S2335,'unique org names'!A:C,3,FALSE)),S2335,VLOOKUP(S2335,'unique org names'!A:C,3,FALSE))
</f>
        <v>SOUTHEASTERN MICHIGAN HEALTH ASSOCIATION</v>
      </c>
      <c r="U2335" s="1" t="s">
        <v>210</v>
      </c>
      <c r="V2335" s="1" t="s">
        <v>211</v>
      </c>
      <c r="W2335" s="1" t="s">
        <v>44</v>
      </c>
      <c r="X2335" s="1" t="s">
        <v>45</v>
      </c>
      <c r="Y2335" s="1">
        <v>4.82023068E8</v>
      </c>
      <c r="AA2335" s="1" t="s">
        <v>46</v>
      </c>
      <c r="AB2335" s="1" t="s">
        <v>45</v>
      </c>
      <c r="AC2335" s="1">
        <v>4.82023068E8</v>
      </c>
      <c r="AD2335" s="1">
        <v>3.8775243E7</v>
      </c>
      <c r="AE2335" s="1" t="s">
        <v>209</v>
      </c>
      <c r="AF2335" s="1">
        <v>172418.06</v>
      </c>
      <c r="AG2335" s="2">
        <v>41548.0</v>
      </c>
      <c r="AH2335" s="1">
        <v>7500.0</v>
      </c>
      <c r="AI2335" s="1" t="s">
        <v>40</v>
      </c>
      <c r="AJ2335" s="1">
        <v>2.0140714E7</v>
      </c>
      <c r="AK2335" s="1" t="s">
        <v>4015</v>
      </c>
      <c r="AL2335" s="1">
        <v>10.0</v>
      </c>
      <c r="AM2335" s="1">
        <v>2011.0</v>
      </c>
      <c r="AN2335" s="1">
        <v>2014.0</v>
      </c>
      <c r="AO2335" s="1" t="s">
        <v>4003</v>
      </c>
    </row>
    <row r="2336">
      <c r="A2336" s="5">
        <v>1.0</v>
      </c>
      <c r="B2336" s="1">
        <f t="shared" si="1"/>
        <v>2336</v>
      </c>
      <c r="C2336" s="1" t="s">
        <v>4013</v>
      </c>
      <c r="D2336" s="1" t="s">
        <v>4013</v>
      </c>
      <c r="E2336" s="1" t="s">
        <v>63</v>
      </c>
      <c r="G2336" s="1">
        <v>1.9608108E7</v>
      </c>
      <c r="H2336" s="2">
        <v>41548.0</v>
      </c>
      <c r="I2336" s="1" t="s">
        <v>4014</v>
      </c>
      <c r="K2336" s="1" t="s">
        <v>4014</v>
      </c>
      <c r="N2336" s="1" t="s">
        <v>40</v>
      </c>
      <c r="O2336" s="1">
        <v>7500.0</v>
      </c>
      <c r="P2336" s="1" t="s">
        <v>40</v>
      </c>
      <c r="Q2336" s="1" t="str">
        <f>IF(ISERROR(VLOOKUP(P2336,'unique fed agency names'!A:C,3,FALSE)),P2336,VLOOKUP(P2336,'unique fed agency names'!A:C,3,FALSE))
</f>
        <v>U.S. Department of Health and Human Services (DHHS)</v>
      </c>
      <c r="R2336" s="1">
        <v>1.43407687E8</v>
      </c>
      <c r="S2336" s="1" t="s">
        <v>4016</v>
      </c>
      <c r="T2336" s="1" t="str">
        <f>IF(ISERROR(VLOOKUP(S2336,'unique org names'!A:C,3,FALSE)),S2336,VLOOKUP(S2336,'unique org names'!A:C,3,FALSE))
</f>
        <v>GOSPEL AGAINST AIDS INC</v>
      </c>
      <c r="U2336" s="1" t="s">
        <v>2014</v>
      </c>
      <c r="V2336" s="1" t="s">
        <v>4018</v>
      </c>
      <c r="W2336" s="1" t="s">
        <v>44</v>
      </c>
      <c r="X2336" s="1" t="s">
        <v>45</v>
      </c>
      <c r="Y2336" s="1">
        <v>4.82023042E8</v>
      </c>
      <c r="AA2336" s="1" t="s">
        <v>46</v>
      </c>
      <c r="AB2336" s="1" t="s">
        <v>45</v>
      </c>
      <c r="AC2336" s="1">
        <v>4.820741E8</v>
      </c>
      <c r="AD2336" s="1">
        <v>2.0111969E7</v>
      </c>
      <c r="AE2336" s="1" t="s">
        <v>2015</v>
      </c>
      <c r="AF2336" s="1">
        <v>18976.6</v>
      </c>
      <c r="AG2336" s="2">
        <v>41548.0</v>
      </c>
      <c r="AH2336" s="1">
        <v>7500.0</v>
      </c>
      <c r="AI2336" s="1" t="s">
        <v>40</v>
      </c>
      <c r="AJ2336" s="1">
        <v>2.0141553E7</v>
      </c>
      <c r="AK2336" s="1" t="s">
        <v>4015</v>
      </c>
      <c r="AL2336" s="1">
        <v>10.0</v>
      </c>
      <c r="AM2336" s="1">
        <v>2011.0</v>
      </c>
      <c r="AN2336" s="1">
        <v>2014.0</v>
      </c>
      <c r="AO2336" s="1" t="s">
        <v>4003</v>
      </c>
    </row>
    <row r="2337">
      <c r="A2337" s="5">
        <v>1.0</v>
      </c>
      <c r="B2337" s="1">
        <f t="shared" si="1"/>
        <v>2337</v>
      </c>
      <c r="C2337" s="1" t="s">
        <v>4013</v>
      </c>
      <c r="D2337" s="1" t="s">
        <v>4013</v>
      </c>
      <c r="E2337" s="1" t="s">
        <v>63</v>
      </c>
      <c r="G2337" s="1">
        <v>1.9608108E7</v>
      </c>
      <c r="H2337" s="2">
        <v>41548.0</v>
      </c>
      <c r="I2337" s="1" t="s">
        <v>4014</v>
      </c>
      <c r="K2337" s="1" t="s">
        <v>4014</v>
      </c>
      <c r="N2337" s="1" t="s">
        <v>40</v>
      </c>
      <c r="O2337" s="1">
        <v>7500.0</v>
      </c>
      <c r="P2337" s="1" t="s">
        <v>40</v>
      </c>
      <c r="Q2337" s="1" t="str">
        <f>IF(ISERROR(VLOOKUP(P2337,'unique fed agency names'!A:C,3,FALSE)),P2337,VLOOKUP(P2337,'unique fed agency names'!A:C,3,FALSE))
</f>
        <v>U.S. Department of Health and Human Services (DHHS)</v>
      </c>
      <c r="R2337" s="1">
        <v>8.48764171E8</v>
      </c>
      <c r="S2337" s="1" t="s">
        <v>1050</v>
      </c>
      <c r="T2337" s="1" t="str">
        <f>IF(ISERROR(VLOOKUP(S2337,'unique org names'!A:C,3,FALSE)),S2337,VLOOKUP(S2337,'unique org names'!A:C,3,FALSE))
</f>
        <v>AIDS Partnership Michigan, Inc</v>
      </c>
      <c r="U2337" s="1" t="s">
        <v>1051</v>
      </c>
      <c r="V2337" s="1" t="s">
        <v>4020</v>
      </c>
      <c r="W2337" s="1" t="s">
        <v>44</v>
      </c>
      <c r="X2337" s="1" t="s">
        <v>45</v>
      </c>
      <c r="Y2337" s="1">
        <v>4.82023042E8</v>
      </c>
      <c r="AA2337" s="1" t="s">
        <v>46</v>
      </c>
      <c r="AB2337" s="1" t="s">
        <v>45</v>
      </c>
      <c r="AC2337" s="1">
        <v>4.820741E8</v>
      </c>
      <c r="AD2337" s="1">
        <v>4912929.0</v>
      </c>
      <c r="AF2337" s="1">
        <v>32330.0</v>
      </c>
      <c r="AG2337" s="2">
        <v>41548.0</v>
      </c>
      <c r="AH2337" s="1">
        <v>7500.0</v>
      </c>
      <c r="AI2337" s="1" t="s">
        <v>40</v>
      </c>
      <c r="AJ2337" s="1">
        <v>2.0141545E7</v>
      </c>
      <c r="AK2337" s="1" t="s">
        <v>4015</v>
      </c>
      <c r="AL2337" s="1">
        <v>10.0</v>
      </c>
      <c r="AM2337" s="1">
        <v>2011.0</v>
      </c>
      <c r="AN2337" s="1">
        <v>2014.0</v>
      </c>
      <c r="AO2337" s="1" t="s">
        <v>4003</v>
      </c>
    </row>
    <row r="2338">
      <c r="A2338" s="5">
        <v>1.0</v>
      </c>
      <c r="B2338" s="1">
        <f t="shared" si="1"/>
        <v>2338</v>
      </c>
      <c r="C2338" s="1" t="s">
        <v>4013</v>
      </c>
      <c r="D2338" s="1" t="s">
        <v>4013</v>
      </c>
      <c r="E2338" s="1" t="s">
        <v>63</v>
      </c>
      <c r="G2338" s="1">
        <v>1.9608108E7</v>
      </c>
      <c r="H2338" s="2">
        <v>41183.0</v>
      </c>
      <c r="I2338" s="1" t="s">
        <v>4014</v>
      </c>
      <c r="K2338" s="1" t="s">
        <v>4014</v>
      </c>
      <c r="N2338" s="1" t="s">
        <v>40</v>
      </c>
      <c r="O2338" s="1">
        <v>7500.0</v>
      </c>
      <c r="P2338" s="1" t="s">
        <v>40</v>
      </c>
      <c r="Q2338" s="1" t="str">
        <f>IF(ISERROR(VLOOKUP(P2338,'unique fed agency names'!A:C,3,FALSE)),P2338,VLOOKUP(P2338,'unique fed agency names'!A:C,3,FALSE))
</f>
        <v>U.S. Department of Health and Human Services (DHHS)</v>
      </c>
      <c r="R2338" s="1">
        <v>1.0107139E7</v>
      </c>
      <c r="S2338" s="1" t="s">
        <v>4021</v>
      </c>
      <c r="T2338" s="1" t="str">
        <f>IF(ISERROR(VLOOKUP(S2338,'unique org names'!A:C,3,FALSE)),S2338,VLOOKUP(S2338,'unique org names'!A:C,3,FALSE))
</f>
        <v>Sacred Heart Rehabilitation Center, Inc</v>
      </c>
      <c r="U2338" s="1" t="s">
        <v>4017</v>
      </c>
      <c r="V2338" s="1" t="s">
        <v>4023</v>
      </c>
      <c r="W2338" s="1" t="s">
        <v>44</v>
      </c>
      <c r="X2338" s="1" t="s">
        <v>45</v>
      </c>
      <c r="Y2338" s="1">
        <v>4.821364E8</v>
      </c>
      <c r="AA2338" s="1" t="s">
        <v>46</v>
      </c>
      <c r="AB2338" s="1" t="s">
        <v>45</v>
      </c>
      <c r="AC2338" s="1">
        <v>4.821364E8</v>
      </c>
      <c r="AD2338" s="1">
        <v>5.5857643E7</v>
      </c>
      <c r="AE2338" s="1" t="s">
        <v>4019</v>
      </c>
      <c r="AF2338" s="1">
        <v>25000.0</v>
      </c>
      <c r="AG2338" s="2">
        <v>41183.0</v>
      </c>
      <c r="AH2338" s="1">
        <v>7500.0</v>
      </c>
      <c r="AI2338" s="1" t="s">
        <v>40</v>
      </c>
      <c r="AJ2338" s="1">
        <v>2.0133162E7</v>
      </c>
      <c r="AK2338" s="1" t="s">
        <v>4015</v>
      </c>
      <c r="AL2338" s="1">
        <v>10.0</v>
      </c>
      <c r="AM2338" s="1">
        <v>2011.0</v>
      </c>
      <c r="AN2338" s="1">
        <v>2013.0</v>
      </c>
      <c r="AO2338" s="1" t="s">
        <v>4003</v>
      </c>
    </row>
    <row r="2339">
      <c r="A2339" s="5">
        <v>1.0</v>
      </c>
      <c r="B2339" s="1">
        <f t="shared" si="1"/>
        <v>2339</v>
      </c>
      <c r="C2339" s="1" t="s">
        <v>4013</v>
      </c>
      <c r="D2339" s="1" t="s">
        <v>4013</v>
      </c>
      <c r="E2339" s="1" t="s">
        <v>63</v>
      </c>
      <c r="G2339" s="1">
        <v>1.9608108E7</v>
      </c>
      <c r="H2339" s="2">
        <v>41183.0</v>
      </c>
      <c r="I2339" s="1" t="s">
        <v>4014</v>
      </c>
      <c r="K2339" s="1" t="s">
        <v>4014</v>
      </c>
      <c r="N2339" s="1" t="s">
        <v>40</v>
      </c>
      <c r="O2339" s="1">
        <v>7500.0</v>
      </c>
      <c r="P2339" s="1" t="s">
        <v>40</v>
      </c>
      <c r="Q2339" s="1" t="str">
        <f>IF(ISERROR(VLOOKUP(P2339,'unique fed agency names'!A:C,3,FALSE)),P2339,VLOOKUP(P2339,'unique fed agency names'!A:C,3,FALSE))
</f>
        <v>U.S. Department of Health and Human Services (DHHS)</v>
      </c>
      <c r="R2339" s="1">
        <v>3.8775243E7</v>
      </c>
      <c r="S2339" s="1" t="s">
        <v>209</v>
      </c>
      <c r="T2339" s="1" t="str">
        <f>IF(ISERROR(VLOOKUP(S2339,'unique org names'!A:C,3,FALSE)),S2339,VLOOKUP(S2339,'unique org names'!A:C,3,FALSE))
</f>
        <v>SOUTHEASTERN MICHIGAN HEALTH ASSOCIATION</v>
      </c>
      <c r="U2339" s="1" t="s">
        <v>210</v>
      </c>
      <c r="V2339" s="1" t="s">
        <v>211</v>
      </c>
      <c r="W2339" s="1" t="s">
        <v>44</v>
      </c>
      <c r="X2339" s="1" t="s">
        <v>45</v>
      </c>
      <c r="Y2339" s="1">
        <v>4.82023068E8</v>
      </c>
      <c r="AA2339" s="1" t="s">
        <v>46</v>
      </c>
      <c r="AB2339" s="1" t="s">
        <v>45</v>
      </c>
      <c r="AC2339" s="1">
        <v>4.82023068E8</v>
      </c>
      <c r="AD2339" s="1">
        <v>3.8775243E7</v>
      </c>
      <c r="AE2339" s="1" t="s">
        <v>209</v>
      </c>
      <c r="AF2339" s="1">
        <v>265550.0</v>
      </c>
      <c r="AG2339" s="2">
        <v>41183.0</v>
      </c>
      <c r="AH2339" s="1">
        <v>7500.0</v>
      </c>
      <c r="AI2339" s="1" t="s">
        <v>40</v>
      </c>
      <c r="AJ2339" s="1">
        <v>2.0131256E7</v>
      </c>
      <c r="AK2339" s="1" t="s">
        <v>4015</v>
      </c>
      <c r="AL2339" s="1">
        <v>10.0</v>
      </c>
      <c r="AM2339" s="1">
        <v>2011.0</v>
      </c>
      <c r="AN2339" s="1">
        <v>2013.0</v>
      </c>
      <c r="AO2339" s="1" t="s">
        <v>4003</v>
      </c>
    </row>
    <row r="2340">
      <c r="A2340" s="5">
        <v>1.0</v>
      </c>
      <c r="B2340" s="1">
        <f t="shared" si="1"/>
        <v>2340</v>
      </c>
      <c r="C2340" s="1" t="s">
        <v>4013</v>
      </c>
      <c r="D2340" s="1" t="s">
        <v>4013</v>
      </c>
      <c r="E2340" s="1" t="s">
        <v>63</v>
      </c>
      <c r="G2340" s="1">
        <v>1.9608108E7</v>
      </c>
      <c r="H2340" s="2">
        <v>41183.0</v>
      </c>
      <c r="I2340" s="1" t="s">
        <v>4014</v>
      </c>
      <c r="K2340" s="1" t="s">
        <v>4014</v>
      </c>
      <c r="N2340" s="1" t="s">
        <v>40</v>
      </c>
      <c r="O2340" s="1">
        <v>7500.0</v>
      </c>
      <c r="P2340" s="1" t="s">
        <v>40</v>
      </c>
      <c r="Q2340" s="1" t="str">
        <f>IF(ISERROR(VLOOKUP(P2340,'unique fed agency names'!A:C,3,FALSE)),P2340,VLOOKUP(P2340,'unique fed agency names'!A:C,3,FALSE))
</f>
        <v>U.S. Department of Health and Human Services (DHHS)</v>
      </c>
      <c r="R2340" s="1">
        <v>1962224.0</v>
      </c>
      <c r="S2340" s="1" t="s">
        <v>52</v>
      </c>
      <c r="T2340" s="1" t="str">
        <f>IF(ISERROR(VLOOKUP(S2340,'unique org names'!A:C,3,FALSE)),S2340,VLOOKUP(S2340,'unique org names'!A:C,3,FALSE))
</f>
        <v>WAYNE STATE UNIVERSITY</v>
      </c>
      <c r="U2340" s="1" t="s">
        <v>4009</v>
      </c>
      <c r="V2340" s="1" t="s">
        <v>1885</v>
      </c>
      <c r="W2340" s="1" t="s">
        <v>44</v>
      </c>
      <c r="X2340" s="1" t="s">
        <v>45</v>
      </c>
      <c r="Y2340" s="1">
        <v>4.82021347E8</v>
      </c>
      <c r="AA2340" s="1" t="s">
        <v>46</v>
      </c>
      <c r="AB2340" s="1" t="s">
        <v>45</v>
      </c>
      <c r="AC2340" s="1">
        <v>4.82023692E8</v>
      </c>
      <c r="AD2340" s="1">
        <v>1962224.0</v>
      </c>
      <c r="AE2340" s="1" t="s">
        <v>52</v>
      </c>
      <c r="AF2340" s="1">
        <v>0.0</v>
      </c>
      <c r="AG2340" s="2">
        <v>41183.0</v>
      </c>
      <c r="AH2340" s="1">
        <v>7500.0</v>
      </c>
      <c r="AI2340" s="1" t="s">
        <v>40</v>
      </c>
      <c r="AJ2340" s="1">
        <v>2.0131059E7</v>
      </c>
      <c r="AK2340" s="1" t="s">
        <v>4015</v>
      </c>
      <c r="AL2340" s="1">
        <v>10.0</v>
      </c>
      <c r="AM2340" s="1">
        <v>2011.0</v>
      </c>
      <c r="AN2340" s="1">
        <v>2013.0</v>
      </c>
      <c r="AO2340" s="1" t="s">
        <v>4003</v>
      </c>
    </row>
    <row r="2341">
      <c r="A2341" s="5">
        <v>1.0</v>
      </c>
      <c r="B2341" s="1">
        <f t="shared" si="1"/>
        <v>2341</v>
      </c>
      <c r="C2341" s="1" t="s">
        <v>4013</v>
      </c>
      <c r="D2341" s="1" t="s">
        <v>4013</v>
      </c>
      <c r="E2341" s="1" t="s">
        <v>63</v>
      </c>
      <c r="G2341" s="1">
        <v>1.9608108E7</v>
      </c>
      <c r="H2341" s="2">
        <v>41183.0</v>
      </c>
      <c r="I2341" s="1" t="s">
        <v>4014</v>
      </c>
      <c r="K2341" s="1" t="s">
        <v>4014</v>
      </c>
      <c r="N2341" s="1" t="s">
        <v>40</v>
      </c>
      <c r="O2341" s="1">
        <v>7500.0</v>
      </c>
      <c r="P2341" s="1" t="s">
        <v>40</v>
      </c>
      <c r="Q2341" s="1" t="str">
        <f>IF(ISERROR(VLOOKUP(P2341,'unique fed agency names'!A:C,3,FALSE)),P2341,VLOOKUP(P2341,'unique fed agency names'!A:C,3,FALSE))
</f>
        <v>U.S. Department of Health and Human Services (DHHS)</v>
      </c>
      <c r="R2341" s="1">
        <v>8.48764171E8</v>
      </c>
      <c r="S2341" s="1" t="s">
        <v>1050</v>
      </c>
      <c r="T2341" s="1" t="str">
        <f>IF(ISERROR(VLOOKUP(S2341,'unique org names'!A:C,3,FALSE)),S2341,VLOOKUP(S2341,'unique org names'!A:C,3,FALSE))
</f>
        <v>AIDS Partnership Michigan, Inc</v>
      </c>
      <c r="U2341" s="1" t="s">
        <v>1051</v>
      </c>
      <c r="V2341" s="1" t="s">
        <v>4020</v>
      </c>
      <c r="W2341" s="1" t="s">
        <v>44</v>
      </c>
      <c r="X2341" s="1" t="s">
        <v>45</v>
      </c>
      <c r="Y2341" s="1">
        <v>4.82023042E8</v>
      </c>
      <c r="AA2341" s="1" t="s">
        <v>46</v>
      </c>
      <c r="AB2341" s="1" t="s">
        <v>45</v>
      </c>
      <c r="AC2341" s="1">
        <v>4.820741E8</v>
      </c>
      <c r="AD2341" s="1">
        <v>3.8775243E7</v>
      </c>
      <c r="AE2341" s="1" t="s">
        <v>209</v>
      </c>
      <c r="AF2341" s="1">
        <v>71947.0</v>
      </c>
      <c r="AG2341" s="2">
        <v>41183.0</v>
      </c>
      <c r="AH2341" s="1">
        <v>7500.0</v>
      </c>
      <c r="AI2341" s="1" t="s">
        <v>40</v>
      </c>
      <c r="AJ2341" s="1">
        <v>2.0130214E7</v>
      </c>
      <c r="AK2341" s="1" t="s">
        <v>4015</v>
      </c>
      <c r="AL2341" s="1">
        <v>10.0</v>
      </c>
      <c r="AM2341" s="1">
        <v>2011.0</v>
      </c>
      <c r="AN2341" s="1">
        <v>2013.0</v>
      </c>
      <c r="AO2341" s="1" t="s">
        <v>4003</v>
      </c>
    </row>
    <row r="2342">
      <c r="A2342" s="5">
        <v>1.0</v>
      </c>
      <c r="B2342" s="1">
        <f t="shared" si="1"/>
        <v>2342</v>
      </c>
      <c r="C2342" s="1" t="s">
        <v>4013</v>
      </c>
      <c r="D2342" s="1" t="s">
        <v>4013</v>
      </c>
      <c r="E2342" s="1" t="s">
        <v>63</v>
      </c>
      <c r="G2342" s="1">
        <v>1.9608108E7</v>
      </c>
      <c r="H2342" s="2">
        <v>41183.0</v>
      </c>
      <c r="I2342" s="1" t="s">
        <v>4014</v>
      </c>
      <c r="K2342" s="1" t="s">
        <v>4014</v>
      </c>
      <c r="N2342" s="1" t="s">
        <v>40</v>
      </c>
      <c r="O2342" s="1">
        <v>7500.0</v>
      </c>
      <c r="P2342" s="1" t="s">
        <v>40</v>
      </c>
      <c r="Q2342" s="1" t="str">
        <f>IF(ISERROR(VLOOKUP(P2342,'unique fed agency names'!A:C,3,FALSE)),P2342,VLOOKUP(P2342,'unique fed agency names'!A:C,3,FALSE))
</f>
        <v>U.S. Department of Health and Human Services (DHHS)</v>
      </c>
      <c r="R2342" s="1">
        <v>1962224.0</v>
      </c>
      <c r="S2342" s="1" t="s">
        <v>52</v>
      </c>
      <c r="T2342" s="1" t="str">
        <f>IF(ISERROR(VLOOKUP(S2342,'unique org names'!A:C,3,FALSE)),S2342,VLOOKUP(S2342,'unique org names'!A:C,3,FALSE))
</f>
        <v>WAYNE STATE UNIVERSITY</v>
      </c>
      <c r="U2342" s="1" t="s">
        <v>4032</v>
      </c>
      <c r="V2342" s="1" t="s">
        <v>1885</v>
      </c>
      <c r="W2342" s="1" t="s">
        <v>44</v>
      </c>
      <c r="X2342" s="1" t="s">
        <v>45</v>
      </c>
      <c r="Y2342" s="1">
        <v>4.82021347E8</v>
      </c>
      <c r="AA2342" s="1" t="s">
        <v>46</v>
      </c>
      <c r="AB2342" s="1" t="s">
        <v>45</v>
      </c>
      <c r="AC2342" s="1">
        <v>4.82023692E8</v>
      </c>
      <c r="AD2342" s="1">
        <v>1962224.0</v>
      </c>
      <c r="AE2342" s="1" t="s">
        <v>52</v>
      </c>
      <c r="AF2342" s="1">
        <v>15486.0</v>
      </c>
      <c r="AG2342" s="2">
        <v>41183.0</v>
      </c>
      <c r="AH2342" s="1">
        <v>7500.0</v>
      </c>
      <c r="AI2342" s="1" t="s">
        <v>40</v>
      </c>
      <c r="AJ2342" s="1">
        <v>2.0131053E7</v>
      </c>
      <c r="AK2342" s="1" t="s">
        <v>4015</v>
      </c>
      <c r="AL2342" s="1">
        <v>10.0</v>
      </c>
      <c r="AM2342" s="1">
        <v>2011.0</v>
      </c>
      <c r="AN2342" s="1">
        <v>2013.0</v>
      </c>
      <c r="AO2342" s="1" t="s">
        <v>4003</v>
      </c>
    </row>
    <row r="2343">
      <c r="A2343" s="5">
        <v>1.0</v>
      </c>
      <c r="B2343" s="1">
        <f t="shared" si="1"/>
        <v>2343</v>
      </c>
      <c r="C2343" s="1" t="s">
        <v>4013</v>
      </c>
      <c r="D2343" s="1" t="s">
        <v>4013</v>
      </c>
      <c r="E2343" s="1" t="s">
        <v>63</v>
      </c>
      <c r="G2343" s="1">
        <v>1.9608108E7</v>
      </c>
      <c r="H2343" s="2">
        <v>41183.0</v>
      </c>
      <c r="I2343" s="1" t="s">
        <v>4014</v>
      </c>
      <c r="K2343" s="1" t="s">
        <v>4014</v>
      </c>
      <c r="N2343" s="1" t="s">
        <v>40</v>
      </c>
      <c r="O2343" s="1">
        <v>7500.0</v>
      </c>
      <c r="P2343" s="1" t="s">
        <v>40</v>
      </c>
      <c r="Q2343" s="1" t="str">
        <f>IF(ISERROR(VLOOKUP(P2343,'unique fed agency names'!A:C,3,FALSE)),P2343,VLOOKUP(P2343,'unique fed agency names'!A:C,3,FALSE))
</f>
        <v>U.S. Department of Health and Human Services (DHHS)</v>
      </c>
      <c r="R2343" s="1">
        <v>7.8583404E7</v>
      </c>
      <c r="S2343" s="1" t="s">
        <v>65</v>
      </c>
      <c r="T2343" s="1" t="str">
        <f>IF(ISERROR(VLOOKUP(S2343,'unique org names'!A:C,3,FALSE)),S2343,VLOOKUP(S2343,'unique org names'!A:C,3,FALSE))
</f>
        <v>Institute for Population Health Inc.</v>
      </c>
      <c r="U2343" s="1" t="s">
        <v>2974</v>
      </c>
      <c r="V2343" s="1" t="s">
        <v>1573</v>
      </c>
      <c r="W2343" s="1" t="s">
        <v>44</v>
      </c>
      <c r="X2343" s="1" t="s">
        <v>45</v>
      </c>
      <c r="Y2343" s="1">
        <v>4.8207311E8</v>
      </c>
      <c r="AA2343" s="1" t="s">
        <v>46</v>
      </c>
      <c r="AB2343" s="1" t="s">
        <v>45</v>
      </c>
      <c r="AC2343" s="1">
        <v>4.82021732E8</v>
      </c>
      <c r="AD2343" s="1">
        <v>1.25919378E8</v>
      </c>
      <c r="AE2343" s="1" t="s">
        <v>2976</v>
      </c>
      <c r="AF2343" s="1">
        <v>172010.0</v>
      </c>
      <c r="AG2343" s="2">
        <v>41183.0</v>
      </c>
      <c r="AH2343" s="1">
        <v>7500.0</v>
      </c>
      <c r="AI2343" s="1" t="s">
        <v>40</v>
      </c>
      <c r="AJ2343" s="1">
        <v>2.01304E7</v>
      </c>
      <c r="AK2343" s="1" t="s">
        <v>4015</v>
      </c>
      <c r="AL2343" s="1">
        <v>10.0</v>
      </c>
      <c r="AM2343" s="1">
        <v>2011.0</v>
      </c>
      <c r="AN2343" s="1">
        <v>2013.0</v>
      </c>
      <c r="AO2343" s="1" t="s">
        <v>4003</v>
      </c>
    </row>
    <row r="2344">
      <c r="A2344" s="5">
        <v>1.0</v>
      </c>
      <c r="B2344" s="1">
        <f t="shared" si="1"/>
        <v>2344</v>
      </c>
      <c r="C2344" s="1" t="s">
        <v>4013</v>
      </c>
      <c r="D2344" s="1" t="s">
        <v>4013</v>
      </c>
      <c r="E2344" s="1" t="s">
        <v>63</v>
      </c>
      <c r="G2344" s="1">
        <v>1.9608108E7</v>
      </c>
      <c r="H2344" s="2">
        <v>41183.0</v>
      </c>
      <c r="I2344" s="1" t="s">
        <v>4014</v>
      </c>
      <c r="K2344" s="1" t="s">
        <v>4014</v>
      </c>
      <c r="N2344" s="1" t="s">
        <v>40</v>
      </c>
      <c r="O2344" s="1">
        <v>7500.0</v>
      </c>
      <c r="P2344" s="1" t="s">
        <v>40</v>
      </c>
      <c r="Q2344" s="1" t="str">
        <f>IF(ISERROR(VLOOKUP(P2344,'unique fed agency names'!A:C,3,FALSE)),P2344,VLOOKUP(P2344,'unique fed agency names'!A:C,3,FALSE))
</f>
        <v>U.S. Department of Health and Human Services (DHHS)</v>
      </c>
      <c r="R2344" s="1">
        <v>1.43407687E8</v>
      </c>
      <c r="S2344" s="1" t="s">
        <v>4016</v>
      </c>
      <c r="T2344" s="1" t="str">
        <f>IF(ISERROR(VLOOKUP(S2344,'unique org names'!A:C,3,FALSE)),S2344,VLOOKUP(S2344,'unique org names'!A:C,3,FALSE))
</f>
        <v>GOSPEL AGAINST AIDS INC</v>
      </c>
      <c r="U2344" s="1" t="s">
        <v>1051</v>
      </c>
      <c r="V2344" s="1" t="s">
        <v>4018</v>
      </c>
      <c r="W2344" s="1" t="s">
        <v>44</v>
      </c>
      <c r="X2344" s="1" t="s">
        <v>45</v>
      </c>
      <c r="Y2344" s="1">
        <v>4.82023042E8</v>
      </c>
      <c r="AA2344" s="1" t="s">
        <v>46</v>
      </c>
      <c r="AB2344" s="1" t="s">
        <v>45</v>
      </c>
      <c r="AC2344" s="1">
        <v>4.820741E8</v>
      </c>
      <c r="AD2344" s="1">
        <v>1962224.0</v>
      </c>
      <c r="AE2344" s="1" t="s">
        <v>52</v>
      </c>
      <c r="AF2344" s="1">
        <v>12200.89</v>
      </c>
      <c r="AG2344" s="2">
        <v>41183.0</v>
      </c>
      <c r="AH2344" s="1">
        <v>7500.0</v>
      </c>
      <c r="AI2344" s="1" t="s">
        <v>40</v>
      </c>
      <c r="AJ2344" s="1">
        <v>2.0130218E7</v>
      </c>
      <c r="AK2344" s="1" t="s">
        <v>4015</v>
      </c>
      <c r="AL2344" s="1">
        <v>10.0</v>
      </c>
      <c r="AM2344" s="1">
        <v>2011.0</v>
      </c>
      <c r="AN2344" s="1">
        <v>2013.0</v>
      </c>
      <c r="AO2344" s="1" t="s">
        <v>4003</v>
      </c>
    </row>
    <row r="2345">
      <c r="A2345" s="5">
        <v>1.0</v>
      </c>
      <c r="B2345" s="1">
        <f t="shared" si="1"/>
        <v>2345</v>
      </c>
      <c r="C2345" s="1" t="s">
        <v>4013</v>
      </c>
      <c r="D2345" s="1" t="s">
        <v>4013</v>
      </c>
      <c r="E2345" s="1" t="s">
        <v>63</v>
      </c>
      <c r="G2345" s="1">
        <v>1.9608108E7</v>
      </c>
      <c r="H2345" s="2">
        <v>41183.0</v>
      </c>
      <c r="I2345" s="1" t="s">
        <v>4014</v>
      </c>
      <c r="K2345" s="1" t="s">
        <v>4014</v>
      </c>
      <c r="N2345" s="1" t="s">
        <v>40</v>
      </c>
      <c r="O2345" s="1">
        <v>7500.0</v>
      </c>
      <c r="P2345" s="1" t="s">
        <v>40</v>
      </c>
      <c r="Q2345" s="1" t="str">
        <f>IF(ISERROR(VLOOKUP(P2345,'unique fed agency names'!A:C,3,FALSE)),P2345,VLOOKUP(P2345,'unique fed agency names'!A:C,3,FALSE))
</f>
        <v>U.S. Department of Health and Human Services (DHHS)</v>
      </c>
      <c r="R2345" s="1">
        <v>1.98999146E8</v>
      </c>
      <c r="S2345" s="1" t="s">
        <v>999</v>
      </c>
      <c r="T2345" s="1" t="str">
        <f>IF(ISERROR(VLOOKUP(S2345,'unique org names'!A:C,3,FALSE)),S2345,VLOOKUP(S2345,'unique org names'!A:C,3,FALSE))
</f>
        <v>COMMUNITY HEALTH AWARENESS GROUP</v>
      </c>
      <c r="U2345" s="1" t="s">
        <v>2979</v>
      </c>
      <c r="V2345" s="1" t="s">
        <v>1000</v>
      </c>
      <c r="W2345" s="1" t="s">
        <v>44</v>
      </c>
      <c r="X2345" s="1" t="s">
        <v>45</v>
      </c>
      <c r="Y2345" s="1">
        <v>4.82263007E8</v>
      </c>
      <c r="AA2345" s="1" t="s">
        <v>46</v>
      </c>
      <c r="AB2345" s="1" t="s">
        <v>45</v>
      </c>
      <c r="AC2345" s="1">
        <v>4.82263007E8</v>
      </c>
      <c r="AD2345" s="1">
        <v>1962224.0</v>
      </c>
      <c r="AE2345" s="1" t="s">
        <v>52</v>
      </c>
      <c r="AF2345" s="1">
        <v>53027.0</v>
      </c>
      <c r="AG2345" s="2">
        <v>41183.0</v>
      </c>
      <c r="AH2345" s="1">
        <v>7500.0</v>
      </c>
      <c r="AI2345" s="1" t="s">
        <v>40</v>
      </c>
      <c r="AJ2345" s="1">
        <v>2.0130216E7</v>
      </c>
      <c r="AK2345" s="1" t="s">
        <v>4015</v>
      </c>
      <c r="AL2345" s="1">
        <v>10.0</v>
      </c>
      <c r="AM2345" s="1">
        <v>2011.0</v>
      </c>
      <c r="AN2345" s="1">
        <v>2013.0</v>
      </c>
      <c r="AO2345" s="1" t="s">
        <v>4003</v>
      </c>
    </row>
    <row r="2346">
      <c r="A2346" s="5">
        <v>1.0</v>
      </c>
      <c r="B2346" s="1">
        <f t="shared" si="1"/>
        <v>2346</v>
      </c>
      <c r="C2346" s="1" t="s">
        <v>4000</v>
      </c>
      <c r="D2346" s="1" t="s">
        <v>4000</v>
      </c>
      <c r="E2346" s="1" t="s">
        <v>63</v>
      </c>
      <c r="G2346" s="1">
        <v>1832896.0</v>
      </c>
      <c r="H2346" s="2">
        <v>41183.0</v>
      </c>
      <c r="I2346" s="1" t="s">
        <v>4001</v>
      </c>
      <c r="K2346" s="1" t="s">
        <v>4001</v>
      </c>
      <c r="N2346" s="1" t="s">
        <v>40</v>
      </c>
      <c r="O2346" s="1">
        <v>7500.0</v>
      </c>
      <c r="P2346" s="1" t="s">
        <v>40</v>
      </c>
      <c r="Q2346" s="1" t="str">
        <f>IF(ISERROR(VLOOKUP(P2346,'unique fed agency names'!A:C,3,FALSE)),P2346,VLOOKUP(P2346,'unique fed agency names'!A:C,3,FALSE))
</f>
        <v>U.S. Department of Health and Human Services (DHHS)</v>
      </c>
      <c r="R2346" s="1">
        <v>7.8583404E7</v>
      </c>
      <c r="S2346" s="1" t="s">
        <v>65</v>
      </c>
      <c r="T2346" s="1" t="str">
        <f>IF(ISERROR(VLOOKUP(S2346,'unique org names'!A:C,3,FALSE)),S2346,VLOOKUP(S2346,'unique org names'!A:C,3,FALSE))
</f>
        <v>Institute for Population Health Inc.</v>
      </c>
      <c r="V2346" s="1" t="s">
        <v>1573</v>
      </c>
      <c r="W2346" s="1" t="s">
        <v>44</v>
      </c>
      <c r="X2346" s="1" t="s">
        <v>45</v>
      </c>
      <c r="Y2346" s="1">
        <v>4.8207311E8</v>
      </c>
      <c r="AA2346" s="1" t="s">
        <v>46</v>
      </c>
      <c r="AB2346" s="1" t="s">
        <v>45</v>
      </c>
      <c r="AC2346" s="1">
        <v>4.82021732E8</v>
      </c>
      <c r="AF2346" s="1">
        <v>1500.0</v>
      </c>
      <c r="AG2346" s="2">
        <v>41183.0</v>
      </c>
      <c r="AH2346" s="1">
        <v>7500.0</v>
      </c>
      <c r="AI2346" s="1" t="s">
        <v>40</v>
      </c>
      <c r="AJ2346" s="1">
        <v>2.01304E7</v>
      </c>
      <c r="AK2346" s="1" t="s">
        <v>4002</v>
      </c>
      <c r="AL2346" s="1">
        <v>10.0</v>
      </c>
      <c r="AM2346" s="1">
        <v>2010.0</v>
      </c>
      <c r="AN2346" s="1">
        <v>2013.0</v>
      </c>
      <c r="AO2346" s="1" t="s">
        <v>4003</v>
      </c>
    </row>
    <row r="2347">
      <c r="A2347" s="5">
        <v>1.0</v>
      </c>
      <c r="B2347" s="1">
        <f t="shared" si="1"/>
        <v>2347</v>
      </c>
      <c r="C2347" s="1" t="s">
        <v>4033</v>
      </c>
      <c r="D2347" s="1" t="s">
        <v>4033</v>
      </c>
      <c r="E2347" s="1" t="s">
        <v>63</v>
      </c>
      <c r="G2347" s="1">
        <v>7.6172144E7</v>
      </c>
      <c r="H2347" s="2">
        <v>41548.0</v>
      </c>
      <c r="I2347" s="1" t="s">
        <v>4034</v>
      </c>
      <c r="K2347" s="1" t="s">
        <v>4034</v>
      </c>
      <c r="N2347" s="1" t="s">
        <v>40</v>
      </c>
      <c r="O2347" s="1">
        <v>7500.0</v>
      </c>
      <c r="P2347" s="1" t="s">
        <v>40</v>
      </c>
      <c r="Q2347" s="1" t="str">
        <f>IF(ISERROR(VLOOKUP(P2347,'unique fed agency names'!A:C,3,FALSE)),P2347,VLOOKUP(P2347,'unique fed agency names'!A:C,3,FALSE))
</f>
        <v>U.S. Department of Health and Human Services (DHHS)</v>
      </c>
      <c r="R2347" s="1">
        <v>1.7406606E7</v>
      </c>
      <c r="S2347" s="1" t="s">
        <v>1574</v>
      </c>
      <c r="T2347" s="1" t="str">
        <f>IF(ISERROR(VLOOKUP(S2347,'unique org names'!A:C,3,FALSE)),S2347,VLOOKUP(S2347,'unique org names'!A:C,3,FALSE))
</f>
        <v>Detroit Health Dept</v>
      </c>
      <c r="U2347" s="1" t="s">
        <v>2014</v>
      </c>
      <c r="V2347" s="1" t="s">
        <v>1575</v>
      </c>
      <c r="W2347" s="1" t="s">
        <v>44</v>
      </c>
      <c r="X2347" s="1" t="s">
        <v>45</v>
      </c>
      <c r="Y2347" s="1">
        <v>4.82282826E8</v>
      </c>
      <c r="AA2347" s="1" t="s">
        <v>46</v>
      </c>
      <c r="AB2347" s="1" t="s">
        <v>45</v>
      </c>
      <c r="AC2347" s="1">
        <v>4.82282826E8</v>
      </c>
      <c r="AD2347" s="1">
        <v>2.0111969E7</v>
      </c>
      <c r="AE2347" s="1" t="s">
        <v>2015</v>
      </c>
      <c r="AF2347" s="1">
        <v>55850.0</v>
      </c>
      <c r="AG2347" s="2">
        <v>41548.0</v>
      </c>
      <c r="AH2347" s="1">
        <v>7500.0</v>
      </c>
      <c r="AI2347" s="1" t="s">
        <v>40</v>
      </c>
      <c r="AJ2347" s="1">
        <v>2.0141454E7</v>
      </c>
      <c r="AK2347" s="1" t="s">
        <v>4035</v>
      </c>
      <c r="AL2347" s="1">
        <v>10.0</v>
      </c>
      <c r="AM2347" s="1">
        <v>2011.0</v>
      </c>
      <c r="AN2347" s="1">
        <v>2014.0</v>
      </c>
      <c r="AO2347" s="1" t="s">
        <v>4036</v>
      </c>
    </row>
    <row r="2348">
      <c r="A2348" s="5">
        <v>1.0</v>
      </c>
      <c r="B2348" s="1">
        <f t="shared" si="1"/>
        <v>2348</v>
      </c>
      <c r="C2348" s="1" t="s">
        <v>4033</v>
      </c>
      <c r="D2348" s="1" t="s">
        <v>4033</v>
      </c>
      <c r="E2348" s="1" t="s">
        <v>63</v>
      </c>
      <c r="G2348" s="1">
        <v>7.6172144E7</v>
      </c>
      <c r="H2348" s="2">
        <v>41548.0</v>
      </c>
      <c r="I2348" s="1" t="s">
        <v>4034</v>
      </c>
      <c r="K2348" s="1" t="s">
        <v>4034</v>
      </c>
      <c r="N2348" s="1" t="s">
        <v>40</v>
      </c>
      <c r="O2348" s="1">
        <v>7500.0</v>
      </c>
      <c r="P2348" s="1" t="s">
        <v>40</v>
      </c>
      <c r="Q2348" s="1" t="str">
        <f>IF(ISERROR(VLOOKUP(P2348,'unique fed agency names'!A:C,3,FALSE)),P2348,VLOOKUP(P2348,'unique fed agency names'!A:C,3,FALSE))
</f>
        <v>U.S. Department of Health and Human Services (DHHS)</v>
      </c>
      <c r="R2348" s="1">
        <v>1962224.0</v>
      </c>
      <c r="S2348" s="1" t="s">
        <v>52</v>
      </c>
      <c r="T2348" s="1" t="str">
        <f>IF(ISERROR(VLOOKUP(S2348,'unique org names'!A:C,3,FALSE)),S2348,VLOOKUP(S2348,'unique org names'!A:C,3,FALSE))
</f>
        <v>WAYNE STATE UNIVERSITY</v>
      </c>
      <c r="U2348" s="1" t="s">
        <v>4037</v>
      </c>
      <c r="V2348" s="1" t="s">
        <v>1885</v>
      </c>
      <c r="W2348" s="1" t="s">
        <v>44</v>
      </c>
      <c r="X2348" s="1" t="s">
        <v>45</v>
      </c>
      <c r="Y2348" s="1">
        <v>4.82021347E8</v>
      </c>
      <c r="AA2348" s="1" t="s">
        <v>46</v>
      </c>
      <c r="AB2348" s="1" t="s">
        <v>45</v>
      </c>
      <c r="AC2348" s="1">
        <v>4.82023692E8</v>
      </c>
      <c r="AD2348" s="1">
        <v>1962224.0</v>
      </c>
      <c r="AE2348" s="1" t="s">
        <v>52</v>
      </c>
      <c r="AF2348" s="1">
        <v>42470.14</v>
      </c>
      <c r="AG2348" s="2">
        <v>41548.0</v>
      </c>
      <c r="AH2348" s="1">
        <v>7500.0</v>
      </c>
      <c r="AI2348" s="1" t="s">
        <v>40</v>
      </c>
      <c r="AJ2348" s="1">
        <v>2.0141507E7</v>
      </c>
      <c r="AK2348" s="1" t="s">
        <v>4035</v>
      </c>
      <c r="AL2348" s="1">
        <v>10.0</v>
      </c>
      <c r="AM2348" s="1">
        <v>2011.0</v>
      </c>
      <c r="AN2348" s="1">
        <v>2014.0</v>
      </c>
      <c r="AO2348" s="1" t="s">
        <v>4036</v>
      </c>
    </row>
    <row r="2349">
      <c r="A2349" s="5">
        <v>1.0</v>
      </c>
      <c r="B2349" s="1">
        <f t="shared" si="1"/>
        <v>2349</v>
      </c>
      <c r="C2349" s="1" t="s">
        <v>4004</v>
      </c>
      <c r="D2349" s="1" t="s">
        <v>4004</v>
      </c>
      <c r="E2349" s="1" t="s">
        <v>63</v>
      </c>
      <c r="G2349" s="1">
        <v>1039500.0</v>
      </c>
      <c r="H2349" s="2">
        <v>41548.0</v>
      </c>
      <c r="I2349" s="1" t="s">
        <v>4005</v>
      </c>
      <c r="K2349" s="1" t="s">
        <v>4005</v>
      </c>
      <c r="N2349" s="1" t="s">
        <v>40</v>
      </c>
      <c r="O2349" s="1">
        <v>7500.0</v>
      </c>
      <c r="P2349" s="1" t="s">
        <v>40</v>
      </c>
      <c r="Q2349" s="1" t="str">
        <f>IF(ISERROR(VLOOKUP(P2349,'unique fed agency names'!A:C,3,FALSE)),P2349,VLOOKUP(P2349,'unique fed agency names'!A:C,3,FALSE))
</f>
        <v>U.S. Department of Health and Human Services (DHHS)</v>
      </c>
      <c r="R2349" s="1">
        <v>3.8775243E7</v>
      </c>
      <c r="S2349" s="1" t="s">
        <v>209</v>
      </c>
      <c r="T2349" s="1" t="str">
        <f>IF(ISERROR(VLOOKUP(S2349,'unique org names'!A:C,3,FALSE)),S2349,VLOOKUP(S2349,'unique org names'!A:C,3,FALSE))
</f>
        <v>SOUTHEASTERN MICHIGAN HEALTH ASSOCIATION</v>
      </c>
      <c r="U2349" s="1" t="s">
        <v>210</v>
      </c>
      <c r="V2349" s="1" t="s">
        <v>211</v>
      </c>
      <c r="W2349" s="1" t="s">
        <v>44</v>
      </c>
      <c r="X2349" s="1" t="s">
        <v>45</v>
      </c>
      <c r="Y2349" s="1">
        <v>4.82023068E8</v>
      </c>
      <c r="AA2349" s="1" t="s">
        <v>46</v>
      </c>
      <c r="AB2349" s="1" t="s">
        <v>45</v>
      </c>
      <c r="AC2349" s="1">
        <v>4.82023068E8</v>
      </c>
      <c r="AD2349" s="1">
        <v>3.8775243E7</v>
      </c>
      <c r="AE2349" s="1" t="s">
        <v>209</v>
      </c>
      <c r="AF2349" s="1">
        <v>3030.0</v>
      </c>
      <c r="AG2349" s="2">
        <v>41548.0</v>
      </c>
      <c r="AH2349" s="1">
        <v>7500.0</v>
      </c>
      <c r="AI2349" s="1" t="s">
        <v>40</v>
      </c>
      <c r="AJ2349" s="1">
        <v>2.0140708E7</v>
      </c>
      <c r="AK2349" s="1" t="s">
        <v>4006</v>
      </c>
      <c r="AL2349" s="1">
        <v>10.0</v>
      </c>
      <c r="AM2349" s="1">
        <v>2012.0</v>
      </c>
      <c r="AN2349" s="1">
        <v>2014.0</v>
      </c>
      <c r="AO2349" s="1" t="s">
        <v>342</v>
      </c>
    </row>
    <row r="2350">
      <c r="A2350" s="5">
        <v>1.0</v>
      </c>
      <c r="B2350" s="1">
        <f t="shared" si="1"/>
        <v>2350</v>
      </c>
      <c r="C2350" s="1" t="s">
        <v>4004</v>
      </c>
      <c r="D2350" s="1" t="s">
        <v>4004</v>
      </c>
      <c r="E2350" s="1" t="s">
        <v>63</v>
      </c>
      <c r="G2350" s="1">
        <v>1039500.0</v>
      </c>
      <c r="H2350" s="2">
        <v>41548.0</v>
      </c>
      <c r="I2350" s="1" t="s">
        <v>4005</v>
      </c>
      <c r="K2350" s="1" t="s">
        <v>4005</v>
      </c>
      <c r="N2350" s="1" t="s">
        <v>40</v>
      </c>
      <c r="O2350" s="1">
        <v>7500.0</v>
      </c>
      <c r="P2350" s="1" t="s">
        <v>40</v>
      </c>
      <c r="Q2350" s="1" t="str">
        <f>IF(ISERROR(VLOOKUP(P2350,'unique fed agency names'!A:C,3,FALSE)),P2350,VLOOKUP(P2350,'unique fed agency names'!A:C,3,FALSE))
</f>
        <v>U.S. Department of Health and Human Services (DHHS)</v>
      </c>
      <c r="R2350" s="1">
        <v>7.3134603E7</v>
      </c>
      <c r="S2350" s="1" t="s">
        <v>41</v>
      </c>
      <c r="T2350" s="1" t="str">
        <f>IF(ISERROR(VLOOKUP(S2350,'unique org names'!A:C,3,FALSE)),S2350,VLOOKUP(S2350,'unique org names'!A:C,3,FALSE))
</f>
        <v>Henry Ford Health System</v>
      </c>
      <c r="U2350" s="1" t="s">
        <v>252</v>
      </c>
      <c r="V2350" s="1" t="s">
        <v>253</v>
      </c>
      <c r="W2350" s="1" t="s">
        <v>44</v>
      </c>
      <c r="X2350" s="1" t="s">
        <v>45</v>
      </c>
      <c r="Y2350" s="1">
        <v>4.8202345E8</v>
      </c>
      <c r="AA2350" s="1" t="s">
        <v>46</v>
      </c>
      <c r="AB2350" s="1" t="s">
        <v>45</v>
      </c>
      <c r="AC2350" s="1">
        <v>4.8202345E8</v>
      </c>
      <c r="AD2350" s="1">
        <v>7.3134603E7</v>
      </c>
      <c r="AE2350" s="1" t="s">
        <v>41</v>
      </c>
      <c r="AF2350" s="1">
        <v>10000.0</v>
      </c>
      <c r="AG2350" s="2">
        <v>41548.0</v>
      </c>
      <c r="AH2350" s="1">
        <v>7500.0</v>
      </c>
      <c r="AI2350" s="1" t="s">
        <v>40</v>
      </c>
      <c r="AJ2350" s="1">
        <v>2.0140045E7</v>
      </c>
      <c r="AK2350" s="1" t="s">
        <v>4006</v>
      </c>
      <c r="AL2350" s="1">
        <v>10.0</v>
      </c>
      <c r="AM2350" s="1">
        <v>2012.0</v>
      </c>
      <c r="AN2350" s="1">
        <v>2014.0</v>
      </c>
      <c r="AO2350" s="1" t="s">
        <v>342</v>
      </c>
    </row>
    <row r="2351">
      <c r="A2351" s="5">
        <v>1.0</v>
      </c>
      <c r="B2351" s="1">
        <f t="shared" si="1"/>
        <v>2351</v>
      </c>
      <c r="C2351" s="1" t="s">
        <v>4004</v>
      </c>
      <c r="D2351" s="1" t="s">
        <v>4004</v>
      </c>
      <c r="E2351" s="1" t="s">
        <v>63</v>
      </c>
      <c r="G2351" s="1">
        <v>1039500.0</v>
      </c>
      <c r="H2351" s="2">
        <v>41183.0</v>
      </c>
      <c r="I2351" s="1" t="s">
        <v>4005</v>
      </c>
      <c r="K2351" s="1" t="s">
        <v>4005</v>
      </c>
      <c r="N2351" s="1" t="s">
        <v>40</v>
      </c>
      <c r="O2351" s="1">
        <v>7500.0</v>
      </c>
      <c r="P2351" s="1" t="s">
        <v>40</v>
      </c>
      <c r="Q2351" s="1" t="str">
        <f>IF(ISERROR(VLOOKUP(P2351,'unique fed agency names'!A:C,3,FALSE)),P2351,VLOOKUP(P2351,'unique fed agency names'!A:C,3,FALSE))
</f>
        <v>U.S. Department of Health and Human Services (DHHS)</v>
      </c>
      <c r="R2351" s="1">
        <v>7.3134603E7</v>
      </c>
      <c r="S2351" s="1" t="s">
        <v>41</v>
      </c>
      <c r="T2351" s="1" t="str">
        <f>IF(ISERROR(VLOOKUP(S2351,'unique org names'!A:C,3,FALSE)),S2351,VLOOKUP(S2351,'unique org names'!A:C,3,FALSE))
</f>
        <v>Henry Ford Health System</v>
      </c>
      <c r="U2351" s="1" t="s">
        <v>252</v>
      </c>
      <c r="V2351" s="1" t="s">
        <v>253</v>
      </c>
      <c r="W2351" s="1" t="s">
        <v>44</v>
      </c>
      <c r="X2351" s="1" t="s">
        <v>45</v>
      </c>
      <c r="Y2351" s="1">
        <v>4.8202345E8</v>
      </c>
      <c r="AA2351" s="1" t="s">
        <v>46</v>
      </c>
      <c r="AB2351" s="1" t="s">
        <v>45</v>
      </c>
      <c r="AC2351" s="1">
        <v>4.8202345E8</v>
      </c>
      <c r="AD2351" s="1">
        <v>7.3134603E7</v>
      </c>
      <c r="AE2351" s="1" t="s">
        <v>41</v>
      </c>
      <c r="AF2351" s="1">
        <v>10000.0</v>
      </c>
      <c r="AG2351" s="2">
        <v>41183.0</v>
      </c>
      <c r="AH2351" s="1">
        <v>7500.0</v>
      </c>
      <c r="AI2351" s="1" t="s">
        <v>40</v>
      </c>
      <c r="AJ2351" s="1">
        <v>2.013012E7</v>
      </c>
      <c r="AK2351" s="1" t="s">
        <v>4006</v>
      </c>
      <c r="AL2351" s="1">
        <v>10.0</v>
      </c>
      <c r="AM2351" s="1">
        <v>2012.0</v>
      </c>
      <c r="AN2351" s="1">
        <v>2013.0</v>
      </c>
      <c r="AO2351" s="1" t="s">
        <v>342</v>
      </c>
    </row>
    <row r="2352">
      <c r="A2352" s="5">
        <v>1.0</v>
      </c>
      <c r="B2352" s="1">
        <f t="shared" si="1"/>
        <v>2352</v>
      </c>
      <c r="C2352" s="1" t="s">
        <v>4004</v>
      </c>
      <c r="D2352" s="1" t="s">
        <v>4004</v>
      </c>
      <c r="E2352" s="1" t="s">
        <v>63</v>
      </c>
      <c r="G2352" s="1">
        <v>1039500.0</v>
      </c>
      <c r="H2352" s="2">
        <v>41913.0</v>
      </c>
      <c r="I2352" s="1" t="s">
        <v>4005</v>
      </c>
      <c r="K2352" s="1" t="s">
        <v>4005</v>
      </c>
      <c r="N2352" s="1" t="s">
        <v>40</v>
      </c>
      <c r="O2352" s="1">
        <v>7500.0</v>
      </c>
      <c r="P2352" s="1" t="s">
        <v>40</v>
      </c>
      <c r="Q2352" s="1" t="str">
        <f>IF(ISERROR(VLOOKUP(P2352,'unique fed agency names'!A:C,3,FALSE)),P2352,VLOOKUP(P2352,'unique fed agency names'!A:C,3,FALSE))
</f>
        <v>U.S. Department of Health and Human Services (DHHS)</v>
      </c>
      <c r="R2352" s="1">
        <v>7.3134603E7</v>
      </c>
      <c r="S2352" s="1" t="s">
        <v>41</v>
      </c>
      <c r="T2352" s="1" t="str">
        <f>IF(ISERROR(VLOOKUP(S2352,'unique org names'!A:C,3,FALSE)),S2352,VLOOKUP(S2352,'unique org names'!A:C,3,FALSE))
</f>
        <v>Henry Ford Health System</v>
      </c>
      <c r="U2352" s="1" t="s">
        <v>252</v>
      </c>
      <c r="V2352" s="1" t="s">
        <v>253</v>
      </c>
      <c r="W2352" s="1" t="s">
        <v>44</v>
      </c>
      <c r="X2352" s="1" t="s">
        <v>45</v>
      </c>
      <c r="Y2352" s="1">
        <v>4.8202345E8</v>
      </c>
      <c r="AA2352" s="1" t="s">
        <v>46</v>
      </c>
      <c r="AB2352" s="1" t="s">
        <v>45</v>
      </c>
      <c r="AC2352" s="1">
        <v>4.8202345E8</v>
      </c>
      <c r="AD2352" s="1">
        <v>7.3134603E7</v>
      </c>
      <c r="AE2352" s="1" t="s">
        <v>41</v>
      </c>
      <c r="AF2352" s="1">
        <v>7200.0</v>
      </c>
      <c r="AG2352" s="2">
        <v>41913.0</v>
      </c>
      <c r="AH2352" s="1">
        <v>7500.0</v>
      </c>
      <c r="AI2352" s="1" t="s">
        <v>40</v>
      </c>
      <c r="AJ2352" s="1">
        <v>2.0151238E7</v>
      </c>
      <c r="AK2352" s="1" t="s">
        <v>4006</v>
      </c>
      <c r="AL2352" s="1">
        <v>10.0</v>
      </c>
      <c r="AM2352" s="1">
        <v>2012.0</v>
      </c>
      <c r="AN2352" s="1">
        <v>2015.0</v>
      </c>
      <c r="AO2352" s="1" t="s">
        <v>342</v>
      </c>
    </row>
    <row r="2353">
      <c r="A2353" s="5">
        <v>1.0</v>
      </c>
      <c r="B2353" s="1">
        <f t="shared" si="1"/>
        <v>2353</v>
      </c>
      <c r="C2353" s="1" t="s">
        <v>3988</v>
      </c>
      <c r="D2353" s="1" t="s">
        <v>3988</v>
      </c>
      <c r="E2353" s="1" t="s">
        <v>645</v>
      </c>
      <c r="G2353" s="1">
        <v>5.6528832E7</v>
      </c>
      <c r="H2353" s="2">
        <v>41548.0</v>
      </c>
      <c r="I2353" s="1" t="s">
        <v>1577</v>
      </c>
      <c r="K2353" s="1" t="s">
        <v>1577</v>
      </c>
      <c r="N2353" s="1" t="s">
        <v>647</v>
      </c>
      <c r="O2353" s="1">
        <v>1200.0</v>
      </c>
      <c r="P2353" s="1" t="s">
        <v>647</v>
      </c>
      <c r="Q2353" s="1" t="str">
        <f>IF(ISERROR(VLOOKUP(P2353,'unique fed agency names'!A:C,3,FALSE)),P2353,VLOOKUP(P2353,'unique fed agency names'!A:C,3,FALSE))
</f>
        <v>U.S. Department of Agriculture (USDA)</v>
      </c>
      <c r="R2353" s="1">
        <v>7596352.0</v>
      </c>
      <c r="S2353" s="1" t="s">
        <v>73</v>
      </c>
      <c r="T2353" s="1" t="str">
        <f>IF(ISERROR(VLOOKUP(S2353,'unique org names'!A:C,3,FALSE)),S2353,VLOOKUP(S2353,'unique org names'!A:C,3,FALSE))
</f>
        <v>City Of Detroit</v>
      </c>
      <c r="V2353" s="1" t="s">
        <v>1578</v>
      </c>
      <c r="W2353" s="1" t="s">
        <v>44</v>
      </c>
      <c r="X2353" s="1" t="s">
        <v>45</v>
      </c>
      <c r="Y2353" s="1">
        <v>4.82263269E8</v>
      </c>
      <c r="AA2353" s="1" t="s">
        <v>46</v>
      </c>
      <c r="AB2353" s="1" t="s">
        <v>45</v>
      </c>
      <c r="AC2353" s="1">
        <v>4.82263269E8</v>
      </c>
      <c r="AD2353" s="1">
        <v>6530661.0</v>
      </c>
      <c r="AE2353" s="1" t="s">
        <v>76</v>
      </c>
      <c r="AF2353" s="1">
        <v>5050059.0</v>
      </c>
      <c r="AG2353" s="2">
        <v>41548.0</v>
      </c>
      <c r="AH2353" s="1">
        <v>1200.0</v>
      </c>
      <c r="AI2353" s="1" t="s">
        <v>647</v>
      </c>
      <c r="AJ2353" s="1">
        <v>2.0141454E7</v>
      </c>
      <c r="AK2353" s="1" t="s">
        <v>2826</v>
      </c>
      <c r="AL2353" s="1">
        <v>10.0</v>
      </c>
      <c r="AM2353" s="1">
        <v>2013.0</v>
      </c>
      <c r="AN2353" s="1">
        <v>2014.0</v>
      </c>
      <c r="AO2353" s="1" t="s">
        <v>1580</v>
      </c>
    </row>
    <row r="2354">
      <c r="A2354" s="5">
        <v>1.0</v>
      </c>
      <c r="B2354" s="1">
        <f t="shared" si="1"/>
        <v>2354</v>
      </c>
      <c r="C2354" s="1" t="s">
        <v>4007</v>
      </c>
      <c r="D2354" s="1" t="s">
        <v>4007</v>
      </c>
      <c r="E2354" s="1" t="s">
        <v>63</v>
      </c>
      <c r="G2354" s="1">
        <v>3.0692876E7</v>
      </c>
      <c r="H2354" s="2">
        <v>41913.0</v>
      </c>
      <c r="I2354" s="1" t="s">
        <v>4008</v>
      </c>
      <c r="K2354" s="1" t="s">
        <v>4008</v>
      </c>
      <c r="N2354" s="1" t="s">
        <v>40</v>
      </c>
      <c r="O2354" s="1">
        <v>7500.0</v>
      </c>
      <c r="P2354" s="1" t="s">
        <v>40</v>
      </c>
      <c r="Q2354" s="1" t="str">
        <f>IF(ISERROR(VLOOKUP(P2354,'unique fed agency names'!A:C,3,FALSE)),P2354,VLOOKUP(P2354,'unique fed agency names'!A:C,3,FALSE))
</f>
        <v>U.S. Department of Health and Human Services (DHHS)</v>
      </c>
      <c r="R2354" s="1">
        <v>1962224.0</v>
      </c>
      <c r="S2354" s="1" t="s">
        <v>52</v>
      </c>
      <c r="T2354" s="1" t="str">
        <f>IF(ISERROR(VLOOKUP(S2354,'unique org names'!A:C,3,FALSE)),S2354,VLOOKUP(S2354,'unique org names'!A:C,3,FALSE))
</f>
        <v>WAYNE STATE UNIVERSITY</v>
      </c>
      <c r="U2354" s="1" t="s">
        <v>2014</v>
      </c>
      <c r="V2354" s="1" t="s">
        <v>1885</v>
      </c>
      <c r="W2354" s="1" t="s">
        <v>44</v>
      </c>
      <c r="X2354" s="1" t="s">
        <v>45</v>
      </c>
      <c r="Y2354" s="1">
        <v>4.82021347E8</v>
      </c>
      <c r="AA2354" s="1" t="s">
        <v>46</v>
      </c>
      <c r="AB2354" s="1" t="s">
        <v>45</v>
      </c>
      <c r="AC2354" s="1">
        <v>4.82023692E8</v>
      </c>
      <c r="AD2354" s="1">
        <v>1962224.0</v>
      </c>
      <c r="AE2354" s="1" t="s">
        <v>52</v>
      </c>
      <c r="AF2354" s="1">
        <v>600000.0</v>
      </c>
      <c r="AG2354" s="2">
        <v>41913.0</v>
      </c>
      <c r="AH2354" s="1">
        <v>7500.0</v>
      </c>
      <c r="AI2354" s="1" t="s">
        <v>40</v>
      </c>
      <c r="AJ2354" s="1">
        <v>2.0151656E7</v>
      </c>
      <c r="AK2354" s="1" t="s">
        <v>4010</v>
      </c>
      <c r="AL2354" s="1">
        <v>10.0</v>
      </c>
      <c r="AM2354" s="1">
        <v>2011.0</v>
      </c>
      <c r="AN2354" s="1">
        <v>2015.0</v>
      </c>
      <c r="AO2354" s="1" t="s">
        <v>4011</v>
      </c>
    </row>
    <row r="2355">
      <c r="A2355" s="5">
        <v>1.0</v>
      </c>
      <c r="B2355" s="1">
        <f t="shared" si="1"/>
        <v>2355</v>
      </c>
      <c r="C2355" s="1" t="s">
        <v>3989</v>
      </c>
      <c r="D2355" s="1" t="s">
        <v>3989</v>
      </c>
      <c r="E2355" s="1" t="s">
        <v>645</v>
      </c>
      <c r="G2355" s="1">
        <v>3.2942648E7</v>
      </c>
      <c r="H2355" s="2">
        <v>41913.0</v>
      </c>
      <c r="I2355" s="1" t="s">
        <v>1577</v>
      </c>
      <c r="K2355" s="1" t="s">
        <v>1577</v>
      </c>
      <c r="N2355" s="1" t="s">
        <v>647</v>
      </c>
      <c r="O2355" s="1">
        <v>1200.0</v>
      </c>
      <c r="P2355" s="1" t="s">
        <v>647</v>
      </c>
      <c r="Q2355" s="1" t="str">
        <f>IF(ISERROR(VLOOKUP(P2355,'unique fed agency names'!A:C,3,FALSE)),P2355,VLOOKUP(P2355,'unique fed agency names'!A:C,3,FALSE))
</f>
        <v>U.S. Department of Agriculture (USDA)</v>
      </c>
      <c r="R2355" s="1">
        <v>7.6377316E7</v>
      </c>
      <c r="S2355" s="1" t="s">
        <v>2302</v>
      </c>
      <c r="T2355" s="1" t="str">
        <f>IF(ISERROR(VLOOKUP(S2355,'unique org names'!A:C,3,FALSE)),S2355,VLOOKUP(S2355,'unique org names'!A:C,3,FALSE))
</f>
        <v>VHS CHILDREN'S HOSPITAL OF MICHIGAN, INC.</v>
      </c>
      <c r="U2355" s="1" t="s">
        <v>4012</v>
      </c>
      <c r="V2355" s="1" t="s">
        <v>2303</v>
      </c>
      <c r="W2355" s="1" t="s">
        <v>44</v>
      </c>
      <c r="X2355" s="1" t="s">
        <v>45</v>
      </c>
      <c r="Y2355" s="1">
        <v>4.82012119E8</v>
      </c>
      <c r="AA2355" s="1" t="s">
        <v>46</v>
      </c>
      <c r="AB2355" s="1" t="s">
        <v>45</v>
      </c>
      <c r="AC2355" s="1">
        <v>4.82012119E8</v>
      </c>
      <c r="AD2355" s="1">
        <v>5.3866661E7</v>
      </c>
      <c r="AF2355" s="1">
        <v>10297.05</v>
      </c>
      <c r="AG2355" s="2">
        <v>41913.0</v>
      </c>
      <c r="AH2355" s="1">
        <v>1200.0</v>
      </c>
      <c r="AI2355" s="1" t="s">
        <v>647</v>
      </c>
      <c r="AJ2355" s="1">
        <v>2.0151652E7</v>
      </c>
      <c r="AK2355" s="1" t="s">
        <v>2826</v>
      </c>
      <c r="AL2355" s="1">
        <v>10.0</v>
      </c>
      <c r="AM2355" s="1">
        <v>2014.0</v>
      </c>
      <c r="AN2355" s="1">
        <v>2015.0</v>
      </c>
      <c r="AO2355" s="1" t="s">
        <v>1580</v>
      </c>
    </row>
    <row r="2356">
      <c r="A2356" s="5">
        <v>1.0</v>
      </c>
      <c r="B2356" s="1">
        <f t="shared" si="1"/>
        <v>2356</v>
      </c>
      <c r="C2356" s="1" t="s">
        <v>4033</v>
      </c>
      <c r="D2356" s="1" t="s">
        <v>4033</v>
      </c>
      <c r="E2356" s="1" t="s">
        <v>63</v>
      </c>
      <c r="G2356" s="1">
        <v>7.6172144E7</v>
      </c>
      <c r="H2356" s="2">
        <v>41183.0</v>
      </c>
      <c r="I2356" s="1" t="s">
        <v>4034</v>
      </c>
      <c r="K2356" s="1" t="s">
        <v>4034</v>
      </c>
      <c r="N2356" s="1" t="s">
        <v>40</v>
      </c>
      <c r="O2356" s="1">
        <v>7500.0</v>
      </c>
      <c r="P2356" s="1" t="s">
        <v>40</v>
      </c>
      <c r="Q2356" s="1" t="str">
        <f>IF(ISERROR(VLOOKUP(P2356,'unique fed agency names'!A:C,3,FALSE)),P2356,VLOOKUP(P2356,'unique fed agency names'!A:C,3,FALSE))
</f>
        <v>U.S. Department of Health and Human Services (DHHS)</v>
      </c>
      <c r="R2356" s="1">
        <v>7.8583404E7</v>
      </c>
      <c r="S2356" s="1" t="s">
        <v>65</v>
      </c>
      <c r="T2356" s="1" t="str">
        <f>IF(ISERROR(VLOOKUP(S2356,'unique org names'!A:C,3,FALSE)),S2356,VLOOKUP(S2356,'unique org names'!A:C,3,FALSE))
</f>
        <v>Institute for Population Health Inc.</v>
      </c>
      <c r="U2356" s="1" t="s">
        <v>2014</v>
      </c>
      <c r="V2356" s="1" t="s">
        <v>1573</v>
      </c>
      <c r="W2356" s="1" t="s">
        <v>44</v>
      </c>
      <c r="X2356" s="1" t="s">
        <v>45</v>
      </c>
      <c r="Y2356" s="1">
        <v>4.8207311E8</v>
      </c>
      <c r="AA2356" s="1" t="s">
        <v>46</v>
      </c>
      <c r="AB2356" s="1" t="s">
        <v>45</v>
      </c>
      <c r="AC2356" s="1">
        <v>4.82021732E8</v>
      </c>
      <c r="AD2356" s="1">
        <v>1.71384183E8</v>
      </c>
      <c r="AE2356" s="1" t="s">
        <v>2978</v>
      </c>
      <c r="AF2356" s="1">
        <v>67350.0</v>
      </c>
      <c r="AG2356" s="2">
        <v>41183.0</v>
      </c>
      <c r="AH2356" s="1">
        <v>7500.0</v>
      </c>
      <c r="AI2356" s="1" t="s">
        <v>40</v>
      </c>
      <c r="AJ2356" s="1">
        <v>2.01304E7</v>
      </c>
      <c r="AK2356" s="1" t="s">
        <v>4035</v>
      </c>
      <c r="AL2356" s="1">
        <v>10.0</v>
      </c>
      <c r="AM2356" s="1">
        <v>2011.0</v>
      </c>
      <c r="AN2356" s="1">
        <v>2013.0</v>
      </c>
      <c r="AO2356" s="1" t="s">
        <v>4036</v>
      </c>
    </row>
    <row r="2357">
      <c r="A2357" s="5">
        <v>1.0</v>
      </c>
      <c r="B2357" s="1">
        <f t="shared" si="1"/>
        <v>2357</v>
      </c>
      <c r="C2357" s="1" t="s">
        <v>4007</v>
      </c>
      <c r="D2357" s="1" t="s">
        <v>4007</v>
      </c>
      <c r="E2357" s="1" t="s">
        <v>63</v>
      </c>
      <c r="G2357" s="1">
        <v>3.0692876E7</v>
      </c>
      <c r="H2357" s="2">
        <v>41548.0</v>
      </c>
      <c r="I2357" s="1" t="s">
        <v>4008</v>
      </c>
      <c r="K2357" s="1" t="s">
        <v>4008</v>
      </c>
      <c r="N2357" s="1" t="s">
        <v>40</v>
      </c>
      <c r="O2357" s="1">
        <v>7500.0</v>
      </c>
      <c r="P2357" s="1" t="s">
        <v>40</v>
      </c>
      <c r="Q2357" s="1" t="str">
        <f>IF(ISERROR(VLOOKUP(P2357,'unique fed agency names'!A:C,3,FALSE)),P2357,VLOOKUP(P2357,'unique fed agency names'!A:C,3,FALSE))
</f>
        <v>U.S. Department of Health and Human Services (DHHS)</v>
      </c>
      <c r="R2357" s="1">
        <v>1962224.0</v>
      </c>
      <c r="S2357" s="1" t="s">
        <v>52</v>
      </c>
      <c r="T2357" s="1" t="str">
        <f>IF(ISERROR(VLOOKUP(S2357,'unique org names'!A:C,3,FALSE)),S2357,VLOOKUP(S2357,'unique org names'!A:C,3,FALSE))
</f>
        <v>WAYNE STATE UNIVERSITY</v>
      </c>
      <c r="U2357" s="1" t="s">
        <v>2077</v>
      </c>
      <c r="V2357" s="1" t="s">
        <v>1885</v>
      </c>
      <c r="W2357" s="1" t="s">
        <v>44</v>
      </c>
      <c r="X2357" s="1" t="s">
        <v>45</v>
      </c>
      <c r="Y2357" s="1">
        <v>4.82021347E8</v>
      </c>
      <c r="AA2357" s="1" t="s">
        <v>46</v>
      </c>
      <c r="AB2357" s="1" t="s">
        <v>45</v>
      </c>
      <c r="AC2357" s="1">
        <v>4.82023692E8</v>
      </c>
      <c r="AD2357" s="1">
        <v>1962224.0</v>
      </c>
      <c r="AE2357" s="1" t="s">
        <v>52</v>
      </c>
      <c r="AF2357" s="1">
        <v>0.0</v>
      </c>
      <c r="AG2357" s="2">
        <v>41548.0</v>
      </c>
      <c r="AH2357" s="1">
        <v>7500.0</v>
      </c>
      <c r="AI2357" s="1" t="s">
        <v>40</v>
      </c>
      <c r="AJ2357" s="1">
        <v>2.0141512E7</v>
      </c>
      <c r="AK2357" s="1" t="s">
        <v>4010</v>
      </c>
      <c r="AL2357" s="1">
        <v>10.0</v>
      </c>
      <c r="AM2357" s="1">
        <v>2011.0</v>
      </c>
      <c r="AN2357" s="1">
        <v>2014.0</v>
      </c>
      <c r="AO2357" s="1" t="s">
        <v>4011</v>
      </c>
    </row>
    <row r="2358">
      <c r="A2358" s="5">
        <v>1.0</v>
      </c>
      <c r="B2358" s="1">
        <f t="shared" si="1"/>
        <v>2358</v>
      </c>
      <c r="C2358" s="1" t="s">
        <v>3995</v>
      </c>
      <c r="D2358" s="1" t="s">
        <v>3995</v>
      </c>
      <c r="E2358" s="1" t="s">
        <v>63</v>
      </c>
      <c r="G2358" s="1">
        <v>6092441.0</v>
      </c>
      <c r="H2358" s="2">
        <v>41913.0</v>
      </c>
      <c r="I2358" s="1" t="s">
        <v>3996</v>
      </c>
      <c r="K2358" s="1" t="s">
        <v>3996</v>
      </c>
      <c r="N2358" s="1" t="s">
        <v>40</v>
      </c>
      <c r="O2358" s="1">
        <v>7500.0</v>
      </c>
      <c r="P2358" s="1" t="s">
        <v>40</v>
      </c>
      <c r="Q2358" s="1" t="str">
        <f>IF(ISERROR(VLOOKUP(P2358,'unique fed agency names'!A:C,3,FALSE)),P2358,VLOOKUP(P2358,'unique fed agency names'!A:C,3,FALSE))
</f>
        <v>U.S. Department of Health and Human Services (DHHS)</v>
      </c>
      <c r="R2358" s="1">
        <v>1.41947783E8</v>
      </c>
      <c r="S2358" s="1" t="s">
        <v>144</v>
      </c>
      <c r="T2358" s="1" t="str">
        <f>IF(ISERROR(VLOOKUP(S2358,'unique org names'!A:C,3,FALSE)),S2358,VLOOKUP(S2358,'unique org names'!A:C,3,FALSE))
</f>
        <v>St John Community Health Investment Corporation</v>
      </c>
      <c r="U2358" s="1" t="s">
        <v>1420</v>
      </c>
      <c r="V2358" s="1" t="s">
        <v>145</v>
      </c>
      <c r="W2358" s="1" t="s">
        <v>44</v>
      </c>
      <c r="X2358" s="1" t="s">
        <v>45</v>
      </c>
      <c r="Y2358" s="1">
        <v>4.82362148E8</v>
      </c>
      <c r="AA2358" s="1" t="s">
        <v>1454</v>
      </c>
      <c r="AB2358" s="1" t="s">
        <v>45</v>
      </c>
      <c r="AC2358" s="1">
        <v>4.80922468E8</v>
      </c>
      <c r="AD2358" s="1">
        <v>5.3343976E7</v>
      </c>
      <c r="AE2358" s="1" t="s">
        <v>1421</v>
      </c>
      <c r="AF2358" s="1">
        <v>22500.0</v>
      </c>
      <c r="AG2358" s="2">
        <v>41913.0</v>
      </c>
      <c r="AH2358" s="1">
        <v>7500.0</v>
      </c>
      <c r="AI2358" s="1" t="s">
        <v>40</v>
      </c>
      <c r="AJ2358" s="1">
        <v>2.0150229E7</v>
      </c>
      <c r="AK2358" s="1" t="s">
        <v>2931</v>
      </c>
      <c r="AL2358" s="1">
        <v>10.0</v>
      </c>
      <c r="AM2358" s="1">
        <v>2013.0</v>
      </c>
      <c r="AN2358" s="1">
        <v>2015.0</v>
      </c>
      <c r="AO2358" s="1" t="s">
        <v>3997</v>
      </c>
    </row>
    <row r="2359">
      <c r="A2359" s="5">
        <v>1.0</v>
      </c>
      <c r="B2359" s="1">
        <f t="shared" si="1"/>
        <v>2359</v>
      </c>
      <c r="C2359" s="1" t="s">
        <v>3995</v>
      </c>
      <c r="D2359" s="1" t="s">
        <v>3995</v>
      </c>
      <c r="E2359" s="1" t="s">
        <v>63</v>
      </c>
      <c r="G2359" s="1">
        <v>6092441.0</v>
      </c>
      <c r="H2359" s="2">
        <v>41548.0</v>
      </c>
      <c r="I2359" s="1" t="s">
        <v>3996</v>
      </c>
      <c r="K2359" s="1" t="s">
        <v>3996</v>
      </c>
      <c r="N2359" s="1" t="s">
        <v>40</v>
      </c>
      <c r="O2359" s="1">
        <v>7500.0</v>
      </c>
      <c r="P2359" s="1" t="s">
        <v>40</v>
      </c>
      <c r="Q2359" s="1" t="str">
        <f>IF(ISERROR(VLOOKUP(P2359,'unique fed agency names'!A:C,3,FALSE)),P2359,VLOOKUP(P2359,'unique fed agency names'!A:C,3,FALSE))
</f>
        <v>U.S. Department of Health and Human Services (DHHS)</v>
      </c>
      <c r="R2359" s="1">
        <v>1.41947783E8</v>
      </c>
      <c r="S2359" s="1" t="s">
        <v>144</v>
      </c>
      <c r="T2359" s="1" t="str">
        <f>IF(ISERROR(VLOOKUP(S2359,'unique org names'!A:C,3,FALSE)),S2359,VLOOKUP(S2359,'unique org names'!A:C,3,FALSE))
</f>
        <v>St John Community Health Investment Corporation</v>
      </c>
      <c r="U2359" s="1" t="s">
        <v>210</v>
      </c>
      <c r="V2359" s="1" t="s">
        <v>145</v>
      </c>
      <c r="W2359" s="1" t="s">
        <v>44</v>
      </c>
      <c r="X2359" s="1" t="s">
        <v>45</v>
      </c>
      <c r="Y2359" s="1">
        <v>4.82362148E8</v>
      </c>
      <c r="AA2359" s="1" t="s">
        <v>46</v>
      </c>
      <c r="AB2359" s="1" t="s">
        <v>45</v>
      </c>
      <c r="AC2359" s="1">
        <v>4.82362148E8</v>
      </c>
      <c r="AD2359" s="1">
        <v>3.8775243E7</v>
      </c>
      <c r="AE2359" s="1" t="s">
        <v>209</v>
      </c>
      <c r="AF2359" s="1">
        <v>7500.0</v>
      </c>
      <c r="AG2359" s="2">
        <v>41548.0</v>
      </c>
      <c r="AH2359" s="1">
        <v>7500.0</v>
      </c>
      <c r="AI2359" s="1" t="s">
        <v>40</v>
      </c>
      <c r="AJ2359" s="1">
        <v>2.0140231E7</v>
      </c>
      <c r="AK2359" s="1" t="s">
        <v>2931</v>
      </c>
      <c r="AL2359" s="1">
        <v>10.0</v>
      </c>
      <c r="AM2359" s="1">
        <v>2013.0</v>
      </c>
      <c r="AN2359" s="1">
        <v>2014.0</v>
      </c>
      <c r="AO2359" s="1" t="s">
        <v>3997</v>
      </c>
    </row>
    <row r="2360">
      <c r="A2360" s="5">
        <v>1.0</v>
      </c>
      <c r="B2360" s="1">
        <f t="shared" si="1"/>
        <v>2360</v>
      </c>
      <c r="C2360" s="1" t="s">
        <v>4038</v>
      </c>
      <c r="D2360" s="1" t="s">
        <v>4038</v>
      </c>
      <c r="E2360" s="1" t="s">
        <v>1446</v>
      </c>
      <c r="G2360" s="1">
        <v>1.2055408E7</v>
      </c>
      <c r="H2360" s="2">
        <v>41779.0</v>
      </c>
      <c r="I2360" s="1" t="s">
        <v>4039</v>
      </c>
      <c r="K2360" s="1" t="s">
        <v>4039</v>
      </c>
      <c r="N2360" s="1" t="s">
        <v>1079</v>
      </c>
      <c r="O2360" s="1">
        <v>7000.0</v>
      </c>
      <c r="P2360" s="1" t="s">
        <v>1079</v>
      </c>
      <c r="Q2360" s="1" t="str">
        <f>IF(ISERROR(VLOOKUP(P2360,'unique fed agency names'!A:C,3,FALSE)),P2360,VLOOKUP(P2360,'unique fed agency names'!A:C,3,FALSE))
</f>
        <v>U.S. Department of Homeland Security (DHS)</v>
      </c>
      <c r="R2360" s="1">
        <v>7.3134884E7</v>
      </c>
      <c r="S2360" s="1" t="s">
        <v>1796</v>
      </c>
      <c r="T2360" s="1" t="str">
        <f>IF(ISERROR(VLOOKUP(S2360,'unique org names'!A:C,3,FALSE)),S2360,VLOOKUP(S2360,'unique org names'!A:C,3,FALSE))
</f>
        <v>Wayne County</v>
      </c>
      <c r="V2360" s="1" t="s">
        <v>1855</v>
      </c>
      <c r="W2360" s="1" t="s">
        <v>44</v>
      </c>
      <c r="X2360" s="1" t="s">
        <v>45</v>
      </c>
      <c r="Y2360" s="1">
        <v>48226.0</v>
      </c>
      <c r="AA2360" s="1" t="s">
        <v>46</v>
      </c>
      <c r="AB2360" s="1" t="s">
        <v>45</v>
      </c>
      <c r="AC2360" s="1">
        <v>4.8226348E8</v>
      </c>
      <c r="AD2360" s="1">
        <v>7.3134884E7</v>
      </c>
      <c r="AE2360" s="1" t="s">
        <v>1796</v>
      </c>
      <c r="AF2360" s="1">
        <v>110074.0</v>
      </c>
      <c r="AG2360" s="2">
        <v>41779.0</v>
      </c>
      <c r="AH2360" s="1">
        <v>7000.0</v>
      </c>
      <c r="AI2360" s="1" t="s">
        <v>1079</v>
      </c>
      <c r="AJ2360" s="1" t="s">
        <v>4040</v>
      </c>
      <c r="AK2360" s="1" t="s">
        <v>4041</v>
      </c>
      <c r="AL2360" s="1">
        <v>10.0</v>
      </c>
      <c r="AM2360" s="1">
        <v>2013.0</v>
      </c>
      <c r="AN2360" s="1">
        <v>2014.0</v>
      </c>
      <c r="AO2360" s="1" t="s">
        <v>4042</v>
      </c>
    </row>
    <row r="2361">
      <c r="A2361" s="5">
        <v>1.0</v>
      </c>
      <c r="B2361" s="1">
        <f t="shared" si="1"/>
        <v>2361</v>
      </c>
      <c r="C2361" s="1" t="s">
        <v>4007</v>
      </c>
      <c r="D2361" s="1" t="s">
        <v>4007</v>
      </c>
      <c r="E2361" s="1" t="s">
        <v>63</v>
      </c>
      <c r="G2361" s="1">
        <v>3.0692876E7</v>
      </c>
      <c r="H2361" s="2">
        <v>41548.0</v>
      </c>
      <c r="I2361" s="1" t="s">
        <v>4008</v>
      </c>
      <c r="K2361" s="1" t="s">
        <v>4008</v>
      </c>
      <c r="N2361" s="1" t="s">
        <v>40</v>
      </c>
      <c r="O2361" s="1">
        <v>7500.0</v>
      </c>
      <c r="P2361" s="1" t="s">
        <v>40</v>
      </c>
      <c r="Q2361" s="1" t="str">
        <f>IF(ISERROR(VLOOKUP(P2361,'unique fed agency names'!A:C,3,FALSE)),P2361,VLOOKUP(P2361,'unique fed agency names'!A:C,3,FALSE))
</f>
        <v>U.S. Department of Health and Human Services (DHHS)</v>
      </c>
      <c r="R2361" s="1">
        <v>1962224.0</v>
      </c>
      <c r="S2361" s="1" t="s">
        <v>52</v>
      </c>
      <c r="T2361" s="1" t="str">
        <f>IF(ISERROR(VLOOKUP(S2361,'unique org names'!A:C,3,FALSE)),S2361,VLOOKUP(S2361,'unique org names'!A:C,3,FALSE))
</f>
        <v>WAYNE STATE UNIVERSITY</v>
      </c>
      <c r="U2361" s="1" t="s">
        <v>2077</v>
      </c>
      <c r="V2361" s="1" t="s">
        <v>1885</v>
      </c>
      <c r="W2361" s="1" t="s">
        <v>44</v>
      </c>
      <c r="X2361" s="1" t="s">
        <v>45</v>
      </c>
      <c r="Y2361" s="1">
        <v>4.82021347E8</v>
      </c>
      <c r="AA2361" s="1" t="s">
        <v>46</v>
      </c>
      <c r="AB2361" s="1" t="s">
        <v>45</v>
      </c>
      <c r="AC2361" s="1">
        <v>4.82023692E8</v>
      </c>
      <c r="AD2361" s="1">
        <v>1962224.0</v>
      </c>
      <c r="AE2361" s="1" t="s">
        <v>52</v>
      </c>
      <c r="AF2361" s="1">
        <v>700000.0</v>
      </c>
      <c r="AG2361" s="2">
        <v>41548.0</v>
      </c>
      <c r="AH2361" s="1">
        <v>7500.0</v>
      </c>
      <c r="AI2361" s="1" t="s">
        <v>40</v>
      </c>
      <c r="AJ2361" s="1">
        <v>2.0141512E7</v>
      </c>
      <c r="AK2361" s="1" t="s">
        <v>4010</v>
      </c>
      <c r="AL2361" s="1">
        <v>10.0</v>
      </c>
      <c r="AM2361" s="1">
        <v>2011.0</v>
      </c>
      <c r="AN2361" s="1">
        <v>2014.0</v>
      </c>
      <c r="AO2361" s="1" t="s">
        <v>4011</v>
      </c>
    </row>
    <row r="2362">
      <c r="A2362" s="5">
        <v>1.0</v>
      </c>
      <c r="B2362" s="1">
        <f t="shared" si="1"/>
        <v>2362</v>
      </c>
      <c r="C2362" s="1" t="s">
        <v>4007</v>
      </c>
      <c r="D2362" s="1" t="s">
        <v>4007</v>
      </c>
      <c r="E2362" s="1" t="s">
        <v>63</v>
      </c>
      <c r="G2362" s="1">
        <v>3.0692876E7</v>
      </c>
      <c r="H2362" s="2">
        <v>41183.0</v>
      </c>
      <c r="I2362" s="1" t="s">
        <v>4008</v>
      </c>
      <c r="K2362" s="1" t="s">
        <v>4008</v>
      </c>
      <c r="N2362" s="1" t="s">
        <v>40</v>
      </c>
      <c r="O2362" s="1">
        <v>7500.0</v>
      </c>
      <c r="P2362" s="1" t="s">
        <v>40</v>
      </c>
      <c r="Q2362" s="1" t="str">
        <f>IF(ISERROR(VLOOKUP(P2362,'unique fed agency names'!A:C,3,FALSE)),P2362,VLOOKUP(P2362,'unique fed agency names'!A:C,3,FALSE))
</f>
        <v>U.S. Department of Health and Human Services (DHHS)</v>
      </c>
      <c r="R2362" s="1">
        <v>1962224.0</v>
      </c>
      <c r="S2362" s="1" t="s">
        <v>52</v>
      </c>
      <c r="T2362" s="1" t="str">
        <f>IF(ISERROR(VLOOKUP(S2362,'unique org names'!A:C,3,FALSE)),S2362,VLOOKUP(S2362,'unique org names'!A:C,3,FALSE))
</f>
        <v>WAYNE STATE UNIVERSITY</v>
      </c>
      <c r="U2362" s="1" t="s">
        <v>4043</v>
      </c>
      <c r="V2362" s="1" t="s">
        <v>1885</v>
      </c>
      <c r="W2362" s="1" t="s">
        <v>44</v>
      </c>
      <c r="X2362" s="1" t="s">
        <v>45</v>
      </c>
      <c r="Y2362" s="1">
        <v>4.82021347E8</v>
      </c>
      <c r="AA2362" s="1" t="s">
        <v>46</v>
      </c>
      <c r="AB2362" s="1" t="s">
        <v>45</v>
      </c>
      <c r="AC2362" s="1">
        <v>4.82023692E8</v>
      </c>
      <c r="AD2362" s="1">
        <v>1962224.0</v>
      </c>
      <c r="AE2362" s="1" t="s">
        <v>52</v>
      </c>
      <c r="AF2362" s="1">
        <v>797000.0</v>
      </c>
      <c r="AG2362" s="2">
        <v>41183.0</v>
      </c>
      <c r="AH2362" s="1">
        <v>7500.0</v>
      </c>
      <c r="AI2362" s="1" t="s">
        <v>40</v>
      </c>
      <c r="AJ2362" s="1">
        <v>2.0131061E7</v>
      </c>
      <c r="AK2362" s="1" t="s">
        <v>4010</v>
      </c>
      <c r="AL2362" s="1">
        <v>10.0</v>
      </c>
      <c r="AM2362" s="1">
        <v>2011.0</v>
      </c>
      <c r="AN2362" s="1">
        <v>2013.0</v>
      </c>
      <c r="AO2362" s="1" t="s">
        <v>4011</v>
      </c>
    </row>
    <row r="2363">
      <c r="A2363" s="5">
        <v>1.0</v>
      </c>
      <c r="B2363" s="1">
        <f t="shared" si="1"/>
        <v>2363</v>
      </c>
      <c r="C2363" s="1" t="s">
        <v>4004</v>
      </c>
      <c r="D2363" s="1" t="s">
        <v>4004</v>
      </c>
      <c r="E2363" s="1" t="s">
        <v>63</v>
      </c>
      <c r="G2363" s="1">
        <v>1039500.0</v>
      </c>
      <c r="H2363" s="2">
        <v>41548.0</v>
      </c>
      <c r="I2363" s="1" t="s">
        <v>4005</v>
      </c>
      <c r="K2363" s="1" t="s">
        <v>4005</v>
      </c>
      <c r="N2363" s="1" t="s">
        <v>40</v>
      </c>
      <c r="O2363" s="1">
        <v>7500.0</v>
      </c>
      <c r="P2363" s="1" t="s">
        <v>40</v>
      </c>
      <c r="Q2363" s="1" t="str">
        <f>IF(ISERROR(VLOOKUP(P2363,'unique fed agency names'!A:C,3,FALSE)),P2363,VLOOKUP(P2363,'unique fed agency names'!A:C,3,FALSE))
</f>
        <v>U.S. Department of Health and Human Services (DHHS)</v>
      </c>
      <c r="R2363" s="1">
        <v>7.3134603E7</v>
      </c>
      <c r="S2363" s="1" t="s">
        <v>41</v>
      </c>
      <c r="T2363" s="1" t="str">
        <f>IF(ISERROR(VLOOKUP(S2363,'unique org names'!A:C,3,FALSE)),S2363,VLOOKUP(S2363,'unique org names'!A:C,3,FALSE))
</f>
        <v>Henry Ford Health System</v>
      </c>
      <c r="U2363" s="1" t="s">
        <v>252</v>
      </c>
      <c r="V2363" s="1" t="s">
        <v>253</v>
      </c>
      <c r="W2363" s="1" t="s">
        <v>44</v>
      </c>
      <c r="X2363" s="1" t="s">
        <v>45</v>
      </c>
      <c r="Y2363" s="1">
        <v>4.8202345E8</v>
      </c>
      <c r="AA2363" s="1" t="s">
        <v>46</v>
      </c>
      <c r="AB2363" s="1" t="s">
        <v>45</v>
      </c>
      <c r="AC2363" s="1">
        <v>4.8202345E8</v>
      </c>
      <c r="AD2363" s="1">
        <v>7.3134603E7</v>
      </c>
      <c r="AE2363" s="1" t="s">
        <v>41</v>
      </c>
      <c r="AF2363" s="1">
        <v>7200.0</v>
      </c>
      <c r="AG2363" s="2">
        <v>41548.0</v>
      </c>
      <c r="AH2363" s="1">
        <v>7500.0</v>
      </c>
      <c r="AI2363" s="1" t="s">
        <v>40</v>
      </c>
      <c r="AJ2363" s="1">
        <v>2.0140043E7</v>
      </c>
      <c r="AK2363" s="1" t="s">
        <v>4006</v>
      </c>
      <c r="AL2363" s="1">
        <v>10.0</v>
      </c>
      <c r="AM2363" s="1">
        <v>2012.0</v>
      </c>
      <c r="AN2363" s="1">
        <v>2014.0</v>
      </c>
      <c r="AO2363" s="1" t="s">
        <v>342</v>
      </c>
    </row>
    <row r="2364">
      <c r="A2364" s="5">
        <v>1.0</v>
      </c>
      <c r="B2364" s="1">
        <f t="shared" si="1"/>
        <v>2364</v>
      </c>
      <c r="C2364" s="1" t="s">
        <v>1297</v>
      </c>
      <c r="D2364" s="1" t="s">
        <v>1297</v>
      </c>
      <c r="E2364" s="1" t="s">
        <v>1281</v>
      </c>
      <c r="G2364" s="1">
        <v>4867566.0</v>
      </c>
      <c r="H2364" s="2">
        <v>41883.0</v>
      </c>
      <c r="I2364" s="1" t="s">
        <v>2610</v>
      </c>
      <c r="K2364" s="1" t="s">
        <v>2610</v>
      </c>
      <c r="N2364" s="1" t="s">
        <v>1281</v>
      </c>
      <c r="O2364" s="1">
        <v>9577.0</v>
      </c>
      <c r="P2364" s="1" t="s">
        <v>1281</v>
      </c>
      <c r="Q2364" s="1" t="str">
        <f>IF(ISERROR(VLOOKUP(P2364,'unique fed agency names'!A:C,3,FALSE)),P2364,VLOOKUP(P2364,'unique fed agency names'!A:C,3,FALSE))
</f>
        <v>Corporation for National and Community Service</v>
      </c>
      <c r="R2364" s="1">
        <v>1.81595232E8</v>
      </c>
      <c r="S2364" s="1" t="s">
        <v>1471</v>
      </c>
      <c r="T2364" s="1" t="str">
        <f>IF(ISERROR(VLOOKUP(S2364,'unique org names'!A:C,3,FALSE)),S2364,VLOOKUP(S2364,'unique org names'!A:C,3,FALSE))
</f>
        <v>WARM TRAINING CENTER</v>
      </c>
      <c r="V2364" s="1" t="s">
        <v>1472</v>
      </c>
      <c r="W2364" s="1" t="s">
        <v>44</v>
      </c>
      <c r="X2364" s="1" t="s">
        <v>45</v>
      </c>
      <c r="Y2364" s="1">
        <v>4.82103249E8</v>
      </c>
      <c r="AA2364" s="1" t="s">
        <v>46</v>
      </c>
      <c r="AB2364" s="1" t="s">
        <v>45</v>
      </c>
      <c r="AC2364" s="1">
        <v>4.82103249E8</v>
      </c>
      <c r="AD2364" s="1">
        <v>1.81595232E8</v>
      </c>
      <c r="AE2364" s="1" t="s">
        <v>1471</v>
      </c>
      <c r="AF2364" s="1">
        <v>224210.0</v>
      </c>
      <c r="AG2364" s="2">
        <v>41883.0</v>
      </c>
      <c r="AH2364" s="1">
        <v>9577.0</v>
      </c>
      <c r="AI2364" s="1" t="s">
        <v>1281</v>
      </c>
      <c r="AJ2364" s="1" t="s">
        <v>2823</v>
      </c>
      <c r="AK2364" s="1" t="s">
        <v>2824</v>
      </c>
      <c r="AL2364" s="1">
        <v>2.0</v>
      </c>
      <c r="AM2364" s="1">
        <v>2015.0</v>
      </c>
      <c r="AN2364" s="1">
        <v>2014.0</v>
      </c>
      <c r="AO2364" s="1" t="s">
        <v>1301</v>
      </c>
    </row>
    <row r="2365">
      <c r="A2365" s="5">
        <v>1.0</v>
      </c>
      <c r="B2365" s="1">
        <f t="shared" si="1"/>
        <v>2365</v>
      </c>
      <c r="C2365" s="1" t="s">
        <v>4013</v>
      </c>
      <c r="D2365" s="1" t="s">
        <v>4013</v>
      </c>
      <c r="E2365" s="1" t="s">
        <v>63</v>
      </c>
      <c r="G2365" s="1">
        <v>1.9608108E7</v>
      </c>
      <c r="H2365" s="2">
        <v>41913.0</v>
      </c>
      <c r="I2365" s="1" t="s">
        <v>4014</v>
      </c>
      <c r="K2365" s="1" t="s">
        <v>4014</v>
      </c>
      <c r="N2365" s="1" t="s">
        <v>40</v>
      </c>
      <c r="O2365" s="1">
        <v>7500.0</v>
      </c>
      <c r="P2365" s="1" t="s">
        <v>40</v>
      </c>
      <c r="Q2365" s="1" t="str">
        <f>IF(ISERROR(VLOOKUP(P2365,'unique fed agency names'!A:C,3,FALSE)),P2365,VLOOKUP(P2365,'unique fed agency names'!A:C,3,FALSE))
</f>
        <v>U.S. Department of Health and Human Services (DHHS)</v>
      </c>
      <c r="R2365" s="1">
        <v>7.3134603E7</v>
      </c>
      <c r="S2365" s="1" t="s">
        <v>41</v>
      </c>
      <c r="T2365" s="1" t="str">
        <f>IF(ISERROR(VLOOKUP(S2365,'unique org names'!A:C,3,FALSE)),S2365,VLOOKUP(S2365,'unique org names'!A:C,3,FALSE))
</f>
        <v>Henry Ford Health System</v>
      </c>
      <c r="U2365" s="1" t="s">
        <v>252</v>
      </c>
      <c r="V2365" s="1" t="s">
        <v>253</v>
      </c>
      <c r="W2365" s="1" t="s">
        <v>44</v>
      </c>
      <c r="X2365" s="1" t="s">
        <v>45</v>
      </c>
      <c r="Y2365" s="1">
        <v>4.8202345E8</v>
      </c>
      <c r="AA2365" s="1" t="s">
        <v>46</v>
      </c>
      <c r="AB2365" s="1" t="s">
        <v>45</v>
      </c>
      <c r="AC2365" s="1">
        <v>4.8202345E8</v>
      </c>
      <c r="AD2365" s="1">
        <v>7.3134603E7</v>
      </c>
      <c r="AE2365" s="1" t="s">
        <v>41</v>
      </c>
      <c r="AF2365" s="1">
        <v>50761.81</v>
      </c>
      <c r="AG2365" s="2">
        <v>41913.0</v>
      </c>
      <c r="AH2365" s="1">
        <v>7500.0</v>
      </c>
      <c r="AI2365" s="1" t="s">
        <v>40</v>
      </c>
      <c r="AJ2365" s="1">
        <v>2.0151237E7</v>
      </c>
      <c r="AK2365" s="1" t="s">
        <v>4015</v>
      </c>
      <c r="AL2365" s="1">
        <v>10.0</v>
      </c>
      <c r="AM2365" s="1">
        <v>2011.0</v>
      </c>
      <c r="AN2365" s="1">
        <v>2015.0</v>
      </c>
      <c r="AO2365" s="1" t="s">
        <v>4003</v>
      </c>
    </row>
    <row r="2366">
      <c r="A2366" s="5">
        <v>1.0</v>
      </c>
      <c r="B2366" s="1">
        <f t="shared" si="1"/>
        <v>2366</v>
      </c>
      <c r="C2366" s="1" t="s">
        <v>4013</v>
      </c>
      <c r="D2366" s="1" t="s">
        <v>4013</v>
      </c>
      <c r="E2366" s="1" t="s">
        <v>63</v>
      </c>
      <c r="G2366" s="1">
        <v>1.9608108E7</v>
      </c>
      <c r="H2366" s="2">
        <v>41913.0</v>
      </c>
      <c r="I2366" s="1" t="s">
        <v>4014</v>
      </c>
      <c r="K2366" s="1" t="s">
        <v>4014</v>
      </c>
      <c r="N2366" s="1" t="s">
        <v>40</v>
      </c>
      <c r="O2366" s="1">
        <v>7500.0</v>
      </c>
      <c r="P2366" s="1" t="s">
        <v>40</v>
      </c>
      <c r="Q2366" s="1" t="str">
        <f>IF(ISERROR(VLOOKUP(P2366,'unique fed agency names'!A:C,3,FALSE)),P2366,VLOOKUP(P2366,'unique fed agency names'!A:C,3,FALSE))
</f>
        <v>U.S. Department of Health and Human Services (DHHS)</v>
      </c>
      <c r="R2366" s="1">
        <v>8.48764171E8</v>
      </c>
      <c r="S2366" s="1" t="s">
        <v>1050</v>
      </c>
      <c r="T2366" s="1" t="str">
        <f>IF(ISERROR(VLOOKUP(S2366,'unique org names'!A:C,3,FALSE)),S2366,VLOOKUP(S2366,'unique org names'!A:C,3,FALSE))
</f>
        <v>AIDS Partnership Michigan, Inc</v>
      </c>
      <c r="U2366" s="1" t="s">
        <v>1051</v>
      </c>
      <c r="V2366" s="1" t="s">
        <v>4020</v>
      </c>
      <c r="W2366" s="1" t="s">
        <v>44</v>
      </c>
      <c r="X2366" s="1" t="s">
        <v>45</v>
      </c>
      <c r="Y2366" s="1">
        <v>4.82023042E8</v>
      </c>
      <c r="AA2366" s="1" t="s">
        <v>46</v>
      </c>
      <c r="AB2366" s="1" t="s">
        <v>45</v>
      </c>
      <c r="AC2366" s="1">
        <v>4.820741E8</v>
      </c>
      <c r="AD2366" s="1">
        <v>6.05058478E8</v>
      </c>
      <c r="AE2366" s="1" t="s">
        <v>2788</v>
      </c>
      <c r="AF2366" s="1">
        <v>26319.59</v>
      </c>
      <c r="AG2366" s="2">
        <v>41913.0</v>
      </c>
      <c r="AH2366" s="1">
        <v>7500.0</v>
      </c>
      <c r="AI2366" s="1" t="s">
        <v>40</v>
      </c>
      <c r="AJ2366" s="1">
        <v>2.0150656E7</v>
      </c>
      <c r="AK2366" s="1" t="s">
        <v>4015</v>
      </c>
      <c r="AL2366" s="1">
        <v>10.0</v>
      </c>
      <c r="AM2366" s="1">
        <v>2011.0</v>
      </c>
      <c r="AN2366" s="1">
        <v>2015.0</v>
      </c>
      <c r="AO2366" s="1" t="s">
        <v>4003</v>
      </c>
    </row>
    <row r="2367">
      <c r="A2367" s="5">
        <v>1.0</v>
      </c>
      <c r="B2367" s="1">
        <f t="shared" si="1"/>
        <v>2367</v>
      </c>
      <c r="C2367" s="1" t="s">
        <v>4013</v>
      </c>
      <c r="D2367" s="1" t="s">
        <v>4013</v>
      </c>
      <c r="E2367" s="1" t="s">
        <v>63</v>
      </c>
      <c r="G2367" s="1">
        <v>1.9608108E7</v>
      </c>
      <c r="H2367" s="2">
        <v>41913.0</v>
      </c>
      <c r="I2367" s="1" t="s">
        <v>4014</v>
      </c>
      <c r="K2367" s="1" t="s">
        <v>4014</v>
      </c>
      <c r="N2367" s="1" t="s">
        <v>40</v>
      </c>
      <c r="O2367" s="1">
        <v>7500.0</v>
      </c>
      <c r="P2367" s="1" t="s">
        <v>40</v>
      </c>
      <c r="Q2367" s="1" t="str">
        <f>IF(ISERROR(VLOOKUP(P2367,'unique fed agency names'!A:C,3,FALSE)),P2367,VLOOKUP(P2367,'unique fed agency names'!A:C,3,FALSE))
</f>
        <v>U.S. Department of Health and Human Services (DHHS)</v>
      </c>
      <c r="R2367" s="1">
        <v>1962224.0</v>
      </c>
      <c r="S2367" s="1" t="s">
        <v>52</v>
      </c>
      <c r="T2367" s="1" t="str">
        <f>IF(ISERROR(VLOOKUP(S2367,'unique org names'!A:C,3,FALSE)),S2367,VLOOKUP(S2367,'unique org names'!A:C,3,FALSE))
</f>
        <v>WAYNE STATE UNIVERSITY</v>
      </c>
      <c r="U2367" s="1" t="s">
        <v>1408</v>
      </c>
      <c r="V2367" s="1" t="s">
        <v>1885</v>
      </c>
      <c r="W2367" s="1" t="s">
        <v>44</v>
      </c>
      <c r="X2367" s="1" t="s">
        <v>45</v>
      </c>
      <c r="Y2367" s="1">
        <v>4.82021347E8</v>
      </c>
      <c r="AA2367" s="1" t="s">
        <v>46</v>
      </c>
      <c r="AB2367" s="1" t="s">
        <v>45</v>
      </c>
      <c r="AC2367" s="1">
        <v>4.82023692E8</v>
      </c>
      <c r="AD2367" s="1">
        <v>1962224.0</v>
      </c>
      <c r="AE2367" s="1" t="s">
        <v>52</v>
      </c>
      <c r="AF2367" s="1">
        <v>31680.0</v>
      </c>
      <c r="AG2367" s="2">
        <v>41913.0</v>
      </c>
      <c r="AH2367" s="1">
        <v>7500.0</v>
      </c>
      <c r="AI2367" s="1" t="s">
        <v>40</v>
      </c>
      <c r="AJ2367" s="1">
        <v>2.0151662E7</v>
      </c>
      <c r="AK2367" s="1" t="s">
        <v>4015</v>
      </c>
      <c r="AL2367" s="1">
        <v>10.0</v>
      </c>
      <c r="AM2367" s="1">
        <v>2011.0</v>
      </c>
      <c r="AN2367" s="1">
        <v>2015.0</v>
      </c>
      <c r="AO2367" s="1" t="s">
        <v>4003</v>
      </c>
    </row>
    <row r="2368">
      <c r="A2368" s="5">
        <v>1.0</v>
      </c>
      <c r="B2368" s="1">
        <f t="shared" si="1"/>
        <v>2368</v>
      </c>
      <c r="C2368" s="1" t="s">
        <v>4013</v>
      </c>
      <c r="D2368" s="1" t="s">
        <v>4013</v>
      </c>
      <c r="E2368" s="1" t="s">
        <v>63</v>
      </c>
      <c r="G2368" s="1">
        <v>1.9608108E7</v>
      </c>
      <c r="H2368" s="2">
        <v>41913.0</v>
      </c>
      <c r="I2368" s="1" t="s">
        <v>4014</v>
      </c>
      <c r="K2368" s="1" t="s">
        <v>4014</v>
      </c>
      <c r="N2368" s="1" t="s">
        <v>40</v>
      </c>
      <c r="O2368" s="1">
        <v>7500.0</v>
      </c>
      <c r="P2368" s="1" t="s">
        <v>40</v>
      </c>
      <c r="Q2368" s="1" t="str">
        <f>IF(ISERROR(VLOOKUP(P2368,'unique fed agency names'!A:C,3,FALSE)),P2368,VLOOKUP(P2368,'unique fed agency names'!A:C,3,FALSE))
</f>
        <v>U.S. Department of Health and Human Services (DHHS)</v>
      </c>
      <c r="R2368" s="1">
        <v>1.0107139E7</v>
      </c>
      <c r="S2368" s="1" t="s">
        <v>4021</v>
      </c>
      <c r="T2368" s="1" t="str">
        <f>IF(ISERROR(VLOOKUP(S2368,'unique org names'!A:C,3,FALSE)),S2368,VLOOKUP(S2368,'unique org names'!A:C,3,FALSE))
</f>
        <v>Sacred Heart Rehabilitation Center, Inc</v>
      </c>
      <c r="U2368" s="1" t="s">
        <v>2335</v>
      </c>
      <c r="V2368" s="1" t="s">
        <v>4023</v>
      </c>
      <c r="W2368" s="1" t="s">
        <v>44</v>
      </c>
      <c r="X2368" s="1" t="s">
        <v>45</v>
      </c>
      <c r="Y2368" s="1">
        <v>4.821364E8</v>
      </c>
      <c r="AA2368" s="1" t="s">
        <v>46</v>
      </c>
      <c r="AB2368" s="1" t="s">
        <v>45</v>
      </c>
      <c r="AC2368" s="1">
        <v>4.821364E8</v>
      </c>
      <c r="AD2368" s="1">
        <v>1.24863999E8</v>
      </c>
      <c r="AE2368" s="1" t="s">
        <v>2334</v>
      </c>
      <c r="AF2368" s="1">
        <v>6250.0</v>
      </c>
      <c r="AG2368" s="2">
        <v>41913.0</v>
      </c>
      <c r="AH2368" s="1">
        <v>7500.0</v>
      </c>
      <c r="AI2368" s="1" t="s">
        <v>40</v>
      </c>
      <c r="AJ2368" s="1">
        <v>2.0151797E7</v>
      </c>
      <c r="AK2368" s="1" t="s">
        <v>4015</v>
      </c>
      <c r="AL2368" s="1">
        <v>10.0</v>
      </c>
      <c r="AM2368" s="1">
        <v>2011.0</v>
      </c>
      <c r="AN2368" s="1">
        <v>2015.0</v>
      </c>
      <c r="AO2368" s="1" t="s">
        <v>4003</v>
      </c>
    </row>
    <row r="2369">
      <c r="A2369" s="5">
        <v>1.0</v>
      </c>
      <c r="B2369" s="1">
        <f t="shared" si="1"/>
        <v>2369</v>
      </c>
      <c r="C2369" s="1" t="s">
        <v>4013</v>
      </c>
      <c r="D2369" s="1" t="s">
        <v>4013</v>
      </c>
      <c r="E2369" s="1" t="s">
        <v>63</v>
      </c>
      <c r="G2369" s="1">
        <v>1.9608108E7</v>
      </c>
      <c r="H2369" s="2">
        <v>41913.0</v>
      </c>
      <c r="I2369" s="1" t="s">
        <v>4014</v>
      </c>
      <c r="K2369" s="1" t="s">
        <v>4014</v>
      </c>
      <c r="N2369" s="1" t="s">
        <v>40</v>
      </c>
      <c r="O2369" s="1">
        <v>7500.0</v>
      </c>
      <c r="P2369" s="1" t="s">
        <v>40</v>
      </c>
      <c r="Q2369" s="1" t="str">
        <f>IF(ISERROR(VLOOKUP(P2369,'unique fed agency names'!A:C,3,FALSE)),P2369,VLOOKUP(P2369,'unique fed agency names'!A:C,3,FALSE))
</f>
        <v>U.S. Department of Health and Human Services (DHHS)</v>
      </c>
      <c r="R2369" s="1">
        <v>1.98999146E8</v>
      </c>
      <c r="S2369" s="1" t="s">
        <v>999</v>
      </c>
      <c r="T2369" s="1" t="str">
        <f>IF(ISERROR(VLOOKUP(S2369,'unique org names'!A:C,3,FALSE)),S2369,VLOOKUP(S2369,'unique org names'!A:C,3,FALSE))
</f>
        <v>COMMUNITY HEALTH AWARENESS GROUP</v>
      </c>
      <c r="U2369" s="1" t="s">
        <v>4029</v>
      </c>
      <c r="V2369" s="1" t="s">
        <v>1000</v>
      </c>
      <c r="W2369" s="1" t="s">
        <v>44</v>
      </c>
      <c r="X2369" s="1" t="s">
        <v>45</v>
      </c>
      <c r="Y2369" s="1">
        <v>4.82263007E8</v>
      </c>
      <c r="AA2369" s="1" t="s">
        <v>46</v>
      </c>
      <c r="AB2369" s="1" t="s">
        <v>45</v>
      </c>
      <c r="AC2369" s="1">
        <v>4.82263007E8</v>
      </c>
      <c r="AD2369" s="1">
        <v>1.40133393E8</v>
      </c>
      <c r="AE2369" s="1" t="s">
        <v>4028</v>
      </c>
      <c r="AF2369" s="1">
        <v>28525.01</v>
      </c>
      <c r="AG2369" s="2">
        <v>41913.0</v>
      </c>
      <c r="AH2369" s="1">
        <v>7500.0</v>
      </c>
      <c r="AI2369" s="1" t="s">
        <v>40</v>
      </c>
      <c r="AJ2369" s="1">
        <v>2.0150666E7</v>
      </c>
      <c r="AK2369" s="1" t="s">
        <v>4015</v>
      </c>
      <c r="AL2369" s="1">
        <v>10.0</v>
      </c>
      <c r="AM2369" s="1">
        <v>2011.0</v>
      </c>
      <c r="AN2369" s="1">
        <v>2015.0</v>
      </c>
      <c r="AO2369" s="1" t="s">
        <v>4003</v>
      </c>
    </row>
    <row r="2370">
      <c r="A2370" s="5">
        <v>1.0</v>
      </c>
      <c r="B2370" s="1">
        <f t="shared" si="1"/>
        <v>2370</v>
      </c>
      <c r="C2370" s="1" t="s">
        <v>4013</v>
      </c>
      <c r="D2370" s="1" t="s">
        <v>4013</v>
      </c>
      <c r="E2370" s="1" t="s">
        <v>63</v>
      </c>
      <c r="G2370" s="1">
        <v>1.9608108E7</v>
      </c>
      <c r="H2370" s="2">
        <v>41913.0</v>
      </c>
      <c r="I2370" s="1" t="s">
        <v>4014</v>
      </c>
      <c r="K2370" s="1" t="s">
        <v>4014</v>
      </c>
      <c r="N2370" s="1" t="s">
        <v>40</v>
      </c>
      <c r="O2370" s="1">
        <v>7500.0</v>
      </c>
      <c r="P2370" s="1" t="s">
        <v>40</v>
      </c>
      <c r="Q2370" s="1" t="str">
        <f>IF(ISERROR(VLOOKUP(P2370,'unique fed agency names'!A:C,3,FALSE)),P2370,VLOOKUP(P2370,'unique fed agency names'!A:C,3,FALSE))
</f>
        <v>U.S. Department of Health and Human Services (DHHS)</v>
      </c>
      <c r="R2370" s="1">
        <v>2.0830303E7</v>
      </c>
      <c r="S2370" s="1" t="s">
        <v>424</v>
      </c>
      <c r="T2370" s="1" t="str">
        <f>IF(ISERROR(VLOOKUP(S2370,'unique org names'!A:C,3,FALSE)),S2370,VLOOKUP(S2370,'unique org names'!A:C,3,FALSE))
</f>
        <v>MATRIX HUMAN SERVICES</v>
      </c>
      <c r="U2370" s="1" t="s">
        <v>425</v>
      </c>
      <c r="V2370" s="1" t="s">
        <v>426</v>
      </c>
      <c r="W2370" s="1" t="s">
        <v>44</v>
      </c>
      <c r="X2370" s="1" t="s">
        <v>45</v>
      </c>
      <c r="Y2370" s="1">
        <v>4.82012002E8</v>
      </c>
      <c r="AA2370" s="1" t="s">
        <v>46</v>
      </c>
      <c r="AB2370" s="1" t="s">
        <v>45</v>
      </c>
      <c r="AC2370" s="1">
        <v>4.82012002E8</v>
      </c>
      <c r="AD2370" s="1">
        <v>2.0830303E7</v>
      </c>
      <c r="AE2370" s="1" t="s">
        <v>424</v>
      </c>
      <c r="AF2370" s="1">
        <v>22037.0</v>
      </c>
      <c r="AG2370" s="2">
        <v>41913.0</v>
      </c>
      <c r="AH2370" s="1">
        <v>7500.0</v>
      </c>
      <c r="AI2370" s="1" t="s">
        <v>40</v>
      </c>
      <c r="AJ2370" s="1">
        <v>2.0150694E7</v>
      </c>
      <c r="AK2370" s="1" t="s">
        <v>4015</v>
      </c>
      <c r="AL2370" s="1">
        <v>10.0</v>
      </c>
      <c r="AM2370" s="1">
        <v>2011.0</v>
      </c>
      <c r="AN2370" s="1">
        <v>2015.0</v>
      </c>
      <c r="AO2370" s="1" t="s">
        <v>4003</v>
      </c>
    </row>
    <row r="2371">
      <c r="A2371" s="5">
        <v>1.0</v>
      </c>
      <c r="B2371" s="1">
        <f t="shared" si="1"/>
        <v>2371</v>
      </c>
      <c r="C2371" s="1" t="s">
        <v>4013</v>
      </c>
      <c r="D2371" s="1" t="s">
        <v>4013</v>
      </c>
      <c r="E2371" s="1" t="s">
        <v>63</v>
      </c>
      <c r="G2371" s="1">
        <v>1.9608108E7</v>
      </c>
      <c r="H2371" s="2">
        <v>41913.0</v>
      </c>
      <c r="I2371" s="1" t="s">
        <v>4014</v>
      </c>
      <c r="K2371" s="1" t="s">
        <v>4014</v>
      </c>
      <c r="N2371" s="1" t="s">
        <v>40</v>
      </c>
      <c r="O2371" s="1">
        <v>7500.0</v>
      </c>
      <c r="P2371" s="1" t="s">
        <v>40</v>
      </c>
      <c r="Q2371" s="1" t="str">
        <f>IF(ISERROR(VLOOKUP(P2371,'unique fed agency names'!A:C,3,FALSE)),P2371,VLOOKUP(P2371,'unique fed agency names'!A:C,3,FALSE))
</f>
        <v>U.S. Department of Health and Human Services (DHHS)</v>
      </c>
      <c r="R2371" s="1">
        <v>1.98999146E8</v>
      </c>
      <c r="S2371" s="1" t="s">
        <v>999</v>
      </c>
      <c r="T2371" s="1" t="str">
        <f>IF(ISERROR(VLOOKUP(S2371,'unique org names'!A:C,3,FALSE)),S2371,VLOOKUP(S2371,'unique org names'!A:C,3,FALSE))
</f>
        <v>COMMUNITY HEALTH AWARENESS GROUP</v>
      </c>
      <c r="U2371" s="1" t="s">
        <v>4044</v>
      </c>
      <c r="V2371" s="1" t="s">
        <v>1000</v>
      </c>
      <c r="W2371" s="1" t="s">
        <v>44</v>
      </c>
      <c r="X2371" s="1" t="s">
        <v>45</v>
      </c>
      <c r="Y2371" s="1">
        <v>4.82263007E8</v>
      </c>
      <c r="AA2371" s="1" t="s">
        <v>46</v>
      </c>
      <c r="AB2371" s="1" t="s">
        <v>45</v>
      </c>
      <c r="AC2371" s="1">
        <v>4.82263007E8</v>
      </c>
      <c r="AD2371" s="1">
        <v>2.0885463E7</v>
      </c>
      <c r="AE2371" s="1" t="s">
        <v>4045</v>
      </c>
      <c r="AF2371" s="1">
        <v>53027.0</v>
      </c>
      <c r="AG2371" s="2">
        <v>41913.0</v>
      </c>
      <c r="AH2371" s="1">
        <v>7500.0</v>
      </c>
      <c r="AI2371" s="1" t="s">
        <v>40</v>
      </c>
      <c r="AJ2371" s="1">
        <v>2.0150666E7</v>
      </c>
      <c r="AK2371" s="1" t="s">
        <v>4015</v>
      </c>
      <c r="AL2371" s="1">
        <v>10.0</v>
      </c>
      <c r="AM2371" s="1">
        <v>2011.0</v>
      </c>
      <c r="AN2371" s="1">
        <v>2015.0</v>
      </c>
      <c r="AO2371" s="1" t="s">
        <v>4003</v>
      </c>
    </row>
    <row r="2372">
      <c r="A2372" s="5">
        <v>1.0</v>
      </c>
      <c r="B2372" s="1">
        <f t="shared" si="1"/>
        <v>2372</v>
      </c>
      <c r="C2372" s="1" t="s">
        <v>4013</v>
      </c>
      <c r="D2372" s="1" t="s">
        <v>4013</v>
      </c>
      <c r="E2372" s="1" t="s">
        <v>63</v>
      </c>
      <c r="G2372" s="1">
        <v>1.9608108E7</v>
      </c>
      <c r="H2372" s="2">
        <v>41913.0</v>
      </c>
      <c r="I2372" s="1" t="s">
        <v>4014</v>
      </c>
      <c r="K2372" s="1" t="s">
        <v>4014</v>
      </c>
      <c r="N2372" s="1" t="s">
        <v>40</v>
      </c>
      <c r="O2372" s="1">
        <v>7500.0</v>
      </c>
      <c r="P2372" s="1" t="s">
        <v>40</v>
      </c>
      <c r="Q2372" s="1" t="str">
        <f>IF(ISERROR(VLOOKUP(P2372,'unique fed agency names'!A:C,3,FALSE)),P2372,VLOOKUP(P2372,'unique fed agency names'!A:C,3,FALSE))
</f>
        <v>U.S. Department of Health and Human Services (DHHS)</v>
      </c>
      <c r="R2372" s="1">
        <v>8.48764171E8</v>
      </c>
      <c r="S2372" s="1" t="s">
        <v>1050</v>
      </c>
      <c r="T2372" s="1" t="str">
        <f>IF(ISERROR(VLOOKUP(S2372,'unique org names'!A:C,3,FALSE)),S2372,VLOOKUP(S2372,'unique org names'!A:C,3,FALSE))
</f>
        <v>AIDS Partnership Michigan, Inc</v>
      </c>
      <c r="U2372" s="1" t="s">
        <v>1051</v>
      </c>
      <c r="V2372" s="1" t="s">
        <v>4020</v>
      </c>
      <c r="W2372" s="1" t="s">
        <v>44</v>
      </c>
      <c r="X2372" s="1" t="s">
        <v>45</v>
      </c>
      <c r="Y2372" s="1">
        <v>4.82023042E8</v>
      </c>
      <c r="AA2372" s="1" t="s">
        <v>46</v>
      </c>
      <c r="AB2372" s="1" t="s">
        <v>45</v>
      </c>
      <c r="AC2372" s="1">
        <v>4.820741E8</v>
      </c>
      <c r="AF2372" s="1">
        <v>41840.0</v>
      </c>
      <c r="AG2372" s="2">
        <v>41913.0</v>
      </c>
      <c r="AH2372" s="1">
        <v>7500.0</v>
      </c>
      <c r="AI2372" s="1" t="s">
        <v>40</v>
      </c>
      <c r="AJ2372" s="1">
        <v>2.0150657E7</v>
      </c>
      <c r="AK2372" s="1" t="s">
        <v>4015</v>
      </c>
      <c r="AL2372" s="1">
        <v>10.0</v>
      </c>
      <c r="AM2372" s="1">
        <v>2011.0</v>
      </c>
      <c r="AN2372" s="1">
        <v>2015.0</v>
      </c>
      <c r="AO2372" s="1" t="s">
        <v>4003</v>
      </c>
    </row>
    <row r="2373">
      <c r="A2373" s="5">
        <v>1.0</v>
      </c>
      <c r="B2373" s="1">
        <f t="shared" si="1"/>
        <v>2373</v>
      </c>
      <c r="C2373" s="1" t="s">
        <v>4013</v>
      </c>
      <c r="D2373" s="1" t="s">
        <v>4013</v>
      </c>
      <c r="E2373" s="1" t="s">
        <v>63</v>
      </c>
      <c r="G2373" s="1">
        <v>1.9608108E7</v>
      </c>
      <c r="H2373" s="2">
        <v>41548.0</v>
      </c>
      <c r="I2373" s="1" t="s">
        <v>4014</v>
      </c>
      <c r="K2373" s="1" t="s">
        <v>4014</v>
      </c>
      <c r="N2373" s="1" t="s">
        <v>40</v>
      </c>
      <c r="O2373" s="1">
        <v>7500.0</v>
      </c>
      <c r="P2373" s="1" t="s">
        <v>40</v>
      </c>
      <c r="Q2373" s="1" t="str">
        <f>IF(ISERROR(VLOOKUP(P2373,'unique fed agency names'!A:C,3,FALSE)),P2373,VLOOKUP(P2373,'unique fed agency names'!A:C,3,FALSE))
</f>
        <v>U.S. Department of Health and Human Services (DHHS)</v>
      </c>
      <c r="R2373" s="1">
        <v>3.8775243E7</v>
      </c>
      <c r="S2373" s="1" t="s">
        <v>209</v>
      </c>
      <c r="T2373" s="1" t="str">
        <f>IF(ISERROR(VLOOKUP(S2373,'unique org names'!A:C,3,FALSE)),S2373,VLOOKUP(S2373,'unique org names'!A:C,3,FALSE))
</f>
        <v>SOUTHEASTERN MICHIGAN HEALTH ASSOCIATION</v>
      </c>
      <c r="U2373" s="1" t="s">
        <v>210</v>
      </c>
      <c r="V2373" s="1" t="s">
        <v>211</v>
      </c>
      <c r="W2373" s="1" t="s">
        <v>44</v>
      </c>
      <c r="X2373" s="1" t="s">
        <v>45</v>
      </c>
      <c r="Y2373" s="1">
        <v>4.82023068E8</v>
      </c>
      <c r="AA2373" s="1" t="s">
        <v>46</v>
      </c>
      <c r="AB2373" s="1" t="s">
        <v>45</v>
      </c>
      <c r="AC2373" s="1">
        <v>4.82023068E8</v>
      </c>
      <c r="AD2373" s="1">
        <v>3.8775243E7</v>
      </c>
      <c r="AE2373" s="1" t="s">
        <v>209</v>
      </c>
      <c r="AF2373" s="1">
        <v>232.97</v>
      </c>
      <c r="AG2373" s="2">
        <v>41548.0</v>
      </c>
      <c r="AH2373" s="1">
        <v>7500.0</v>
      </c>
      <c r="AI2373" s="1" t="s">
        <v>40</v>
      </c>
      <c r="AJ2373" s="1">
        <v>2.0140714E7</v>
      </c>
      <c r="AK2373" s="1" t="s">
        <v>4015</v>
      </c>
      <c r="AL2373" s="1">
        <v>10.0</v>
      </c>
      <c r="AM2373" s="1">
        <v>2011.0</v>
      </c>
      <c r="AN2373" s="1">
        <v>2014.0</v>
      </c>
      <c r="AO2373" s="1" t="s">
        <v>4003</v>
      </c>
    </row>
    <row r="2374">
      <c r="A2374" s="5">
        <v>1.0</v>
      </c>
      <c r="B2374" s="1">
        <f t="shared" si="1"/>
        <v>2374</v>
      </c>
      <c r="C2374" s="1" t="s">
        <v>4013</v>
      </c>
      <c r="D2374" s="1" t="s">
        <v>4013</v>
      </c>
      <c r="E2374" s="1" t="s">
        <v>63</v>
      </c>
      <c r="G2374" s="1">
        <v>1.9608108E7</v>
      </c>
      <c r="H2374" s="2">
        <v>41548.0</v>
      </c>
      <c r="I2374" s="1" t="s">
        <v>4014</v>
      </c>
      <c r="K2374" s="1" t="s">
        <v>4014</v>
      </c>
      <c r="N2374" s="1" t="s">
        <v>40</v>
      </c>
      <c r="O2374" s="1">
        <v>7500.0</v>
      </c>
      <c r="P2374" s="1" t="s">
        <v>40</v>
      </c>
      <c r="Q2374" s="1" t="str">
        <f>IF(ISERROR(VLOOKUP(P2374,'unique fed agency names'!A:C,3,FALSE)),P2374,VLOOKUP(P2374,'unique fed agency names'!A:C,3,FALSE))
</f>
        <v>U.S. Department of Health and Human Services (DHHS)</v>
      </c>
      <c r="R2374" s="1">
        <v>1.43407687E8</v>
      </c>
      <c r="S2374" s="1" t="s">
        <v>4016</v>
      </c>
      <c r="T2374" s="1" t="str">
        <f>IF(ISERROR(VLOOKUP(S2374,'unique org names'!A:C,3,FALSE)),S2374,VLOOKUP(S2374,'unique org names'!A:C,3,FALSE))
</f>
        <v>GOSPEL AGAINST AIDS INC</v>
      </c>
      <c r="U2374" s="1" t="s">
        <v>425</v>
      </c>
      <c r="V2374" s="1" t="s">
        <v>4018</v>
      </c>
      <c r="W2374" s="1" t="s">
        <v>44</v>
      </c>
      <c r="X2374" s="1" t="s">
        <v>45</v>
      </c>
      <c r="Y2374" s="1">
        <v>4.82023042E8</v>
      </c>
      <c r="AA2374" s="1" t="s">
        <v>46</v>
      </c>
      <c r="AB2374" s="1" t="s">
        <v>45</v>
      </c>
      <c r="AC2374" s="1">
        <v>4.820741E8</v>
      </c>
      <c r="AD2374" s="1">
        <v>2.0830303E7</v>
      </c>
      <c r="AE2374" s="1" t="s">
        <v>424</v>
      </c>
      <c r="AF2374" s="1">
        <v>23724.93</v>
      </c>
      <c r="AG2374" s="2">
        <v>41548.0</v>
      </c>
      <c r="AH2374" s="1">
        <v>7500.0</v>
      </c>
      <c r="AI2374" s="1" t="s">
        <v>40</v>
      </c>
      <c r="AJ2374" s="1">
        <v>2.0141553E7</v>
      </c>
      <c r="AK2374" s="1" t="s">
        <v>4015</v>
      </c>
      <c r="AL2374" s="1">
        <v>10.0</v>
      </c>
      <c r="AM2374" s="1">
        <v>2011.0</v>
      </c>
      <c r="AN2374" s="1">
        <v>2014.0</v>
      </c>
      <c r="AO2374" s="1" t="s">
        <v>4003</v>
      </c>
    </row>
    <row r="2375">
      <c r="A2375" s="5">
        <v>1.0</v>
      </c>
      <c r="B2375" s="1">
        <f t="shared" si="1"/>
        <v>2375</v>
      </c>
      <c r="C2375" s="1" t="s">
        <v>4013</v>
      </c>
      <c r="D2375" s="1" t="s">
        <v>4013</v>
      </c>
      <c r="E2375" s="1" t="s">
        <v>63</v>
      </c>
      <c r="G2375" s="1">
        <v>1.9608108E7</v>
      </c>
      <c r="H2375" s="2">
        <v>41548.0</v>
      </c>
      <c r="I2375" s="1" t="s">
        <v>4014</v>
      </c>
      <c r="K2375" s="1" t="s">
        <v>4014</v>
      </c>
      <c r="N2375" s="1" t="s">
        <v>40</v>
      </c>
      <c r="O2375" s="1">
        <v>7500.0</v>
      </c>
      <c r="P2375" s="1" t="s">
        <v>40</v>
      </c>
      <c r="Q2375" s="1" t="str">
        <f>IF(ISERROR(VLOOKUP(P2375,'unique fed agency names'!A:C,3,FALSE)),P2375,VLOOKUP(P2375,'unique fed agency names'!A:C,3,FALSE))
</f>
        <v>U.S. Department of Health and Human Services (DHHS)</v>
      </c>
      <c r="R2375" s="1">
        <v>8.48764171E8</v>
      </c>
      <c r="S2375" s="1" t="s">
        <v>1050</v>
      </c>
      <c r="T2375" s="1" t="str">
        <f>IF(ISERROR(VLOOKUP(S2375,'unique org names'!A:C,3,FALSE)),S2375,VLOOKUP(S2375,'unique org names'!A:C,3,FALSE))
</f>
        <v>AIDS Partnership Michigan, Inc</v>
      </c>
      <c r="U2375" s="1" t="s">
        <v>1051</v>
      </c>
      <c r="V2375" s="1" t="s">
        <v>4020</v>
      </c>
      <c r="W2375" s="1" t="s">
        <v>44</v>
      </c>
      <c r="X2375" s="1" t="s">
        <v>45</v>
      </c>
      <c r="Y2375" s="1">
        <v>4.82023042E8</v>
      </c>
      <c r="AA2375" s="1" t="s">
        <v>46</v>
      </c>
      <c r="AB2375" s="1" t="s">
        <v>45</v>
      </c>
      <c r="AC2375" s="1">
        <v>4.820741E8</v>
      </c>
      <c r="AF2375" s="1">
        <v>5082.0</v>
      </c>
      <c r="AG2375" s="2">
        <v>41548.0</v>
      </c>
      <c r="AH2375" s="1">
        <v>7500.0</v>
      </c>
      <c r="AI2375" s="1" t="s">
        <v>40</v>
      </c>
      <c r="AJ2375" s="1">
        <v>2.0141544E7</v>
      </c>
      <c r="AK2375" s="1" t="s">
        <v>4015</v>
      </c>
      <c r="AL2375" s="1">
        <v>10.0</v>
      </c>
      <c r="AM2375" s="1">
        <v>2011.0</v>
      </c>
      <c r="AN2375" s="1">
        <v>2014.0</v>
      </c>
      <c r="AO2375" s="1" t="s">
        <v>4003</v>
      </c>
    </row>
    <row r="2376">
      <c r="A2376" s="5">
        <v>1.0</v>
      </c>
      <c r="B2376" s="1">
        <f t="shared" si="1"/>
        <v>2376</v>
      </c>
      <c r="C2376" s="1" t="s">
        <v>4013</v>
      </c>
      <c r="D2376" s="1" t="s">
        <v>4013</v>
      </c>
      <c r="E2376" s="1" t="s">
        <v>63</v>
      </c>
      <c r="G2376" s="1">
        <v>1.9608108E7</v>
      </c>
      <c r="H2376" s="2">
        <v>41548.0</v>
      </c>
      <c r="I2376" s="1" t="s">
        <v>4014</v>
      </c>
      <c r="K2376" s="1" t="s">
        <v>4014</v>
      </c>
      <c r="N2376" s="1" t="s">
        <v>40</v>
      </c>
      <c r="O2376" s="1">
        <v>7500.0</v>
      </c>
      <c r="P2376" s="1" t="s">
        <v>40</v>
      </c>
      <c r="Q2376" s="1" t="str">
        <f>IF(ISERROR(VLOOKUP(P2376,'unique fed agency names'!A:C,3,FALSE)),P2376,VLOOKUP(P2376,'unique fed agency names'!A:C,3,FALSE))
</f>
        <v>U.S. Department of Health and Human Services (DHHS)</v>
      </c>
      <c r="R2376" s="1">
        <v>1.0107139E7</v>
      </c>
      <c r="S2376" s="1" t="s">
        <v>4021</v>
      </c>
      <c r="T2376" s="1" t="str">
        <f>IF(ISERROR(VLOOKUP(S2376,'unique org names'!A:C,3,FALSE)),S2376,VLOOKUP(S2376,'unique org names'!A:C,3,FALSE))
</f>
        <v>Sacred Heart Rehabilitation Center, Inc</v>
      </c>
      <c r="U2376" s="1" t="s">
        <v>4046</v>
      </c>
      <c r="V2376" s="1" t="s">
        <v>4023</v>
      </c>
      <c r="W2376" s="1" t="s">
        <v>44</v>
      </c>
      <c r="X2376" s="1" t="s">
        <v>45</v>
      </c>
      <c r="Y2376" s="1">
        <v>4.821364E8</v>
      </c>
      <c r="AA2376" s="1" t="s">
        <v>46</v>
      </c>
      <c r="AB2376" s="1" t="s">
        <v>45</v>
      </c>
      <c r="AC2376" s="1">
        <v>4.821364E8</v>
      </c>
      <c r="AD2376" s="1">
        <v>1.25919378E8</v>
      </c>
      <c r="AE2376" s="1" t="s">
        <v>2976</v>
      </c>
      <c r="AF2376" s="1">
        <v>8333.0</v>
      </c>
      <c r="AG2376" s="2">
        <v>41548.0</v>
      </c>
      <c r="AH2376" s="1">
        <v>7500.0</v>
      </c>
      <c r="AI2376" s="1" t="s">
        <v>40</v>
      </c>
      <c r="AJ2376" s="1">
        <v>2.0141589E7</v>
      </c>
      <c r="AK2376" s="1" t="s">
        <v>4015</v>
      </c>
      <c r="AL2376" s="1">
        <v>10.0</v>
      </c>
      <c r="AM2376" s="1">
        <v>2011.0</v>
      </c>
      <c r="AN2376" s="1">
        <v>2014.0</v>
      </c>
      <c r="AO2376" s="1" t="s">
        <v>4003</v>
      </c>
    </row>
    <row r="2377">
      <c r="A2377" s="5">
        <v>1.0</v>
      </c>
      <c r="B2377" s="1">
        <f t="shared" si="1"/>
        <v>2377</v>
      </c>
      <c r="C2377" s="1" t="s">
        <v>4013</v>
      </c>
      <c r="D2377" s="1" t="s">
        <v>4013</v>
      </c>
      <c r="E2377" s="1" t="s">
        <v>63</v>
      </c>
      <c r="G2377" s="1">
        <v>1.9608108E7</v>
      </c>
      <c r="H2377" s="2">
        <v>41548.0</v>
      </c>
      <c r="I2377" s="1" t="s">
        <v>4014</v>
      </c>
      <c r="K2377" s="1" t="s">
        <v>4014</v>
      </c>
      <c r="N2377" s="1" t="s">
        <v>40</v>
      </c>
      <c r="O2377" s="1">
        <v>7500.0</v>
      </c>
      <c r="P2377" s="1" t="s">
        <v>40</v>
      </c>
      <c r="Q2377" s="1" t="str">
        <f>IF(ISERROR(VLOOKUP(P2377,'unique fed agency names'!A:C,3,FALSE)),P2377,VLOOKUP(P2377,'unique fed agency names'!A:C,3,FALSE))
</f>
        <v>U.S. Department of Health and Human Services (DHHS)</v>
      </c>
      <c r="R2377" s="1">
        <v>9.4547247E7</v>
      </c>
      <c r="S2377" s="1" t="s">
        <v>2201</v>
      </c>
      <c r="T2377" s="1" t="str">
        <f>IF(ISERROR(VLOOKUP(S2377,'unique org names'!A:C,3,FALSE)),S2377,VLOOKUP(S2377,'unique org names'!A:C,3,FALSE))
</f>
        <v>Detroit Rescue Mission Ministries</v>
      </c>
      <c r="U2377" s="1" t="s">
        <v>2202</v>
      </c>
      <c r="V2377" s="1" t="s">
        <v>2203</v>
      </c>
      <c r="W2377" s="1" t="s">
        <v>44</v>
      </c>
      <c r="X2377" s="1" t="s">
        <v>45</v>
      </c>
      <c r="Y2377" s="1">
        <v>4.8201241E8</v>
      </c>
      <c r="AA2377" s="1" t="s">
        <v>46</v>
      </c>
      <c r="AB2377" s="1" t="s">
        <v>45</v>
      </c>
      <c r="AC2377" s="1">
        <v>4.8201241E8</v>
      </c>
      <c r="AD2377" s="1">
        <v>9.4547247E7</v>
      </c>
      <c r="AE2377" s="1" t="s">
        <v>2201</v>
      </c>
      <c r="AF2377" s="1">
        <v>8333.0</v>
      </c>
      <c r="AG2377" s="2">
        <v>41548.0</v>
      </c>
      <c r="AH2377" s="1">
        <v>7500.0</v>
      </c>
      <c r="AI2377" s="1" t="s">
        <v>40</v>
      </c>
      <c r="AJ2377" s="1">
        <v>2.0141591E7</v>
      </c>
      <c r="AK2377" s="1" t="s">
        <v>4015</v>
      </c>
      <c r="AL2377" s="1">
        <v>10.0</v>
      </c>
      <c r="AM2377" s="1">
        <v>2011.0</v>
      </c>
      <c r="AN2377" s="1">
        <v>2014.0</v>
      </c>
      <c r="AO2377" s="1" t="s">
        <v>4003</v>
      </c>
    </row>
    <row r="2378">
      <c r="A2378" s="5">
        <v>1.0</v>
      </c>
      <c r="B2378" s="1">
        <f t="shared" si="1"/>
        <v>2378</v>
      </c>
      <c r="C2378" s="1" t="s">
        <v>4013</v>
      </c>
      <c r="D2378" s="1" t="s">
        <v>4013</v>
      </c>
      <c r="E2378" s="1" t="s">
        <v>63</v>
      </c>
      <c r="G2378" s="1">
        <v>1.9608108E7</v>
      </c>
      <c r="H2378" s="2">
        <v>41548.0</v>
      </c>
      <c r="I2378" s="1" t="s">
        <v>4014</v>
      </c>
      <c r="K2378" s="1" t="s">
        <v>4014</v>
      </c>
      <c r="N2378" s="1" t="s">
        <v>40</v>
      </c>
      <c r="O2378" s="1">
        <v>7500.0</v>
      </c>
      <c r="P2378" s="1" t="s">
        <v>40</v>
      </c>
      <c r="Q2378" s="1" t="str">
        <f>IF(ISERROR(VLOOKUP(P2378,'unique fed agency names'!A:C,3,FALSE)),P2378,VLOOKUP(P2378,'unique fed agency names'!A:C,3,FALSE))
</f>
        <v>U.S. Department of Health and Human Services (DHHS)</v>
      </c>
      <c r="R2378" s="1">
        <v>1962224.0</v>
      </c>
      <c r="S2378" s="1" t="s">
        <v>52</v>
      </c>
      <c r="T2378" s="1" t="str">
        <f>IF(ISERROR(VLOOKUP(S2378,'unique org names'!A:C,3,FALSE)),S2378,VLOOKUP(S2378,'unique org names'!A:C,3,FALSE))
</f>
        <v>WAYNE STATE UNIVERSITY</v>
      </c>
      <c r="U2378" s="1" t="s">
        <v>1051</v>
      </c>
      <c r="V2378" s="1" t="s">
        <v>1885</v>
      </c>
      <c r="W2378" s="1" t="s">
        <v>44</v>
      </c>
      <c r="X2378" s="1" t="s">
        <v>45</v>
      </c>
      <c r="Y2378" s="1">
        <v>4.82021347E8</v>
      </c>
      <c r="AA2378" s="1" t="s">
        <v>46</v>
      </c>
      <c r="AB2378" s="1" t="s">
        <v>45</v>
      </c>
      <c r="AC2378" s="1">
        <v>4.82023692E8</v>
      </c>
      <c r="AD2378" s="1">
        <v>1962224.0</v>
      </c>
      <c r="AE2378" s="1" t="s">
        <v>52</v>
      </c>
      <c r="AF2378" s="1">
        <v>17232.19</v>
      </c>
      <c r="AG2378" s="2">
        <v>41548.0</v>
      </c>
      <c r="AH2378" s="1">
        <v>7500.0</v>
      </c>
      <c r="AI2378" s="1" t="s">
        <v>40</v>
      </c>
      <c r="AJ2378" s="1">
        <v>2.014151E7</v>
      </c>
      <c r="AK2378" s="1" t="s">
        <v>4015</v>
      </c>
      <c r="AL2378" s="1">
        <v>10.0</v>
      </c>
      <c r="AM2378" s="1">
        <v>2011.0</v>
      </c>
      <c r="AN2378" s="1">
        <v>2014.0</v>
      </c>
      <c r="AO2378" s="1" t="s">
        <v>4003</v>
      </c>
    </row>
    <row r="2379">
      <c r="A2379" s="5">
        <v>1.0</v>
      </c>
      <c r="B2379" s="1">
        <f t="shared" si="1"/>
        <v>2379</v>
      </c>
      <c r="C2379" s="1" t="s">
        <v>4013</v>
      </c>
      <c r="D2379" s="1" t="s">
        <v>4013</v>
      </c>
      <c r="E2379" s="1" t="s">
        <v>63</v>
      </c>
      <c r="G2379" s="1">
        <v>1.9608108E7</v>
      </c>
      <c r="H2379" s="2">
        <v>41183.0</v>
      </c>
      <c r="I2379" s="1" t="s">
        <v>4014</v>
      </c>
      <c r="K2379" s="1" t="s">
        <v>4014</v>
      </c>
      <c r="N2379" s="1" t="s">
        <v>40</v>
      </c>
      <c r="O2379" s="1">
        <v>7500.0</v>
      </c>
      <c r="P2379" s="1" t="s">
        <v>40</v>
      </c>
      <c r="Q2379" s="1" t="str">
        <f>IF(ISERROR(VLOOKUP(P2379,'unique fed agency names'!A:C,3,FALSE)),P2379,VLOOKUP(P2379,'unique fed agency names'!A:C,3,FALSE))
</f>
        <v>U.S. Department of Health and Human Services (DHHS)</v>
      </c>
      <c r="R2379" s="1">
        <v>1962224.0</v>
      </c>
      <c r="S2379" s="1" t="s">
        <v>52</v>
      </c>
      <c r="T2379" s="1" t="str">
        <f>IF(ISERROR(VLOOKUP(S2379,'unique org names'!A:C,3,FALSE)),S2379,VLOOKUP(S2379,'unique org names'!A:C,3,FALSE))
</f>
        <v>WAYNE STATE UNIVERSITY</v>
      </c>
      <c r="U2379" s="1" t="s">
        <v>425</v>
      </c>
      <c r="V2379" s="1" t="s">
        <v>1885</v>
      </c>
      <c r="W2379" s="1" t="s">
        <v>44</v>
      </c>
      <c r="X2379" s="1" t="s">
        <v>45</v>
      </c>
      <c r="Y2379" s="1">
        <v>4.82021347E8</v>
      </c>
      <c r="AA2379" s="1" t="s">
        <v>46</v>
      </c>
      <c r="AB2379" s="1" t="s">
        <v>45</v>
      </c>
      <c r="AC2379" s="1">
        <v>4.82023692E8</v>
      </c>
      <c r="AD2379" s="1">
        <v>1962224.0</v>
      </c>
      <c r="AE2379" s="1" t="s">
        <v>52</v>
      </c>
      <c r="AF2379" s="1">
        <v>190457.11</v>
      </c>
      <c r="AG2379" s="2">
        <v>41183.0</v>
      </c>
      <c r="AH2379" s="1">
        <v>7500.0</v>
      </c>
      <c r="AI2379" s="1" t="s">
        <v>40</v>
      </c>
      <c r="AJ2379" s="1">
        <v>2.0131059E7</v>
      </c>
      <c r="AK2379" s="1" t="s">
        <v>4015</v>
      </c>
      <c r="AL2379" s="1">
        <v>10.0</v>
      </c>
      <c r="AM2379" s="1">
        <v>2011.0</v>
      </c>
      <c r="AN2379" s="1">
        <v>2013.0</v>
      </c>
      <c r="AO2379" s="1" t="s">
        <v>4003</v>
      </c>
    </row>
    <row r="2380">
      <c r="A2380" s="5">
        <v>1.0</v>
      </c>
      <c r="B2380" s="1">
        <f t="shared" si="1"/>
        <v>2380</v>
      </c>
      <c r="C2380" s="1" t="s">
        <v>4013</v>
      </c>
      <c r="D2380" s="1" t="s">
        <v>4013</v>
      </c>
      <c r="E2380" s="1" t="s">
        <v>63</v>
      </c>
      <c r="G2380" s="1">
        <v>1.9608108E7</v>
      </c>
      <c r="H2380" s="2">
        <v>41183.0</v>
      </c>
      <c r="I2380" s="1" t="s">
        <v>4014</v>
      </c>
      <c r="K2380" s="1" t="s">
        <v>4014</v>
      </c>
      <c r="N2380" s="1" t="s">
        <v>40</v>
      </c>
      <c r="O2380" s="1">
        <v>7500.0</v>
      </c>
      <c r="P2380" s="1" t="s">
        <v>40</v>
      </c>
      <c r="Q2380" s="1" t="str">
        <f>IF(ISERROR(VLOOKUP(P2380,'unique fed agency names'!A:C,3,FALSE)),P2380,VLOOKUP(P2380,'unique fed agency names'!A:C,3,FALSE))
</f>
        <v>U.S. Department of Health and Human Services (DHHS)</v>
      </c>
      <c r="R2380" s="1">
        <v>7.90642933E8</v>
      </c>
      <c r="S2380" s="1" t="s">
        <v>1861</v>
      </c>
      <c r="T2380" s="1" t="str">
        <f>IF(ISERROR(VLOOKUP(S2380,'unique org names'!A:C,3,FALSE)),S2380,VLOOKUP(S2380,'unique org names'!A:C,3,FALSE))
</f>
        <v>UNIVERSITY PHYSICIAN GROUP</v>
      </c>
      <c r="U2380" s="1" t="s">
        <v>1862</v>
      </c>
      <c r="V2380" s="1" t="s">
        <v>1863</v>
      </c>
      <c r="W2380" s="1" t="s">
        <v>44</v>
      </c>
      <c r="X2380" s="1" t="s">
        <v>45</v>
      </c>
      <c r="Y2380" s="1">
        <v>4.82011908E8</v>
      </c>
      <c r="AA2380" s="1" t="s">
        <v>46</v>
      </c>
      <c r="AB2380" s="1" t="s">
        <v>45</v>
      </c>
      <c r="AC2380" s="1">
        <v>4.82011908E8</v>
      </c>
      <c r="AD2380" s="1">
        <v>7.90642933E8</v>
      </c>
      <c r="AE2380" s="1" t="s">
        <v>1861</v>
      </c>
      <c r="AF2380" s="1">
        <v>8333.0</v>
      </c>
      <c r="AG2380" s="2">
        <v>41183.0</v>
      </c>
      <c r="AH2380" s="1">
        <v>7500.0</v>
      </c>
      <c r="AI2380" s="1" t="s">
        <v>40</v>
      </c>
      <c r="AJ2380" s="1">
        <v>2.0133164E7</v>
      </c>
      <c r="AK2380" s="1" t="s">
        <v>4015</v>
      </c>
      <c r="AL2380" s="1">
        <v>10.0</v>
      </c>
      <c r="AM2380" s="1">
        <v>2011.0</v>
      </c>
      <c r="AN2380" s="1">
        <v>2013.0</v>
      </c>
      <c r="AO2380" s="1" t="s">
        <v>4003</v>
      </c>
    </row>
    <row r="2381">
      <c r="A2381" s="5">
        <v>1.0</v>
      </c>
      <c r="B2381" s="1">
        <f t="shared" si="1"/>
        <v>2381</v>
      </c>
      <c r="C2381" s="1" t="s">
        <v>4013</v>
      </c>
      <c r="D2381" s="1" t="s">
        <v>4013</v>
      </c>
      <c r="E2381" s="1" t="s">
        <v>63</v>
      </c>
      <c r="G2381" s="1">
        <v>1.9608108E7</v>
      </c>
      <c r="H2381" s="2">
        <v>41183.0</v>
      </c>
      <c r="I2381" s="1" t="s">
        <v>4014</v>
      </c>
      <c r="K2381" s="1" t="s">
        <v>4014</v>
      </c>
      <c r="N2381" s="1" t="s">
        <v>40</v>
      </c>
      <c r="O2381" s="1">
        <v>7500.0</v>
      </c>
      <c r="P2381" s="1" t="s">
        <v>40</v>
      </c>
      <c r="Q2381" s="1" t="str">
        <f>IF(ISERROR(VLOOKUP(P2381,'unique fed agency names'!A:C,3,FALSE)),P2381,VLOOKUP(P2381,'unique fed agency names'!A:C,3,FALSE))
</f>
        <v>U.S. Department of Health and Human Services (DHHS)</v>
      </c>
      <c r="R2381" s="1">
        <v>1.0107139E7</v>
      </c>
      <c r="S2381" s="1" t="s">
        <v>4021</v>
      </c>
      <c r="T2381" s="1" t="str">
        <f>IF(ISERROR(VLOOKUP(S2381,'unique org names'!A:C,3,FALSE)),S2381,VLOOKUP(S2381,'unique org names'!A:C,3,FALSE))
</f>
        <v>Sacred Heart Rehabilitation Center, Inc</v>
      </c>
      <c r="U2381" s="1" t="s">
        <v>2977</v>
      </c>
      <c r="V2381" s="1" t="s">
        <v>4023</v>
      </c>
      <c r="W2381" s="1" t="s">
        <v>44</v>
      </c>
      <c r="X2381" s="1" t="s">
        <v>45</v>
      </c>
      <c r="Y2381" s="1">
        <v>4.821364E8</v>
      </c>
      <c r="AA2381" s="1" t="s">
        <v>46</v>
      </c>
      <c r="AB2381" s="1" t="s">
        <v>45</v>
      </c>
      <c r="AC2381" s="1">
        <v>4.821364E8</v>
      </c>
      <c r="AF2381" s="1">
        <v>25000.0</v>
      </c>
      <c r="AG2381" s="2">
        <v>41183.0</v>
      </c>
      <c r="AH2381" s="1">
        <v>7500.0</v>
      </c>
      <c r="AI2381" s="1" t="s">
        <v>40</v>
      </c>
      <c r="AJ2381" s="1">
        <v>2.0133163E7</v>
      </c>
      <c r="AK2381" s="1" t="s">
        <v>4015</v>
      </c>
      <c r="AL2381" s="1">
        <v>10.0</v>
      </c>
      <c r="AM2381" s="1">
        <v>2011.0</v>
      </c>
      <c r="AN2381" s="1">
        <v>2013.0</v>
      </c>
      <c r="AO2381" s="1" t="s">
        <v>4003</v>
      </c>
    </row>
    <row r="2382">
      <c r="A2382" s="5">
        <v>1.0</v>
      </c>
      <c r="B2382" s="1">
        <f t="shared" si="1"/>
        <v>2382</v>
      </c>
      <c r="C2382" s="1" t="s">
        <v>4013</v>
      </c>
      <c r="D2382" s="1" t="s">
        <v>4013</v>
      </c>
      <c r="E2382" s="1" t="s">
        <v>63</v>
      </c>
      <c r="G2382" s="1">
        <v>1.9608108E7</v>
      </c>
      <c r="H2382" s="2">
        <v>41183.0</v>
      </c>
      <c r="I2382" s="1" t="s">
        <v>4014</v>
      </c>
      <c r="K2382" s="1" t="s">
        <v>4014</v>
      </c>
      <c r="N2382" s="1" t="s">
        <v>40</v>
      </c>
      <c r="O2382" s="1">
        <v>7500.0</v>
      </c>
      <c r="P2382" s="1" t="s">
        <v>40</v>
      </c>
      <c r="Q2382" s="1" t="str">
        <f>IF(ISERROR(VLOOKUP(P2382,'unique fed agency names'!A:C,3,FALSE)),P2382,VLOOKUP(P2382,'unique fed agency names'!A:C,3,FALSE))
</f>
        <v>U.S. Department of Health and Human Services (DHHS)</v>
      </c>
      <c r="R2382" s="1">
        <v>1.0107139E7</v>
      </c>
      <c r="S2382" s="1" t="s">
        <v>4021</v>
      </c>
      <c r="T2382" s="1" t="str">
        <f>IF(ISERROR(VLOOKUP(S2382,'unique org names'!A:C,3,FALSE)),S2382,VLOOKUP(S2382,'unique org names'!A:C,3,FALSE))
</f>
        <v>Sacred Heart Rehabilitation Center, Inc</v>
      </c>
      <c r="U2382" s="1" t="s">
        <v>2563</v>
      </c>
      <c r="V2382" s="1" t="s">
        <v>4023</v>
      </c>
      <c r="W2382" s="1" t="s">
        <v>44</v>
      </c>
      <c r="X2382" s="1" t="s">
        <v>45</v>
      </c>
      <c r="Y2382" s="1">
        <v>4.821364E8</v>
      </c>
      <c r="AA2382" s="1" t="s">
        <v>46</v>
      </c>
      <c r="AB2382" s="1" t="s">
        <v>45</v>
      </c>
      <c r="AC2382" s="1">
        <v>4.821364E8</v>
      </c>
      <c r="AD2382" s="1">
        <v>4.0574592E7</v>
      </c>
      <c r="AE2382" s="1" t="s">
        <v>2564</v>
      </c>
      <c r="AF2382" s="1">
        <v>25000.0</v>
      </c>
      <c r="AG2382" s="2">
        <v>41183.0</v>
      </c>
      <c r="AH2382" s="1">
        <v>7500.0</v>
      </c>
      <c r="AI2382" s="1" t="s">
        <v>40</v>
      </c>
      <c r="AJ2382" s="1">
        <v>2.0133161E7</v>
      </c>
      <c r="AK2382" s="1" t="s">
        <v>4015</v>
      </c>
      <c r="AL2382" s="1">
        <v>10.0</v>
      </c>
      <c r="AM2382" s="1">
        <v>2011.0</v>
      </c>
      <c r="AN2382" s="1">
        <v>2013.0</v>
      </c>
      <c r="AO2382" s="1" t="s">
        <v>4003</v>
      </c>
    </row>
    <row r="2383">
      <c r="A2383" s="5">
        <v>1.0</v>
      </c>
      <c r="B2383" s="1">
        <f t="shared" si="1"/>
        <v>2383</v>
      </c>
      <c r="C2383" s="1" t="s">
        <v>4013</v>
      </c>
      <c r="D2383" s="1" t="s">
        <v>4013</v>
      </c>
      <c r="E2383" s="1" t="s">
        <v>63</v>
      </c>
      <c r="G2383" s="1">
        <v>1.9608108E7</v>
      </c>
      <c r="H2383" s="2">
        <v>41183.0</v>
      </c>
      <c r="I2383" s="1" t="s">
        <v>4014</v>
      </c>
      <c r="K2383" s="1" t="s">
        <v>4014</v>
      </c>
      <c r="N2383" s="1" t="s">
        <v>40</v>
      </c>
      <c r="O2383" s="1">
        <v>7500.0</v>
      </c>
      <c r="P2383" s="1" t="s">
        <v>40</v>
      </c>
      <c r="Q2383" s="1" t="str">
        <f>IF(ISERROR(VLOOKUP(P2383,'unique fed agency names'!A:C,3,FALSE)),P2383,VLOOKUP(P2383,'unique fed agency names'!A:C,3,FALSE))
</f>
        <v>U.S. Department of Health and Human Services (DHHS)</v>
      </c>
      <c r="R2383" s="1">
        <v>7.3134603E7</v>
      </c>
      <c r="S2383" s="1" t="s">
        <v>41</v>
      </c>
      <c r="T2383" s="1" t="str">
        <f>IF(ISERROR(VLOOKUP(S2383,'unique org names'!A:C,3,FALSE)),S2383,VLOOKUP(S2383,'unique org names'!A:C,3,FALSE))
</f>
        <v>Henry Ford Health System</v>
      </c>
      <c r="U2383" s="1" t="s">
        <v>252</v>
      </c>
      <c r="V2383" s="1" t="s">
        <v>253</v>
      </c>
      <c r="W2383" s="1" t="s">
        <v>44</v>
      </c>
      <c r="X2383" s="1" t="s">
        <v>45</v>
      </c>
      <c r="Y2383" s="1">
        <v>4.8202345E8</v>
      </c>
      <c r="AA2383" s="1" t="s">
        <v>46</v>
      </c>
      <c r="AB2383" s="1" t="s">
        <v>45</v>
      </c>
      <c r="AC2383" s="1">
        <v>4.8202345E8</v>
      </c>
      <c r="AD2383" s="1">
        <v>7.3134603E7</v>
      </c>
      <c r="AE2383" s="1" t="s">
        <v>41</v>
      </c>
      <c r="AF2383" s="1">
        <v>166568.0</v>
      </c>
      <c r="AG2383" s="2">
        <v>41183.0</v>
      </c>
      <c r="AH2383" s="1">
        <v>7500.0</v>
      </c>
      <c r="AI2383" s="1" t="s">
        <v>40</v>
      </c>
      <c r="AJ2383" s="1">
        <v>2.0130114E7</v>
      </c>
      <c r="AK2383" s="1" t="s">
        <v>4015</v>
      </c>
      <c r="AL2383" s="1">
        <v>10.0</v>
      </c>
      <c r="AM2383" s="1">
        <v>2011.0</v>
      </c>
      <c r="AN2383" s="1">
        <v>2013.0</v>
      </c>
      <c r="AO2383" s="1" t="s">
        <v>4003</v>
      </c>
    </row>
    <row r="2384">
      <c r="A2384" s="5">
        <v>1.0</v>
      </c>
      <c r="B2384" s="1">
        <f t="shared" si="1"/>
        <v>2384</v>
      </c>
      <c r="C2384" s="1" t="s">
        <v>4013</v>
      </c>
      <c r="D2384" s="1" t="s">
        <v>4013</v>
      </c>
      <c r="E2384" s="1" t="s">
        <v>63</v>
      </c>
      <c r="G2384" s="1">
        <v>1.9608108E7</v>
      </c>
      <c r="H2384" s="2">
        <v>41183.0</v>
      </c>
      <c r="I2384" s="1" t="s">
        <v>4014</v>
      </c>
      <c r="K2384" s="1" t="s">
        <v>4014</v>
      </c>
      <c r="N2384" s="1" t="s">
        <v>40</v>
      </c>
      <c r="O2384" s="1">
        <v>7500.0</v>
      </c>
      <c r="P2384" s="1" t="s">
        <v>40</v>
      </c>
      <c r="Q2384" s="1" t="str">
        <f>IF(ISERROR(VLOOKUP(P2384,'unique fed agency names'!A:C,3,FALSE)),P2384,VLOOKUP(P2384,'unique fed agency names'!A:C,3,FALSE))
</f>
        <v>U.S. Department of Health and Human Services (DHHS)</v>
      </c>
      <c r="R2384" s="1">
        <v>1.40133393E8</v>
      </c>
      <c r="S2384" s="1" t="s">
        <v>4028</v>
      </c>
      <c r="T2384" s="1" t="str">
        <f>IF(ISERROR(VLOOKUP(S2384,'unique org names'!A:C,3,FALSE)),S2384,VLOOKUP(S2384,'unique org names'!A:C,3,FALSE))
</f>
        <v>Detroit Health Care for the Homeless dba Advantage Health Centers</v>
      </c>
      <c r="U2384" s="1" t="s">
        <v>4029</v>
      </c>
      <c r="V2384" s="1" t="s">
        <v>4030</v>
      </c>
      <c r="W2384" s="1" t="s">
        <v>44</v>
      </c>
      <c r="X2384" s="1" t="s">
        <v>45</v>
      </c>
      <c r="Y2384" s="1">
        <v>4.82353724E8</v>
      </c>
      <c r="AA2384" s="1" t="s">
        <v>46</v>
      </c>
      <c r="AB2384" s="1" t="s">
        <v>45</v>
      </c>
      <c r="AC2384" s="1">
        <v>4.82353724E8</v>
      </c>
      <c r="AD2384" s="1">
        <v>1.40133393E8</v>
      </c>
      <c r="AE2384" s="1" t="s">
        <v>4028</v>
      </c>
      <c r="AF2384" s="1">
        <v>168701.0</v>
      </c>
      <c r="AG2384" s="2">
        <v>41183.0</v>
      </c>
      <c r="AH2384" s="1">
        <v>7500.0</v>
      </c>
      <c r="AI2384" s="1" t="s">
        <v>40</v>
      </c>
      <c r="AJ2384" s="1">
        <v>2.0130217E7</v>
      </c>
      <c r="AK2384" s="1" t="s">
        <v>4015</v>
      </c>
      <c r="AL2384" s="1">
        <v>10.0</v>
      </c>
      <c r="AM2384" s="1">
        <v>2011.0</v>
      </c>
      <c r="AN2384" s="1">
        <v>2013.0</v>
      </c>
      <c r="AO2384" s="1" t="s">
        <v>4003</v>
      </c>
    </row>
    <row r="2385">
      <c r="A2385" s="5">
        <v>1.0</v>
      </c>
      <c r="B2385" s="1">
        <f t="shared" si="1"/>
        <v>2385</v>
      </c>
      <c r="C2385" s="1" t="s">
        <v>4013</v>
      </c>
      <c r="D2385" s="1" t="s">
        <v>4013</v>
      </c>
      <c r="E2385" s="1" t="s">
        <v>63</v>
      </c>
      <c r="G2385" s="1">
        <v>1.9608108E7</v>
      </c>
      <c r="H2385" s="2">
        <v>41183.0</v>
      </c>
      <c r="I2385" s="1" t="s">
        <v>4014</v>
      </c>
      <c r="K2385" s="1" t="s">
        <v>4014</v>
      </c>
      <c r="N2385" s="1" t="s">
        <v>40</v>
      </c>
      <c r="O2385" s="1">
        <v>7500.0</v>
      </c>
      <c r="P2385" s="1" t="s">
        <v>40</v>
      </c>
      <c r="Q2385" s="1" t="str">
        <f>IF(ISERROR(VLOOKUP(P2385,'unique fed agency names'!A:C,3,FALSE)),P2385,VLOOKUP(P2385,'unique fed agency names'!A:C,3,FALSE))
</f>
        <v>U.S. Department of Health and Human Services (DHHS)</v>
      </c>
      <c r="R2385" s="1">
        <v>3.8775243E7</v>
      </c>
      <c r="S2385" s="1" t="s">
        <v>209</v>
      </c>
      <c r="T2385" s="1" t="str">
        <f>IF(ISERROR(VLOOKUP(S2385,'unique org names'!A:C,3,FALSE)),S2385,VLOOKUP(S2385,'unique org names'!A:C,3,FALSE))
</f>
        <v>SOUTHEASTERN MICHIGAN HEALTH ASSOCIATION</v>
      </c>
      <c r="U2385" s="1" t="s">
        <v>210</v>
      </c>
      <c r="V2385" s="1" t="s">
        <v>211</v>
      </c>
      <c r="W2385" s="1" t="s">
        <v>44</v>
      </c>
      <c r="X2385" s="1" t="s">
        <v>45</v>
      </c>
      <c r="Y2385" s="1">
        <v>4.82023068E8</v>
      </c>
      <c r="AA2385" s="1" t="s">
        <v>46</v>
      </c>
      <c r="AB2385" s="1" t="s">
        <v>45</v>
      </c>
      <c r="AC2385" s="1">
        <v>4.82023068E8</v>
      </c>
      <c r="AD2385" s="1">
        <v>3.8775243E7</v>
      </c>
      <c r="AE2385" s="1" t="s">
        <v>209</v>
      </c>
      <c r="AF2385" s="1">
        <v>88517.0</v>
      </c>
      <c r="AG2385" s="2">
        <v>41183.0</v>
      </c>
      <c r="AH2385" s="1">
        <v>7500.0</v>
      </c>
      <c r="AI2385" s="1" t="s">
        <v>40</v>
      </c>
      <c r="AJ2385" s="1">
        <v>2.0131256E7</v>
      </c>
      <c r="AK2385" s="1" t="s">
        <v>4015</v>
      </c>
      <c r="AL2385" s="1">
        <v>10.0</v>
      </c>
      <c r="AM2385" s="1">
        <v>2011.0</v>
      </c>
      <c r="AN2385" s="1">
        <v>2013.0</v>
      </c>
      <c r="AO2385" s="1" t="s">
        <v>4003</v>
      </c>
    </row>
    <row r="2386">
      <c r="A2386" s="5">
        <v>1.0</v>
      </c>
      <c r="B2386" s="1">
        <f t="shared" si="1"/>
        <v>2386</v>
      </c>
      <c r="C2386" s="1" t="s">
        <v>4013</v>
      </c>
      <c r="D2386" s="1" t="s">
        <v>4013</v>
      </c>
      <c r="E2386" s="1" t="s">
        <v>63</v>
      </c>
      <c r="G2386" s="1">
        <v>1.9608108E7</v>
      </c>
      <c r="H2386" s="2">
        <v>41913.0</v>
      </c>
      <c r="I2386" s="1" t="s">
        <v>4014</v>
      </c>
      <c r="K2386" s="1" t="s">
        <v>4014</v>
      </c>
      <c r="N2386" s="1" t="s">
        <v>40</v>
      </c>
      <c r="O2386" s="1">
        <v>7500.0</v>
      </c>
      <c r="P2386" s="1" t="s">
        <v>40</v>
      </c>
      <c r="Q2386" s="1" t="str">
        <f>IF(ISERROR(VLOOKUP(P2386,'unique fed agency names'!A:C,3,FALSE)),P2386,VLOOKUP(P2386,'unique fed agency names'!A:C,3,FALSE))
</f>
        <v>U.S. Department of Health and Human Services (DHHS)</v>
      </c>
      <c r="R2386" s="1">
        <v>1962224.0</v>
      </c>
      <c r="S2386" s="1" t="s">
        <v>52</v>
      </c>
      <c r="T2386" s="1" t="str">
        <f>IF(ISERROR(VLOOKUP(S2386,'unique org names'!A:C,3,FALSE)),S2386,VLOOKUP(S2386,'unique org names'!A:C,3,FALSE))
</f>
        <v>WAYNE STATE UNIVERSITY</v>
      </c>
      <c r="V2386" s="1" t="s">
        <v>1885</v>
      </c>
      <c r="W2386" s="1" t="s">
        <v>44</v>
      </c>
      <c r="X2386" s="1" t="s">
        <v>45</v>
      </c>
      <c r="Y2386" s="1">
        <v>4.82021347E8</v>
      </c>
      <c r="AA2386" s="1" t="s">
        <v>46</v>
      </c>
      <c r="AB2386" s="1" t="s">
        <v>45</v>
      </c>
      <c r="AC2386" s="1">
        <v>4.82023692E8</v>
      </c>
      <c r="AD2386" s="1">
        <v>1962224.0</v>
      </c>
      <c r="AE2386" s="1" t="s">
        <v>52</v>
      </c>
      <c r="AF2386" s="1">
        <v>13881.8</v>
      </c>
      <c r="AG2386" s="2">
        <v>41913.0</v>
      </c>
      <c r="AH2386" s="1">
        <v>7500.0</v>
      </c>
      <c r="AI2386" s="1" t="s">
        <v>40</v>
      </c>
      <c r="AJ2386" s="1">
        <v>2.0151662E7</v>
      </c>
      <c r="AK2386" s="1" t="s">
        <v>4015</v>
      </c>
      <c r="AL2386" s="1">
        <v>10.0</v>
      </c>
      <c r="AM2386" s="1">
        <v>2011.0</v>
      </c>
      <c r="AN2386" s="1">
        <v>2015.0</v>
      </c>
      <c r="AO2386" s="1" t="s">
        <v>4003</v>
      </c>
    </row>
    <row r="2387">
      <c r="A2387" s="5">
        <v>1.0</v>
      </c>
      <c r="B2387" s="1">
        <f t="shared" si="1"/>
        <v>2387</v>
      </c>
      <c r="C2387" s="1" t="s">
        <v>4013</v>
      </c>
      <c r="D2387" s="1" t="s">
        <v>4013</v>
      </c>
      <c r="E2387" s="1" t="s">
        <v>63</v>
      </c>
      <c r="G2387" s="1">
        <v>1.9608108E7</v>
      </c>
      <c r="H2387" s="2">
        <v>41183.0</v>
      </c>
      <c r="I2387" s="1" t="s">
        <v>4014</v>
      </c>
      <c r="K2387" s="1" t="s">
        <v>4014</v>
      </c>
      <c r="N2387" s="1" t="s">
        <v>40</v>
      </c>
      <c r="O2387" s="1">
        <v>7500.0</v>
      </c>
      <c r="P2387" s="1" t="s">
        <v>40</v>
      </c>
      <c r="Q2387" s="1" t="str">
        <f>IF(ISERROR(VLOOKUP(P2387,'unique fed agency names'!A:C,3,FALSE)),P2387,VLOOKUP(P2387,'unique fed agency names'!A:C,3,FALSE))
</f>
        <v>U.S. Department of Health and Human Services (DHHS)</v>
      </c>
      <c r="R2387" s="1">
        <v>8.48764171E8</v>
      </c>
      <c r="S2387" s="1" t="s">
        <v>1050</v>
      </c>
      <c r="T2387" s="1" t="str">
        <f>IF(ISERROR(VLOOKUP(S2387,'unique org names'!A:C,3,FALSE)),S2387,VLOOKUP(S2387,'unique org names'!A:C,3,FALSE))
</f>
        <v>AIDS Partnership Michigan, Inc</v>
      </c>
      <c r="U2387" s="1" t="s">
        <v>1051</v>
      </c>
      <c r="V2387" s="1" t="s">
        <v>4020</v>
      </c>
      <c r="W2387" s="1" t="s">
        <v>44</v>
      </c>
      <c r="X2387" s="1" t="s">
        <v>45</v>
      </c>
      <c r="Y2387" s="1">
        <v>4.82023042E8</v>
      </c>
      <c r="AA2387" s="1" t="s">
        <v>46</v>
      </c>
      <c r="AB2387" s="1" t="s">
        <v>45</v>
      </c>
      <c r="AC2387" s="1">
        <v>4.820741E8</v>
      </c>
      <c r="AD2387" s="1">
        <v>2.0111969E7</v>
      </c>
      <c r="AE2387" s="1" t="s">
        <v>2015</v>
      </c>
      <c r="AF2387" s="1">
        <v>44030.0</v>
      </c>
      <c r="AG2387" s="2">
        <v>41183.0</v>
      </c>
      <c r="AH2387" s="1">
        <v>7500.0</v>
      </c>
      <c r="AI2387" s="1" t="s">
        <v>40</v>
      </c>
      <c r="AJ2387" s="1">
        <v>2.0130227E7</v>
      </c>
      <c r="AK2387" s="1" t="s">
        <v>4015</v>
      </c>
      <c r="AL2387" s="1">
        <v>10.0</v>
      </c>
      <c r="AM2387" s="1">
        <v>2011.0</v>
      </c>
      <c r="AN2387" s="1">
        <v>2013.0</v>
      </c>
      <c r="AO2387" s="1" t="s">
        <v>4003</v>
      </c>
    </row>
    <row r="2388">
      <c r="A2388" s="5">
        <v>1.0</v>
      </c>
      <c r="B2388" s="1">
        <f t="shared" si="1"/>
        <v>2388</v>
      </c>
      <c r="C2388" s="1" t="s">
        <v>4047</v>
      </c>
      <c r="D2388" s="1" t="s">
        <v>4047</v>
      </c>
      <c r="E2388" s="1" t="s">
        <v>645</v>
      </c>
      <c r="G2388" s="1">
        <v>3346681.0</v>
      </c>
      <c r="H2388" s="2">
        <v>42033.0</v>
      </c>
      <c r="I2388" s="1" t="s">
        <v>677</v>
      </c>
      <c r="K2388" s="1" t="s">
        <v>677</v>
      </c>
      <c r="N2388" s="1" t="s">
        <v>647</v>
      </c>
      <c r="O2388" s="1">
        <v>1200.0</v>
      </c>
      <c r="P2388" s="1" t="s">
        <v>647</v>
      </c>
      <c r="Q2388" s="1" t="str">
        <f>IF(ISERROR(VLOOKUP(P2388,'unique fed agency names'!A:C,3,FALSE)),P2388,VLOOKUP(P2388,'unique fed agency names'!A:C,3,FALSE))
</f>
        <v>U.S. Department of Agriculture (USDA)</v>
      </c>
      <c r="R2388" s="1">
        <v>7.6340843E7</v>
      </c>
      <c r="S2388" s="1" t="s">
        <v>461</v>
      </c>
      <c r="T2388" s="1" t="str">
        <f>IF(ISERROR(VLOOKUP(S2388,'unique org names'!A:C,3,FALSE)),S2388,VLOOKUP(S2388,'unique org names'!A:C,3,FALSE))
</f>
        <v>BOARD OF EDUCATION OF THE CITY OF DETROIT</v>
      </c>
      <c r="V2388" s="1" t="s">
        <v>1599</v>
      </c>
      <c r="W2388" s="1" t="s">
        <v>44</v>
      </c>
      <c r="X2388" s="1" t="s">
        <v>45</v>
      </c>
      <c r="Y2388" s="1">
        <v>4.8202301E8</v>
      </c>
      <c r="AA2388" s="1" t="s">
        <v>44</v>
      </c>
      <c r="AB2388" s="1" t="s">
        <v>45</v>
      </c>
      <c r="AC2388" s="1">
        <v>4.82023096E8</v>
      </c>
      <c r="AD2388" s="1">
        <v>7.6340843E7</v>
      </c>
      <c r="AE2388" s="1" t="s">
        <v>461</v>
      </c>
      <c r="AF2388" s="1">
        <v>632029.0</v>
      </c>
      <c r="AG2388" s="2">
        <v>42033.0</v>
      </c>
      <c r="AH2388" s="1">
        <v>1200.0</v>
      </c>
      <c r="AI2388" s="1" t="s">
        <v>647</v>
      </c>
      <c r="AJ2388" s="1" t="s">
        <v>4048</v>
      </c>
      <c r="AK2388" s="1" t="s">
        <v>712</v>
      </c>
      <c r="AL2388" s="1">
        <v>2.0</v>
      </c>
      <c r="AM2388" s="1">
        <v>2015.0</v>
      </c>
      <c r="AN2388" s="1">
        <v>2015.0</v>
      </c>
      <c r="AO2388" s="1" t="s">
        <v>680</v>
      </c>
    </row>
    <row r="2389">
      <c r="A2389" s="5">
        <v>1.0</v>
      </c>
      <c r="B2389" s="1">
        <f t="shared" si="1"/>
        <v>2389</v>
      </c>
      <c r="C2389" s="1" t="s">
        <v>4049</v>
      </c>
      <c r="D2389" s="1" t="s">
        <v>4049</v>
      </c>
      <c r="E2389" s="1" t="s">
        <v>1281</v>
      </c>
      <c r="G2389" s="1">
        <v>155000.0</v>
      </c>
      <c r="H2389" s="2">
        <v>42005.0</v>
      </c>
      <c r="I2389" s="1" t="s">
        <v>1338</v>
      </c>
      <c r="K2389" s="1" t="s">
        <v>1338</v>
      </c>
      <c r="N2389" s="1" t="s">
        <v>1281</v>
      </c>
      <c r="O2389" s="1">
        <v>9577.0</v>
      </c>
      <c r="P2389" s="1" t="s">
        <v>1281</v>
      </c>
      <c r="Q2389" s="1" t="str">
        <f>IF(ISERROR(VLOOKUP(P2389,'unique fed agency names'!A:C,3,FALSE)),P2389,VLOOKUP(P2389,'unique fed agency names'!A:C,3,FALSE))
</f>
        <v>Corporation for National and Community Service</v>
      </c>
      <c r="R2389" s="1">
        <v>8.59555054E8</v>
      </c>
      <c r="S2389" s="1" t="s">
        <v>1339</v>
      </c>
      <c r="T2389" s="1" t="str">
        <f>IF(ISERROR(VLOOKUP(S2389,'unique org names'!A:C,3,FALSE)),S2389,VLOOKUP(S2389,'unique org names'!A:C,3,FALSE))
</f>
        <v>VOLUNTEERS IN PREVENTION, PROBATION AND PRISONS, INC</v>
      </c>
      <c r="U2389" s="1" t="s">
        <v>1340</v>
      </c>
      <c r="V2389" s="1" t="s">
        <v>1341</v>
      </c>
      <c r="W2389" s="1" t="s">
        <v>44</v>
      </c>
      <c r="X2389" s="1" t="s">
        <v>45</v>
      </c>
      <c r="Y2389" s="1">
        <v>4.82261656E8</v>
      </c>
      <c r="AA2389" s="1" t="s">
        <v>44</v>
      </c>
      <c r="AB2389" s="1" t="s">
        <v>45</v>
      </c>
      <c r="AC2389" s="1">
        <v>4.82261656E8</v>
      </c>
      <c r="AF2389" s="1">
        <v>30000.0</v>
      </c>
      <c r="AG2389" s="2">
        <v>42005.0</v>
      </c>
      <c r="AH2389" s="1">
        <v>9577.0</v>
      </c>
      <c r="AI2389" s="1" t="s">
        <v>1281</v>
      </c>
      <c r="AJ2389" s="1" t="s">
        <v>4050</v>
      </c>
      <c r="AK2389" s="1" t="s">
        <v>4051</v>
      </c>
      <c r="AL2389" s="1">
        <v>2.0</v>
      </c>
      <c r="AM2389" s="1">
        <v>2015.0</v>
      </c>
      <c r="AN2389" s="1">
        <v>2015.0</v>
      </c>
      <c r="AO2389" s="1" t="s">
        <v>1344</v>
      </c>
    </row>
    <row r="2390">
      <c r="A2390" s="5">
        <v>1.0</v>
      </c>
      <c r="B2390" s="1">
        <f t="shared" si="1"/>
        <v>2390</v>
      </c>
      <c r="C2390" s="1" t="s">
        <v>1297</v>
      </c>
      <c r="D2390" s="1" t="s">
        <v>1297</v>
      </c>
      <c r="E2390" s="1" t="s">
        <v>1281</v>
      </c>
      <c r="G2390" s="1">
        <v>4867566.0</v>
      </c>
      <c r="H2390" s="2">
        <v>41883.0</v>
      </c>
      <c r="I2390" s="1" t="s">
        <v>2610</v>
      </c>
      <c r="K2390" s="1" t="s">
        <v>2610</v>
      </c>
      <c r="N2390" s="1" t="s">
        <v>1281</v>
      </c>
      <c r="O2390" s="1">
        <v>9577.0</v>
      </c>
      <c r="P2390" s="1" t="s">
        <v>1281</v>
      </c>
      <c r="Q2390" s="1" t="str">
        <f>IF(ISERROR(VLOOKUP(P2390,'unique fed agency names'!A:C,3,FALSE)),P2390,VLOOKUP(P2390,'unique fed agency names'!A:C,3,FALSE))
</f>
        <v>Corporation for National and Community Service</v>
      </c>
      <c r="R2390" s="1">
        <v>1.5900083E8</v>
      </c>
      <c r="S2390" s="1" t="s">
        <v>1292</v>
      </c>
      <c r="T2390" s="1" t="str">
        <f>IF(ISERROR(VLOOKUP(S2390,'unique org names'!A:C,3,FALSE)),S2390,VLOOKUP(S2390,'unique org names'!A:C,3,FALSE))
</f>
        <v>DETROIT PARENT NETWORK</v>
      </c>
      <c r="V2390" s="1" t="s">
        <v>1293</v>
      </c>
      <c r="W2390" s="1" t="s">
        <v>44</v>
      </c>
      <c r="X2390" s="1" t="s">
        <v>45</v>
      </c>
      <c r="Y2390" s="1">
        <v>4.82022715E8</v>
      </c>
      <c r="AA2390" s="1" t="s">
        <v>46</v>
      </c>
      <c r="AB2390" s="1" t="s">
        <v>45</v>
      </c>
      <c r="AC2390" s="1">
        <v>4.82022715E8</v>
      </c>
      <c r="AF2390" s="1">
        <v>318874.0</v>
      </c>
      <c r="AG2390" s="2">
        <v>41883.0</v>
      </c>
      <c r="AH2390" s="1">
        <v>9577.0</v>
      </c>
      <c r="AI2390" s="1" t="s">
        <v>1281</v>
      </c>
      <c r="AJ2390" s="1" t="s">
        <v>2793</v>
      </c>
      <c r="AK2390" s="1" t="s">
        <v>1300</v>
      </c>
      <c r="AL2390" s="1">
        <v>2.0</v>
      </c>
      <c r="AM2390" s="1">
        <v>2015.0</v>
      </c>
      <c r="AN2390" s="1">
        <v>2014.0</v>
      </c>
      <c r="AO2390" s="1" t="s">
        <v>1301</v>
      </c>
    </row>
    <row r="2391">
      <c r="A2391" s="5">
        <v>1.0</v>
      </c>
      <c r="B2391" s="1">
        <f t="shared" si="1"/>
        <v>2391</v>
      </c>
      <c r="C2391" s="1" t="s">
        <v>4033</v>
      </c>
      <c r="D2391" s="1" t="s">
        <v>4033</v>
      </c>
      <c r="E2391" s="1" t="s">
        <v>63</v>
      </c>
      <c r="G2391" s="1">
        <v>7.6172144E7</v>
      </c>
      <c r="H2391" s="2">
        <v>41548.0</v>
      </c>
      <c r="I2391" s="1" t="s">
        <v>4034</v>
      </c>
      <c r="K2391" s="1" t="s">
        <v>4034</v>
      </c>
      <c r="N2391" s="1" t="s">
        <v>40</v>
      </c>
      <c r="O2391" s="1">
        <v>7500.0</v>
      </c>
      <c r="P2391" s="1" t="s">
        <v>40</v>
      </c>
      <c r="Q2391" s="1" t="str">
        <f>IF(ISERROR(VLOOKUP(P2391,'unique fed agency names'!A:C,3,FALSE)),P2391,VLOOKUP(P2391,'unique fed agency names'!A:C,3,FALSE))
</f>
        <v>U.S. Department of Health and Human Services (DHHS)</v>
      </c>
      <c r="R2391" s="1">
        <v>1.7406606E7</v>
      </c>
      <c r="S2391" s="1" t="s">
        <v>1574</v>
      </c>
      <c r="T2391" s="1" t="str">
        <f>IF(ISERROR(VLOOKUP(S2391,'unique org names'!A:C,3,FALSE)),S2391,VLOOKUP(S2391,'unique org names'!A:C,3,FALSE))
</f>
        <v>Detroit Health Dept</v>
      </c>
      <c r="U2391" s="1" t="s">
        <v>1408</v>
      </c>
      <c r="V2391" s="1" t="s">
        <v>1575</v>
      </c>
      <c r="W2391" s="1" t="s">
        <v>44</v>
      </c>
      <c r="X2391" s="1" t="s">
        <v>45</v>
      </c>
      <c r="Y2391" s="1">
        <v>4.82282826E8</v>
      </c>
      <c r="AA2391" s="1" t="s">
        <v>46</v>
      </c>
      <c r="AB2391" s="1" t="s">
        <v>45</v>
      </c>
      <c r="AC2391" s="1">
        <v>4.82282826E8</v>
      </c>
      <c r="AD2391" s="1">
        <v>7.3134884E7</v>
      </c>
      <c r="AE2391" s="1" t="s">
        <v>1796</v>
      </c>
      <c r="AF2391" s="1">
        <v>72519.0</v>
      </c>
      <c r="AG2391" s="2">
        <v>41548.0</v>
      </c>
      <c r="AH2391" s="1">
        <v>7500.0</v>
      </c>
      <c r="AI2391" s="1" t="s">
        <v>40</v>
      </c>
      <c r="AJ2391" s="1">
        <v>2.0141454E7</v>
      </c>
      <c r="AK2391" s="1" t="s">
        <v>4035</v>
      </c>
      <c r="AL2391" s="1">
        <v>10.0</v>
      </c>
      <c r="AM2391" s="1">
        <v>2011.0</v>
      </c>
      <c r="AN2391" s="1">
        <v>2014.0</v>
      </c>
      <c r="AO2391" s="1" t="s">
        <v>4036</v>
      </c>
    </row>
    <row r="2392">
      <c r="A2392" s="5">
        <v>1.0</v>
      </c>
      <c r="B2392" s="1">
        <f t="shared" si="1"/>
        <v>2392</v>
      </c>
      <c r="C2392" s="1" t="s">
        <v>4013</v>
      </c>
      <c r="D2392" s="1" t="s">
        <v>4013</v>
      </c>
      <c r="E2392" s="1" t="s">
        <v>63</v>
      </c>
      <c r="G2392" s="1">
        <v>1.9608108E7</v>
      </c>
      <c r="H2392" s="2">
        <v>41913.0</v>
      </c>
      <c r="I2392" s="1" t="s">
        <v>4014</v>
      </c>
      <c r="K2392" s="1" t="s">
        <v>4014</v>
      </c>
      <c r="N2392" s="1" t="s">
        <v>40</v>
      </c>
      <c r="O2392" s="1">
        <v>7500.0</v>
      </c>
      <c r="P2392" s="1" t="s">
        <v>40</v>
      </c>
      <c r="Q2392" s="1" t="str">
        <f>IF(ISERROR(VLOOKUP(P2392,'unique fed agency names'!A:C,3,FALSE)),P2392,VLOOKUP(P2392,'unique fed agency names'!A:C,3,FALSE))
</f>
        <v>U.S. Department of Health and Human Services (DHHS)</v>
      </c>
      <c r="R2392" s="1">
        <v>3.7748076E7</v>
      </c>
      <c r="S2392" s="1" t="s">
        <v>4025</v>
      </c>
      <c r="T2392" s="1" t="str">
        <f>IF(ISERROR(VLOOKUP(S2392,'unique org names'!A:C,3,FALSE)),S2392,VLOOKUP(S2392,'unique org names'!A:C,3,FALSE))
</f>
        <v>VHS DETROIT RECEIVING HOSPITAL, INC.</v>
      </c>
      <c r="U2392" s="1" t="s">
        <v>4026</v>
      </c>
      <c r="V2392" s="1" t="s">
        <v>4027</v>
      </c>
      <c r="W2392" s="1" t="s">
        <v>44</v>
      </c>
      <c r="X2392" s="1" t="s">
        <v>45</v>
      </c>
      <c r="Y2392" s="1">
        <v>4.82012153E8</v>
      </c>
      <c r="AA2392" s="1" t="s">
        <v>46</v>
      </c>
      <c r="AB2392" s="1" t="s">
        <v>45</v>
      </c>
      <c r="AC2392" s="1">
        <v>4.82012153E8</v>
      </c>
      <c r="AD2392" s="1">
        <v>5.3866661E7</v>
      </c>
      <c r="AF2392" s="1">
        <v>33881.16</v>
      </c>
      <c r="AG2392" s="2">
        <v>41913.0</v>
      </c>
      <c r="AH2392" s="1">
        <v>7500.0</v>
      </c>
      <c r="AI2392" s="1" t="s">
        <v>40</v>
      </c>
      <c r="AJ2392" s="1">
        <v>2.0150702E7</v>
      </c>
      <c r="AK2392" s="1" t="s">
        <v>4015</v>
      </c>
      <c r="AL2392" s="1">
        <v>10.0</v>
      </c>
      <c r="AM2392" s="1">
        <v>2011.0</v>
      </c>
      <c r="AN2392" s="1">
        <v>2015.0</v>
      </c>
      <c r="AO2392" s="1" t="s">
        <v>4003</v>
      </c>
    </row>
    <row r="2393">
      <c r="A2393" s="5">
        <v>1.0</v>
      </c>
      <c r="B2393" s="1">
        <f t="shared" si="1"/>
        <v>2393</v>
      </c>
      <c r="C2393" s="1" t="s">
        <v>4013</v>
      </c>
      <c r="D2393" s="1" t="s">
        <v>4013</v>
      </c>
      <c r="E2393" s="1" t="s">
        <v>63</v>
      </c>
      <c r="G2393" s="1">
        <v>1.9608108E7</v>
      </c>
      <c r="H2393" s="2">
        <v>41913.0</v>
      </c>
      <c r="I2393" s="1" t="s">
        <v>4014</v>
      </c>
      <c r="K2393" s="1" t="s">
        <v>4014</v>
      </c>
      <c r="N2393" s="1" t="s">
        <v>40</v>
      </c>
      <c r="O2393" s="1">
        <v>7500.0</v>
      </c>
      <c r="P2393" s="1" t="s">
        <v>40</v>
      </c>
      <c r="Q2393" s="1" t="str">
        <f>IF(ISERROR(VLOOKUP(P2393,'unique fed agency names'!A:C,3,FALSE)),P2393,VLOOKUP(P2393,'unique fed agency names'!A:C,3,FALSE))
</f>
        <v>U.S. Department of Health and Human Services (DHHS)</v>
      </c>
      <c r="R2393" s="1">
        <v>8.48764171E8</v>
      </c>
      <c r="S2393" s="1" t="s">
        <v>1050</v>
      </c>
      <c r="T2393" s="1" t="str">
        <f>IF(ISERROR(VLOOKUP(S2393,'unique org names'!A:C,3,FALSE)),S2393,VLOOKUP(S2393,'unique org names'!A:C,3,FALSE))
</f>
        <v>AIDS Partnership Michigan, Inc</v>
      </c>
      <c r="U2393" s="1" t="s">
        <v>1051</v>
      </c>
      <c r="V2393" s="1" t="s">
        <v>4020</v>
      </c>
      <c r="W2393" s="1" t="s">
        <v>44</v>
      </c>
      <c r="X2393" s="1" t="s">
        <v>45</v>
      </c>
      <c r="Y2393" s="1">
        <v>4.82023042E8</v>
      </c>
      <c r="AA2393" s="1" t="s">
        <v>46</v>
      </c>
      <c r="AB2393" s="1" t="s">
        <v>45</v>
      </c>
      <c r="AC2393" s="1">
        <v>4.820741E8</v>
      </c>
      <c r="AD2393" s="1">
        <v>5.480424E7</v>
      </c>
      <c r="AE2393" s="1" t="s">
        <v>2967</v>
      </c>
      <c r="AF2393" s="1">
        <v>33207.84</v>
      </c>
      <c r="AG2393" s="2">
        <v>41913.0</v>
      </c>
      <c r="AH2393" s="1">
        <v>7500.0</v>
      </c>
      <c r="AI2393" s="1" t="s">
        <v>40</v>
      </c>
      <c r="AJ2393" s="1">
        <v>2.0150657E7</v>
      </c>
      <c r="AK2393" s="1" t="s">
        <v>4015</v>
      </c>
      <c r="AL2393" s="1">
        <v>10.0</v>
      </c>
      <c r="AM2393" s="1">
        <v>2011.0</v>
      </c>
      <c r="AN2393" s="1">
        <v>2015.0</v>
      </c>
      <c r="AO2393" s="1" t="s">
        <v>4003</v>
      </c>
    </row>
    <row r="2394">
      <c r="A2394" s="5">
        <v>1.0</v>
      </c>
      <c r="B2394" s="1">
        <f t="shared" si="1"/>
        <v>2394</v>
      </c>
      <c r="C2394" s="1" t="s">
        <v>4013</v>
      </c>
      <c r="D2394" s="1" t="s">
        <v>4013</v>
      </c>
      <c r="E2394" s="1" t="s">
        <v>63</v>
      </c>
      <c r="G2394" s="1">
        <v>1.9608108E7</v>
      </c>
      <c r="H2394" s="2">
        <v>41548.0</v>
      </c>
      <c r="I2394" s="1" t="s">
        <v>4014</v>
      </c>
      <c r="K2394" s="1" t="s">
        <v>4014</v>
      </c>
      <c r="N2394" s="1" t="s">
        <v>40</v>
      </c>
      <c r="O2394" s="1">
        <v>7500.0</v>
      </c>
      <c r="P2394" s="1" t="s">
        <v>40</v>
      </c>
      <c r="Q2394" s="1" t="str">
        <f>IF(ISERROR(VLOOKUP(P2394,'unique fed agency names'!A:C,3,FALSE)),P2394,VLOOKUP(P2394,'unique fed agency names'!A:C,3,FALSE))
</f>
        <v>U.S. Department of Health and Human Services (DHHS)</v>
      </c>
      <c r="R2394" s="1">
        <v>1.27458909E8</v>
      </c>
      <c r="S2394" s="1" t="s">
        <v>2195</v>
      </c>
      <c r="T2394" s="1" t="str">
        <f>IF(ISERROR(VLOOKUP(S2394,'unique org names'!A:C,3,FALSE)),S2394,VLOOKUP(S2394,'unique org names'!A:C,3,FALSE))
</f>
        <v>Mariners Inn</v>
      </c>
      <c r="U2394" s="1" t="s">
        <v>2974</v>
      </c>
      <c r="V2394" s="1" t="s">
        <v>2196</v>
      </c>
      <c r="W2394" s="1" t="s">
        <v>44</v>
      </c>
      <c r="X2394" s="1" t="s">
        <v>45</v>
      </c>
      <c r="Y2394" s="1">
        <v>4.82012641E8</v>
      </c>
      <c r="AA2394" s="1" t="s">
        <v>46</v>
      </c>
      <c r="AB2394" s="1" t="s">
        <v>45</v>
      </c>
      <c r="AC2394" s="1">
        <v>4.82012641E8</v>
      </c>
      <c r="AD2394" s="1">
        <v>1.25919378E8</v>
      </c>
      <c r="AE2394" s="1" t="s">
        <v>2976</v>
      </c>
      <c r="AF2394" s="1">
        <v>31249.0</v>
      </c>
      <c r="AG2394" s="2">
        <v>41548.0</v>
      </c>
      <c r="AH2394" s="1">
        <v>7500.0</v>
      </c>
      <c r="AI2394" s="1" t="s">
        <v>40</v>
      </c>
      <c r="AJ2394" s="1">
        <v>2.0141592E7</v>
      </c>
      <c r="AK2394" s="1" t="s">
        <v>4015</v>
      </c>
      <c r="AL2394" s="1">
        <v>10.0</v>
      </c>
      <c r="AM2394" s="1">
        <v>2011.0</v>
      </c>
      <c r="AN2394" s="1">
        <v>2014.0</v>
      </c>
      <c r="AO2394" s="1" t="s">
        <v>4003</v>
      </c>
    </row>
    <row r="2395">
      <c r="A2395" s="5">
        <v>1.0</v>
      </c>
      <c r="B2395" s="1">
        <f t="shared" si="1"/>
        <v>2395</v>
      </c>
      <c r="C2395" s="1" t="s">
        <v>4013</v>
      </c>
      <c r="D2395" s="1" t="s">
        <v>4013</v>
      </c>
      <c r="E2395" s="1" t="s">
        <v>63</v>
      </c>
      <c r="G2395" s="1">
        <v>1.9608108E7</v>
      </c>
      <c r="H2395" s="2">
        <v>41548.0</v>
      </c>
      <c r="I2395" s="1" t="s">
        <v>4014</v>
      </c>
      <c r="K2395" s="1" t="s">
        <v>4014</v>
      </c>
      <c r="N2395" s="1" t="s">
        <v>40</v>
      </c>
      <c r="O2395" s="1">
        <v>7500.0</v>
      </c>
      <c r="P2395" s="1" t="s">
        <v>40</v>
      </c>
      <c r="Q2395" s="1" t="str">
        <f>IF(ISERROR(VLOOKUP(P2395,'unique fed agency names'!A:C,3,FALSE)),P2395,VLOOKUP(P2395,'unique fed agency names'!A:C,3,FALSE))
</f>
        <v>U.S. Department of Health and Human Services (DHHS)</v>
      </c>
      <c r="R2395" s="1">
        <v>1.0107139E7</v>
      </c>
      <c r="S2395" s="1" t="s">
        <v>4021</v>
      </c>
      <c r="T2395" s="1" t="str">
        <f>IF(ISERROR(VLOOKUP(S2395,'unique org names'!A:C,3,FALSE)),S2395,VLOOKUP(S2395,'unique org names'!A:C,3,FALSE))
</f>
        <v>Sacred Heart Rehabilitation Center, Inc</v>
      </c>
      <c r="U2395" s="1" t="s">
        <v>4029</v>
      </c>
      <c r="V2395" s="1" t="s">
        <v>4023</v>
      </c>
      <c r="W2395" s="1" t="s">
        <v>44</v>
      </c>
      <c r="X2395" s="1" t="s">
        <v>45</v>
      </c>
      <c r="Y2395" s="1">
        <v>4.821364E8</v>
      </c>
      <c r="AA2395" s="1" t="s">
        <v>46</v>
      </c>
      <c r="AB2395" s="1" t="s">
        <v>45</v>
      </c>
      <c r="AC2395" s="1">
        <v>4.821364E8</v>
      </c>
      <c r="AD2395" s="1">
        <v>1.40133393E8</v>
      </c>
      <c r="AE2395" s="1" t="s">
        <v>4028</v>
      </c>
      <c r="AF2395" s="1">
        <v>25000.0</v>
      </c>
      <c r="AG2395" s="2">
        <v>41548.0</v>
      </c>
      <c r="AH2395" s="1">
        <v>7500.0</v>
      </c>
      <c r="AI2395" s="1" t="s">
        <v>40</v>
      </c>
      <c r="AJ2395" s="1">
        <v>2.0141586E7</v>
      </c>
      <c r="AK2395" s="1" t="s">
        <v>4015</v>
      </c>
      <c r="AL2395" s="1">
        <v>10.0</v>
      </c>
      <c r="AM2395" s="1">
        <v>2011.0</v>
      </c>
      <c r="AN2395" s="1">
        <v>2014.0</v>
      </c>
      <c r="AO2395" s="1" t="s">
        <v>4003</v>
      </c>
    </row>
    <row r="2396">
      <c r="A2396" s="5">
        <v>1.0</v>
      </c>
      <c r="B2396" s="1">
        <f t="shared" si="1"/>
        <v>2396</v>
      </c>
      <c r="C2396" s="1" t="s">
        <v>4013</v>
      </c>
      <c r="D2396" s="1" t="s">
        <v>4013</v>
      </c>
      <c r="E2396" s="1" t="s">
        <v>63</v>
      </c>
      <c r="G2396" s="1">
        <v>1.9608108E7</v>
      </c>
      <c r="H2396" s="2">
        <v>41548.0</v>
      </c>
      <c r="I2396" s="1" t="s">
        <v>4014</v>
      </c>
      <c r="K2396" s="1" t="s">
        <v>4014</v>
      </c>
      <c r="N2396" s="1" t="s">
        <v>40</v>
      </c>
      <c r="O2396" s="1">
        <v>7500.0</v>
      </c>
      <c r="P2396" s="1" t="s">
        <v>40</v>
      </c>
      <c r="Q2396" s="1" t="str">
        <f>IF(ISERROR(VLOOKUP(P2396,'unique fed agency names'!A:C,3,FALSE)),P2396,VLOOKUP(P2396,'unique fed agency names'!A:C,3,FALSE))
</f>
        <v>U.S. Department of Health and Human Services (DHHS)</v>
      </c>
      <c r="R2396" s="1">
        <v>1962224.0</v>
      </c>
      <c r="S2396" s="1" t="s">
        <v>52</v>
      </c>
      <c r="T2396" s="1" t="str">
        <f>IF(ISERROR(VLOOKUP(S2396,'unique org names'!A:C,3,FALSE)),S2396,VLOOKUP(S2396,'unique org names'!A:C,3,FALSE))
</f>
        <v>WAYNE STATE UNIVERSITY</v>
      </c>
      <c r="U2396" s="1" t="s">
        <v>2787</v>
      </c>
      <c r="V2396" s="1" t="s">
        <v>1885</v>
      </c>
      <c r="W2396" s="1" t="s">
        <v>44</v>
      </c>
      <c r="X2396" s="1" t="s">
        <v>45</v>
      </c>
      <c r="Y2396" s="1">
        <v>4.82021347E8</v>
      </c>
      <c r="AA2396" s="1" t="s">
        <v>46</v>
      </c>
      <c r="AB2396" s="1" t="s">
        <v>45</v>
      </c>
      <c r="AC2396" s="1">
        <v>4.82023692E8</v>
      </c>
      <c r="AD2396" s="1">
        <v>1962224.0</v>
      </c>
      <c r="AE2396" s="1" t="s">
        <v>52</v>
      </c>
      <c r="AF2396" s="1">
        <v>106500.0</v>
      </c>
      <c r="AG2396" s="2">
        <v>41548.0</v>
      </c>
      <c r="AH2396" s="1">
        <v>7500.0</v>
      </c>
      <c r="AI2396" s="1" t="s">
        <v>40</v>
      </c>
      <c r="AJ2396" s="1">
        <v>2.0141509E7</v>
      </c>
      <c r="AK2396" s="1" t="s">
        <v>4015</v>
      </c>
      <c r="AL2396" s="1">
        <v>10.0</v>
      </c>
      <c r="AM2396" s="1">
        <v>2011.0</v>
      </c>
      <c r="AN2396" s="1">
        <v>2014.0</v>
      </c>
      <c r="AO2396" s="1" t="s">
        <v>4003</v>
      </c>
    </row>
    <row r="2397">
      <c r="A2397" s="5">
        <v>1.0</v>
      </c>
      <c r="B2397" s="1">
        <f t="shared" si="1"/>
        <v>2397</v>
      </c>
      <c r="C2397" s="1" t="s">
        <v>4013</v>
      </c>
      <c r="D2397" s="1" t="s">
        <v>4013</v>
      </c>
      <c r="E2397" s="1" t="s">
        <v>63</v>
      </c>
      <c r="G2397" s="1">
        <v>1.9608108E7</v>
      </c>
      <c r="H2397" s="2">
        <v>41548.0</v>
      </c>
      <c r="I2397" s="1" t="s">
        <v>4014</v>
      </c>
      <c r="K2397" s="1" t="s">
        <v>4014</v>
      </c>
      <c r="N2397" s="1" t="s">
        <v>40</v>
      </c>
      <c r="O2397" s="1">
        <v>7500.0</v>
      </c>
      <c r="P2397" s="1" t="s">
        <v>40</v>
      </c>
      <c r="Q2397" s="1" t="str">
        <f>IF(ISERROR(VLOOKUP(P2397,'unique fed agency names'!A:C,3,FALSE)),P2397,VLOOKUP(P2397,'unique fed agency names'!A:C,3,FALSE))
</f>
        <v>U.S. Department of Health and Human Services (DHHS)</v>
      </c>
      <c r="R2397" s="1">
        <v>3.8775243E7</v>
      </c>
      <c r="S2397" s="1" t="s">
        <v>209</v>
      </c>
      <c r="T2397" s="1" t="str">
        <f>IF(ISERROR(VLOOKUP(S2397,'unique org names'!A:C,3,FALSE)),S2397,VLOOKUP(S2397,'unique org names'!A:C,3,FALSE))
</f>
        <v>SOUTHEASTERN MICHIGAN HEALTH ASSOCIATION</v>
      </c>
      <c r="U2397" s="1" t="s">
        <v>210</v>
      </c>
      <c r="V2397" s="1" t="s">
        <v>211</v>
      </c>
      <c r="W2397" s="1" t="s">
        <v>44</v>
      </c>
      <c r="X2397" s="1" t="s">
        <v>45</v>
      </c>
      <c r="Y2397" s="1">
        <v>4.82023068E8</v>
      </c>
      <c r="AA2397" s="1" t="s">
        <v>46</v>
      </c>
      <c r="AB2397" s="1" t="s">
        <v>45</v>
      </c>
      <c r="AC2397" s="1">
        <v>4.82023068E8</v>
      </c>
      <c r="AD2397" s="1">
        <v>3.8775243E7</v>
      </c>
      <c r="AE2397" s="1" t="s">
        <v>209</v>
      </c>
      <c r="AF2397" s="1">
        <v>0.0</v>
      </c>
      <c r="AG2397" s="2">
        <v>41548.0</v>
      </c>
      <c r="AH2397" s="1">
        <v>7500.0</v>
      </c>
      <c r="AI2397" s="1" t="s">
        <v>40</v>
      </c>
      <c r="AJ2397" s="1">
        <v>2.0140714E7</v>
      </c>
      <c r="AK2397" s="1" t="s">
        <v>4015</v>
      </c>
      <c r="AL2397" s="1">
        <v>10.0</v>
      </c>
      <c r="AM2397" s="1">
        <v>2011.0</v>
      </c>
      <c r="AN2397" s="1">
        <v>2014.0</v>
      </c>
      <c r="AO2397" s="1" t="s">
        <v>4003</v>
      </c>
    </row>
    <row r="2398">
      <c r="A2398" s="5">
        <v>1.0</v>
      </c>
      <c r="B2398" s="1">
        <f t="shared" si="1"/>
        <v>2398</v>
      </c>
      <c r="C2398" s="1" t="s">
        <v>4013</v>
      </c>
      <c r="D2398" s="1" t="s">
        <v>4013</v>
      </c>
      <c r="E2398" s="1" t="s">
        <v>63</v>
      </c>
      <c r="G2398" s="1">
        <v>1.9608108E7</v>
      </c>
      <c r="H2398" s="2">
        <v>41548.0</v>
      </c>
      <c r="I2398" s="1" t="s">
        <v>4014</v>
      </c>
      <c r="K2398" s="1" t="s">
        <v>4014</v>
      </c>
      <c r="N2398" s="1" t="s">
        <v>40</v>
      </c>
      <c r="O2398" s="1">
        <v>7500.0</v>
      </c>
      <c r="P2398" s="1" t="s">
        <v>40</v>
      </c>
      <c r="Q2398" s="1" t="str">
        <f>IF(ISERROR(VLOOKUP(P2398,'unique fed agency names'!A:C,3,FALSE)),P2398,VLOOKUP(P2398,'unique fed agency names'!A:C,3,FALSE))
</f>
        <v>U.S. Department of Health and Human Services (DHHS)</v>
      </c>
      <c r="R2398" s="1">
        <v>2.0830303E7</v>
      </c>
      <c r="S2398" s="1" t="s">
        <v>424</v>
      </c>
      <c r="T2398" s="1" t="str">
        <f>IF(ISERROR(VLOOKUP(S2398,'unique org names'!A:C,3,FALSE)),S2398,VLOOKUP(S2398,'unique org names'!A:C,3,FALSE))
</f>
        <v>MATRIX HUMAN SERVICES</v>
      </c>
      <c r="U2398" s="1" t="s">
        <v>425</v>
      </c>
      <c r="V2398" s="1" t="s">
        <v>426</v>
      </c>
      <c r="W2398" s="1" t="s">
        <v>44</v>
      </c>
      <c r="X2398" s="1" t="s">
        <v>45</v>
      </c>
      <c r="Y2398" s="1">
        <v>4.82012002E8</v>
      </c>
      <c r="AA2398" s="1" t="s">
        <v>46</v>
      </c>
      <c r="AB2398" s="1" t="s">
        <v>45</v>
      </c>
      <c r="AC2398" s="1">
        <v>4.82012002E8</v>
      </c>
      <c r="AD2398" s="1">
        <v>2.0830303E7</v>
      </c>
      <c r="AE2398" s="1" t="s">
        <v>424</v>
      </c>
      <c r="AF2398" s="1">
        <v>46083.0</v>
      </c>
      <c r="AG2398" s="2">
        <v>41548.0</v>
      </c>
      <c r="AH2398" s="1">
        <v>7500.0</v>
      </c>
      <c r="AI2398" s="1" t="s">
        <v>40</v>
      </c>
      <c r="AJ2398" s="1">
        <v>2.0141562E7</v>
      </c>
      <c r="AK2398" s="1" t="s">
        <v>4015</v>
      </c>
      <c r="AL2398" s="1">
        <v>10.0</v>
      </c>
      <c r="AM2398" s="1">
        <v>2011.0</v>
      </c>
      <c r="AN2398" s="1">
        <v>2014.0</v>
      </c>
      <c r="AO2398" s="1" t="s">
        <v>4003</v>
      </c>
    </row>
    <row r="2399">
      <c r="A2399" s="5">
        <v>1.0</v>
      </c>
      <c r="B2399" s="1">
        <f t="shared" si="1"/>
        <v>2399</v>
      </c>
      <c r="C2399" s="1" t="s">
        <v>4013</v>
      </c>
      <c r="D2399" s="1" t="s">
        <v>4013</v>
      </c>
      <c r="E2399" s="1" t="s">
        <v>63</v>
      </c>
      <c r="G2399" s="1">
        <v>1.9608108E7</v>
      </c>
      <c r="H2399" s="2">
        <v>41548.0</v>
      </c>
      <c r="I2399" s="1" t="s">
        <v>4014</v>
      </c>
      <c r="K2399" s="1" t="s">
        <v>4014</v>
      </c>
      <c r="N2399" s="1" t="s">
        <v>40</v>
      </c>
      <c r="O2399" s="1">
        <v>7500.0</v>
      </c>
      <c r="P2399" s="1" t="s">
        <v>40</v>
      </c>
      <c r="Q2399" s="1" t="str">
        <f>IF(ISERROR(VLOOKUP(P2399,'unique fed agency names'!A:C,3,FALSE)),P2399,VLOOKUP(P2399,'unique fed agency names'!A:C,3,FALSE))
</f>
        <v>U.S. Department of Health and Human Services (DHHS)</v>
      </c>
      <c r="R2399" s="1">
        <v>1.40133393E8</v>
      </c>
      <c r="S2399" s="1" t="s">
        <v>4028</v>
      </c>
      <c r="T2399" s="1" t="str">
        <f>IF(ISERROR(VLOOKUP(S2399,'unique org names'!A:C,3,FALSE)),S2399,VLOOKUP(S2399,'unique org names'!A:C,3,FALSE))
</f>
        <v>Detroit Health Care for the Homeless dba Advantage Health Centers</v>
      </c>
      <c r="U2399" s="1" t="s">
        <v>4029</v>
      </c>
      <c r="V2399" s="1" t="s">
        <v>4030</v>
      </c>
      <c r="W2399" s="1" t="s">
        <v>44</v>
      </c>
      <c r="X2399" s="1" t="s">
        <v>45</v>
      </c>
      <c r="Y2399" s="1">
        <v>4.82353724E8</v>
      </c>
      <c r="AA2399" s="1" t="s">
        <v>46</v>
      </c>
      <c r="AB2399" s="1" t="s">
        <v>45</v>
      </c>
      <c r="AC2399" s="1">
        <v>4.82353724E8</v>
      </c>
      <c r="AD2399" s="1">
        <v>1.40133393E8</v>
      </c>
      <c r="AE2399" s="1" t="s">
        <v>4028</v>
      </c>
      <c r="AF2399" s="1">
        <v>137714.0</v>
      </c>
      <c r="AG2399" s="2">
        <v>41548.0</v>
      </c>
      <c r="AH2399" s="1">
        <v>7500.0</v>
      </c>
      <c r="AI2399" s="1" t="s">
        <v>40</v>
      </c>
      <c r="AJ2399" s="1">
        <v>2.0141552E7</v>
      </c>
      <c r="AK2399" s="1" t="s">
        <v>4015</v>
      </c>
      <c r="AL2399" s="1">
        <v>10.0</v>
      </c>
      <c r="AM2399" s="1">
        <v>2011.0</v>
      </c>
      <c r="AN2399" s="1">
        <v>2014.0</v>
      </c>
      <c r="AO2399" s="1" t="s">
        <v>4003</v>
      </c>
    </row>
    <row r="2400">
      <c r="A2400" s="5">
        <v>1.0</v>
      </c>
      <c r="B2400" s="1">
        <f t="shared" si="1"/>
        <v>2400</v>
      </c>
      <c r="C2400" s="1" t="s">
        <v>4013</v>
      </c>
      <c r="D2400" s="1" t="s">
        <v>4013</v>
      </c>
      <c r="E2400" s="1" t="s">
        <v>63</v>
      </c>
      <c r="G2400" s="1">
        <v>1.9608108E7</v>
      </c>
      <c r="H2400" s="2">
        <v>41548.0</v>
      </c>
      <c r="I2400" s="1" t="s">
        <v>4014</v>
      </c>
      <c r="K2400" s="1" t="s">
        <v>4014</v>
      </c>
      <c r="N2400" s="1" t="s">
        <v>40</v>
      </c>
      <c r="O2400" s="1">
        <v>7500.0</v>
      </c>
      <c r="P2400" s="1" t="s">
        <v>40</v>
      </c>
      <c r="Q2400" s="1" t="str">
        <f>IF(ISERROR(VLOOKUP(P2400,'unique fed agency names'!A:C,3,FALSE)),P2400,VLOOKUP(P2400,'unique fed agency names'!A:C,3,FALSE))
</f>
        <v>U.S. Department of Health and Human Services (DHHS)</v>
      </c>
      <c r="R2400" s="1">
        <v>1.7406606E7</v>
      </c>
      <c r="S2400" s="1" t="s">
        <v>1574</v>
      </c>
      <c r="T2400" s="1" t="str">
        <f>IF(ISERROR(VLOOKUP(S2400,'unique org names'!A:C,3,FALSE)),S2400,VLOOKUP(S2400,'unique org names'!A:C,3,FALSE))
</f>
        <v>Detroit Health Dept</v>
      </c>
      <c r="U2400" s="1" t="s">
        <v>4032</v>
      </c>
      <c r="V2400" s="1" t="s">
        <v>1575</v>
      </c>
      <c r="W2400" s="1" t="s">
        <v>44</v>
      </c>
      <c r="X2400" s="1" t="s">
        <v>45</v>
      </c>
      <c r="Y2400" s="1">
        <v>4.82282826E8</v>
      </c>
      <c r="AA2400" s="1" t="s">
        <v>46</v>
      </c>
      <c r="AB2400" s="1" t="s">
        <v>45</v>
      </c>
      <c r="AC2400" s="1">
        <v>4.82282826E8</v>
      </c>
      <c r="AD2400" s="1">
        <v>9.4547247E7</v>
      </c>
      <c r="AE2400" s="1" t="s">
        <v>2201</v>
      </c>
      <c r="AF2400" s="1">
        <v>302616.0</v>
      </c>
      <c r="AG2400" s="2">
        <v>41548.0</v>
      </c>
      <c r="AH2400" s="1">
        <v>7500.0</v>
      </c>
      <c r="AI2400" s="1" t="s">
        <v>40</v>
      </c>
      <c r="AJ2400" s="1">
        <v>2.0141454E7</v>
      </c>
      <c r="AK2400" s="1" t="s">
        <v>4015</v>
      </c>
      <c r="AL2400" s="1">
        <v>10.0</v>
      </c>
      <c r="AM2400" s="1">
        <v>2011.0</v>
      </c>
      <c r="AN2400" s="1">
        <v>2014.0</v>
      </c>
      <c r="AO2400" s="1" t="s">
        <v>4003</v>
      </c>
    </row>
    <row r="2401">
      <c r="A2401" s="5">
        <v>1.0</v>
      </c>
      <c r="B2401" s="1">
        <f t="shared" si="1"/>
        <v>2401</v>
      </c>
      <c r="C2401" s="1" t="s">
        <v>4013</v>
      </c>
      <c r="D2401" s="1" t="s">
        <v>4013</v>
      </c>
      <c r="E2401" s="1" t="s">
        <v>63</v>
      </c>
      <c r="G2401" s="1">
        <v>1.9608108E7</v>
      </c>
      <c r="H2401" s="2">
        <v>41548.0</v>
      </c>
      <c r="I2401" s="1" t="s">
        <v>4014</v>
      </c>
      <c r="K2401" s="1" t="s">
        <v>4014</v>
      </c>
      <c r="N2401" s="1" t="s">
        <v>40</v>
      </c>
      <c r="O2401" s="1">
        <v>7500.0</v>
      </c>
      <c r="P2401" s="1" t="s">
        <v>40</v>
      </c>
      <c r="Q2401" s="1" t="str">
        <f>IF(ISERROR(VLOOKUP(P2401,'unique fed agency names'!A:C,3,FALSE)),P2401,VLOOKUP(P2401,'unique fed agency names'!A:C,3,FALSE))
</f>
        <v>U.S. Department of Health and Human Services (DHHS)</v>
      </c>
      <c r="R2401" s="1">
        <v>1962224.0</v>
      </c>
      <c r="S2401" s="1" t="s">
        <v>52</v>
      </c>
      <c r="T2401" s="1" t="str">
        <f>IF(ISERROR(VLOOKUP(S2401,'unique org names'!A:C,3,FALSE)),S2401,VLOOKUP(S2401,'unique org names'!A:C,3,FALSE))
</f>
        <v>WAYNE STATE UNIVERSITY</v>
      </c>
      <c r="U2401" s="1" t="s">
        <v>4052</v>
      </c>
      <c r="V2401" s="1" t="s">
        <v>1885</v>
      </c>
      <c r="W2401" s="1" t="s">
        <v>44</v>
      </c>
      <c r="X2401" s="1" t="s">
        <v>45</v>
      </c>
      <c r="Y2401" s="1">
        <v>4.82021347E8</v>
      </c>
      <c r="AA2401" s="1" t="s">
        <v>46</v>
      </c>
      <c r="AB2401" s="1" t="s">
        <v>45</v>
      </c>
      <c r="AC2401" s="1">
        <v>4.82023692E8</v>
      </c>
      <c r="AD2401" s="1">
        <v>1962224.0</v>
      </c>
      <c r="AE2401" s="1" t="s">
        <v>52</v>
      </c>
      <c r="AF2401" s="1">
        <v>0.0</v>
      </c>
      <c r="AG2401" s="2">
        <v>41548.0</v>
      </c>
      <c r="AH2401" s="1">
        <v>7500.0</v>
      </c>
      <c r="AI2401" s="1" t="s">
        <v>40</v>
      </c>
      <c r="AJ2401" s="1">
        <v>2.0141595E7</v>
      </c>
      <c r="AK2401" s="1" t="s">
        <v>4015</v>
      </c>
      <c r="AL2401" s="1">
        <v>10.0</v>
      </c>
      <c r="AM2401" s="1">
        <v>2011.0</v>
      </c>
      <c r="AN2401" s="1">
        <v>2014.0</v>
      </c>
      <c r="AO2401" s="1" t="s">
        <v>4003</v>
      </c>
    </row>
    <row r="2402">
      <c r="A2402" s="5">
        <v>1.0</v>
      </c>
      <c r="B2402" s="1">
        <f t="shared" si="1"/>
        <v>2402</v>
      </c>
      <c r="C2402" s="1" t="s">
        <v>4013</v>
      </c>
      <c r="D2402" s="1" t="s">
        <v>4013</v>
      </c>
      <c r="E2402" s="1" t="s">
        <v>63</v>
      </c>
      <c r="G2402" s="1">
        <v>1.9608108E7</v>
      </c>
      <c r="H2402" s="2">
        <v>41548.0</v>
      </c>
      <c r="I2402" s="1" t="s">
        <v>4014</v>
      </c>
      <c r="K2402" s="1" t="s">
        <v>4014</v>
      </c>
      <c r="N2402" s="1" t="s">
        <v>40</v>
      </c>
      <c r="O2402" s="1">
        <v>7500.0</v>
      </c>
      <c r="P2402" s="1" t="s">
        <v>40</v>
      </c>
      <c r="Q2402" s="1" t="str">
        <f>IF(ISERROR(VLOOKUP(P2402,'unique fed agency names'!A:C,3,FALSE)),P2402,VLOOKUP(P2402,'unique fed agency names'!A:C,3,FALSE))
</f>
        <v>U.S. Department of Health and Human Services (DHHS)</v>
      </c>
      <c r="R2402" s="1">
        <v>1.0107139E7</v>
      </c>
      <c r="S2402" s="1" t="s">
        <v>4021</v>
      </c>
      <c r="T2402" s="1" t="str">
        <f>IF(ISERROR(VLOOKUP(S2402,'unique org names'!A:C,3,FALSE)),S2402,VLOOKUP(S2402,'unique org names'!A:C,3,FALSE))
</f>
        <v>Sacred Heart Rehabilitation Center, Inc</v>
      </c>
      <c r="U2402" s="1" t="s">
        <v>4044</v>
      </c>
      <c r="V2402" s="1" t="s">
        <v>4023</v>
      </c>
      <c r="W2402" s="1" t="s">
        <v>44</v>
      </c>
      <c r="X2402" s="1" t="s">
        <v>45</v>
      </c>
      <c r="Y2402" s="1">
        <v>4.821364E8</v>
      </c>
      <c r="AA2402" s="1" t="s">
        <v>46</v>
      </c>
      <c r="AB2402" s="1" t="s">
        <v>45</v>
      </c>
      <c r="AC2402" s="1">
        <v>4.821364E8</v>
      </c>
      <c r="AD2402" s="1">
        <v>2.0885463E7</v>
      </c>
      <c r="AE2402" s="1" t="s">
        <v>4045</v>
      </c>
      <c r="AF2402" s="1">
        <v>8333.0</v>
      </c>
      <c r="AG2402" s="2">
        <v>41548.0</v>
      </c>
      <c r="AH2402" s="1">
        <v>7500.0</v>
      </c>
      <c r="AI2402" s="1" t="s">
        <v>40</v>
      </c>
      <c r="AJ2402" s="1">
        <v>2.0141587E7</v>
      </c>
      <c r="AK2402" s="1" t="s">
        <v>4015</v>
      </c>
      <c r="AL2402" s="1">
        <v>10.0</v>
      </c>
      <c r="AM2402" s="1">
        <v>2011.0</v>
      </c>
      <c r="AN2402" s="1">
        <v>2014.0</v>
      </c>
      <c r="AO2402" s="1" t="s">
        <v>4003</v>
      </c>
    </row>
    <row r="2403">
      <c r="A2403" s="5">
        <v>1.0</v>
      </c>
      <c r="B2403" s="1">
        <f t="shared" si="1"/>
        <v>2403</v>
      </c>
      <c r="C2403" s="1" t="s">
        <v>4013</v>
      </c>
      <c r="D2403" s="1" t="s">
        <v>4013</v>
      </c>
      <c r="E2403" s="1" t="s">
        <v>63</v>
      </c>
      <c r="G2403" s="1">
        <v>1.9608108E7</v>
      </c>
      <c r="H2403" s="2">
        <v>41548.0</v>
      </c>
      <c r="I2403" s="1" t="s">
        <v>4014</v>
      </c>
      <c r="K2403" s="1" t="s">
        <v>4014</v>
      </c>
      <c r="N2403" s="1" t="s">
        <v>40</v>
      </c>
      <c r="O2403" s="1">
        <v>7500.0</v>
      </c>
      <c r="P2403" s="1" t="s">
        <v>40</v>
      </c>
      <c r="Q2403" s="1" t="str">
        <f>IF(ISERROR(VLOOKUP(P2403,'unique fed agency names'!A:C,3,FALSE)),P2403,VLOOKUP(P2403,'unique fed agency names'!A:C,3,FALSE))
</f>
        <v>U.S. Department of Health and Human Services (DHHS)</v>
      </c>
      <c r="R2403" s="1">
        <v>1.27458909E8</v>
      </c>
      <c r="S2403" s="1" t="s">
        <v>2195</v>
      </c>
      <c r="T2403" s="1" t="str">
        <f>IF(ISERROR(VLOOKUP(S2403,'unique org names'!A:C,3,FALSE)),S2403,VLOOKUP(S2403,'unique org names'!A:C,3,FALSE))
</f>
        <v>Mariners Inn</v>
      </c>
      <c r="U2403" s="1" t="s">
        <v>2563</v>
      </c>
      <c r="V2403" s="1" t="s">
        <v>2196</v>
      </c>
      <c r="W2403" s="1" t="s">
        <v>44</v>
      </c>
      <c r="X2403" s="1" t="s">
        <v>45</v>
      </c>
      <c r="Y2403" s="1">
        <v>4.82012641E8</v>
      </c>
      <c r="AA2403" s="1" t="s">
        <v>46</v>
      </c>
      <c r="AB2403" s="1" t="s">
        <v>45</v>
      </c>
      <c r="AC2403" s="1">
        <v>4.82012641E8</v>
      </c>
      <c r="AD2403" s="1">
        <v>4.0574592E7</v>
      </c>
      <c r="AE2403" s="1" t="s">
        <v>2564</v>
      </c>
      <c r="AF2403" s="1">
        <v>10417.0</v>
      </c>
      <c r="AG2403" s="2">
        <v>41548.0</v>
      </c>
      <c r="AH2403" s="1">
        <v>7500.0</v>
      </c>
      <c r="AI2403" s="1" t="s">
        <v>40</v>
      </c>
      <c r="AJ2403" s="1">
        <v>2.0141592E7</v>
      </c>
      <c r="AK2403" s="1" t="s">
        <v>4015</v>
      </c>
      <c r="AL2403" s="1">
        <v>10.0</v>
      </c>
      <c r="AM2403" s="1">
        <v>2011.0</v>
      </c>
      <c r="AN2403" s="1">
        <v>2014.0</v>
      </c>
      <c r="AO2403" s="1" t="s">
        <v>4003</v>
      </c>
    </row>
    <row r="2404">
      <c r="A2404" s="5">
        <v>1.0</v>
      </c>
      <c r="B2404" s="1">
        <f t="shared" si="1"/>
        <v>2404</v>
      </c>
      <c r="C2404" s="1" t="s">
        <v>4013</v>
      </c>
      <c r="D2404" s="1" t="s">
        <v>4013</v>
      </c>
      <c r="E2404" s="1" t="s">
        <v>63</v>
      </c>
      <c r="G2404" s="1">
        <v>1.9608108E7</v>
      </c>
      <c r="H2404" s="2">
        <v>41548.0</v>
      </c>
      <c r="I2404" s="1" t="s">
        <v>4014</v>
      </c>
      <c r="K2404" s="1" t="s">
        <v>4014</v>
      </c>
      <c r="N2404" s="1" t="s">
        <v>40</v>
      </c>
      <c r="O2404" s="1">
        <v>7500.0</v>
      </c>
      <c r="P2404" s="1" t="s">
        <v>40</v>
      </c>
      <c r="Q2404" s="1" t="str">
        <f>IF(ISERROR(VLOOKUP(P2404,'unique fed agency names'!A:C,3,FALSE)),P2404,VLOOKUP(P2404,'unique fed agency names'!A:C,3,FALSE))
</f>
        <v>U.S. Department of Health and Human Services (DHHS)</v>
      </c>
      <c r="R2404" s="1">
        <v>7.3134603E7</v>
      </c>
      <c r="S2404" s="1" t="s">
        <v>41</v>
      </c>
      <c r="T2404" s="1" t="str">
        <f>IF(ISERROR(VLOOKUP(S2404,'unique org names'!A:C,3,FALSE)),S2404,VLOOKUP(S2404,'unique org names'!A:C,3,FALSE))
</f>
        <v>Henry Ford Health System</v>
      </c>
      <c r="U2404" s="1" t="s">
        <v>252</v>
      </c>
      <c r="V2404" s="1" t="s">
        <v>253</v>
      </c>
      <c r="W2404" s="1" t="s">
        <v>44</v>
      </c>
      <c r="X2404" s="1" t="s">
        <v>45</v>
      </c>
      <c r="Y2404" s="1">
        <v>4.8202345E8</v>
      </c>
      <c r="AA2404" s="1" t="s">
        <v>46</v>
      </c>
      <c r="AB2404" s="1" t="s">
        <v>45</v>
      </c>
      <c r="AC2404" s="1">
        <v>4.8202345E8</v>
      </c>
      <c r="AD2404" s="1">
        <v>7.3134603E7</v>
      </c>
      <c r="AE2404" s="1" t="s">
        <v>41</v>
      </c>
      <c r="AF2404" s="1">
        <v>53956.24</v>
      </c>
      <c r="AG2404" s="2">
        <v>41548.0</v>
      </c>
      <c r="AH2404" s="1">
        <v>7500.0</v>
      </c>
      <c r="AI2404" s="1" t="s">
        <v>40</v>
      </c>
      <c r="AJ2404" s="1">
        <v>2.014004E7</v>
      </c>
      <c r="AK2404" s="1" t="s">
        <v>4015</v>
      </c>
      <c r="AL2404" s="1">
        <v>10.0</v>
      </c>
      <c r="AM2404" s="1">
        <v>2011.0</v>
      </c>
      <c r="AN2404" s="1">
        <v>2014.0</v>
      </c>
      <c r="AO2404" s="1" t="s">
        <v>4003</v>
      </c>
    </row>
    <row r="2405">
      <c r="A2405" s="5">
        <v>1.0</v>
      </c>
      <c r="B2405" s="1">
        <f t="shared" si="1"/>
        <v>2405</v>
      </c>
      <c r="C2405" s="1" t="s">
        <v>4013</v>
      </c>
      <c r="D2405" s="1" t="s">
        <v>4013</v>
      </c>
      <c r="E2405" s="1" t="s">
        <v>63</v>
      </c>
      <c r="G2405" s="1">
        <v>1.9608108E7</v>
      </c>
      <c r="H2405" s="2">
        <v>41548.0</v>
      </c>
      <c r="I2405" s="1" t="s">
        <v>4014</v>
      </c>
      <c r="K2405" s="1" t="s">
        <v>4014</v>
      </c>
      <c r="N2405" s="1" t="s">
        <v>40</v>
      </c>
      <c r="O2405" s="1">
        <v>7500.0</v>
      </c>
      <c r="P2405" s="1" t="s">
        <v>40</v>
      </c>
      <c r="Q2405" s="1" t="str">
        <f>IF(ISERROR(VLOOKUP(P2405,'unique fed agency names'!A:C,3,FALSE)),P2405,VLOOKUP(P2405,'unique fed agency names'!A:C,3,FALSE))
</f>
        <v>U.S. Department of Health and Human Services (DHHS)</v>
      </c>
      <c r="R2405" s="1">
        <v>1.98999146E8</v>
      </c>
      <c r="S2405" s="1" t="s">
        <v>999</v>
      </c>
      <c r="T2405" s="1" t="str">
        <f>IF(ISERROR(VLOOKUP(S2405,'unique org names'!A:C,3,FALSE)),S2405,VLOOKUP(S2405,'unique org names'!A:C,3,FALSE))
</f>
        <v>COMMUNITY HEALTH AWARENESS GROUP</v>
      </c>
      <c r="U2405" s="1" t="s">
        <v>4053</v>
      </c>
      <c r="V2405" s="1" t="s">
        <v>1000</v>
      </c>
      <c r="W2405" s="1" t="s">
        <v>44</v>
      </c>
      <c r="X2405" s="1" t="s">
        <v>45</v>
      </c>
      <c r="Y2405" s="1">
        <v>4.82263007E8</v>
      </c>
      <c r="AA2405" s="1" t="s">
        <v>46</v>
      </c>
      <c r="AB2405" s="1" t="s">
        <v>45</v>
      </c>
      <c r="AC2405" s="1">
        <v>4.82263007E8</v>
      </c>
      <c r="AD2405" s="1">
        <v>7.4305459E7</v>
      </c>
      <c r="AE2405" s="1" t="s">
        <v>4054</v>
      </c>
      <c r="AF2405" s="1">
        <v>54179.94</v>
      </c>
      <c r="AG2405" s="2">
        <v>41548.0</v>
      </c>
      <c r="AH2405" s="1">
        <v>7500.0</v>
      </c>
      <c r="AI2405" s="1" t="s">
        <v>40</v>
      </c>
      <c r="AJ2405" s="1">
        <v>2.0141551E7</v>
      </c>
      <c r="AK2405" s="1" t="s">
        <v>4015</v>
      </c>
      <c r="AL2405" s="1">
        <v>10.0</v>
      </c>
      <c r="AM2405" s="1">
        <v>2011.0</v>
      </c>
      <c r="AN2405" s="1">
        <v>2014.0</v>
      </c>
      <c r="AO2405" s="1" t="s">
        <v>4003</v>
      </c>
    </row>
    <row r="2406">
      <c r="A2406" s="5">
        <v>1.0</v>
      </c>
      <c r="B2406" s="1">
        <f t="shared" si="1"/>
        <v>2406</v>
      </c>
      <c r="C2406" s="1" t="s">
        <v>4013</v>
      </c>
      <c r="D2406" s="1" t="s">
        <v>4013</v>
      </c>
      <c r="E2406" s="1" t="s">
        <v>63</v>
      </c>
      <c r="G2406" s="1">
        <v>1.9608108E7</v>
      </c>
      <c r="H2406" s="2">
        <v>41183.0</v>
      </c>
      <c r="I2406" s="1" t="s">
        <v>4014</v>
      </c>
      <c r="K2406" s="1" t="s">
        <v>4014</v>
      </c>
      <c r="N2406" s="1" t="s">
        <v>40</v>
      </c>
      <c r="O2406" s="1">
        <v>7500.0</v>
      </c>
      <c r="P2406" s="1" t="s">
        <v>40</v>
      </c>
      <c r="Q2406" s="1" t="str">
        <f>IF(ISERROR(VLOOKUP(P2406,'unique fed agency names'!A:C,3,FALSE)),P2406,VLOOKUP(P2406,'unique fed agency names'!A:C,3,FALSE))
</f>
        <v>U.S. Department of Health and Human Services (DHHS)</v>
      </c>
      <c r="R2406" s="1">
        <v>1962224.0</v>
      </c>
      <c r="S2406" s="1" t="s">
        <v>52</v>
      </c>
      <c r="T2406" s="1" t="str">
        <f>IF(ISERROR(VLOOKUP(S2406,'unique org names'!A:C,3,FALSE)),S2406,VLOOKUP(S2406,'unique org names'!A:C,3,FALSE))
</f>
        <v>WAYNE STATE UNIVERSITY</v>
      </c>
      <c r="U2406" s="1" t="s">
        <v>4009</v>
      </c>
      <c r="V2406" s="1" t="s">
        <v>1885</v>
      </c>
      <c r="W2406" s="1" t="s">
        <v>44</v>
      </c>
      <c r="X2406" s="1" t="s">
        <v>45</v>
      </c>
      <c r="Y2406" s="1">
        <v>4.82021347E8</v>
      </c>
      <c r="AA2406" s="1" t="s">
        <v>46</v>
      </c>
      <c r="AB2406" s="1" t="s">
        <v>45</v>
      </c>
      <c r="AC2406" s="1">
        <v>4.82023692E8</v>
      </c>
      <c r="AD2406" s="1">
        <v>1962224.0</v>
      </c>
      <c r="AE2406" s="1" t="s">
        <v>52</v>
      </c>
      <c r="AF2406" s="1">
        <v>25023.97</v>
      </c>
      <c r="AG2406" s="2">
        <v>41183.0</v>
      </c>
      <c r="AH2406" s="1">
        <v>7500.0</v>
      </c>
      <c r="AI2406" s="1" t="s">
        <v>40</v>
      </c>
      <c r="AJ2406" s="1">
        <v>2.0131053E7</v>
      </c>
      <c r="AK2406" s="1" t="s">
        <v>4015</v>
      </c>
      <c r="AL2406" s="1">
        <v>10.0</v>
      </c>
      <c r="AM2406" s="1">
        <v>2011.0</v>
      </c>
      <c r="AN2406" s="1">
        <v>2013.0</v>
      </c>
      <c r="AO2406" s="1" t="s">
        <v>4003</v>
      </c>
    </row>
    <row r="2407">
      <c r="A2407" s="5">
        <v>1.0</v>
      </c>
      <c r="B2407" s="1">
        <f t="shared" si="1"/>
        <v>2407</v>
      </c>
      <c r="C2407" s="1" t="s">
        <v>4013</v>
      </c>
      <c r="D2407" s="1" t="s">
        <v>4013</v>
      </c>
      <c r="E2407" s="1" t="s">
        <v>63</v>
      </c>
      <c r="G2407" s="1">
        <v>1.9608108E7</v>
      </c>
      <c r="H2407" s="2">
        <v>41548.0</v>
      </c>
      <c r="I2407" s="1" t="s">
        <v>4014</v>
      </c>
      <c r="K2407" s="1" t="s">
        <v>4014</v>
      </c>
      <c r="N2407" s="1" t="s">
        <v>40</v>
      </c>
      <c r="O2407" s="1">
        <v>7500.0</v>
      </c>
      <c r="P2407" s="1" t="s">
        <v>40</v>
      </c>
      <c r="Q2407" s="1" t="str">
        <f>IF(ISERROR(VLOOKUP(P2407,'unique fed agency names'!A:C,3,FALSE)),P2407,VLOOKUP(P2407,'unique fed agency names'!A:C,3,FALSE))
</f>
        <v>U.S. Department of Health and Human Services (DHHS)</v>
      </c>
      <c r="R2407" s="1">
        <v>8.48764171E8</v>
      </c>
      <c r="S2407" s="1" t="s">
        <v>1050</v>
      </c>
      <c r="T2407" s="1" t="str">
        <f>IF(ISERROR(VLOOKUP(S2407,'unique org names'!A:C,3,FALSE)),S2407,VLOOKUP(S2407,'unique org names'!A:C,3,FALSE))
</f>
        <v>AIDS Partnership Michigan, Inc</v>
      </c>
      <c r="U2407" s="1" t="s">
        <v>1051</v>
      </c>
      <c r="V2407" s="1" t="s">
        <v>4020</v>
      </c>
      <c r="W2407" s="1" t="s">
        <v>44</v>
      </c>
      <c r="X2407" s="1" t="s">
        <v>45</v>
      </c>
      <c r="Y2407" s="1">
        <v>4.82023042E8</v>
      </c>
      <c r="AA2407" s="1" t="s">
        <v>46</v>
      </c>
      <c r="AB2407" s="1" t="s">
        <v>45</v>
      </c>
      <c r="AC2407" s="1">
        <v>4.820741E8</v>
      </c>
      <c r="AD2407" s="1">
        <v>7.2596349E7</v>
      </c>
      <c r="AF2407" s="1">
        <v>26168.0</v>
      </c>
      <c r="AG2407" s="2">
        <v>41548.0</v>
      </c>
      <c r="AH2407" s="1">
        <v>7500.0</v>
      </c>
      <c r="AI2407" s="1" t="s">
        <v>40</v>
      </c>
      <c r="AJ2407" s="1">
        <v>2.0141544E7</v>
      </c>
      <c r="AK2407" s="1" t="s">
        <v>4015</v>
      </c>
      <c r="AL2407" s="1">
        <v>10.0</v>
      </c>
      <c r="AM2407" s="1">
        <v>2011.0</v>
      </c>
      <c r="AN2407" s="1">
        <v>2014.0</v>
      </c>
      <c r="AO2407" s="1" t="s">
        <v>4003</v>
      </c>
    </row>
    <row r="2408">
      <c r="A2408" s="5">
        <v>1.0</v>
      </c>
      <c r="B2408" s="1">
        <f t="shared" si="1"/>
        <v>2408</v>
      </c>
      <c r="C2408" s="1" t="s">
        <v>4013</v>
      </c>
      <c r="D2408" s="1" t="s">
        <v>4013</v>
      </c>
      <c r="E2408" s="1" t="s">
        <v>63</v>
      </c>
      <c r="G2408" s="1">
        <v>1.9608108E7</v>
      </c>
      <c r="H2408" s="2">
        <v>41183.0</v>
      </c>
      <c r="I2408" s="1" t="s">
        <v>4014</v>
      </c>
      <c r="K2408" s="1" t="s">
        <v>4014</v>
      </c>
      <c r="N2408" s="1" t="s">
        <v>40</v>
      </c>
      <c r="O2408" s="1">
        <v>7500.0</v>
      </c>
      <c r="P2408" s="1" t="s">
        <v>40</v>
      </c>
      <c r="Q2408" s="1" t="str">
        <f>IF(ISERROR(VLOOKUP(P2408,'unique fed agency names'!A:C,3,FALSE)),P2408,VLOOKUP(P2408,'unique fed agency names'!A:C,3,FALSE))
</f>
        <v>U.S. Department of Health and Human Services (DHHS)</v>
      </c>
      <c r="R2408" s="1">
        <v>1962224.0</v>
      </c>
      <c r="S2408" s="1" t="s">
        <v>52</v>
      </c>
      <c r="T2408" s="1" t="str">
        <f>IF(ISERROR(VLOOKUP(S2408,'unique org names'!A:C,3,FALSE)),S2408,VLOOKUP(S2408,'unique org names'!A:C,3,FALSE))
</f>
        <v>WAYNE STATE UNIVERSITY</v>
      </c>
      <c r="U2408" s="1" t="s">
        <v>2077</v>
      </c>
      <c r="V2408" s="1" t="s">
        <v>1885</v>
      </c>
      <c r="W2408" s="1" t="s">
        <v>44</v>
      </c>
      <c r="X2408" s="1" t="s">
        <v>45</v>
      </c>
      <c r="Y2408" s="1">
        <v>4.82021347E8</v>
      </c>
      <c r="AA2408" s="1" t="s">
        <v>46</v>
      </c>
      <c r="AB2408" s="1" t="s">
        <v>45</v>
      </c>
      <c r="AC2408" s="1">
        <v>4.82023692E8</v>
      </c>
      <c r="AD2408" s="1">
        <v>1962224.0</v>
      </c>
      <c r="AE2408" s="1" t="s">
        <v>52</v>
      </c>
      <c r="AF2408" s="1">
        <v>46458.0</v>
      </c>
      <c r="AG2408" s="2">
        <v>41183.0</v>
      </c>
      <c r="AH2408" s="1">
        <v>7500.0</v>
      </c>
      <c r="AI2408" s="1" t="s">
        <v>40</v>
      </c>
      <c r="AJ2408" s="1">
        <v>2.013106E7</v>
      </c>
      <c r="AK2408" s="1" t="s">
        <v>4015</v>
      </c>
      <c r="AL2408" s="1">
        <v>10.0</v>
      </c>
      <c r="AM2408" s="1">
        <v>2011.0</v>
      </c>
      <c r="AN2408" s="1">
        <v>2013.0</v>
      </c>
      <c r="AO2408" s="1" t="s">
        <v>4003</v>
      </c>
    </row>
    <row r="2409">
      <c r="A2409" s="5">
        <v>1.0</v>
      </c>
      <c r="B2409" s="1">
        <f t="shared" si="1"/>
        <v>2409</v>
      </c>
      <c r="C2409" s="1" t="s">
        <v>4013</v>
      </c>
      <c r="D2409" s="1" t="s">
        <v>4013</v>
      </c>
      <c r="E2409" s="1" t="s">
        <v>63</v>
      </c>
      <c r="G2409" s="1">
        <v>1.9608108E7</v>
      </c>
      <c r="H2409" s="2">
        <v>41183.0</v>
      </c>
      <c r="I2409" s="1" t="s">
        <v>4014</v>
      </c>
      <c r="K2409" s="1" t="s">
        <v>4014</v>
      </c>
      <c r="N2409" s="1" t="s">
        <v>40</v>
      </c>
      <c r="O2409" s="1">
        <v>7500.0</v>
      </c>
      <c r="P2409" s="1" t="s">
        <v>40</v>
      </c>
      <c r="Q2409" s="1" t="str">
        <f>IF(ISERROR(VLOOKUP(P2409,'unique fed agency names'!A:C,3,FALSE)),P2409,VLOOKUP(P2409,'unique fed agency names'!A:C,3,FALSE))
</f>
        <v>U.S. Department of Health and Human Services (DHHS)</v>
      </c>
      <c r="R2409" s="1">
        <v>3.7748076E7</v>
      </c>
      <c r="S2409" s="1" t="s">
        <v>4025</v>
      </c>
      <c r="T2409" s="1" t="str">
        <f>IF(ISERROR(VLOOKUP(S2409,'unique org names'!A:C,3,FALSE)),S2409,VLOOKUP(S2409,'unique org names'!A:C,3,FALSE))
</f>
        <v>VHS DETROIT RECEIVING HOSPITAL, INC.</v>
      </c>
      <c r="U2409" s="1" t="s">
        <v>4026</v>
      </c>
      <c r="V2409" s="1" t="s">
        <v>4027</v>
      </c>
      <c r="W2409" s="1" t="s">
        <v>44</v>
      </c>
      <c r="X2409" s="1" t="s">
        <v>45</v>
      </c>
      <c r="Y2409" s="1">
        <v>4.82012153E8</v>
      </c>
      <c r="AA2409" s="1" t="s">
        <v>46</v>
      </c>
      <c r="AB2409" s="1" t="s">
        <v>45</v>
      </c>
      <c r="AC2409" s="1">
        <v>4.82012153E8</v>
      </c>
      <c r="AD2409" s="1">
        <v>5.3866661E7</v>
      </c>
      <c r="AF2409" s="1">
        <v>168750.0</v>
      </c>
      <c r="AG2409" s="2">
        <v>41183.0</v>
      </c>
      <c r="AH2409" s="1">
        <v>7500.0</v>
      </c>
      <c r="AI2409" s="1" t="s">
        <v>40</v>
      </c>
      <c r="AJ2409" s="1">
        <v>2.0130228E7</v>
      </c>
      <c r="AK2409" s="1" t="s">
        <v>4015</v>
      </c>
      <c r="AL2409" s="1">
        <v>10.0</v>
      </c>
      <c r="AM2409" s="1">
        <v>2011.0</v>
      </c>
      <c r="AN2409" s="1">
        <v>2013.0</v>
      </c>
      <c r="AO2409" s="1" t="s">
        <v>4003</v>
      </c>
    </row>
    <row r="2410">
      <c r="A2410" s="5">
        <v>1.0</v>
      </c>
      <c r="B2410" s="1">
        <f t="shared" si="1"/>
        <v>2410</v>
      </c>
      <c r="C2410" s="1" t="s">
        <v>4013</v>
      </c>
      <c r="D2410" s="1" t="s">
        <v>4013</v>
      </c>
      <c r="E2410" s="1" t="s">
        <v>63</v>
      </c>
      <c r="G2410" s="1">
        <v>1.9608108E7</v>
      </c>
      <c r="H2410" s="2">
        <v>41913.0</v>
      </c>
      <c r="I2410" s="1" t="s">
        <v>4014</v>
      </c>
      <c r="K2410" s="1" t="s">
        <v>4014</v>
      </c>
      <c r="N2410" s="1" t="s">
        <v>40</v>
      </c>
      <c r="O2410" s="1">
        <v>7500.0</v>
      </c>
      <c r="P2410" s="1" t="s">
        <v>40</v>
      </c>
      <c r="Q2410" s="1" t="str">
        <f>IF(ISERROR(VLOOKUP(P2410,'unique fed agency names'!A:C,3,FALSE)),P2410,VLOOKUP(P2410,'unique fed agency names'!A:C,3,FALSE))
</f>
        <v>U.S. Department of Health and Human Services (DHHS)</v>
      </c>
      <c r="R2410" s="1">
        <v>1962224.0</v>
      </c>
      <c r="S2410" s="1" t="s">
        <v>52</v>
      </c>
      <c r="T2410" s="1" t="str">
        <f>IF(ISERROR(VLOOKUP(S2410,'unique org names'!A:C,3,FALSE)),S2410,VLOOKUP(S2410,'unique org names'!A:C,3,FALSE))
</f>
        <v>WAYNE STATE UNIVERSITY</v>
      </c>
      <c r="V2410" s="1" t="s">
        <v>1885</v>
      </c>
      <c r="W2410" s="1" t="s">
        <v>44</v>
      </c>
      <c r="X2410" s="1" t="s">
        <v>45</v>
      </c>
      <c r="Y2410" s="1">
        <v>4.82021347E8</v>
      </c>
      <c r="AA2410" s="1" t="s">
        <v>46</v>
      </c>
      <c r="AB2410" s="1" t="s">
        <v>45</v>
      </c>
      <c r="AC2410" s="1">
        <v>4.82023692E8</v>
      </c>
      <c r="AD2410" s="1">
        <v>1962224.0</v>
      </c>
      <c r="AE2410" s="1" t="s">
        <v>52</v>
      </c>
      <c r="AF2410" s="1">
        <v>14158.27</v>
      </c>
      <c r="AG2410" s="2">
        <v>41913.0</v>
      </c>
      <c r="AH2410" s="1">
        <v>7500.0</v>
      </c>
      <c r="AI2410" s="1" t="s">
        <v>40</v>
      </c>
      <c r="AJ2410" s="1">
        <v>2.0151663E7</v>
      </c>
      <c r="AK2410" s="1" t="s">
        <v>4015</v>
      </c>
      <c r="AL2410" s="1">
        <v>10.0</v>
      </c>
      <c r="AM2410" s="1">
        <v>2011.0</v>
      </c>
      <c r="AN2410" s="1">
        <v>2015.0</v>
      </c>
      <c r="AO2410" s="1" t="s">
        <v>4003</v>
      </c>
    </row>
    <row r="2411">
      <c r="A2411" s="5">
        <v>1.0</v>
      </c>
      <c r="B2411" s="1">
        <f t="shared" si="1"/>
        <v>2411</v>
      </c>
      <c r="C2411" s="1" t="s">
        <v>4013</v>
      </c>
      <c r="D2411" s="1" t="s">
        <v>4013</v>
      </c>
      <c r="E2411" s="1" t="s">
        <v>63</v>
      </c>
      <c r="G2411" s="1">
        <v>1.9608108E7</v>
      </c>
      <c r="H2411" s="2">
        <v>41548.0</v>
      </c>
      <c r="I2411" s="1" t="s">
        <v>4014</v>
      </c>
      <c r="K2411" s="1" t="s">
        <v>4014</v>
      </c>
      <c r="N2411" s="1" t="s">
        <v>40</v>
      </c>
      <c r="O2411" s="1">
        <v>7500.0</v>
      </c>
      <c r="P2411" s="1" t="s">
        <v>40</v>
      </c>
      <c r="Q2411" s="1" t="str">
        <f>IF(ISERROR(VLOOKUP(P2411,'unique fed agency names'!A:C,3,FALSE)),P2411,VLOOKUP(P2411,'unique fed agency names'!A:C,3,FALSE))
</f>
        <v>U.S. Department of Health and Human Services (DHHS)</v>
      </c>
      <c r="R2411" s="1">
        <v>8.48764171E8</v>
      </c>
      <c r="S2411" s="1" t="s">
        <v>1050</v>
      </c>
      <c r="T2411" s="1" t="str">
        <f>IF(ISERROR(VLOOKUP(S2411,'unique org names'!A:C,3,FALSE)),S2411,VLOOKUP(S2411,'unique org names'!A:C,3,FALSE))
</f>
        <v>AIDS Partnership Michigan, Inc</v>
      </c>
      <c r="U2411" s="1" t="s">
        <v>1051</v>
      </c>
      <c r="V2411" s="1" t="s">
        <v>4020</v>
      </c>
      <c r="W2411" s="1" t="s">
        <v>44</v>
      </c>
      <c r="X2411" s="1" t="s">
        <v>45</v>
      </c>
      <c r="Y2411" s="1">
        <v>4.82023042E8</v>
      </c>
      <c r="AA2411" s="1" t="s">
        <v>46</v>
      </c>
      <c r="AB2411" s="1" t="s">
        <v>45</v>
      </c>
      <c r="AC2411" s="1">
        <v>4.820741E8</v>
      </c>
      <c r="AD2411" s="1">
        <v>8.0948367E8</v>
      </c>
      <c r="AE2411" s="1" t="s">
        <v>4055</v>
      </c>
      <c r="AF2411" s="1">
        <v>44914.0</v>
      </c>
      <c r="AG2411" s="2">
        <v>41548.0</v>
      </c>
      <c r="AH2411" s="1">
        <v>7500.0</v>
      </c>
      <c r="AI2411" s="1" t="s">
        <v>40</v>
      </c>
      <c r="AJ2411" s="1">
        <v>2.0141546E7</v>
      </c>
      <c r="AK2411" s="1" t="s">
        <v>4015</v>
      </c>
      <c r="AL2411" s="1">
        <v>10.0</v>
      </c>
      <c r="AM2411" s="1">
        <v>2011.0</v>
      </c>
      <c r="AN2411" s="1">
        <v>2014.0</v>
      </c>
      <c r="AO2411" s="1" t="s">
        <v>4003</v>
      </c>
    </row>
    <row r="2412">
      <c r="A2412" s="5">
        <v>1.0</v>
      </c>
      <c r="B2412" s="1">
        <f t="shared" si="1"/>
        <v>2412</v>
      </c>
      <c r="C2412" s="1" t="s">
        <v>4013</v>
      </c>
      <c r="D2412" s="1" t="s">
        <v>4013</v>
      </c>
      <c r="E2412" s="1" t="s">
        <v>63</v>
      </c>
      <c r="G2412" s="1">
        <v>1.9608108E7</v>
      </c>
      <c r="H2412" s="2">
        <v>41183.0</v>
      </c>
      <c r="I2412" s="1" t="s">
        <v>4014</v>
      </c>
      <c r="K2412" s="1" t="s">
        <v>4014</v>
      </c>
      <c r="N2412" s="1" t="s">
        <v>40</v>
      </c>
      <c r="O2412" s="1">
        <v>7500.0</v>
      </c>
      <c r="P2412" s="1" t="s">
        <v>40</v>
      </c>
      <c r="Q2412" s="1" t="str">
        <f>IF(ISERROR(VLOOKUP(P2412,'unique fed agency names'!A:C,3,FALSE)),P2412,VLOOKUP(P2412,'unique fed agency names'!A:C,3,FALSE))
</f>
        <v>U.S. Department of Health and Human Services (DHHS)</v>
      </c>
      <c r="R2412" s="1">
        <v>1.27458909E8</v>
      </c>
      <c r="S2412" s="1" t="s">
        <v>2195</v>
      </c>
      <c r="T2412" s="1" t="str">
        <f>IF(ISERROR(VLOOKUP(S2412,'unique org names'!A:C,3,FALSE)),S2412,VLOOKUP(S2412,'unique org names'!A:C,3,FALSE))
</f>
        <v>Mariners Inn</v>
      </c>
      <c r="U2412" s="1" t="s">
        <v>4029</v>
      </c>
      <c r="V2412" s="1" t="s">
        <v>2196</v>
      </c>
      <c r="W2412" s="1" t="s">
        <v>44</v>
      </c>
      <c r="X2412" s="1" t="s">
        <v>45</v>
      </c>
      <c r="Y2412" s="1">
        <v>4.82012641E8</v>
      </c>
      <c r="AA2412" s="1" t="s">
        <v>46</v>
      </c>
      <c r="AB2412" s="1" t="s">
        <v>45</v>
      </c>
      <c r="AC2412" s="1">
        <v>4.82012641E8</v>
      </c>
      <c r="AD2412" s="1">
        <v>1.40133393E8</v>
      </c>
      <c r="AE2412" s="1" t="s">
        <v>4028</v>
      </c>
      <c r="AF2412" s="1">
        <v>8333.0</v>
      </c>
      <c r="AG2412" s="2">
        <v>41183.0</v>
      </c>
      <c r="AH2412" s="1">
        <v>7500.0</v>
      </c>
      <c r="AI2412" s="1" t="s">
        <v>40</v>
      </c>
      <c r="AJ2412" s="1">
        <v>2.0133156E7</v>
      </c>
      <c r="AK2412" s="1" t="s">
        <v>4015</v>
      </c>
      <c r="AL2412" s="1">
        <v>10.0</v>
      </c>
      <c r="AM2412" s="1">
        <v>2011.0</v>
      </c>
      <c r="AN2412" s="1">
        <v>2013.0</v>
      </c>
      <c r="AO2412" s="1" t="s">
        <v>4003</v>
      </c>
    </row>
    <row r="2413">
      <c r="A2413" s="5">
        <v>1.0</v>
      </c>
      <c r="B2413" s="1">
        <f t="shared" si="1"/>
        <v>2413</v>
      </c>
      <c r="C2413" s="1" t="s">
        <v>4013</v>
      </c>
      <c r="D2413" s="1" t="s">
        <v>4013</v>
      </c>
      <c r="E2413" s="1" t="s">
        <v>63</v>
      </c>
      <c r="G2413" s="1">
        <v>1.9608108E7</v>
      </c>
      <c r="H2413" s="2">
        <v>41183.0</v>
      </c>
      <c r="I2413" s="1" t="s">
        <v>4014</v>
      </c>
      <c r="K2413" s="1" t="s">
        <v>4014</v>
      </c>
      <c r="N2413" s="1" t="s">
        <v>40</v>
      </c>
      <c r="O2413" s="1">
        <v>7500.0</v>
      </c>
      <c r="P2413" s="1" t="s">
        <v>40</v>
      </c>
      <c r="Q2413" s="1" t="str">
        <f>IF(ISERROR(VLOOKUP(P2413,'unique fed agency names'!A:C,3,FALSE)),P2413,VLOOKUP(P2413,'unique fed agency names'!A:C,3,FALSE))
</f>
        <v>U.S. Department of Health and Human Services (DHHS)</v>
      </c>
      <c r="R2413" s="1">
        <v>7.8583404E7</v>
      </c>
      <c r="S2413" s="1" t="s">
        <v>65</v>
      </c>
      <c r="T2413" s="1" t="str">
        <f>IF(ISERROR(VLOOKUP(S2413,'unique org names'!A:C,3,FALSE)),S2413,VLOOKUP(S2413,'unique org names'!A:C,3,FALSE))
</f>
        <v>Institute for Population Health Inc.</v>
      </c>
      <c r="U2413" s="1" t="s">
        <v>1051</v>
      </c>
      <c r="V2413" s="1" t="s">
        <v>1573</v>
      </c>
      <c r="W2413" s="1" t="s">
        <v>44</v>
      </c>
      <c r="X2413" s="1" t="s">
        <v>45</v>
      </c>
      <c r="Y2413" s="1">
        <v>4.8207311E8</v>
      </c>
      <c r="AA2413" s="1" t="s">
        <v>46</v>
      </c>
      <c r="AB2413" s="1" t="s">
        <v>45</v>
      </c>
      <c r="AC2413" s="1">
        <v>4.82021732E8</v>
      </c>
      <c r="AD2413" s="1">
        <v>2.088802E7</v>
      </c>
      <c r="AE2413" s="1" t="s">
        <v>4056</v>
      </c>
      <c r="AF2413" s="1">
        <v>123609.0</v>
      </c>
      <c r="AG2413" s="2">
        <v>41183.0</v>
      </c>
      <c r="AH2413" s="1">
        <v>7500.0</v>
      </c>
      <c r="AI2413" s="1" t="s">
        <v>40</v>
      </c>
      <c r="AJ2413" s="1">
        <v>2.01304E7</v>
      </c>
      <c r="AK2413" s="1" t="s">
        <v>4015</v>
      </c>
      <c r="AL2413" s="1">
        <v>10.0</v>
      </c>
      <c r="AM2413" s="1">
        <v>2011.0</v>
      </c>
      <c r="AN2413" s="1">
        <v>2013.0</v>
      </c>
      <c r="AO2413" s="1" t="s">
        <v>4003</v>
      </c>
    </row>
    <row r="2414">
      <c r="A2414" s="5">
        <v>1.0</v>
      </c>
      <c r="B2414" s="1">
        <f t="shared" si="1"/>
        <v>2414</v>
      </c>
      <c r="C2414" s="1" t="s">
        <v>4013</v>
      </c>
      <c r="D2414" s="1" t="s">
        <v>4013</v>
      </c>
      <c r="E2414" s="1" t="s">
        <v>63</v>
      </c>
      <c r="G2414" s="1">
        <v>1.9608108E7</v>
      </c>
      <c r="H2414" s="2">
        <v>41183.0</v>
      </c>
      <c r="I2414" s="1" t="s">
        <v>4014</v>
      </c>
      <c r="K2414" s="1" t="s">
        <v>4014</v>
      </c>
      <c r="N2414" s="1" t="s">
        <v>40</v>
      </c>
      <c r="O2414" s="1">
        <v>7500.0</v>
      </c>
      <c r="P2414" s="1" t="s">
        <v>40</v>
      </c>
      <c r="Q2414" s="1" t="str">
        <f>IF(ISERROR(VLOOKUP(P2414,'unique fed agency names'!A:C,3,FALSE)),P2414,VLOOKUP(P2414,'unique fed agency names'!A:C,3,FALSE))
</f>
        <v>U.S. Department of Health and Human Services (DHHS)</v>
      </c>
      <c r="R2414" s="1">
        <v>1.43407687E8</v>
      </c>
      <c r="S2414" s="1" t="s">
        <v>4016</v>
      </c>
      <c r="T2414" s="1" t="str">
        <f>IF(ISERROR(VLOOKUP(S2414,'unique org names'!A:C,3,FALSE)),S2414,VLOOKUP(S2414,'unique org names'!A:C,3,FALSE))
</f>
        <v>GOSPEL AGAINST AIDS INC</v>
      </c>
      <c r="U2414" s="1" t="s">
        <v>1051</v>
      </c>
      <c r="V2414" s="1" t="s">
        <v>4018</v>
      </c>
      <c r="W2414" s="1" t="s">
        <v>44</v>
      </c>
      <c r="X2414" s="1" t="s">
        <v>45</v>
      </c>
      <c r="Y2414" s="1">
        <v>4.82023042E8</v>
      </c>
      <c r="AA2414" s="1" t="s">
        <v>46</v>
      </c>
      <c r="AB2414" s="1" t="s">
        <v>45</v>
      </c>
      <c r="AC2414" s="1">
        <v>4.820741E8</v>
      </c>
      <c r="AD2414" s="1">
        <v>1962224.0</v>
      </c>
      <c r="AE2414" s="1" t="s">
        <v>52</v>
      </c>
      <c r="AF2414" s="1">
        <v>56737.0</v>
      </c>
      <c r="AG2414" s="2">
        <v>41183.0</v>
      </c>
      <c r="AH2414" s="1">
        <v>7500.0</v>
      </c>
      <c r="AI2414" s="1" t="s">
        <v>40</v>
      </c>
      <c r="AJ2414" s="1">
        <v>2.0130218E7</v>
      </c>
      <c r="AK2414" s="1" t="s">
        <v>4015</v>
      </c>
      <c r="AL2414" s="1">
        <v>10.0</v>
      </c>
      <c r="AM2414" s="1">
        <v>2011.0</v>
      </c>
      <c r="AN2414" s="1">
        <v>2013.0</v>
      </c>
      <c r="AO2414" s="1" t="s">
        <v>4003</v>
      </c>
    </row>
    <row r="2415">
      <c r="A2415" s="5">
        <v>1.0</v>
      </c>
      <c r="B2415" s="1">
        <f t="shared" si="1"/>
        <v>2415</v>
      </c>
      <c r="C2415" s="1" t="s">
        <v>4013</v>
      </c>
      <c r="D2415" s="1" t="s">
        <v>4013</v>
      </c>
      <c r="E2415" s="1" t="s">
        <v>63</v>
      </c>
      <c r="G2415" s="1">
        <v>1.9608108E7</v>
      </c>
      <c r="H2415" s="2">
        <v>41183.0</v>
      </c>
      <c r="I2415" s="1" t="s">
        <v>4014</v>
      </c>
      <c r="K2415" s="1" t="s">
        <v>4014</v>
      </c>
      <c r="N2415" s="1" t="s">
        <v>40</v>
      </c>
      <c r="O2415" s="1">
        <v>7500.0</v>
      </c>
      <c r="P2415" s="1" t="s">
        <v>40</v>
      </c>
      <c r="Q2415" s="1" t="str">
        <f>IF(ISERROR(VLOOKUP(P2415,'unique fed agency names'!A:C,3,FALSE)),P2415,VLOOKUP(P2415,'unique fed agency names'!A:C,3,FALSE))
</f>
        <v>U.S. Department of Health and Human Services (DHHS)</v>
      </c>
      <c r="R2415" s="1">
        <v>1.98999146E8</v>
      </c>
      <c r="S2415" s="1" t="s">
        <v>999</v>
      </c>
      <c r="T2415" s="1" t="str">
        <f>IF(ISERROR(VLOOKUP(S2415,'unique org names'!A:C,3,FALSE)),S2415,VLOOKUP(S2415,'unique org names'!A:C,3,FALSE))
</f>
        <v>COMMUNITY HEALTH AWARENESS GROUP</v>
      </c>
      <c r="V2415" s="1" t="s">
        <v>1000</v>
      </c>
      <c r="W2415" s="1" t="s">
        <v>44</v>
      </c>
      <c r="X2415" s="1" t="s">
        <v>45</v>
      </c>
      <c r="Y2415" s="1">
        <v>4.82263007E8</v>
      </c>
      <c r="AA2415" s="1" t="s">
        <v>46</v>
      </c>
      <c r="AB2415" s="1" t="s">
        <v>45</v>
      </c>
      <c r="AC2415" s="1">
        <v>4.82263007E8</v>
      </c>
      <c r="AD2415" s="1">
        <v>1962224.0</v>
      </c>
      <c r="AE2415" s="1" t="s">
        <v>52</v>
      </c>
      <c r="AF2415" s="1">
        <v>159081.0</v>
      </c>
      <c r="AG2415" s="2">
        <v>41183.0</v>
      </c>
      <c r="AH2415" s="1">
        <v>7500.0</v>
      </c>
      <c r="AI2415" s="1" t="s">
        <v>40</v>
      </c>
      <c r="AJ2415" s="1">
        <v>2.0130216E7</v>
      </c>
      <c r="AK2415" s="1" t="s">
        <v>4015</v>
      </c>
      <c r="AL2415" s="1">
        <v>10.0</v>
      </c>
      <c r="AM2415" s="1">
        <v>2011.0</v>
      </c>
      <c r="AN2415" s="1">
        <v>2013.0</v>
      </c>
      <c r="AO2415" s="1" t="s">
        <v>4003</v>
      </c>
    </row>
    <row r="2416">
      <c r="A2416" s="5">
        <v>1.0</v>
      </c>
      <c r="B2416" s="1">
        <f t="shared" si="1"/>
        <v>2416</v>
      </c>
      <c r="C2416" s="1" t="s">
        <v>4013</v>
      </c>
      <c r="D2416" s="1" t="s">
        <v>4013</v>
      </c>
      <c r="E2416" s="1" t="s">
        <v>63</v>
      </c>
      <c r="G2416" s="1">
        <v>1.9608108E7</v>
      </c>
      <c r="H2416" s="2">
        <v>41183.0</v>
      </c>
      <c r="I2416" s="1" t="s">
        <v>4014</v>
      </c>
      <c r="K2416" s="1" t="s">
        <v>4014</v>
      </c>
      <c r="N2416" s="1" t="s">
        <v>40</v>
      </c>
      <c r="O2416" s="1">
        <v>7500.0</v>
      </c>
      <c r="P2416" s="1" t="s">
        <v>40</v>
      </c>
      <c r="Q2416" s="1" t="str">
        <f>IF(ISERROR(VLOOKUP(P2416,'unique fed agency names'!A:C,3,FALSE)),P2416,VLOOKUP(P2416,'unique fed agency names'!A:C,3,FALSE))
</f>
        <v>U.S. Department of Health and Human Services (DHHS)</v>
      </c>
      <c r="R2416" s="1">
        <v>8.48764171E8</v>
      </c>
      <c r="S2416" s="1" t="s">
        <v>1050</v>
      </c>
      <c r="T2416" s="1" t="str">
        <f>IF(ISERROR(VLOOKUP(S2416,'unique org names'!A:C,3,FALSE)),S2416,VLOOKUP(S2416,'unique org names'!A:C,3,FALSE))
</f>
        <v>AIDS Partnership Michigan, Inc</v>
      </c>
      <c r="U2416" s="1" t="s">
        <v>1051</v>
      </c>
      <c r="V2416" s="1" t="s">
        <v>4020</v>
      </c>
      <c r="W2416" s="1" t="s">
        <v>44</v>
      </c>
      <c r="X2416" s="1" t="s">
        <v>45</v>
      </c>
      <c r="Y2416" s="1">
        <v>4.82023042E8</v>
      </c>
      <c r="AA2416" s="1" t="s">
        <v>46</v>
      </c>
      <c r="AB2416" s="1" t="s">
        <v>45</v>
      </c>
      <c r="AC2416" s="1">
        <v>4.820741E8</v>
      </c>
      <c r="AD2416" s="1">
        <v>7.2596349E7</v>
      </c>
      <c r="AF2416" s="1">
        <v>107593.0</v>
      </c>
      <c r="AG2416" s="2">
        <v>41183.0</v>
      </c>
      <c r="AH2416" s="1">
        <v>7500.0</v>
      </c>
      <c r="AI2416" s="1" t="s">
        <v>40</v>
      </c>
      <c r="AJ2416" s="1">
        <v>2.0130226E7</v>
      </c>
      <c r="AK2416" s="1" t="s">
        <v>4015</v>
      </c>
      <c r="AL2416" s="1">
        <v>10.0</v>
      </c>
      <c r="AM2416" s="1">
        <v>2011.0</v>
      </c>
      <c r="AN2416" s="1">
        <v>2013.0</v>
      </c>
      <c r="AO2416" s="1" t="s">
        <v>4003</v>
      </c>
    </row>
    <row r="2417">
      <c r="A2417" s="5">
        <v>1.0</v>
      </c>
      <c r="B2417" s="1">
        <f t="shared" si="1"/>
        <v>2417</v>
      </c>
      <c r="C2417" s="1" t="s">
        <v>4013</v>
      </c>
      <c r="D2417" s="1" t="s">
        <v>4013</v>
      </c>
      <c r="E2417" s="1" t="s">
        <v>63</v>
      </c>
      <c r="G2417" s="1">
        <v>1.9608108E7</v>
      </c>
      <c r="H2417" s="2">
        <v>41183.0</v>
      </c>
      <c r="I2417" s="1" t="s">
        <v>4014</v>
      </c>
      <c r="K2417" s="1" t="s">
        <v>4014</v>
      </c>
      <c r="N2417" s="1" t="s">
        <v>40</v>
      </c>
      <c r="O2417" s="1">
        <v>7500.0</v>
      </c>
      <c r="P2417" s="1" t="s">
        <v>40</v>
      </c>
      <c r="Q2417" s="1" t="str">
        <f>IF(ISERROR(VLOOKUP(P2417,'unique fed agency names'!A:C,3,FALSE)),P2417,VLOOKUP(P2417,'unique fed agency names'!A:C,3,FALSE))
</f>
        <v>U.S. Department of Health and Human Services (DHHS)</v>
      </c>
      <c r="R2417" s="1">
        <v>8.48764171E8</v>
      </c>
      <c r="S2417" s="1" t="s">
        <v>1050</v>
      </c>
      <c r="T2417" s="1" t="str">
        <f>IF(ISERROR(VLOOKUP(S2417,'unique org names'!A:C,3,FALSE)),S2417,VLOOKUP(S2417,'unique org names'!A:C,3,FALSE))
</f>
        <v>AIDS Partnership Michigan, Inc</v>
      </c>
      <c r="U2417" s="1" t="s">
        <v>1051</v>
      </c>
      <c r="V2417" s="1" t="s">
        <v>4020</v>
      </c>
      <c r="W2417" s="1" t="s">
        <v>44</v>
      </c>
      <c r="X2417" s="1" t="s">
        <v>45</v>
      </c>
      <c r="Y2417" s="1">
        <v>4.82023042E8</v>
      </c>
      <c r="AA2417" s="1" t="s">
        <v>46</v>
      </c>
      <c r="AB2417" s="1" t="s">
        <v>45</v>
      </c>
      <c r="AC2417" s="1">
        <v>4.820741E8</v>
      </c>
      <c r="AD2417" s="1">
        <v>8.0948367E8</v>
      </c>
      <c r="AE2417" s="1" t="s">
        <v>4055</v>
      </c>
      <c r="AF2417" s="1">
        <v>88612.0</v>
      </c>
      <c r="AG2417" s="2">
        <v>41183.0</v>
      </c>
      <c r="AH2417" s="1">
        <v>7500.0</v>
      </c>
      <c r="AI2417" s="1" t="s">
        <v>40</v>
      </c>
      <c r="AJ2417" s="1">
        <v>2.0130227E7</v>
      </c>
      <c r="AK2417" s="1" t="s">
        <v>4015</v>
      </c>
      <c r="AL2417" s="1">
        <v>10.0</v>
      </c>
      <c r="AM2417" s="1">
        <v>2011.0</v>
      </c>
      <c r="AN2417" s="1">
        <v>2013.0</v>
      </c>
      <c r="AO2417" s="1" t="s">
        <v>4003</v>
      </c>
    </row>
    <row r="2418">
      <c r="A2418" s="5">
        <v>1.0</v>
      </c>
      <c r="B2418" s="1">
        <f t="shared" si="1"/>
        <v>2418</v>
      </c>
      <c r="C2418" s="1" t="s">
        <v>4013</v>
      </c>
      <c r="D2418" s="1" t="s">
        <v>4013</v>
      </c>
      <c r="E2418" s="1" t="s">
        <v>63</v>
      </c>
      <c r="G2418" s="1">
        <v>1.9608108E7</v>
      </c>
      <c r="H2418" s="2">
        <v>41183.0</v>
      </c>
      <c r="I2418" s="1" t="s">
        <v>4014</v>
      </c>
      <c r="K2418" s="1" t="s">
        <v>4014</v>
      </c>
      <c r="N2418" s="1" t="s">
        <v>40</v>
      </c>
      <c r="O2418" s="1">
        <v>7500.0</v>
      </c>
      <c r="P2418" s="1" t="s">
        <v>40</v>
      </c>
      <c r="Q2418" s="1" t="str">
        <f>IF(ISERROR(VLOOKUP(P2418,'unique fed agency names'!A:C,3,FALSE)),P2418,VLOOKUP(P2418,'unique fed agency names'!A:C,3,FALSE))
</f>
        <v>U.S. Department of Health and Human Services (DHHS)</v>
      </c>
      <c r="R2418" s="1">
        <v>1962224.0</v>
      </c>
      <c r="S2418" s="1" t="s">
        <v>52</v>
      </c>
      <c r="T2418" s="1" t="str">
        <f>IF(ISERROR(VLOOKUP(S2418,'unique org names'!A:C,3,FALSE)),S2418,VLOOKUP(S2418,'unique org names'!A:C,3,FALSE))
</f>
        <v>WAYNE STATE UNIVERSITY</v>
      </c>
      <c r="U2418" s="1" t="s">
        <v>2077</v>
      </c>
      <c r="V2418" s="1" t="s">
        <v>1885</v>
      </c>
      <c r="W2418" s="1" t="s">
        <v>44</v>
      </c>
      <c r="X2418" s="1" t="s">
        <v>45</v>
      </c>
      <c r="Y2418" s="1">
        <v>4.82021347E8</v>
      </c>
      <c r="AA2418" s="1" t="s">
        <v>46</v>
      </c>
      <c r="AB2418" s="1" t="s">
        <v>45</v>
      </c>
      <c r="AC2418" s="1">
        <v>4.82023692E8</v>
      </c>
      <c r="AD2418" s="1">
        <v>1962224.0</v>
      </c>
      <c r="AE2418" s="1" t="s">
        <v>52</v>
      </c>
      <c r="AF2418" s="1">
        <v>10884.32</v>
      </c>
      <c r="AG2418" s="2">
        <v>41183.0</v>
      </c>
      <c r="AH2418" s="1">
        <v>7500.0</v>
      </c>
      <c r="AI2418" s="1" t="s">
        <v>40</v>
      </c>
      <c r="AJ2418" s="1">
        <v>2.0131069E7</v>
      </c>
      <c r="AK2418" s="1" t="s">
        <v>4015</v>
      </c>
      <c r="AL2418" s="1">
        <v>10.0</v>
      </c>
      <c r="AM2418" s="1">
        <v>2011.0</v>
      </c>
      <c r="AN2418" s="1">
        <v>2013.0</v>
      </c>
      <c r="AO2418" s="1" t="s">
        <v>4003</v>
      </c>
    </row>
    <row r="2419">
      <c r="A2419" s="5">
        <v>1.0</v>
      </c>
      <c r="B2419" s="1">
        <f t="shared" si="1"/>
        <v>2419</v>
      </c>
      <c r="C2419" s="1" t="s">
        <v>4013</v>
      </c>
      <c r="D2419" s="1" t="s">
        <v>4013</v>
      </c>
      <c r="E2419" s="1" t="s">
        <v>63</v>
      </c>
      <c r="G2419" s="1">
        <v>1.9608108E7</v>
      </c>
      <c r="H2419" s="2">
        <v>41183.0</v>
      </c>
      <c r="I2419" s="1" t="s">
        <v>4014</v>
      </c>
      <c r="K2419" s="1" t="s">
        <v>4014</v>
      </c>
      <c r="N2419" s="1" t="s">
        <v>40</v>
      </c>
      <c r="O2419" s="1">
        <v>7500.0</v>
      </c>
      <c r="P2419" s="1" t="s">
        <v>40</v>
      </c>
      <c r="Q2419" s="1" t="str">
        <f>IF(ISERROR(VLOOKUP(P2419,'unique fed agency names'!A:C,3,FALSE)),P2419,VLOOKUP(P2419,'unique fed agency names'!A:C,3,FALSE))
</f>
        <v>U.S. Department of Health and Human Services (DHHS)</v>
      </c>
      <c r="R2419" s="1">
        <v>1962224.0</v>
      </c>
      <c r="S2419" s="1" t="s">
        <v>52</v>
      </c>
      <c r="T2419" s="1" t="str">
        <f>IF(ISERROR(VLOOKUP(S2419,'unique org names'!A:C,3,FALSE)),S2419,VLOOKUP(S2419,'unique org names'!A:C,3,FALSE))
</f>
        <v>WAYNE STATE UNIVERSITY</v>
      </c>
      <c r="U2419" s="1" t="s">
        <v>4052</v>
      </c>
      <c r="V2419" s="1" t="s">
        <v>1885</v>
      </c>
      <c r="W2419" s="1" t="s">
        <v>44</v>
      </c>
      <c r="X2419" s="1" t="s">
        <v>45</v>
      </c>
      <c r="Y2419" s="1">
        <v>4.82021347E8</v>
      </c>
      <c r="AA2419" s="1" t="s">
        <v>46</v>
      </c>
      <c r="AB2419" s="1" t="s">
        <v>45</v>
      </c>
      <c r="AC2419" s="1">
        <v>4.82023692E8</v>
      </c>
      <c r="AD2419" s="1">
        <v>1962224.0</v>
      </c>
      <c r="AE2419" s="1" t="s">
        <v>52</v>
      </c>
      <c r="AF2419" s="1">
        <v>18928.03</v>
      </c>
      <c r="AG2419" s="2">
        <v>41183.0</v>
      </c>
      <c r="AH2419" s="1">
        <v>7500.0</v>
      </c>
      <c r="AI2419" s="1" t="s">
        <v>40</v>
      </c>
      <c r="AJ2419" s="1">
        <v>2.013106E7</v>
      </c>
      <c r="AK2419" s="1" t="s">
        <v>4015</v>
      </c>
      <c r="AL2419" s="1">
        <v>10.0</v>
      </c>
      <c r="AM2419" s="1">
        <v>2011.0</v>
      </c>
      <c r="AN2419" s="1">
        <v>2013.0</v>
      </c>
      <c r="AO2419" s="1" t="s">
        <v>4003</v>
      </c>
    </row>
    <row r="2420">
      <c r="A2420" s="5">
        <v>1.0</v>
      </c>
      <c r="B2420" s="1">
        <f t="shared" si="1"/>
        <v>2420</v>
      </c>
      <c r="C2420" s="1" t="s">
        <v>4013</v>
      </c>
      <c r="D2420" s="1" t="s">
        <v>4013</v>
      </c>
      <c r="E2420" s="1" t="s">
        <v>63</v>
      </c>
      <c r="G2420" s="1">
        <v>1.9608108E7</v>
      </c>
      <c r="H2420" s="2">
        <v>41183.0</v>
      </c>
      <c r="I2420" s="1" t="s">
        <v>4014</v>
      </c>
      <c r="K2420" s="1" t="s">
        <v>4014</v>
      </c>
      <c r="N2420" s="1" t="s">
        <v>40</v>
      </c>
      <c r="O2420" s="1">
        <v>7500.0</v>
      </c>
      <c r="P2420" s="1" t="s">
        <v>40</v>
      </c>
      <c r="Q2420" s="1" t="str">
        <f>IF(ISERROR(VLOOKUP(P2420,'unique fed agency names'!A:C,3,FALSE)),P2420,VLOOKUP(P2420,'unique fed agency names'!A:C,3,FALSE))
</f>
        <v>U.S. Department of Health and Human Services (DHHS)</v>
      </c>
      <c r="R2420" s="1">
        <v>1.8009589E8</v>
      </c>
      <c r="S2420" s="1" t="s">
        <v>4057</v>
      </c>
      <c r="T2420" s="1" t="str">
        <f>IF(ISERROR(VLOOKUP(S2420,'unique org names'!A:C,3,FALSE)),S2420,VLOOKUP(S2420,'unique org names'!A:C,3,FALSE))
</f>
        <v>Ruth Ellis Center, Inc</v>
      </c>
      <c r="U2420" s="1" t="s">
        <v>4058</v>
      </c>
      <c r="V2420" s="1" t="s">
        <v>4059</v>
      </c>
      <c r="W2420" s="1" t="s">
        <v>44</v>
      </c>
      <c r="X2420" s="1" t="s">
        <v>45</v>
      </c>
      <c r="Y2420" s="1">
        <v>4.82033127E8</v>
      </c>
      <c r="AA2420" s="1" t="s">
        <v>46</v>
      </c>
      <c r="AB2420" s="1" t="s">
        <v>45</v>
      </c>
      <c r="AC2420" s="1">
        <v>4.82033127E8</v>
      </c>
      <c r="AD2420" s="1">
        <v>2.0906988E7</v>
      </c>
      <c r="AE2420" s="1" t="s">
        <v>3760</v>
      </c>
      <c r="AF2420" s="1">
        <v>16703.83</v>
      </c>
      <c r="AG2420" s="2">
        <v>41183.0</v>
      </c>
      <c r="AH2420" s="1">
        <v>7500.0</v>
      </c>
      <c r="AI2420" s="1" t="s">
        <v>40</v>
      </c>
      <c r="AJ2420" s="1">
        <v>2.0130224E7</v>
      </c>
      <c r="AK2420" s="1" t="s">
        <v>4015</v>
      </c>
      <c r="AL2420" s="1">
        <v>10.0</v>
      </c>
      <c r="AM2420" s="1">
        <v>2011.0</v>
      </c>
      <c r="AN2420" s="1">
        <v>2013.0</v>
      </c>
      <c r="AO2420" s="1" t="s">
        <v>4003</v>
      </c>
    </row>
    <row r="2421">
      <c r="A2421" s="5">
        <v>1.0</v>
      </c>
      <c r="B2421" s="1">
        <f t="shared" si="1"/>
        <v>2421</v>
      </c>
      <c r="C2421" s="1" t="s">
        <v>4013</v>
      </c>
      <c r="D2421" s="1" t="s">
        <v>4013</v>
      </c>
      <c r="E2421" s="1" t="s">
        <v>63</v>
      </c>
      <c r="G2421" s="1">
        <v>1.9608108E7</v>
      </c>
      <c r="H2421" s="2">
        <v>41183.0</v>
      </c>
      <c r="I2421" s="1" t="s">
        <v>4014</v>
      </c>
      <c r="K2421" s="1" t="s">
        <v>4014</v>
      </c>
      <c r="N2421" s="1" t="s">
        <v>40</v>
      </c>
      <c r="O2421" s="1">
        <v>7500.0</v>
      </c>
      <c r="P2421" s="1" t="s">
        <v>40</v>
      </c>
      <c r="Q2421" s="1" t="str">
        <f>IF(ISERROR(VLOOKUP(P2421,'unique fed agency names'!A:C,3,FALSE)),P2421,VLOOKUP(P2421,'unique fed agency names'!A:C,3,FALSE))
</f>
        <v>U.S. Department of Health and Human Services (DHHS)</v>
      </c>
      <c r="R2421" s="1">
        <v>2.0830303E7</v>
      </c>
      <c r="S2421" s="1" t="s">
        <v>424</v>
      </c>
      <c r="T2421" s="1" t="str">
        <f>IF(ISERROR(VLOOKUP(S2421,'unique org names'!A:C,3,FALSE)),S2421,VLOOKUP(S2421,'unique org names'!A:C,3,FALSE))
</f>
        <v>MATRIX HUMAN SERVICES</v>
      </c>
      <c r="U2421" s="1" t="s">
        <v>425</v>
      </c>
      <c r="V2421" s="1" t="s">
        <v>426</v>
      </c>
      <c r="W2421" s="1" t="s">
        <v>44</v>
      </c>
      <c r="X2421" s="1" t="s">
        <v>45</v>
      </c>
      <c r="Y2421" s="1">
        <v>4.82012002E8</v>
      </c>
      <c r="AA2421" s="1" t="s">
        <v>46</v>
      </c>
      <c r="AB2421" s="1" t="s">
        <v>45</v>
      </c>
      <c r="AC2421" s="1">
        <v>4.82012002E8</v>
      </c>
      <c r="AD2421" s="1">
        <v>2.0830303E7</v>
      </c>
      <c r="AE2421" s="1" t="s">
        <v>424</v>
      </c>
      <c r="AF2421" s="1">
        <v>14834.8</v>
      </c>
      <c r="AG2421" s="2">
        <v>41183.0</v>
      </c>
      <c r="AH2421" s="1">
        <v>7500.0</v>
      </c>
      <c r="AI2421" s="1" t="s">
        <v>40</v>
      </c>
      <c r="AJ2421" s="1">
        <v>2.0130541E7</v>
      </c>
      <c r="AK2421" s="1" t="s">
        <v>4015</v>
      </c>
      <c r="AL2421" s="1">
        <v>10.0</v>
      </c>
      <c r="AM2421" s="1">
        <v>2011.0</v>
      </c>
      <c r="AN2421" s="1">
        <v>2013.0</v>
      </c>
      <c r="AO2421" s="1" t="s">
        <v>4003</v>
      </c>
    </row>
    <row r="2422">
      <c r="A2422" s="5">
        <v>1.0</v>
      </c>
      <c r="B2422" s="1">
        <f t="shared" si="1"/>
        <v>2422</v>
      </c>
      <c r="C2422" s="1" t="s">
        <v>4013</v>
      </c>
      <c r="D2422" s="1" t="s">
        <v>4013</v>
      </c>
      <c r="E2422" s="1" t="s">
        <v>63</v>
      </c>
      <c r="G2422" s="1">
        <v>1.9608108E7</v>
      </c>
      <c r="H2422" s="2">
        <v>41183.0</v>
      </c>
      <c r="I2422" s="1" t="s">
        <v>4014</v>
      </c>
      <c r="K2422" s="1" t="s">
        <v>4014</v>
      </c>
      <c r="N2422" s="1" t="s">
        <v>40</v>
      </c>
      <c r="O2422" s="1">
        <v>7500.0</v>
      </c>
      <c r="P2422" s="1" t="s">
        <v>40</v>
      </c>
      <c r="Q2422" s="1" t="str">
        <f>IF(ISERROR(VLOOKUP(P2422,'unique fed agency names'!A:C,3,FALSE)),P2422,VLOOKUP(P2422,'unique fed agency names'!A:C,3,FALSE))
</f>
        <v>U.S. Department of Health and Human Services (DHHS)</v>
      </c>
      <c r="R2422" s="1">
        <v>7.8583404E7</v>
      </c>
      <c r="S2422" s="1" t="s">
        <v>65</v>
      </c>
      <c r="T2422" s="1" t="str">
        <f>IF(ISERROR(VLOOKUP(S2422,'unique org names'!A:C,3,FALSE)),S2422,VLOOKUP(S2422,'unique org names'!A:C,3,FALSE))
</f>
        <v>Institute for Population Health Inc.</v>
      </c>
      <c r="V2422" s="1" t="s">
        <v>1573</v>
      </c>
      <c r="W2422" s="1" t="s">
        <v>44</v>
      </c>
      <c r="X2422" s="1" t="s">
        <v>45</v>
      </c>
      <c r="Y2422" s="1">
        <v>4.8207311E8</v>
      </c>
      <c r="AA2422" s="1" t="s">
        <v>46</v>
      </c>
      <c r="AB2422" s="1" t="s">
        <v>45</v>
      </c>
      <c r="AC2422" s="1">
        <v>4.82021732E8</v>
      </c>
      <c r="AD2422" s="1">
        <v>1.71384183E8</v>
      </c>
      <c r="AE2422" s="1" t="s">
        <v>2978</v>
      </c>
      <c r="AF2422" s="1">
        <v>19500.0</v>
      </c>
      <c r="AG2422" s="2">
        <v>41183.0</v>
      </c>
      <c r="AH2422" s="1">
        <v>7500.0</v>
      </c>
      <c r="AI2422" s="1" t="s">
        <v>40</v>
      </c>
      <c r="AJ2422" s="1">
        <v>2.01304E7</v>
      </c>
      <c r="AK2422" s="1" t="s">
        <v>4015</v>
      </c>
      <c r="AL2422" s="1">
        <v>10.0</v>
      </c>
      <c r="AM2422" s="1">
        <v>2011.0</v>
      </c>
      <c r="AN2422" s="1">
        <v>2013.0</v>
      </c>
      <c r="AO2422" s="1" t="s">
        <v>4003</v>
      </c>
    </row>
    <row r="2423">
      <c r="A2423" s="5">
        <v>1.0</v>
      </c>
      <c r="B2423" s="1">
        <f t="shared" si="1"/>
        <v>2423</v>
      </c>
      <c r="C2423" s="1" t="s">
        <v>4013</v>
      </c>
      <c r="D2423" s="1" t="s">
        <v>4013</v>
      </c>
      <c r="E2423" s="1" t="s">
        <v>63</v>
      </c>
      <c r="G2423" s="1">
        <v>1.9608108E7</v>
      </c>
      <c r="H2423" s="2">
        <v>41183.0</v>
      </c>
      <c r="I2423" s="1" t="s">
        <v>4014</v>
      </c>
      <c r="K2423" s="1" t="s">
        <v>4014</v>
      </c>
      <c r="N2423" s="1" t="s">
        <v>40</v>
      </c>
      <c r="O2423" s="1">
        <v>7500.0</v>
      </c>
      <c r="P2423" s="1" t="s">
        <v>40</v>
      </c>
      <c r="Q2423" s="1" t="str">
        <f>IF(ISERROR(VLOOKUP(P2423,'unique fed agency names'!A:C,3,FALSE)),P2423,VLOOKUP(P2423,'unique fed agency names'!A:C,3,FALSE))
</f>
        <v>U.S. Department of Health and Human Services (DHHS)</v>
      </c>
      <c r="R2423" s="1">
        <v>7.3134603E7</v>
      </c>
      <c r="S2423" s="1" t="s">
        <v>41</v>
      </c>
      <c r="T2423" s="1" t="str">
        <f>IF(ISERROR(VLOOKUP(S2423,'unique org names'!A:C,3,FALSE)),S2423,VLOOKUP(S2423,'unique org names'!A:C,3,FALSE))
</f>
        <v>Henry Ford Health System</v>
      </c>
      <c r="U2423" s="1" t="s">
        <v>252</v>
      </c>
      <c r="V2423" s="1" t="s">
        <v>253</v>
      </c>
      <c r="W2423" s="1" t="s">
        <v>44</v>
      </c>
      <c r="X2423" s="1" t="s">
        <v>45</v>
      </c>
      <c r="Y2423" s="1">
        <v>4.8202345E8</v>
      </c>
      <c r="AA2423" s="1" t="s">
        <v>46</v>
      </c>
      <c r="AB2423" s="1" t="s">
        <v>45</v>
      </c>
      <c r="AC2423" s="1">
        <v>4.8202345E8</v>
      </c>
      <c r="AD2423" s="1">
        <v>7.3134603E7</v>
      </c>
      <c r="AE2423" s="1" t="s">
        <v>41</v>
      </c>
      <c r="AF2423" s="1">
        <v>55523.0</v>
      </c>
      <c r="AG2423" s="2">
        <v>41183.0</v>
      </c>
      <c r="AH2423" s="1">
        <v>7500.0</v>
      </c>
      <c r="AI2423" s="1" t="s">
        <v>40</v>
      </c>
      <c r="AJ2423" s="1">
        <v>2.0130114E7</v>
      </c>
      <c r="AK2423" s="1" t="s">
        <v>4015</v>
      </c>
      <c r="AL2423" s="1">
        <v>10.0</v>
      </c>
      <c r="AM2423" s="1">
        <v>2011.0</v>
      </c>
      <c r="AN2423" s="1">
        <v>2013.0</v>
      </c>
      <c r="AO2423" s="1" t="s">
        <v>4003</v>
      </c>
    </row>
    <row r="2424">
      <c r="A2424" s="5">
        <v>1.0</v>
      </c>
      <c r="B2424" s="1">
        <f t="shared" si="1"/>
        <v>2424</v>
      </c>
      <c r="C2424" s="1" t="s">
        <v>4013</v>
      </c>
      <c r="D2424" s="1" t="s">
        <v>4013</v>
      </c>
      <c r="E2424" s="1" t="s">
        <v>63</v>
      </c>
      <c r="G2424" s="1">
        <v>1.9608108E7</v>
      </c>
      <c r="H2424" s="2">
        <v>41183.0</v>
      </c>
      <c r="I2424" s="1" t="s">
        <v>4014</v>
      </c>
      <c r="K2424" s="1" t="s">
        <v>4014</v>
      </c>
      <c r="N2424" s="1" t="s">
        <v>40</v>
      </c>
      <c r="O2424" s="1">
        <v>7500.0</v>
      </c>
      <c r="P2424" s="1" t="s">
        <v>40</v>
      </c>
      <c r="Q2424" s="1" t="str">
        <f>IF(ISERROR(VLOOKUP(P2424,'unique fed agency names'!A:C,3,FALSE)),P2424,VLOOKUP(P2424,'unique fed agency names'!A:C,3,FALSE))
</f>
        <v>U.S. Department of Health and Human Services (DHHS)</v>
      </c>
      <c r="R2424" s="1">
        <v>8.48764171E8</v>
      </c>
      <c r="S2424" s="1" t="s">
        <v>1050</v>
      </c>
      <c r="T2424" s="1" t="str">
        <f>IF(ISERROR(VLOOKUP(S2424,'unique org names'!A:C,3,FALSE)),S2424,VLOOKUP(S2424,'unique org names'!A:C,3,FALSE))
</f>
        <v>AIDS Partnership Michigan, Inc</v>
      </c>
      <c r="U2424" s="1" t="s">
        <v>1051</v>
      </c>
      <c r="V2424" s="1" t="s">
        <v>4020</v>
      </c>
      <c r="W2424" s="1" t="s">
        <v>44</v>
      </c>
      <c r="X2424" s="1" t="s">
        <v>45</v>
      </c>
      <c r="Y2424" s="1">
        <v>4.82023042E8</v>
      </c>
      <c r="AA2424" s="1" t="s">
        <v>46</v>
      </c>
      <c r="AB2424" s="1" t="s">
        <v>45</v>
      </c>
      <c r="AC2424" s="1">
        <v>4.820741E8</v>
      </c>
      <c r="AD2424" s="1">
        <v>3.8775243E7</v>
      </c>
      <c r="AE2424" s="1" t="s">
        <v>209</v>
      </c>
      <c r="AF2424" s="1">
        <v>17407.0</v>
      </c>
      <c r="AG2424" s="2">
        <v>41183.0</v>
      </c>
      <c r="AH2424" s="1">
        <v>7500.0</v>
      </c>
      <c r="AI2424" s="1" t="s">
        <v>40</v>
      </c>
      <c r="AJ2424" s="1">
        <v>2.0130226E7</v>
      </c>
      <c r="AK2424" s="1" t="s">
        <v>4015</v>
      </c>
      <c r="AL2424" s="1">
        <v>10.0</v>
      </c>
      <c r="AM2424" s="1">
        <v>2011.0</v>
      </c>
      <c r="AN2424" s="1">
        <v>2013.0</v>
      </c>
      <c r="AO2424" s="1" t="s">
        <v>4003</v>
      </c>
    </row>
    <row r="2425">
      <c r="A2425" s="5">
        <v>1.0</v>
      </c>
      <c r="B2425" s="1">
        <f t="shared" si="1"/>
        <v>2425</v>
      </c>
      <c r="C2425" s="1" t="s">
        <v>4033</v>
      </c>
      <c r="D2425" s="1" t="s">
        <v>4033</v>
      </c>
      <c r="E2425" s="1" t="s">
        <v>63</v>
      </c>
      <c r="G2425" s="1">
        <v>7.6172144E7</v>
      </c>
      <c r="H2425" s="2">
        <v>41913.0</v>
      </c>
      <c r="I2425" s="1" t="s">
        <v>4034</v>
      </c>
      <c r="K2425" s="1" t="s">
        <v>4034</v>
      </c>
      <c r="N2425" s="1" t="s">
        <v>40</v>
      </c>
      <c r="O2425" s="1">
        <v>7500.0</v>
      </c>
      <c r="P2425" s="1" t="s">
        <v>40</v>
      </c>
      <c r="Q2425" s="1" t="str">
        <f>IF(ISERROR(VLOOKUP(P2425,'unique fed agency names'!A:C,3,FALSE)),P2425,VLOOKUP(P2425,'unique fed agency names'!A:C,3,FALSE))
</f>
        <v>U.S. Department of Health and Human Services (DHHS)</v>
      </c>
      <c r="R2425" s="1">
        <v>1.7406606E7</v>
      </c>
      <c r="S2425" s="1" t="s">
        <v>1574</v>
      </c>
      <c r="T2425" s="1" t="str">
        <f>IF(ISERROR(VLOOKUP(S2425,'unique org names'!A:C,3,FALSE)),S2425,VLOOKUP(S2425,'unique org names'!A:C,3,FALSE))
</f>
        <v>Detroit Health Dept</v>
      </c>
      <c r="U2425" s="1" t="s">
        <v>2014</v>
      </c>
      <c r="V2425" s="1" t="s">
        <v>1575</v>
      </c>
      <c r="W2425" s="1" t="s">
        <v>44</v>
      </c>
      <c r="X2425" s="1" t="s">
        <v>45</v>
      </c>
      <c r="Y2425" s="1">
        <v>4.82282826E8</v>
      </c>
      <c r="AA2425" s="1" t="s">
        <v>46</v>
      </c>
      <c r="AB2425" s="1" t="s">
        <v>45</v>
      </c>
      <c r="AC2425" s="1">
        <v>4.82282826E8</v>
      </c>
      <c r="AD2425" s="1">
        <v>1.02339942E8</v>
      </c>
      <c r="AF2425" s="1">
        <v>167551.0</v>
      </c>
      <c r="AG2425" s="2">
        <v>41913.0</v>
      </c>
      <c r="AH2425" s="1">
        <v>7500.0</v>
      </c>
      <c r="AI2425" s="1" t="s">
        <v>40</v>
      </c>
      <c r="AJ2425" s="1">
        <v>2.0151729E7</v>
      </c>
      <c r="AK2425" s="1" t="s">
        <v>4035</v>
      </c>
      <c r="AL2425" s="1">
        <v>10.0</v>
      </c>
      <c r="AM2425" s="1">
        <v>2011.0</v>
      </c>
      <c r="AN2425" s="1">
        <v>2015.0</v>
      </c>
      <c r="AO2425" s="1" t="s">
        <v>4036</v>
      </c>
    </row>
    <row r="2426">
      <c r="A2426" s="5">
        <v>1.0</v>
      </c>
      <c r="B2426" s="1">
        <f t="shared" si="1"/>
        <v>2426</v>
      </c>
      <c r="C2426" s="1" t="s">
        <v>4033</v>
      </c>
      <c r="D2426" s="1" t="s">
        <v>4033</v>
      </c>
      <c r="E2426" s="1" t="s">
        <v>63</v>
      </c>
      <c r="G2426" s="1">
        <v>7.6172144E7</v>
      </c>
      <c r="H2426" s="2">
        <v>41548.0</v>
      </c>
      <c r="I2426" s="1" t="s">
        <v>4034</v>
      </c>
      <c r="K2426" s="1" t="s">
        <v>4034</v>
      </c>
      <c r="N2426" s="1" t="s">
        <v>40</v>
      </c>
      <c r="O2426" s="1">
        <v>7500.0</v>
      </c>
      <c r="P2426" s="1" t="s">
        <v>40</v>
      </c>
      <c r="Q2426" s="1" t="str">
        <f>IF(ISERROR(VLOOKUP(P2426,'unique fed agency names'!A:C,3,FALSE)),P2426,VLOOKUP(P2426,'unique fed agency names'!A:C,3,FALSE))
</f>
        <v>U.S. Department of Health and Human Services (DHHS)</v>
      </c>
      <c r="R2426" s="1">
        <v>1962224.0</v>
      </c>
      <c r="S2426" s="1" t="s">
        <v>52</v>
      </c>
      <c r="T2426" s="1" t="str">
        <f>IF(ISERROR(VLOOKUP(S2426,'unique org names'!A:C,3,FALSE)),S2426,VLOOKUP(S2426,'unique org names'!A:C,3,FALSE))
</f>
        <v>WAYNE STATE UNIVERSITY</v>
      </c>
      <c r="U2426" s="1" t="s">
        <v>966</v>
      </c>
      <c r="V2426" s="1" t="s">
        <v>1885</v>
      </c>
      <c r="W2426" s="1" t="s">
        <v>44</v>
      </c>
      <c r="X2426" s="1" t="s">
        <v>45</v>
      </c>
      <c r="Y2426" s="1">
        <v>4.82021347E8</v>
      </c>
      <c r="AA2426" s="1" t="s">
        <v>46</v>
      </c>
      <c r="AB2426" s="1" t="s">
        <v>45</v>
      </c>
      <c r="AC2426" s="1">
        <v>4.82023692E8</v>
      </c>
      <c r="AD2426" s="1">
        <v>1962224.0</v>
      </c>
      <c r="AE2426" s="1" t="s">
        <v>52</v>
      </c>
      <c r="AF2426" s="1">
        <v>7287.86</v>
      </c>
      <c r="AG2426" s="2">
        <v>41548.0</v>
      </c>
      <c r="AH2426" s="1">
        <v>7500.0</v>
      </c>
      <c r="AI2426" s="1" t="s">
        <v>40</v>
      </c>
      <c r="AJ2426" s="1">
        <v>2.0141507E7</v>
      </c>
      <c r="AK2426" s="1" t="s">
        <v>4035</v>
      </c>
      <c r="AL2426" s="1">
        <v>10.0</v>
      </c>
      <c r="AM2426" s="1">
        <v>2011.0</v>
      </c>
      <c r="AN2426" s="1">
        <v>2014.0</v>
      </c>
      <c r="AO2426" s="1" t="s">
        <v>4036</v>
      </c>
    </row>
    <row r="2427">
      <c r="A2427" s="5">
        <v>1.0</v>
      </c>
      <c r="B2427" s="1">
        <f t="shared" si="1"/>
        <v>2427</v>
      </c>
      <c r="C2427" s="1" t="s">
        <v>4060</v>
      </c>
      <c r="D2427" s="1" t="s">
        <v>4060</v>
      </c>
      <c r="E2427" s="1" t="s">
        <v>63</v>
      </c>
      <c r="G2427" s="1">
        <v>2.0576556E7</v>
      </c>
      <c r="H2427" s="2">
        <v>41913.0</v>
      </c>
      <c r="I2427" s="1" t="s">
        <v>4061</v>
      </c>
      <c r="K2427" s="1" t="s">
        <v>4061</v>
      </c>
      <c r="N2427" s="1" t="s">
        <v>40</v>
      </c>
      <c r="O2427" s="1">
        <v>7500.0</v>
      </c>
      <c r="P2427" s="1" t="s">
        <v>40</v>
      </c>
      <c r="Q2427" s="1" t="str">
        <f>IF(ISERROR(VLOOKUP(P2427,'unique fed agency names'!A:C,3,FALSE)),P2427,VLOOKUP(P2427,'unique fed agency names'!A:C,3,FALSE))
</f>
        <v>U.S. Department of Health and Human Services (DHHS)</v>
      </c>
      <c r="R2427" s="1">
        <v>1.7406606E7</v>
      </c>
      <c r="S2427" s="1" t="s">
        <v>1574</v>
      </c>
      <c r="T2427" s="1" t="str">
        <f>IF(ISERROR(VLOOKUP(S2427,'unique org names'!A:C,3,FALSE)),S2427,VLOOKUP(S2427,'unique org names'!A:C,3,FALSE))
</f>
        <v>Detroit Health Dept</v>
      </c>
      <c r="U2427" s="1" t="s">
        <v>4058</v>
      </c>
      <c r="V2427" s="1" t="s">
        <v>1575</v>
      </c>
      <c r="W2427" s="1" t="s">
        <v>44</v>
      </c>
      <c r="X2427" s="1" t="s">
        <v>45</v>
      </c>
      <c r="Y2427" s="1">
        <v>4.82282826E8</v>
      </c>
      <c r="AA2427" s="1" t="s">
        <v>46</v>
      </c>
      <c r="AB2427" s="1" t="s">
        <v>45</v>
      </c>
      <c r="AC2427" s="1">
        <v>4.82282826E8</v>
      </c>
      <c r="AD2427" s="1">
        <v>2.0906988E7</v>
      </c>
      <c r="AE2427" s="1" t="s">
        <v>3760</v>
      </c>
      <c r="AF2427" s="1">
        <v>82793.0</v>
      </c>
      <c r="AG2427" s="2">
        <v>41913.0</v>
      </c>
      <c r="AH2427" s="1">
        <v>7500.0</v>
      </c>
      <c r="AI2427" s="1" t="s">
        <v>40</v>
      </c>
      <c r="AJ2427" s="1">
        <v>2.0151729E7</v>
      </c>
      <c r="AK2427" s="1" t="s">
        <v>375</v>
      </c>
      <c r="AL2427" s="1">
        <v>10.0</v>
      </c>
      <c r="AM2427" s="1">
        <v>2012.0</v>
      </c>
      <c r="AN2427" s="1">
        <v>2015.0</v>
      </c>
      <c r="AO2427" s="1" t="s">
        <v>4062</v>
      </c>
    </row>
    <row r="2428">
      <c r="A2428" s="5">
        <v>1.0</v>
      </c>
      <c r="B2428" s="1">
        <f t="shared" si="1"/>
        <v>2428</v>
      </c>
      <c r="C2428" s="1" t="s">
        <v>4033</v>
      </c>
      <c r="D2428" s="1" t="s">
        <v>4033</v>
      </c>
      <c r="E2428" s="1" t="s">
        <v>63</v>
      </c>
      <c r="G2428" s="1">
        <v>7.6172144E7</v>
      </c>
      <c r="H2428" s="2">
        <v>41548.0</v>
      </c>
      <c r="I2428" s="1" t="s">
        <v>4034</v>
      </c>
      <c r="K2428" s="1" t="s">
        <v>4034</v>
      </c>
      <c r="N2428" s="1" t="s">
        <v>40</v>
      </c>
      <c r="O2428" s="1">
        <v>7500.0</v>
      </c>
      <c r="P2428" s="1" t="s">
        <v>40</v>
      </c>
      <c r="Q2428" s="1" t="str">
        <f>IF(ISERROR(VLOOKUP(P2428,'unique fed agency names'!A:C,3,FALSE)),P2428,VLOOKUP(P2428,'unique fed agency names'!A:C,3,FALSE))
</f>
        <v>U.S. Department of Health and Human Services (DHHS)</v>
      </c>
      <c r="R2428" s="1">
        <v>1.7406606E7</v>
      </c>
      <c r="S2428" s="1" t="s">
        <v>1574</v>
      </c>
      <c r="T2428" s="1" t="str">
        <f>IF(ISERROR(VLOOKUP(S2428,'unique org names'!A:C,3,FALSE)),S2428,VLOOKUP(S2428,'unique org names'!A:C,3,FALSE))
</f>
        <v>Detroit Health Dept</v>
      </c>
      <c r="U2428" s="1" t="s">
        <v>2660</v>
      </c>
      <c r="V2428" s="1" t="s">
        <v>1575</v>
      </c>
      <c r="W2428" s="1" t="s">
        <v>44</v>
      </c>
      <c r="X2428" s="1" t="s">
        <v>45</v>
      </c>
      <c r="Y2428" s="1">
        <v>4.82282826E8</v>
      </c>
      <c r="AA2428" s="1" t="s">
        <v>46</v>
      </c>
      <c r="AB2428" s="1" t="s">
        <v>45</v>
      </c>
      <c r="AC2428" s="1">
        <v>4.82282826E8</v>
      </c>
      <c r="AD2428" s="1">
        <v>4912929.0</v>
      </c>
      <c r="AF2428" s="1">
        <v>202050.0</v>
      </c>
      <c r="AG2428" s="2">
        <v>41548.0</v>
      </c>
      <c r="AH2428" s="1">
        <v>7500.0</v>
      </c>
      <c r="AI2428" s="1" t="s">
        <v>40</v>
      </c>
      <c r="AJ2428" s="1">
        <v>2.0141454E7</v>
      </c>
      <c r="AK2428" s="1" t="s">
        <v>4035</v>
      </c>
      <c r="AL2428" s="1">
        <v>10.0</v>
      </c>
      <c r="AM2428" s="1">
        <v>2011.0</v>
      </c>
      <c r="AN2428" s="1">
        <v>2014.0</v>
      </c>
      <c r="AO2428" s="1" t="s">
        <v>4036</v>
      </c>
    </row>
    <row r="2429">
      <c r="A2429" s="5">
        <v>1.0</v>
      </c>
      <c r="B2429" s="1">
        <f t="shared" si="1"/>
        <v>2429</v>
      </c>
      <c r="C2429" s="1" t="s">
        <v>4033</v>
      </c>
      <c r="D2429" s="1" t="s">
        <v>4033</v>
      </c>
      <c r="E2429" s="1" t="s">
        <v>63</v>
      </c>
      <c r="G2429" s="1">
        <v>7.6172144E7</v>
      </c>
      <c r="H2429" s="2">
        <v>41183.0</v>
      </c>
      <c r="I2429" s="1" t="s">
        <v>4034</v>
      </c>
      <c r="K2429" s="1" t="s">
        <v>4034</v>
      </c>
      <c r="N2429" s="1" t="s">
        <v>40</v>
      </c>
      <c r="O2429" s="1">
        <v>7500.0</v>
      </c>
      <c r="P2429" s="1" t="s">
        <v>40</v>
      </c>
      <c r="Q2429" s="1" t="str">
        <f>IF(ISERROR(VLOOKUP(P2429,'unique fed agency names'!A:C,3,FALSE)),P2429,VLOOKUP(P2429,'unique fed agency names'!A:C,3,FALSE))
</f>
        <v>U.S. Department of Health and Human Services (DHHS)</v>
      </c>
      <c r="R2429" s="1">
        <v>7.8583404E7</v>
      </c>
      <c r="S2429" s="1" t="s">
        <v>65</v>
      </c>
      <c r="T2429" s="1" t="str">
        <f>IF(ISERROR(VLOOKUP(S2429,'unique org names'!A:C,3,FALSE)),S2429,VLOOKUP(S2429,'unique org names'!A:C,3,FALSE))
</f>
        <v>Institute for Population Health Inc.</v>
      </c>
      <c r="U2429" s="1" t="s">
        <v>2660</v>
      </c>
      <c r="V2429" s="1" t="s">
        <v>1573</v>
      </c>
      <c r="W2429" s="1" t="s">
        <v>44</v>
      </c>
      <c r="X2429" s="1" t="s">
        <v>45</v>
      </c>
      <c r="Y2429" s="1">
        <v>4.8207311E8</v>
      </c>
      <c r="AA2429" s="1" t="s">
        <v>46</v>
      </c>
      <c r="AB2429" s="1" t="s">
        <v>45</v>
      </c>
      <c r="AC2429" s="1">
        <v>4.82021732E8</v>
      </c>
      <c r="AD2429" s="1">
        <v>1.18715846E8</v>
      </c>
      <c r="AE2429" s="1" t="s">
        <v>2661</v>
      </c>
      <c r="AF2429" s="1">
        <v>241960.0</v>
      </c>
      <c r="AG2429" s="2">
        <v>41183.0</v>
      </c>
      <c r="AH2429" s="1">
        <v>7500.0</v>
      </c>
      <c r="AI2429" s="1" t="s">
        <v>40</v>
      </c>
      <c r="AJ2429" s="1">
        <v>2.01304E7</v>
      </c>
      <c r="AK2429" s="1" t="s">
        <v>4035</v>
      </c>
      <c r="AL2429" s="1">
        <v>10.0</v>
      </c>
      <c r="AM2429" s="1">
        <v>2011.0</v>
      </c>
      <c r="AN2429" s="1">
        <v>2013.0</v>
      </c>
      <c r="AO2429" s="1" t="s">
        <v>4036</v>
      </c>
    </row>
    <row r="2430">
      <c r="A2430" s="5">
        <v>1.0</v>
      </c>
      <c r="B2430" s="1">
        <f t="shared" si="1"/>
        <v>2430</v>
      </c>
      <c r="C2430" s="1" t="s">
        <v>4063</v>
      </c>
      <c r="D2430" s="1" t="s">
        <v>4063</v>
      </c>
      <c r="E2430" s="1" t="s">
        <v>63</v>
      </c>
      <c r="G2430" s="1">
        <v>2060059.0</v>
      </c>
      <c r="H2430" s="2">
        <v>41183.0</v>
      </c>
      <c r="I2430" s="1" t="s">
        <v>4064</v>
      </c>
      <c r="K2430" s="1" t="s">
        <v>4064</v>
      </c>
      <c r="N2430" s="1" t="s">
        <v>40</v>
      </c>
      <c r="O2430" s="1">
        <v>7500.0</v>
      </c>
      <c r="P2430" s="1" t="s">
        <v>40</v>
      </c>
      <c r="Q2430" s="1" t="str">
        <f>IF(ISERROR(VLOOKUP(P2430,'unique fed agency names'!A:C,3,FALSE)),P2430,VLOOKUP(P2430,'unique fed agency names'!A:C,3,FALSE))
</f>
        <v>U.S. Department of Health and Human Services (DHHS)</v>
      </c>
      <c r="R2430" s="1">
        <v>7.8583404E7</v>
      </c>
      <c r="S2430" s="1" t="s">
        <v>65</v>
      </c>
      <c r="T2430" s="1" t="str">
        <f>IF(ISERROR(VLOOKUP(S2430,'unique org names'!A:C,3,FALSE)),S2430,VLOOKUP(S2430,'unique org names'!A:C,3,FALSE))
</f>
        <v>Institute for Population Health Inc.</v>
      </c>
      <c r="U2430" s="1" t="s">
        <v>323</v>
      </c>
      <c r="V2430" s="1" t="s">
        <v>1573</v>
      </c>
      <c r="W2430" s="1" t="s">
        <v>44</v>
      </c>
      <c r="X2430" s="1" t="s">
        <v>45</v>
      </c>
      <c r="Y2430" s="1">
        <v>4.8207311E8</v>
      </c>
      <c r="AA2430" s="1" t="s">
        <v>46</v>
      </c>
      <c r="AB2430" s="1" t="s">
        <v>45</v>
      </c>
      <c r="AC2430" s="1">
        <v>4.82021732E8</v>
      </c>
      <c r="AD2430" s="1">
        <v>6530661.0</v>
      </c>
      <c r="AE2430" s="1" t="s">
        <v>76</v>
      </c>
      <c r="AF2430" s="1">
        <v>6000.0</v>
      </c>
      <c r="AG2430" s="2">
        <v>41183.0</v>
      </c>
      <c r="AH2430" s="1">
        <v>7500.0</v>
      </c>
      <c r="AI2430" s="1" t="s">
        <v>40</v>
      </c>
      <c r="AJ2430" s="1">
        <v>2.01304E7</v>
      </c>
      <c r="AK2430" s="1" t="s">
        <v>4065</v>
      </c>
      <c r="AL2430" s="1">
        <v>10.0</v>
      </c>
      <c r="AM2430" s="1">
        <v>2010.0</v>
      </c>
      <c r="AN2430" s="1">
        <v>2013.0</v>
      </c>
      <c r="AO2430" s="1" t="s">
        <v>4066</v>
      </c>
    </row>
    <row r="2431">
      <c r="A2431" s="5">
        <v>1.0</v>
      </c>
      <c r="B2431" s="1">
        <f t="shared" si="1"/>
        <v>2431</v>
      </c>
      <c r="C2431" s="1" t="s">
        <v>4004</v>
      </c>
      <c r="D2431" s="1" t="s">
        <v>4004</v>
      </c>
      <c r="E2431" s="1" t="s">
        <v>63</v>
      </c>
      <c r="G2431" s="1">
        <v>1039500.0</v>
      </c>
      <c r="H2431" s="2">
        <v>41183.0</v>
      </c>
      <c r="I2431" s="1" t="s">
        <v>4005</v>
      </c>
      <c r="K2431" s="1" t="s">
        <v>4005</v>
      </c>
      <c r="N2431" s="1" t="s">
        <v>40</v>
      </c>
      <c r="O2431" s="1">
        <v>7500.0</v>
      </c>
      <c r="P2431" s="1" t="s">
        <v>40</v>
      </c>
      <c r="Q2431" s="1" t="str">
        <f>IF(ISERROR(VLOOKUP(P2431,'unique fed agency names'!A:C,3,FALSE)),P2431,VLOOKUP(P2431,'unique fed agency names'!A:C,3,FALSE))
</f>
        <v>U.S. Department of Health and Human Services (DHHS)</v>
      </c>
      <c r="R2431" s="1">
        <v>7.3134603E7</v>
      </c>
      <c r="S2431" s="1" t="s">
        <v>41</v>
      </c>
      <c r="T2431" s="1" t="str">
        <f>IF(ISERROR(VLOOKUP(S2431,'unique org names'!A:C,3,FALSE)),S2431,VLOOKUP(S2431,'unique org names'!A:C,3,FALSE))
</f>
        <v>Henry Ford Health System</v>
      </c>
      <c r="U2431" s="1" t="s">
        <v>252</v>
      </c>
      <c r="V2431" s="1" t="s">
        <v>253</v>
      </c>
      <c r="W2431" s="1" t="s">
        <v>44</v>
      </c>
      <c r="X2431" s="1" t="s">
        <v>45</v>
      </c>
      <c r="Y2431" s="1">
        <v>4.8202345E8</v>
      </c>
      <c r="AA2431" s="1" t="s">
        <v>46</v>
      </c>
      <c r="AB2431" s="1" t="s">
        <v>45</v>
      </c>
      <c r="AC2431" s="1">
        <v>4.8202345E8</v>
      </c>
      <c r="AD2431" s="1">
        <v>7.3134603E7</v>
      </c>
      <c r="AE2431" s="1" t="s">
        <v>41</v>
      </c>
      <c r="AF2431" s="1">
        <v>7200.0</v>
      </c>
      <c r="AG2431" s="2">
        <v>41183.0</v>
      </c>
      <c r="AH2431" s="1">
        <v>7500.0</v>
      </c>
      <c r="AI2431" s="1" t="s">
        <v>40</v>
      </c>
      <c r="AJ2431" s="1">
        <v>2.0130117E7</v>
      </c>
      <c r="AK2431" s="1" t="s">
        <v>4006</v>
      </c>
      <c r="AL2431" s="1">
        <v>10.0</v>
      </c>
      <c r="AM2431" s="1">
        <v>2012.0</v>
      </c>
      <c r="AN2431" s="1">
        <v>2013.0</v>
      </c>
      <c r="AO2431" s="1" t="s">
        <v>342</v>
      </c>
    </row>
    <row r="2432">
      <c r="A2432" s="5">
        <v>1.0</v>
      </c>
      <c r="B2432" s="1">
        <f t="shared" si="1"/>
        <v>2432</v>
      </c>
      <c r="C2432" s="1" t="s">
        <v>4060</v>
      </c>
      <c r="D2432" s="1" t="s">
        <v>4060</v>
      </c>
      <c r="E2432" s="1" t="s">
        <v>63</v>
      </c>
      <c r="G2432" s="1">
        <v>2.0576556E7</v>
      </c>
      <c r="H2432" s="2">
        <v>41913.0</v>
      </c>
      <c r="I2432" s="1" t="s">
        <v>4061</v>
      </c>
      <c r="K2432" s="1" t="s">
        <v>4061</v>
      </c>
      <c r="N2432" s="1" t="s">
        <v>40</v>
      </c>
      <c r="O2432" s="1">
        <v>7500.0</v>
      </c>
      <c r="P2432" s="1" t="s">
        <v>40</v>
      </c>
      <c r="Q2432" s="1" t="str">
        <f>IF(ISERROR(VLOOKUP(P2432,'unique fed agency names'!A:C,3,FALSE)),P2432,VLOOKUP(P2432,'unique fed agency names'!A:C,3,FALSE))
</f>
        <v>U.S. Department of Health and Human Services (DHHS)</v>
      </c>
      <c r="R2432" s="1">
        <v>1.7406606E7</v>
      </c>
      <c r="S2432" s="1" t="s">
        <v>1574</v>
      </c>
      <c r="T2432" s="1" t="str">
        <f>IF(ISERROR(VLOOKUP(S2432,'unique org names'!A:C,3,FALSE)),S2432,VLOOKUP(S2432,'unique org names'!A:C,3,FALSE))
</f>
        <v>Detroit Health Dept</v>
      </c>
      <c r="U2432" s="1" t="s">
        <v>4067</v>
      </c>
      <c r="V2432" s="1" t="s">
        <v>1575</v>
      </c>
      <c r="W2432" s="1" t="s">
        <v>44</v>
      </c>
      <c r="X2432" s="1" t="s">
        <v>45</v>
      </c>
      <c r="Y2432" s="1">
        <v>4.82282826E8</v>
      </c>
      <c r="AA2432" s="1" t="s">
        <v>46</v>
      </c>
      <c r="AB2432" s="1" t="s">
        <v>45</v>
      </c>
      <c r="AC2432" s="1">
        <v>4.82282826E8</v>
      </c>
      <c r="AD2432" s="1">
        <v>7.8404738E7</v>
      </c>
      <c r="AE2432" s="1" t="s">
        <v>4068</v>
      </c>
      <c r="AF2432" s="1">
        <v>248377.0</v>
      </c>
      <c r="AG2432" s="2">
        <v>41913.0</v>
      </c>
      <c r="AH2432" s="1">
        <v>7500.0</v>
      </c>
      <c r="AI2432" s="1" t="s">
        <v>40</v>
      </c>
      <c r="AJ2432" s="1">
        <v>2.0151729E7</v>
      </c>
      <c r="AK2432" s="1" t="s">
        <v>375</v>
      </c>
      <c r="AL2432" s="1">
        <v>10.0</v>
      </c>
      <c r="AM2432" s="1">
        <v>2012.0</v>
      </c>
      <c r="AN2432" s="1">
        <v>2015.0</v>
      </c>
      <c r="AO2432" s="1" t="s">
        <v>4062</v>
      </c>
    </row>
    <row r="2433">
      <c r="A2433" s="5">
        <v>1.0</v>
      </c>
      <c r="B2433" s="1">
        <f t="shared" si="1"/>
        <v>2433</v>
      </c>
      <c r="C2433" s="1" t="s">
        <v>4060</v>
      </c>
      <c r="D2433" s="1" t="s">
        <v>4060</v>
      </c>
      <c r="E2433" s="1" t="s">
        <v>63</v>
      </c>
      <c r="G2433" s="1">
        <v>2.0576556E7</v>
      </c>
      <c r="H2433" s="2">
        <v>41548.0</v>
      </c>
      <c r="I2433" s="1" t="s">
        <v>4061</v>
      </c>
      <c r="K2433" s="1" t="s">
        <v>4061</v>
      </c>
      <c r="N2433" s="1" t="s">
        <v>40</v>
      </c>
      <c r="O2433" s="1">
        <v>7500.0</v>
      </c>
      <c r="P2433" s="1" t="s">
        <v>40</v>
      </c>
      <c r="Q2433" s="1" t="str">
        <f>IF(ISERROR(VLOOKUP(P2433,'unique fed agency names'!A:C,3,FALSE)),P2433,VLOOKUP(P2433,'unique fed agency names'!A:C,3,FALSE))
</f>
        <v>U.S. Department of Health and Human Services (DHHS)</v>
      </c>
      <c r="R2433" s="1">
        <v>1.7406606E7</v>
      </c>
      <c r="S2433" s="1" t="s">
        <v>1574</v>
      </c>
      <c r="T2433" s="1" t="str">
        <f>IF(ISERROR(VLOOKUP(S2433,'unique org names'!A:C,3,FALSE)),S2433,VLOOKUP(S2433,'unique org names'!A:C,3,FALSE))
</f>
        <v>Detroit Health Dept</v>
      </c>
      <c r="U2433" s="1" t="s">
        <v>4069</v>
      </c>
      <c r="V2433" s="1" t="s">
        <v>1575</v>
      </c>
      <c r="W2433" s="1" t="s">
        <v>44</v>
      </c>
      <c r="X2433" s="1" t="s">
        <v>45</v>
      </c>
      <c r="Y2433" s="1">
        <v>4.82282826E8</v>
      </c>
      <c r="AA2433" s="1" t="s">
        <v>46</v>
      </c>
      <c r="AB2433" s="1" t="s">
        <v>45</v>
      </c>
      <c r="AC2433" s="1">
        <v>4.82282826E8</v>
      </c>
      <c r="AD2433" s="1">
        <v>9.1610089E7</v>
      </c>
      <c r="AE2433" s="1" t="s">
        <v>4070</v>
      </c>
      <c r="AF2433" s="1">
        <v>243644.0</v>
      </c>
      <c r="AG2433" s="2">
        <v>41548.0</v>
      </c>
      <c r="AH2433" s="1">
        <v>7500.0</v>
      </c>
      <c r="AI2433" s="1" t="s">
        <v>40</v>
      </c>
      <c r="AJ2433" s="1">
        <v>2.0141454E7</v>
      </c>
      <c r="AK2433" s="1" t="s">
        <v>375</v>
      </c>
      <c r="AL2433" s="1">
        <v>10.0</v>
      </c>
      <c r="AM2433" s="1">
        <v>2012.0</v>
      </c>
      <c r="AN2433" s="1">
        <v>2014.0</v>
      </c>
      <c r="AO2433" s="1" t="s">
        <v>4062</v>
      </c>
    </row>
    <row r="2434">
      <c r="A2434" s="5">
        <v>1.0</v>
      </c>
      <c r="B2434" s="1">
        <f t="shared" si="1"/>
        <v>2434</v>
      </c>
      <c r="C2434" s="1" t="s">
        <v>1373</v>
      </c>
      <c r="D2434" s="1" t="s">
        <v>1373</v>
      </c>
      <c r="E2434" s="1" t="s">
        <v>38</v>
      </c>
      <c r="G2434" s="1">
        <v>2931137.0</v>
      </c>
      <c r="H2434" s="2">
        <v>41605.0</v>
      </c>
      <c r="I2434" s="1" t="s">
        <v>4071</v>
      </c>
      <c r="K2434" s="1" t="s">
        <v>4071</v>
      </c>
      <c r="N2434" s="1" t="s">
        <v>40</v>
      </c>
      <c r="O2434" s="1">
        <v>7500.0</v>
      </c>
      <c r="P2434" s="1" t="s">
        <v>40</v>
      </c>
      <c r="Q2434" s="1" t="str">
        <f>IF(ISERROR(VLOOKUP(P2434,'unique fed agency names'!A:C,3,FALSE)),P2434,VLOOKUP(P2434,'unique fed agency names'!A:C,3,FALSE))
</f>
        <v>U.S. Department of Health and Human Services (DHHS)</v>
      </c>
      <c r="R2434" s="1">
        <v>1962224.0</v>
      </c>
      <c r="S2434" s="1" t="s">
        <v>52</v>
      </c>
      <c r="T2434" s="1" t="str">
        <f>IF(ISERROR(VLOOKUP(S2434,'unique org names'!A:C,3,FALSE)),S2434,VLOOKUP(S2434,'unique org names'!A:C,3,FALSE))
</f>
        <v>WAYNE STATE UNIVERSITY</v>
      </c>
      <c r="V2434" s="1" t="s">
        <v>1885</v>
      </c>
      <c r="W2434" s="1" t="s">
        <v>44</v>
      </c>
      <c r="X2434" s="1" t="s">
        <v>45</v>
      </c>
      <c r="Y2434" s="1">
        <v>4.82021347E8</v>
      </c>
      <c r="AA2434" s="1" t="s">
        <v>46</v>
      </c>
      <c r="AB2434" s="1" t="s">
        <v>45</v>
      </c>
      <c r="AC2434" s="1">
        <v>4.82012153E8</v>
      </c>
      <c r="AD2434" s="1">
        <v>1962224.0</v>
      </c>
      <c r="AE2434" s="1" t="s">
        <v>52</v>
      </c>
      <c r="AF2434" s="1">
        <v>137806.0</v>
      </c>
      <c r="AG2434" s="2">
        <v>41605.0</v>
      </c>
      <c r="AH2434" s="1">
        <v>7500.0</v>
      </c>
      <c r="AI2434" s="1" t="s">
        <v>40</v>
      </c>
      <c r="AJ2434" s="1">
        <v>532256.0</v>
      </c>
      <c r="AK2434" s="1" t="s">
        <v>1375</v>
      </c>
      <c r="AL2434" s="1">
        <v>1.0</v>
      </c>
      <c r="AM2434" s="1">
        <v>2015.0</v>
      </c>
      <c r="AN2434" s="1">
        <v>2014.0</v>
      </c>
      <c r="AO2434" s="1" t="s">
        <v>372</v>
      </c>
    </row>
    <row r="2435">
      <c r="A2435" s="5">
        <v>1.0</v>
      </c>
      <c r="B2435" s="1">
        <f t="shared" si="1"/>
        <v>2435</v>
      </c>
      <c r="C2435" s="1" t="s">
        <v>4060</v>
      </c>
      <c r="D2435" s="1" t="s">
        <v>4060</v>
      </c>
      <c r="E2435" s="1" t="s">
        <v>63</v>
      </c>
      <c r="G2435" s="1">
        <v>2.0576556E7</v>
      </c>
      <c r="H2435" s="2">
        <v>41183.0</v>
      </c>
      <c r="I2435" s="1" t="s">
        <v>4061</v>
      </c>
      <c r="K2435" s="1" t="s">
        <v>4061</v>
      </c>
      <c r="N2435" s="1" t="s">
        <v>40</v>
      </c>
      <c r="O2435" s="1">
        <v>7500.0</v>
      </c>
      <c r="P2435" s="1" t="s">
        <v>40</v>
      </c>
      <c r="Q2435" s="1" t="str">
        <f>IF(ISERROR(VLOOKUP(P2435,'unique fed agency names'!A:C,3,FALSE)),P2435,VLOOKUP(P2435,'unique fed agency names'!A:C,3,FALSE))
</f>
        <v>U.S. Department of Health and Human Services (DHHS)</v>
      </c>
      <c r="R2435" s="1">
        <v>7.8583404E7</v>
      </c>
      <c r="S2435" s="1" t="s">
        <v>65</v>
      </c>
      <c r="T2435" s="1" t="str">
        <f>IF(ISERROR(VLOOKUP(S2435,'unique org names'!A:C,3,FALSE)),S2435,VLOOKUP(S2435,'unique org names'!A:C,3,FALSE))
</f>
        <v>Institute for Population Health Inc.</v>
      </c>
      <c r="U2435" s="1" t="s">
        <v>4072</v>
      </c>
      <c r="V2435" s="1" t="s">
        <v>1573</v>
      </c>
      <c r="W2435" s="1" t="s">
        <v>44</v>
      </c>
      <c r="X2435" s="1" t="s">
        <v>45</v>
      </c>
      <c r="Y2435" s="1">
        <v>4.8207311E8</v>
      </c>
      <c r="AA2435" s="1" t="s">
        <v>46</v>
      </c>
      <c r="AB2435" s="1" t="s">
        <v>45</v>
      </c>
      <c r="AC2435" s="1">
        <v>4.82021732E8</v>
      </c>
      <c r="AD2435" s="1">
        <v>8.0341472E7</v>
      </c>
      <c r="AE2435" s="1" t="s">
        <v>4073</v>
      </c>
      <c r="AF2435" s="1">
        <v>249126.0</v>
      </c>
      <c r="AG2435" s="2">
        <v>41183.0</v>
      </c>
      <c r="AH2435" s="1">
        <v>7500.0</v>
      </c>
      <c r="AI2435" s="1" t="s">
        <v>40</v>
      </c>
      <c r="AJ2435" s="1">
        <v>2.01304E7</v>
      </c>
      <c r="AK2435" s="1" t="s">
        <v>375</v>
      </c>
      <c r="AL2435" s="1">
        <v>10.0</v>
      </c>
      <c r="AM2435" s="1">
        <v>2012.0</v>
      </c>
      <c r="AN2435" s="1">
        <v>2013.0</v>
      </c>
      <c r="AO2435" s="1" t="s">
        <v>4062</v>
      </c>
    </row>
    <row r="2436">
      <c r="A2436" s="5">
        <v>1.0</v>
      </c>
      <c r="B2436" s="1">
        <f t="shared" si="1"/>
        <v>2436</v>
      </c>
      <c r="C2436" s="1" t="s">
        <v>4074</v>
      </c>
      <c r="D2436" s="1" t="s">
        <v>4074</v>
      </c>
      <c r="E2436" s="1" t="s">
        <v>159</v>
      </c>
      <c r="G2436" s="1">
        <v>1.8873668E7</v>
      </c>
      <c r="H2436" s="2">
        <v>41548.0</v>
      </c>
      <c r="I2436" s="1" t="s">
        <v>2683</v>
      </c>
      <c r="K2436" s="1" t="s">
        <v>2683</v>
      </c>
      <c r="N2436" s="1" t="s">
        <v>40</v>
      </c>
      <c r="O2436" s="1">
        <v>7500.0</v>
      </c>
      <c r="P2436" s="1" t="s">
        <v>40</v>
      </c>
      <c r="Q2436" s="1" t="str">
        <f>IF(ISERROR(VLOOKUP(P2436,'unique fed agency names'!A:C,3,FALSE)),P2436,VLOOKUP(P2436,'unique fed agency names'!A:C,3,FALSE))
</f>
        <v>U.S. Department of Health and Human Services (DHHS)</v>
      </c>
      <c r="R2436" s="1">
        <v>7.6377316E7</v>
      </c>
      <c r="S2436" s="1" t="s">
        <v>2302</v>
      </c>
      <c r="T2436" s="1" t="str">
        <f>IF(ISERROR(VLOOKUP(S2436,'unique org names'!A:C,3,FALSE)),S2436,VLOOKUP(S2436,'unique org names'!A:C,3,FALSE))
</f>
        <v>VHS CHILDREN'S HOSPITAL OF MICHIGAN, INC.</v>
      </c>
      <c r="V2436" s="1" t="s">
        <v>2303</v>
      </c>
      <c r="W2436" s="1" t="s">
        <v>44</v>
      </c>
      <c r="X2436" s="1" t="s">
        <v>45</v>
      </c>
      <c r="Y2436" s="1">
        <v>4.82012119E8</v>
      </c>
      <c r="AA2436" s="1" t="s">
        <v>46</v>
      </c>
      <c r="AB2436" s="1" t="s">
        <v>45</v>
      </c>
      <c r="AC2436" s="1">
        <v>4.82012119E8</v>
      </c>
      <c r="AD2436" s="1">
        <v>5.3866661E7</v>
      </c>
      <c r="AF2436" s="1">
        <v>3090.87</v>
      </c>
      <c r="AG2436" s="2">
        <v>41548.0</v>
      </c>
      <c r="AH2436" s="1">
        <v>7500.0</v>
      </c>
      <c r="AI2436" s="1" t="s">
        <v>40</v>
      </c>
      <c r="AJ2436" s="1">
        <v>2.0140061E7</v>
      </c>
      <c r="AK2436" s="1" t="s">
        <v>2683</v>
      </c>
      <c r="AL2436" s="1">
        <v>10.0</v>
      </c>
      <c r="AM2436" s="1">
        <v>2013.0</v>
      </c>
      <c r="AN2436" s="1">
        <v>2014.0</v>
      </c>
      <c r="AO2436" s="1" t="s">
        <v>2684</v>
      </c>
    </row>
    <row r="2437">
      <c r="A2437" s="5">
        <v>1.0</v>
      </c>
      <c r="B2437" s="1">
        <f t="shared" si="1"/>
        <v>2437</v>
      </c>
      <c r="C2437" s="1" t="s">
        <v>4074</v>
      </c>
      <c r="D2437" s="1" t="s">
        <v>4074</v>
      </c>
      <c r="E2437" s="1" t="s">
        <v>159</v>
      </c>
      <c r="G2437" s="1">
        <v>1.8873668E7</v>
      </c>
      <c r="H2437" s="2">
        <v>41913.0</v>
      </c>
      <c r="I2437" s="1" t="s">
        <v>2683</v>
      </c>
      <c r="K2437" s="1" t="s">
        <v>2683</v>
      </c>
      <c r="N2437" s="1" t="s">
        <v>40</v>
      </c>
      <c r="O2437" s="1">
        <v>7500.0</v>
      </c>
      <c r="P2437" s="1" t="s">
        <v>40</v>
      </c>
      <c r="Q2437" s="1" t="str">
        <f>IF(ISERROR(VLOOKUP(P2437,'unique fed agency names'!A:C,3,FALSE)),P2437,VLOOKUP(P2437,'unique fed agency names'!A:C,3,FALSE))
</f>
        <v>U.S. Department of Health and Human Services (DHHS)</v>
      </c>
      <c r="R2437" s="1">
        <v>7596352.0</v>
      </c>
      <c r="S2437" s="1" t="s">
        <v>73</v>
      </c>
      <c r="T2437" s="1" t="str">
        <f>IF(ISERROR(VLOOKUP(S2437,'unique org names'!A:C,3,FALSE)),S2437,VLOOKUP(S2437,'unique org names'!A:C,3,FALSE))
</f>
        <v>City Of Detroit</v>
      </c>
      <c r="V2437" s="1" t="s">
        <v>1578</v>
      </c>
      <c r="W2437" s="1" t="s">
        <v>44</v>
      </c>
      <c r="X2437" s="1" t="s">
        <v>45</v>
      </c>
      <c r="Y2437" s="1">
        <v>4.82263269E8</v>
      </c>
      <c r="AA2437" s="1" t="s">
        <v>46</v>
      </c>
      <c r="AB2437" s="1" t="s">
        <v>45</v>
      </c>
      <c r="AC2437" s="1">
        <v>4.82263269E8</v>
      </c>
      <c r="AD2437" s="1">
        <v>6530661.0</v>
      </c>
      <c r="AE2437" s="1" t="s">
        <v>76</v>
      </c>
      <c r="AF2437" s="1">
        <v>583313.0</v>
      </c>
      <c r="AG2437" s="2">
        <v>41913.0</v>
      </c>
      <c r="AH2437" s="1">
        <v>7500.0</v>
      </c>
      <c r="AI2437" s="1" t="s">
        <v>40</v>
      </c>
      <c r="AJ2437" s="1">
        <v>2.0151729E7</v>
      </c>
      <c r="AK2437" s="1" t="s">
        <v>2683</v>
      </c>
      <c r="AL2437" s="1">
        <v>10.0</v>
      </c>
      <c r="AM2437" s="1">
        <v>2013.0</v>
      </c>
      <c r="AN2437" s="1">
        <v>2015.0</v>
      </c>
      <c r="AO2437" s="1" t="s">
        <v>2684</v>
      </c>
    </row>
    <row r="2438">
      <c r="A2438" s="5">
        <v>1.0</v>
      </c>
      <c r="B2438" s="1">
        <f t="shared" si="1"/>
        <v>2438</v>
      </c>
      <c r="C2438" s="1" t="s">
        <v>4074</v>
      </c>
      <c r="D2438" s="1" t="s">
        <v>4074</v>
      </c>
      <c r="E2438" s="1" t="s">
        <v>159</v>
      </c>
      <c r="G2438" s="1">
        <v>1.8873668E7</v>
      </c>
      <c r="H2438" s="2">
        <v>41548.0</v>
      </c>
      <c r="I2438" s="1" t="s">
        <v>2683</v>
      </c>
      <c r="K2438" s="1" t="s">
        <v>2683</v>
      </c>
      <c r="N2438" s="1" t="s">
        <v>40</v>
      </c>
      <c r="O2438" s="1">
        <v>7500.0</v>
      </c>
      <c r="P2438" s="1" t="s">
        <v>40</v>
      </c>
      <c r="Q2438" s="1" t="str">
        <f>IF(ISERROR(VLOOKUP(P2438,'unique fed agency names'!A:C,3,FALSE)),P2438,VLOOKUP(P2438,'unique fed agency names'!A:C,3,FALSE))
</f>
        <v>U.S. Department of Health and Human Services (DHHS)</v>
      </c>
      <c r="R2438" s="1">
        <v>7.6377316E7</v>
      </c>
      <c r="S2438" s="1" t="s">
        <v>2302</v>
      </c>
      <c r="T2438" s="1" t="str">
        <f>IF(ISERROR(VLOOKUP(S2438,'unique org names'!A:C,3,FALSE)),S2438,VLOOKUP(S2438,'unique org names'!A:C,3,FALSE))
</f>
        <v>VHS CHILDREN'S HOSPITAL OF MICHIGAN, INC.</v>
      </c>
      <c r="V2438" s="1" t="s">
        <v>2303</v>
      </c>
      <c r="W2438" s="1" t="s">
        <v>44</v>
      </c>
      <c r="X2438" s="1" t="s">
        <v>45</v>
      </c>
      <c r="Y2438" s="1">
        <v>4.82012119E8</v>
      </c>
      <c r="AA2438" s="1" t="s">
        <v>46</v>
      </c>
      <c r="AB2438" s="1" t="s">
        <v>45</v>
      </c>
      <c r="AC2438" s="1">
        <v>4.82012119E8</v>
      </c>
      <c r="AD2438" s="1">
        <v>5.3866661E7</v>
      </c>
      <c r="AF2438" s="1">
        <v>0.0</v>
      </c>
      <c r="AG2438" s="2">
        <v>41548.0</v>
      </c>
      <c r="AH2438" s="1">
        <v>7500.0</v>
      </c>
      <c r="AI2438" s="1" t="s">
        <v>40</v>
      </c>
      <c r="AJ2438" s="1">
        <v>2.014006E7</v>
      </c>
      <c r="AK2438" s="1" t="s">
        <v>2683</v>
      </c>
      <c r="AL2438" s="1">
        <v>10.0</v>
      </c>
      <c r="AM2438" s="1">
        <v>2013.0</v>
      </c>
      <c r="AN2438" s="1">
        <v>2014.0</v>
      </c>
      <c r="AO2438" s="1" t="s">
        <v>2684</v>
      </c>
    </row>
    <row r="2439">
      <c r="A2439" s="5">
        <v>1.0</v>
      </c>
      <c r="B2439" s="1">
        <f t="shared" si="1"/>
        <v>2439</v>
      </c>
      <c r="C2439" s="1" t="s">
        <v>4074</v>
      </c>
      <c r="D2439" s="1" t="s">
        <v>4074</v>
      </c>
      <c r="E2439" s="1" t="s">
        <v>159</v>
      </c>
      <c r="G2439" s="1">
        <v>1.8873668E7</v>
      </c>
      <c r="H2439" s="2">
        <v>41548.0</v>
      </c>
      <c r="I2439" s="1" t="s">
        <v>2683</v>
      </c>
      <c r="K2439" s="1" t="s">
        <v>2683</v>
      </c>
      <c r="N2439" s="1" t="s">
        <v>40</v>
      </c>
      <c r="O2439" s="1">
        <v>7500.0</v>
      </c>
      <c r="P2439" s="1" t="s">
        <v>40</v>
      </c>
      <c r="Q2439" s="1" t="str">
        <f>IF(ISERROR(VLOOKUP(P2439,'unique fed agency names'!A:C,3,FALSE)),P2439,VLOOKUP(P2439,'unique fed agency names'!A:C,3,FALSE))
</f>
        <v>U.S. Department of Health and Human Services (DHHS)</v>
      </c>
      <c r="R2439" s="1">
        <v>3.6094215E8</v>
      </c>
      <c r="S2439" s="1" t="s">
        <v>2861</v>
      </c>
      <c r="T2439" s="1" t="str">
        <f>IF(ISERROR(VLOOKUP(S2439,'unique org names'!A:C,3,FALSE)),S2439,VLOOKUP(S2439,'unique org names'!A:C,3,FALSE))
</f>
        <v>Covenant Community Care, Inc</v>
      </c>
      <c r="V2439" s="1" t="s">
        <v>2862</v>
      </c>
      <c r="W2439" s="1" t="s">
        <v>44</v>
      </c>
      <c r="X2439" s="1" t="s">
        <v>45</v>
      </c>
      <c r="Y2439" s="1">
        <v>4.821622E8</v>
      </c>
      <c r="AA2439" s="1" t="s">
        <v>46</v>
      </c>
      <c r="AB2439" s="1" t="s">
        <v>45</v>
      </c>
      <c r="AC2439" s="1">
        <v>4.821622E8</v>
      </c>
      <c r="AD2439" s="1">
        <v>3.6094215E8</v>
      </c>
      <c r="AE2439" s="1" t="s">
        <v>2861</v>
      </c>
      <c r="AF2439" s="1">
        <v>40000.0</v>
      </c>
      <c r="AG2439" s="2">
        <v>41548.0</v>
      </c>
      <c r="AH2439" s="1">
        <v>7500.0</v>
      </c>
      <c r="AI2439" s="1" t="s">
        <v>40</v>
      </c>
      <c r="AJ2439" s="1">
        <v>2.0140304E7</v>
      </c>
      <c r="AK2439" s="1" t="s">
        <v>2683</v>
      </c>
      <c r="AL2439" s="1">
        <v>10.0</v>
      </c>
      <c r="AM2439" s="1">
        <v>2013.0</v>
      </c>
      <c r="AN2439" s="1">
        <v>2014.0</v>
      </c>
      <c r="AO2439" s="1" t="s">
        <v>2684</v>
      </c>
    </row>
    <row r="2440">
      <c r="A2440" s="5">
        <v>1.0</v>
      </c>
      <c r="B2440" s="1">
        <f t="shared" si="1"/>
        <v>2440</v>
      </c>
      <c r="C2440" s="1" t="s">
        <v>4074</v>
      </c>
      <c r="D2440" s="1" t="s">
        <v>4074</v>
      </c>
      <c r="E2440" s="1" t="s">
        <v>159</v>
      </c>
      <c r="G2440" s="1">
        <v>1.8873668E7</v>
      </c>
      <c r="H2440" s="2">
        <v>41548.0</v>
      </c>
      <c r="I2440" s="1" t="s">
        <v>2683</v>
      </c>
      <c r="K2440" s="1" t="s">
        <v>2683</v>
      </c>
      <c r="N2440" s="1" t="s">
        <v>40</v>
      </c>
      <c r="O2440" s="1">
        <v>7500.0</v>
      </c>
      <c r="P2440" s="1" t="s">
        <v>40</v>
      </c>
      <c r="Q2440" s="1" t="str">
        <f>IF(ISERROR(VLOOKUP(P2440,'unique fed agency names'!A:C,3,FALSE)),P2440,VLOOKUP(P2440,'unique fed agency names'!A:C,3,FALSE))
</f>
        <v>U.S. Department of Health and Human Services (DHHS)</v>
      </c>
      <c r="R2440" s="1">
        <v>7596352.0</v>
      </c>
      <c r="S2440" s="1" t="s">
        <v>73</v>
      </c>
      <c r="T2440" s="1" t="str">
        <f>IF(ISERROR(VLOOKUP(S2440,'unique org names'!A:C,3,FALSE)),S2440,VLOOKUP(S2440,'unique org names'!A:C,3,FALSE))
</f>
        <v>City Of Detroit</v>
      </c>
      <c r="V2440" s="1" t="s">
        <v>1578</v>
      </c>
      <c r="W2440" s="1" t="s">
        <v>44</v>
      </c>
      <c r="X2440" s="1" t="s">
        <v>45</v>
      </c>
      <c r="Y2440" s="1">
        <v>4.82263269E8</v>
      </c>
      <c r="AA2440" s="1" t="s">
        <v>46</v>
      </c>
      <c r="AB2440" s="1" t="s">
        <v>45</v>
      </c>
      <c r="AC2440" s="1">
        <v>4.82263269E8</v>
      </c>
      <c r="AD2440" s="1">
        <v>6530661.0</v>
      </c>
      <c r="AE2440" s="1" t="s">
        <v>76</v>
      </c>
      <c r="AF2440" s="1">
        <v>838758.83</v>
      </c>
      <c r="AG2440" s="2">
        <v>41548.0</v>
      </c>
      <c r="AH2440" s="1">
        <v>7500.0</v>
      </c>
      <c r="AI2440" s="1" t="s">
        <v>40</v>
      </c>
      <c r="AJ2440" s="1">
        <v>2.0141454E7</v>
      </c>
      <c r="AK2440" s="1" t="s">
        <v>2683</v>
      </c>
      <c r="AL2440" s="1">
        <v>10.0</v>
      </c>
      <c r="AM2440" s="1">
        <v>2013.0</v>
      </c>
      <c r="AN2440" s="1">
        <v>2014.0</v>
      </c>
      <c r="AO2440" s="1" t="s">
        <v>2684</v>
      </c>
    </row>
    <row r="2441">
      <c r="A2441" s="5">
        <v>1.0</v>
      </c>
      <c r="B2441" s="1">
        <f t="shared" si="1"/>
        <v>2441</v>
      </c>
      <c r="C2441" s="1" t="s">
        <v>4075</v>
      </c>
      <c r="D2441" s="1" t="s">
        <v>4075</v>
      </c>
      <c r="E2441" s="1" t="s">
        <v>159</v>
      </c>
      <c r="G2441" s="1">
        <v>3715555.0</v>
      </c>
      <c r="H2441" s="2">
        <v>41913.0</v>
      </c>
      <c r="I2441" s="1" t="s">
        <v>2683</v>
      </c>
      <c r="K2441" s="1" t="s">
        <v>2683</v>
      </c>
      <c r="N2441" s="1" t="s">
        <v>40</v>
      </c>
      <c r="O2441" s="1">
        <v>7500.0</v>
      </c>
      <c r="P2441" s="1" t="s">
        <v>40</v>
      </c>
      <c r="Q2441" s="1" t="str">
        <f>IF(ISERROR(VLOOKUP(P2441,'unique fed agency names'!A:C,3,FALSE)),P2441,VLOOKUP(P2441,'unique fed agency names'!A:C,3,FALSE))
</f>
        <v>U.S. Department of Health and Human Services (DHHS)</v>
      </c>
      <c r="R2441" s="1">
        <v>3.8775243E7</v>
      </c>
      <c r="S2441" s="1" t="s">
        <v>209</v>
      </c>
      <c r="T2441" s="1" t="str">
        <f>IF(ISERROR(VLOOKUP(S2441,'unique org names'!A:C,3,FALSE)),S2441,VLOOKUP(S2441,'unique org names'!A:C,3,FALSE))
</f>
        <v>SOUTHEASTERN MICHIGAN HEALTH ASSOCIATION</v>
      </c>
      <c r="U2441" s="1" t="s">
        <v>210</v>
      </c>
      <c r="V2441" s="1" t="s">
        <v>211</v>
      </c>
      <c r="W2441" s="1" t="s">
        <v>44</v>
      </c>
      <c r="X2441" s="1" t="s">
        <v>45</v>
      </c>
      <c r="Y2441" s="1">
        <v>4.82023068E8</v>
      </c>
      <c r="AA2441" s="1" t="s">
        <v>46</v>
      </c>
      <c r="AB2441" s="1" t="s">
        <v>45</v>
      </c>
      <c r="AC2441" s="1">
        <v>4.82023068E8</v>
      </c>
      <c r="AD2441" s="1">
        <v>3.8775243E7</v>
      </c>
      <c r="AE2441" s="1" t="s">
        <v>209</v>
      </c>
      <c r="AF2441" s="1">
        <v>52651.96</v>
      </c>
      <c r="AG2441" s="2">
        <v>41913.0</v>
      </c>
      <c r="AH2441" s="1">
        <v>7500.0</v>
      </c>
      <c r="AI2441" s="1" t="s">
        <v>40</v>
      </c>
      <c r="AJ2441" s="1">
        <v>2.0151622E7</v>
      </c>
      <c r="AK2441" s="1" t="s">
        <v>2683</v>
      </c>
      <c r="AL2441" s="1">
        <v>10.0</v>
      </c>
      <c r="AM2441" s="1">
        <v>2014.0</v>
      </c>
      <c r="AN2441" s="1">
        <v>2015.0</v>
      </c>
      <c r="AO2441" s="1" t="s">
        <v>2684</v>
      </c>
    </row>
    <row r="2442">
      <c r="A2442" s="5">
        <v>1.0</v>
      </c>
      <c r="B2442" s="1">
        <f t="shared" si="1"/>
        <v>2442</v>
      </c>
      <c r="C2442" s="1" t="s">
        <v>4075</v>
      </c>
      <c r="D2442" s="1" t="s">
        <v>4075</v>
      </c>
      <c r="E2442" s="1" t="s">
        <v>159</v>
      </c>
      <c r="G2442" s="1">
        <v>3715555.0</v>
      </c>
      <c r="H2442" s="2">
        <v>41913.0</v>
      </c>
      <c r="I2442" s="1" t="s">
        <v>2683</v>
      </c>
      <c r="K2442" s="1" t="s">
        <v>2683</v>
      </c>
      <c r="N2442" s="1" t="s">
        <v>40</v>
      </c>
      <c r="O2442" s="1">
        <v>7500.0</v>
      </c>
      <c r="P2442" s="1" t="s">
        <v>40</v>
      </c>
      <c r="Q2442" s="1" t="str">
        <f>IF(ISERROR(VLOOKUP(P2442,'unique fed agency names'!A:C,3,FALSE)),P2442,VLOOKUP(P2442,'unique fed agency names'!A:C,3,FALSE))
</f>
        <v>U.S. Department of Health and Human Services (DHHS)</v>
      </c>
      <c r="R2442" s="1">
        <v>7596352.0</v>
      </c>
      <c r="S2442" s="1" t="s">
        <v>73</v>
      </c>
      <c r="T2442" s="1" t="str">
        <f>IF(ISERROR(VLOOKUP(S2442,'unique org names'!A:C,3,FALSE)),S2442,VLOOKUP(S2442,'unique org names'!A:C,3,FALSE))
</f>
        <v>City Of Detroit</v>
      </c>
      <c r="V2442" s="1" t="s">
        <v>1578</v>
      </c>
      <c r="W2442" s="1" t="s">
        <v>44</v>
      </c>
      <c r="X2442" s="1" t="s">
        <v>45</v>
      </c>
      <c r="Y2442" s="1">
        <v>4.82263269E8</v>
      </c>
      <c r="AA2442" s="1" t="s">
        <v>46</v>
      </c>
      <c r="AB2442" s="1" t="s">
        <v>45</v>
      </c>
      <c r="AC2442" s="1">
        <v>4.82263269E8</v>
      </c>
      <c r="AD2442" s="1">
        <v>6530661.0</v>
      </c>
      <c r="AE2442" s="1" t="s">
        <v>76</v>
      </c>
      <c r="AF2442" s="1">
        <v>725520.31</v>
      </c>
      <c r="AG2442" s="2">
        <v>41913.0</v>
      </c>
      <c r="AH2442" s="1">
        <v>7500.0</v>
      </c>
      <c r="AI2442" s="1" t="s">
        <v>40</v>
      </c>
      <c r="AJ2442" s="1">
        <v>2.0151729E7</v>
      </c>
      <c r="AK2442" s="1" t="s">
        <v>2683</v>
      </c>
      <c r="AL2442" s="1">
        <v>10.0</v>
      </c>
      <c r="AM2442" s="1">
        <v>2014.0</v>
      </c>
      <c r="AN2442" s="1">
        <v>2015.0</v>
      </c>
      <c r="AO2442" s="1" t="s">
        <v>2684</v>
      </c>
    </row>
    <row r="2443">
      <c r="A2443" s="5">
        <v>1.0</v>
      </c>
      <c r="B2443" s="1">
        <f t="shared" si="1"/>
        <v>2443</v>
      </c>
      <c r="C2443" s="1" t="s">
        <v>4075</v>
      </c>
      <c r="D2443" s="1" t="s">
        <v>4075</v>
      </c>
      <c r="E2443" s="1" t="s">
        <v>159</v>
      </c>
      <c r="G2443" s="1">
        <v>3715555.0</v>
      </c>
      <c r="H2443" s="2">
        <v>41913.0</v>
      </c>
      <c r="I2443" s="1" t="s">
        <v>2683</v>
      </c>
      <c r="K2443" s="1" t="s">
        <v>2683</v>
      </c>
      <c r="N2443" s="1" t="s">
        <v>40</v>
      </c>
      <c r="O2443" s="1">
        <v>7500.0</v>
      </c>
      <c r="P2443" s="1" t="s">
        <v>40</v>
      </c>
      <c r="Q2443" s="1" t="str">
        <f>IF(ISERROR(VLOOKUP(P2443,'unique fed agency names'!A:C,3,FALSE)),P2443,VLOOKUP(P2443,'unique fed agency names'!A:C,3,FALSE))
</f>
        <v>U.S. Department of Health and Human Services (DHHS)</v>
      </c>
      <c r="R2443" s="1">
        <v>7.3135402E7</v>
      </c>
      <c r="S2443" s="1" t="s">
        <v>152</v>
      </c>
      <c r="T2443" s="1" t="str">
        <f>IF(ISERROR(VLOOKUP(S2443,'unique org names'!A:C,3,FALSE)),S2443,VLOOKUP(S2443,'unique org names'!A:C,3,FALSE))
</f>
        <v>UNIVERSITY OF DETROIT MERCY</v>
      </c>
      <c r="U2443" s="1" t="s">
        <v>153</v>
      </c>
      <c r="V2443" s="1" t="s">
        <v>154</v>
      </c>
      <c r="W2443" s="1" t="s">
        <v>44</v>
      </c>
      <c r="X2443" s="1" t="s">
        <v>45</v>
      </c>
      <c r="Y2443" s="1">
        <v>4.82213038E8</v>
      </c>
      <c r="AA2443" s="1" t="s">
        <v>46</v>
      </c>
      <c r="AB2443" s="1" t="s">
        <v>45</v>
      </c>
      <c r="AC2443" s="1">
        <v>4.82213038E8</v>
      </c>
      <c r="AD2443" s="1">
        <v>7.3135402E7</v>
      </c>
      <c r="AE2443" s="1" t="s">
        <v>152</v>
      </c>
      <c r="AF2443" s="1">
        <v>30201.89</v>
      </c>
      <c r="AG2443" s="2">
        <v>41913.0</v>
      </c>
      <c r="AH2443" s="1">
        <v>7500.0</v>
      </c>
      <c r="AI2443" s="1" t="s">
        <v>40</v>
      </c>
      <c r="AJ2443" s="1">
        <v>2.0150204E7</v>
      </c>
      <c r="AK2443" s="1" t="s">
        <v>2683</v>
      </c>
      <c r="AL2443" s="1">
        <v>10.0</v>
      </c>
      <c r="AM2443" s="1">
        <v>2014.0</v>
      </c>
      <c r="AN2443" s="1">
        <v>2015.0</v>
      </c>
      <c r="AO2443" s="1" t="s">
        <v>2684</v>
      </c>
    </row>
    <row r="2444">
      <c r="A2444" s="5">
        <v>1.0</v>
      </c>
      <c r="B2444" s="1">
        <f t="shared" si="1"/>
        <v>2444</v>
      </c>
      <c r="C2444" s="1" t="s">
        <v>4075</v>
      </c>
      <c r="D2444" s="1" t="s">
        <v>4075</v>
      </c>
      <c r="E2444" s="1" t="s">
        <v>159</v>
      </c>
      <c r="G2444" s="1">
        <v>3715555.0</v>
      </c>
      <c r="H2444" s="2">
        <v>41913.0</v>
      </c>
      <c r="I2444" s="1" t="s">
        <v>2683</v>
      </c>
      <c r="K2444" s="1" t="s">
        <v>2683</v>
      </c>
      <c r="N2444" s="1" t="s">
        <v>40</v>
      </c>
      <c r="O2444" s="1">
        <v>7500.0</v>
      </c>
      <c r="P2444" s="1" t="s">
        <v>40</v>
      </c>
      <c r="Q2444" s="1" t="str">
        <f>IF(ISERROR(VLOOKUP(P2444,'unique fed agency names'!A:C,3,FALSE)),P2444,VLOOKUP(P2444,'unique fed agency names'!A:C,3,FALSE))
</f>
        <v>U.S. Department of Health and Human Services (DHHS)</v>
      </c>
      <c r="R2444" s="1">
        <v>7.8583404E7</v>
      </c>
      <c r="S2444" s="1" t="s">
        <v>65</v>
      </c>
      <c r="T2444" s="1" t="str">
        <f>IF(ISERROR(VLOOKUP(S2444,'unique org names'!A:C,3,FALSE)),S2444,VLOOKUP(S2444,'unique org names'!A:C,3,FALSE))
</f>
        <v>Institute for Population Health Inc.</v>
      </c>
      <c r="V2444" s="1" t="s">
        <v>1573</v>
      </c>
      <c r="W2444" s="1" t="s">
        <v>44</v>
      </c>
      <c r="X2444" s="1" t="s">
        <v>45</v>
      </c>
      <c r="Y2444" s="1">
        <v>4.8207311E8</v>
      </c>
      <c r="AA2444" s="1" t="s">
        <v>46</v>
      </c>
      <c r="AB2444" s="1" t="s">
        <v>45</v>
      </c>
      <c r="AC2444" s="1">
        <v>4.82073113E8</v>
      </c>
      <c r="AF2444" s="1">
        <v>63005.67</v>
      </c>
      <c r="AG2444" s="2">
        <v>41913.0</v>
      </c>
      <c r="AH2444" s="1">
        <v>7500.0</v>
      </c>
      <c r="AI2444" s="1" t="s">
        <v>40</v>
      </c>
      <c r="AJ2444" s="1">
        <v>2.0150143E7</v>
      </c>
      <c r="AK2444" s="1" t="s">
        <v>2683</v>
      </c>
      <c r="AL2444" s="1">
        <v>10.0</v>
      </c>
      <c r="AM2444" s="1">
        <v>2014.0</v>
      </c>
      <c r="AN2444" s="1">
        <v>2015.0</v>
      </c>
      <c r="AO2444" s="1" t="s">
        <v>2684</v>
      </c>
    </row>
    <row r="2445">
      <c r="A2445" s="5">
        <v>1.0</v>
      </c>
      <c r="B2445" s="1">
        <f t="shared" si="1"/>
        <v>2445</v>
      </c>
      <c r="C2445" s="1" t="s">
        <v>4076</v>
      </c>
      <c r="D2445" s="1" t="s">
        <v>4076</v>
      </c>
      <c r="E2445" s="1" t="s">
        <v>38</v>
      </c>
      <c r="G2445" s="1">
        <v>1.1900534E7</v>
      </c>
      <c r="H2445" s="2">
        <v>41893.0</v>
      </c>
      <c r="I2445" s="1" t="s">
        <v>4077</v>
      </c>
      <c r="K2445" s="1" t="s">
        <v>4077</v>
      </c>
      <c r="N2445" s="1" t="s">
        <v>40</v>
      </c>
      <c r="O2445" s="1">
        <v>7500.0</v>
      </c>
      <c r="P2445" s="1" t="s">
        <v>40</v>
      </c>
      <c r="Q2445" s="1" t="str">
        <f>IF(ISERROR(VLOOKUP(P2445,'unique fed agency names'!A:C,3,FALSE)),P2445,VLOOKUP(P2445,'unique fed agency names'!A:C,3,FALSE))
</f>
        <v>U.S. Department of Health and Human Services (DHHS)</v>
      </c>
      <c r="R2445" s="1">
        <v>7.3134603E7</v>
      </c>
      <c r="S2445" s="1" t="s">
        <v>41</v>
      </c>
      <c r="T2445" s="1" t="str">
        <f>IF(ISERROR(VLOOKUP(S2445,'unique org names'!A:C,3,FALSE)),S2445,VLOOKUP(S2445,'unique org names'!A:C,3,FALSE))
</f>
        <v>Henry Ford Health System</v>
      </c>
      <c r="U2445" s="1" t="s">
        <v>42</v>
      </c>
      <c r="V2445" s="1" t="s">
        <v>43</v>
      </c>
      <c r="W2445" s="1" t="s">
        <v>44</v>
      </c>
      <c r="X2445" s="1" t="s">
        <v>45</v>
      </c>
      <c r="Y2445" s="1">
        <v>4.8202345E8</v>
      </c>
      <c r="AA2445" s="1" t="s">
        <v>44</v>
      </c>
      <c r="AB2445" s="1" t="s">
        <v>45</v>
      </c>
      <c r="AC2445" s="1">
        <v>4.82022689E8</v>
      </c>
      <c r="AD2445" s="1">
        <v>7.3134603E7</v>
      </c>
      <c r="AE2445" s="1" t="s">
        <v>41</v>
      </c>
      <c r="AF2445" s="1">
        <v>207037.0</v>
      </c>
      <c r="AG2445" s="2">
        <v>41893.0</v>
      </c>
      <c r="AH2445" s="1">
        <v>7500.0</v>
      </c>
      <c r="AI2445" s="1" t="s">
        <v>40</v>
      </c>
      <c r="AJ2445" s="1">
        <v>2.001414481E9</v>
      </c>
      <c r="AK2445" s="1" t="s">
        <v>4078</v>
      </c>
      <c r="AL2445" s="1">
        <v>2.0</v>
      </c>
      <c r="AM2445" s="1">
        <v>2015.0</v>
      </c>
      <c r="AN2445" s="1">
        <v>2014.0</v>
      </c>
      <c r="AO2445" s="1" t="s">
        <v>4079</v>
      </c>
    </row>
    <row r="2446">
      <c r="A2446" s="5">
        <v>1.0</v>
      </c>
      <c r="B2446" s="1">
        <f t="shared" si="1"/>
        <v>2446</v>
      </c>
      <c r="C2446" s="1" t="s">
        <v>4080</v>
      </c>
      <c r="D2446" s="1" t="s">
        <v>4080</v>
      </c>
      <c r="E2446" s="1" t="s">
        <v>38</v>
      </c>
      <c r="G2446" s="1">
        <v>1.3349656E7</v>
      </c>
      <c r="H2446" s="2">
        <v>41932.0</v>
      </c>
      <c r="I2446" s="1" t="s">
        <v>4081</v>
      </c>
      <c r="K2446" s="1" t="s">
        <v>4081</v>
      </c>
      <c r="N2446" s="1" t="s">
        <v>40</v>
      </c>
      <c r="O2446" s="1">
        <v>7500.0</v>
      </c>
      <c r="P2446" s="1" t="s">
        <v>40</v>
      </c>
      <c r="Q2446" s="1" t="str">
        <f>IF(ISERROR(VLOOKUP(P2446,'unique fed agency names'!A:C,3,FALSE)),P2446,VLOOKUP(P2446,'unique fed agency names'!A:C,3,FALSE))
</f>
        <v>U.S. Department of Health and Human Services (DHHS)</v>
      </c>
      <c r="R2446" s="1">
        <v>7.3134603E7</v>
      </c>
      <c r="S2446" s="1" t="s">
        <v>41</v>
      </c>
      <c r="T2446" s="1" t="str">
        <f>IF(ISERROR(VLOOKUP(S2446,'unique org names'!A:C,3,FALSE)),S2446,VLOOKUP(S2446,'unique org names'!A:C,3,FALSE))
</f>
        <v>Henry Ford Health System</v>
      </c>
      <c r="U2446" s="1" t="s">
        <v>252</v>
      </c>
      <c r="V2446" s="1" t="s">
        <v>253</v>
      </c>
      <c r="W2446" s="1" t="s">
        <v>44</v>
      </c>
      <c r="X2446" s="1" t="s">
        <v>45</v>
      </c>
      <c r="Y2446" s="1">
        <v>4.8202345E8</v>
      </c>
      <c r="AA2446" s="1" t="s">
        <v>46</v>
      </c>
      <c r="AB2446" s="1" t="s">
        <v>45</v>
      </c>
      <c r="AC2446" s="1">
        <v>4.82022689E8</v>
      </c>
      <c r="AD2446" s="1">
        <v>7.3134603E7</v>
      </c>
      <c r="AE2446" s="1" t="s">
        <v>41</v>
      </c>
      <c r="AF2446" s="1">
        <v>47597.0</v>
      </c>
      <c r="AG2446" s="2">
        <v>41932.0</v>
      </c>
      <c r="AH2446" s="1">
        <v>7500.0</v>
      </c>
      <c r="AI2446" s="1" t="s">
        <v>40</v>
      </c>
      <c r="AJ2446" s="1">
        <v>2.001948029E9</v>
      </c>
      <c r="AK2446" s="1" t="s">
        <v>4082</v>
      </c>
      <c r="AL2446" s="1">
        <v>2.0</v>
      </c>
      <c r="AM2446" s="1">
        <v>2015.0</v>
      </c>
      <c r="AN2446" s="1">
        <v>2015.0</v>
      </c>
      <c r="AO2446" s="1" t="s">
        <v>338</v>
      </c>
    </row>
    <row r="2447">
      <c r="A2447" s="5">
        <v>1.0</v>
      </c>
      <c r="B2447" s="1">
        <f t="shared" si="1"/>
        <v>2447</v>
      </c>
      <c r="C2447" s="1" t="s">
        <v>4013</v>
      </c>
      <c r="D2447" s="1" t="s">
        <v>4013</v>
      </c>
      <c r="E2447" s="1" t="s">
        <v>63</v>
      </c>
      <c r="G2447" s="1">
        <v>1.9608108E7</v>
      </c>
      <c r="H2447" s="2">
        <v>41913.0</v>
      </c>
      <c r="I2447" s="1" t="s">
        <v>4014</v>
      </c>
      <c r="K2447" s="1" t="s">
        <v>4014</v>
      </c>
      <c r="N2447" s="1" t="s">
        <v>40</v>
      </c>
      <c r="O2447" s="1">
        <v>7500.0</v>
      </c>
      <c r="P2447" s="1" t="s">
        <v>40</v>
      </c>
      <c r="Q2447" s="1" t="str">
        <f>IF(ISERROR(VLOOKUP(P2447,'unique fed agency names'!A:C,3,FALSE)),P2447,VLOOKUP(P2447,'unique fed agency names'!A:C,3,FALSE))
</f>
        <v>U.S. Department of Health and Human Services (DHHS)</v>
      </c>
      <c r="R2447" s="1">
        <v>1962224.0</v>
      </c>
      <c r="S2447" s="1" t="s">
        <v>52</v>
      </c>
      <c r="T2447" s="1" t="str">
        <f>IF(ISERROR(VLOOKUP(S2447,'unique org names'!A:C,3,FALSE)),S2447,VLOOKUP(S2447,'unique org names'!A:C,3,FALSE))
</f>
        <v>WAYNE STATE UNIVERSITY</v>
      </c>
      <c r="U2447" s="1" t="s">
        <v>4026</v>
      </c>
      <c r="V2447" s="1" t="s">
        <v>1885</v>
      </c>
      <c r="W2447" s="1" t="s">
        <v>44</v>
      </c>
      <c r="X2447" s="1" t="s">
        <v>45</v>
      </c>
      <c r="Y2447" s="1">
        <v>4.82021347E8</v>
      </c>
      <c r="AA2447" s="1" t="s">
        <v>46</v>
      </c>
      <c r="AB2447" s="1" t="s">
        <v>45</v>
      </c>
      <c r="AC2447" s="1">
        <v>4.82023692E8</v>
      </c>
      <c r="AD2447" s="1">
        <v>1962224.0</v>
      </c>
      <c r="AE2447" s="1" t="s">
        <v>52</v>
      </c>
      <c r="AF2447" s="1">
        <v>11905.49</v>
      </c>
      <c r="AG2447" s="2">
        <v>41913.0</v>
      </c>
      <c r="AH2447" s="1">
        <v>7500.0</v>
      </c>
      <c r="AI2447" s="1" t="s">
        <v>40</v>
      </c>
      <c r="AJ2447" s="1">
        <v>2.0151666E7</v>
      </c>
      <c r="AK2447" s="1" t="s">
        <v>4015</v>
      </c>
      <c r="AL2447" s="1">
        <v>10.0</v>
      </c>
      <c r="AM2447" s="1">
        <v>2011.0</v>
      </c>
      <c r="AN2447" s="1">
        <v>2015.0</v>
      </c>
      <c r="AO2447" s="1" t="s">
        <v>4003</v>
      </c>
    </row>
    <row r="2448">
      <c r="A2448" s="5">
        <v>1.0</v>
      </c>
      <c r="B2448" s="1">
        <f t="shared" si="1"/>
        <v>2448</v>
      </c>
      <c r="C2448" s="1" t="s">
        <v>4013</v>
      </c>
      <c r="D2448" s="1" t="s">
        <v>4013</v>
      </c>
      <c r="E2448" s="1" t="s">
        <v>63</v>
      </c>
      <c r="G2448" s="1">
        <v>1.9608108E7</v>
      </c>
      <c r="H2448" s="2">
        <v>41913.0</v>
      </c>
      <c r="I2448" s="1" t="s">
        <v>4014</v>
      </c>
      <c r="K2448" s="1" t="s">
        <v>4014</v>
      </c>
      <c r="N2448" s="1" t="s">
        <v>40</v>
      </c>
      <c r="O2448" s="1">
        <v>7500.0</v>
      </c>
      <c r="P2448" s="1" t="s">
        <v>40</v>
      </c>
      <c r="Q2448" s="1" t="str">
        <f>IF(ISERROR(VLOOKUP(P2448,'unique fed agency names'!A:C,3,FALSE)),P2448,VLOOKUP(P2448,'unique fed agency names'!A:C,3,FALSE))
</f>
        <v>U.S. Department of Health and Human Services (DHHS)</v>
      </c>
      <c r="R2448" s="1">
        <v>2.0830303E7</v>
      </c>
      <c r="S2448" s="1" t="s">
        <v>424</v>
      </c>
      <c r="T2448" s="1" t="str">
        <f>IF(ISERROR(VLOOKUP(S2448,'unique org names'!A:C,3,FALSE)),S2448,VLOOKUP(S2448,'unique org names'!A:C,3,FALSE))
</f>
        <v>MATRIX HUMAN SERVICES</v>
      </c>
      <c r="U2448" s="1" t="s">
        <v>425</v>
      </c>
      <c r="V2448" s="1" t="s">
        <v>426</v>
      </c>
      <c r="W2448" s="1" t="s">
        <v>44</v>
      </c>
      <c r="X2448" s="1" t="s">
        <v>45</v>
      </c>
      <c r="Y2448" s="1">
        <v>4.82012002E8</v>
      </c>
      <c r="AA2448" s="1" t="s">
        <v>46</v>
      </c>
      <c r="AB2448" s="1" t="s">
        <v>45</v>
      </c>
      <c r="AC2448" s="1">
        <v>4.82012002E8</v>
      </c>
      <c r="AD2448" s="1">
        <v>2.0830303E7</v>
      </c>
      <c r="AE2448" s="1" t="s">
        <v>424</v>
      </c>
      <c r="AF2448" s="1">
        <v>12829.88</v>
      </c>
      <c r="AG2448" s="2">
        <v>41913.0</v>
      </c>
      <c r="AH2448" s="1">
        <v>7500.0</v>
      </c>
      <c r="AI2448" s="1" t="s">
        <v>40</v>
      </c>
      <c r="AJ2448" s="1">
        <v>2.0150694E7</v>
      </c>
      <c r="AK2448" s="1" t="s">
        <v>4015</v>
      </c>
      <c r="AL2448" s="1">
        <v>10.0</v>
      </c>
      <c r="AM2448" s="1">
        <v>2011.0</v>
      </c>
      <c r="AN2448" s="1">
        <v>2015.0</v>
      </c>
      <c r="AO2448" s="1" t="s">
        <v>4003</v>
      </c>
    </row>
    <row r="2449">
      <c r="A2449" s="5">
        <v>1.0</v>
      </c>
      <c r="B2449" s="1">
        <f t="shared" si="1"/>
        <v>2449</v>
      </c>
      <c r="C2449" s="1" t="s">
        <v>4013</v>
      </c>
      <c r="D2449" s="1" t="s">
        <v>4013</v>
      </c>
      <c r="E2449" s="1" t="s">
        <v>63</v>
      </c>
      <c r="G2449" s="1">
        <v>1.9608108E7</v>
      </c>
      <c r="H2449" s="2">
        <v>41913.0</v>
      </c>
      <c r="I2449" s="1" t="s">
        <v>4014</v>
      </c>
      <c r="K2449" s="1" t="s">
        <v>4014</v>
      </c>
      <c r="N2449" s="1" t="s">
        <v>40</v>
      </c>
      <c r="O2449" s="1">
        <v>7500.0</v>
      </c>
      <c r="P2449" s="1" t="s">
        <v>40</v>
      </c>
      <c r="Q2449" s="1" t="str">
        <f>IF(ISERROR(VLOOKUP(P2449,'unique fed agency names'!A:C,3,FALSE)),P2449,VLOOKUP(P2449,'unique fed agency names'!A:C,3,FALSE))
</f>
        <v>U.S. Department of Health and Human Services (DHHS)</v>
      </c>
      <c r="R2449" s="1">
        <v>1.40133393E8</v>
      </c>
      <c r="S2449" s="1" t="s">
        <v>4028</v>
      </c>
      <c r="T2449" s="1" t="str">
        <f>IF(ISERROR(VLOOKUP(S2449,'unique org names'!A:C,3,FALSE)),S2449,VLOOKUP(S2449,'unique org names'!A:C,3,FALSE))
</f>
        <v>Detroit Health Care for the Homeless dba Advantage Health Centers</v>
      </c>
      <c r="U2449" s="1" t="s">
        <v>4029</v>
      </c>
      <c r="V2449" s="1" t="s">
        <v>4030</v>
      </c>
      <c r="W2449" s="1" t="s">
        <v>44</v>
      </c>
      <c r="X2449" s="1" t="s">
        <v>45</v>
      </c>
      <c r="Y2449" s="1">
        <v>4.82353724E8</v>
      </c>
      <c r="AA2449" s="1" t="s">
        <v>46</v>
      </c>
      <c r="AB2449" s="1" t="s">
        <v>45</v>
      </c>
      <c r="AC2449" s="1">
        <v>4.82353724E8</v>
      </c>
      <c r="AD2449" s="1">
        <v>1.40133393E8</v>
      </c>
      <c r="AE2449" s="1" t="s">
        <v>4028</v>
      </c>
      <c r="AF2449" s="1">
        <v>51411.85</v>
      </c>
      <c r="AG2449" s="2">
        <v>41913.0</v>
      </c>
      <c r="AH2449" s="1">
        <v>7500.0</v>
      </c>
      <c r="AI2449" s="1" t="s">
        <v>40</v>
      </c>
      <c r="AJ2449" s="1">
        <v>2.0150667E7</v>
      </c>
      <c r="AK2449" s="1" t="s">
        <v>4015</v>
      </c>
      <c r="AL2449" s="1">
        <v>10.0</v>
      </c>
      <c r="AM2449" s="1">
        <v>2011.0</v>
      </c>
      <c r="AN2449" s="1">
        <v>2015.0</v>
      </c>
      <c r="AO2449" s="1" t="s">
        <v>4003</v>
      </c>
    </row>
    <row r="2450">
      <c r="A2450" s="5">
        <v>1.0</v>
      </c>
      <c r="B2450" s="1">
        <f t="shared" si="1"/>
        <v>2450</v>
      </c>
      <c r="C2450" s="1" t="s">
        <v>4013</v>
      </c>
      <c r="D2450" s="1" t="s">
        <v>4013</v>
      </c>
      <c r="E2450" s="1" t="s">
        <v>63</v>
      </c>
      <c r="G2450" s="1">
        <v>1.9608108E7</v>
      </c>
      <c r="H2450" s="2">
        <v>41913.0</v>
      </c>
      <c r="I2450" s="1" t="s">
        <v>4014</v>
      </c>
      <c r="K2450" s="1" t="s">
        <v>4014</v>
      </c>
      <c r="N2450" s="1" t="s">
        <v>40</v>
      </c>
      <c r="O2450" s="1">
        <v>7500.0</v>
      </c>
      <c r="P2450" s="1" t="s">
        <v>40</v>
      </c>
      <c r="Q2450" s="1" t="str">
        <f>IF(ISERROR(VLOOKUP(P2450,'unique fed agency names'!A:C,3,FALSE)),P2450,VLOOKUP(P2450,'unique fed agency names'!A:C,3,FALSE))
</f>
        <v>U.S. Department of Health and Human Services (DHHS)</v>
      </c>
      <c r="R2450" s="1">
        <v>9.4547247E7</v>
      </c>
      <c r="S2450" s="1" t="s">
        <v>2201</v>
      </c>
      <c r="T2450" s="1" t="str">
        <f>IF(ISERROR(VLOOKUP(S2450,'unique org names'!A:C,3,FALSE)),S2450,VLOOKUP(S2450,'unique org names'!A:C,3,FALSE))
</f>
        <v>Detroit Rescue Mission Ministries</v>
      </c>
      <c r="U2450" s="1" t="s">
        <v>2202</v>
      </c>
      <c r="V2450" s="1" t="s">
        <v>2203</v>
      </c>
      <c r="W2450" s="1" t="s">
        <v>44</v>
      </c>
      <c r="X2450" s="1" t="s">
        <v>45</v>
      </c>
      <c r="Y2450" s="1">
        <v>4.8201241E8</v>
      </c>
      <c r="AA2450" s="1" t="s">
        <v>46</v>
      </c>
      <c r="AB2450" s="1" t="s">
        <v>45</v>
      </c>
      <c r="AC2450" s="1">
        <v>4.8201241E8</v>
      </c>
      <c r="AD2450" s="1">
        <v>9.4547247E7</v>
      </c>
      <c r="AE2450" s="1" t="s">
        <v>2201</v>
      </c>
      <c r="AF2450" s="1">
        <v>6250.0</v>
      </c>
      <c r="AG2450" s="2">
        <v>41913.0</v>
      </c>
      <c r="AH2450" s="1">
        <v>7500.0</v>
      </c>
      <c r="AI2450" s="1" t="s">
        <v>40</v>
      </c>
      <c r="AJ2450" s="1">
        <v>2.01518E7</v>
      </c>
      <c r="AK2450" s="1" t="s">
        <v>4015</v>
      </c>
      <c r="AL2450" s="1">
        <v>10.0</v>
      </c>
      <c r="AM2450" s="1">
        <v>2011.0</v>
      </c>
      <c r="AN2450" s="1">
        <v>2015.0</v>
      </c>
      <c r="AO2450" s="1" t="s">
        <v>4003</v>
      </c>
    </row>
    <row r="2451">
      <c r="A2451" s="5">
        <v>1.0</v>
      </c>
      <c r="B2451" s="1">
        <f t="shared" si="1"/>
        <v>2451</v>
      </c>
      <c r="C2451" s="1" t="s">
        <v>4013</v>
      </c>
      <c r="D2451" s="1" t="s">
        <v>4013</v>
      </c>
      <c r="E2451" s="1" t="s">
        <v>63</v>
      </c>
      <c r="G2451" s="1">
        <v>1.9608108E7</v>
      </c>
      <c r="H2451" s="2">
        <v>41913.0</v>
      </c>
      <c r="I2451" s="1" t="s">
        <v>4014</v>
      </c>
      <c r="K2451" s="1" t="s">
        <v>4014</v>
      </c>
      <c r="N2451" s="1" t="s">
        <v>40</v>
      </c>
      <c r="O2451" s="1">
        <v>7500.0</v>
      </c>
      <c r="P2451" s="1" t="s">
        <v>40</v>
      </c>
      <c r="Q2451" s="1" t="str">
        <f>IF(ISERROR(VLOOKUP(P2451,'unique fed agency names'!A:C,3,FALSE)),P2451,VLOOKUP(P2451,'unique fed agency names'!A:C,3,FALSE))
</f>
        <v>U.S. Department of Health and Human Services (DHHS)</v>
      </c>
      <c r="R2451" s="1">
        <v>1.0107139E7</v>
      </c>
      <c r="S2451" s="1" t="s">
        <v>4021</v>
      </c>
      <c r="T2451" s="1" t="str">
        <f>IF(ISERROR(VLOOKUP(S2451,'unique org names'!A:C,3,FALSE)),S2451,VLOOKUP(S2451,'unique org names'!A:C,3,FALSE))
</f>
        <v>Sacred Heart Rehabilitation Center, Inc</v>
      </c>
      <c r="U2451" s="1" t="s">
        <v>4022</v>
      </c>
      <c r="V2451" s="1" t="s">
        <v>4023</v>
      </c>
      <c r="W2451" s="1" t="s">
        <v>44</v>
      </c>
      <c r="X2451" s="1" t="s">
        <v>45</v>
      </c>
      <c r="Y2451" s="1">
        <v>4.821364E8</v>
      </c>
      <c r="AA2451" s="1" t="s">
        <v>46</v>
      </c>
      <c r="AB2451" s="1" t="s">
        <v>45</v>
      </c>
      <c r="AC2451" s="1">
        <v>4.821364E8</v>
      </c>
      <c r="AD2451" s="1">
        <v>1367960.0</v>
      </c>
      <c r="AE2451" s="1" t="s">
        <v>4024</v>
      </c>
      <c r="AF2451" s="1">
        <v>6250.0</v>
      </c>
      <c r="AG2451" s="2">
        <v>41913.0</v>
      </c>
      <c r="AH2451" s="1">
        <v>7500.0</v>
      </c>
      <c r="AI2451" s="1" t="s">
        <v>40</v>
      </c>
      <c r="AJ2451" s="1">
        <v>2.0151796E7</v>
      </c>
      <c r="AK2451" s="1" t="s">
        <v>4015</v>
      </c>
      <c r="AL2451" s="1">
        <v>10.0</v>
      </c>
      <c r="AM2451" s="1">
        <v>2011.0</v>
      </c>
      <c r="AN2451" s="1">
        <v>2015.0</v>
      </c>
      <c r="AO2451" s="1" t="s">
        <v>4003</v>
      </c>
    </row>
    <row r="2452">
      <c r="A2452" s="5">
        <v>1.0</v>
      </c>
      <c r="B2452" s="1">
        <f t="shared" si="1"/>
        <v>2452</v>
      </c>
      <c r="C2452" s="1" t="s">
        <v>4013</v>
      </c>
      <c r="D2452" s="1" t="s">
        <v>4013</v>
      </c>
      <c r="E2452" s="1" t="s">
        <v>63</v>
      </c>
      <c r="G2452" s="1">
        <v>1.9608108E7</v>
      </c>
      <c r="H2452" s="2">
        <v>41913.0</v>
      </c>
      <c r="I2452" s="1" t="s">
        <v>4014</v>
      </c>
      <c r="K2452" s="1" t="s">
        <v>4014</v>
      </c>
      <c r="N2452" s="1" t="s">
        <v>40</v>
      </c>
      <c r="O2452" s="1">
        <v>7500.0</v>
      </c>
      <c r="P2452" s="1" t="s">
        <v>40</v>
      </c>
      <c r="Q2452" s="1" t="str">
        <f>IF(ISERROR(VLOOKUP(P2452,'unique fed agency names'!A:C,3,FALSE)),P2452,VLOOKUP(P2452,'unique fed agency names'!A:C,3,FALSE))
</f>
        <v>U.S. Department of Health and Human Services (DHHS)</v>
      </c>
      <c r="R2452" s="1">
        <v>1.27458909E8</v>
      </c>
      <c r="S2452" s="1" t="s">
        <v>2195</v>
      </c>
      <c r="T2452" s="1" t="str">
        <f>IF(ISERROR(VLOOKUP(S2452,'unique org names'!A:C,3,FALSE)),S2452,VLOOKUP(S2452,'unique org names'!A:C,3,FALSE))
</f>
        <v>Mariners Inn</v>
      </c>
      <c r="U2452" s="1" t="s">
        <v>4032</v>
      </c>
      <c r="V2452" s="1" t="s">
        <v>2196</v>
      </c>
      <c r="W2452" s="1" t="s">
        <v>44</v>
      </c>
      <c r="X2452" s="1" t="s">
        <v>45</v>
      </c>
      <c r="Y2452" s="1">
        <v>4.82012641E8</v>
      </c>
      <c r="AA2452" s="1" t="s">
        <v>46</v>
      </c>
      <c r="AB2452" s="1" t="s">
        <v>45</v>
      </c>
      <c r="AC2452" s="1">
        <v>4.82012641E8</v>
      </c>
      <c r="AD2452" s="1">
        <v>1962224.0</v>
      </c>
      <c r="AE2452" s="1" t="s">
        <v>52</v>
      </c>
      <c r="AF2452" s="1">
        <v>6250.0</v>
      </c>
      <c r="AG2452" s="2">
        <v>41913.0</v>
      </c>
      <c r="AH2452" s="1">
        <v>7500.0</v>
      </c>
      <c r="AI2452" s="1" t="s">
        <v>40</v>
      </c>
      <c r="AJ2452" s="1">
        <v>2.0151799E7</v>
      </c>
      <c r="AK2452" s="1" t="s">
        <v>4015</v>
      </c>
      <c r="AL2452" s="1">
        <v>10.0</v>
      </c>
      <c r="AM2452" s="1">
        <v>2011.0</v>
      </c>
      <c r="AN2452" s="1">
        <v>2015.0</v>
      </c>
      <c r="AO2452" s="1" t="s">
        <v>4003</v>
      </c>
    </row>
    <row r="2453">
      <c r="A2453" s="5">
        <v>1.0</v>
      </c>
      <c r="B2453" s="1">
        <f t="shared" si="1"/>
        <v>2453</v>
      </c>
      <c r="C2453" s="1" t="s">
        <v>4013</v>
      </c>
      <c r="D2453" s="1" t="s">
        <v>4013</v>
      </c>
      <c r="E2453" s="1" t="s">
        <v>63</v>
      </c>
      <c r="G2453" s="1">
        <v>1.9608108E7</v>
      </c>
      <c r="H2453" s="2">
        <v>41913.0</v>
      </c>
      <c r="I2453" s="1" t="s">
        <v>4014</v>
      </c>
      <c r="K2453" s="1" t="s">
        <v>4014</v>
      </c>
      <c r="N2453" s="1" t="s">
        <v>40</v>
      </c>
      <c r="O2453" s="1">
        <v>7500.0</v>
      </c>
      <c r="P2453" s="1" t="s">
        <v>40</v>
      </c>
      <c r="Q2453" s="1" t="str">
        <f>IF(ISERROR(VLOOKUP(P2453,'unique fed agency names'!A:C,3,FALSE)),P2453,VLOOKUP(P2453,'unique fed agency names'!A:C,3,FALSE))
</f>
        <v>U.S. Department of Health and Human Services (DHHS)</v>
      </c>
      <c r="R2453" s="1">
        <v>1.8009589E8</v>
      </c>
      <c r="S2453" s="1" t="s">
        <v>4057</v>
      </c>
      <c r="T2453" s="1" t="str">
        <f>IF(ISERROR(VLOOKUP(S2453,'unique org names'!A:C,3,FALSE)),S2453,VLOOKUP(S2453,'unique org names'!A:C,3,FALSE))
</f>
        <v>Ruth Ellis Center, Inc</v>
      </c>
      <c r="U2453" s="1" t="s">
        <v>2077</v>
      </c>
      <c r="V2453" s="1" t="s">
        <v>4059</v>
      </c>
      <c r="W2453" s="1" t="s">
        <v>44</v>
      </c>
      <c r="X2453" s="1" t="s">
        <v>45</v>
      </c>
      <c r="Y2453" s="1">
        <v>4.82033127E8</v>
      </c>
      <c r="AA2453" s="1" t="s">
        <v>46</v>
      </c>
      <c r="AB2453" s="1" t="s">
        <v>45</v>
      </c>
      <c r="AC2453" s="1">
        <v>4.82033127E8</v>
      </c>
      <c r="AD2453" s="1">
        <v>8.0948367E8</v>
      </c>
      <c r="AE2453" s="1" t="s">
        <v>4055</v>
      </c>
      <c r="AF2453" s="1">
        <v>4284.65</v>
      </c>
      <c r="AG2453" s="2">
        <v>41913.0</v>
      </c>
      <c r="AH2453" s="1">
        <v>7500.0</v>
      </c>
      <c r="AI2453" s="1" t="s">
        <v>40</v>
      </c>
      <c r="AJ2453" s="1">
        <v>2.0150697E7</v>
      </c>
      <c r="AK2453" s="1" t="s">
        <v>4015</v>
      </c>
      <c r="AL2453" s="1">
        <v>10.0</v>
      </c>
      <c r="AM2453" s="1">
        <v>2011.0</v>
      </c>
      <c r="AN2453" s="1">
        <v>2015.0</v>
      </c>
      <c r="AO2453" s="1" t="s">
        <v>4003</v>
      </c>
    </row>
    <row r="2454">
      <c r="A2454" s="5">
        <v>1.0</v>
      </c>
      <c r="B2454" s="1">
        <f t="shared" si="1"/>
        <v>2454</v>
      </c>
      <c r="C2454" s="1" t="s">
        <v>4013</v>
      </c>
      <c r="D2454" s="1" t="s">
        <v>4013</v>
      </c>
      <c r="E2454" s="1" t="s">
        <v>63</v>
      </c>
      <c r="G2454" s="1">
        <v>1.9608108E7</v>
      </c>
      <c r="H2454" s="2">
        <v>41913.0</v>
      </c>
      <c r="I2454" s="1" t="s">
        <v>4014</v>
      </c>
      <c r="K2454" s="1" t="s">
        <v>4014</v>
      </c>
      <c r="N2454" s="1" t="s">
        <v>40</v>
      </c>
      <c r="O2454" s="1">
        <v>7500.0</v>
      </c>
      <c r="P2454" s="1" t="s">
        <v>40</v>
      </c>
      <c r="Q2454" s="1" t="str">
        <f>IF(ISERROR(VLOOKUP(P2454,'unique fed agency names'!A:C,3,FALSE)),P2454,VLOOKUP(P2454,'unique fed agency names'!A:C,3,FALSE))
</f>
        <v>U.S. Department of Health and Human Services (DHHS)</v>
      </c>
      <c r="R2454" s="1">
        <v>1962224.0</v>
      </c>
      <c r="S2454" s="1" t="s">
        <v>52</v>
      </c>
      <c r="T2454" s="1" t="str">
        <f>IF(ISERROR(VLOOKUP(S2454,'unique org names'!A:C,3,FALSE)),S2454,VLOOKUP(S2454,'unique org names'!A:C,3,FALSE))
</f>
        <v>WAYNE STATE UNIVERSITY</v>
      </c>
      <c r="U2454" s="1" t="s">
        <v>2202</v>
      </c>
      <c r="V2454" s="1" t="s">
        <v>1885</v>
      </c>
      <c r="W2454" s="1" t="s">
        <v>44</v>
      </c>
      <c r="X2454" s="1" t="s">
        <v>45</v>
      </c>
      <c r="Y2454" s="1">
        <v>4.82021347E8</v>
      </c>
      <c r="AA2454" s="1" t="s">
        <v>46</v>
      </c>
      <c r="AB2454" s="1" t="s">
        <v>45</v>
      </c>
      <c r="AC2454" s="1">
        <v>4.82023692E8</v>
      </c>
      <c r="AD2454" s="1">
        <v>1962224.0</v>
      </c>
      <c r="AE2454" s="1" t="s">
        <v>52</v>
      </c>
      <c r="AF2454" s="1">
        <v>17838.0</v>
      </c>
      <c r="AG2454" s="2">
        <v>41913.0</v>
      </c>
      <c r="AH2454" s="1">
        <v>7500.0</v>
      </c>
      <c r="AI2454" s="1" t="s">
        <v>40</v>
      </c>
      <c r="AJ2454" s="1">
        <v>2.0151663E7</v>
      </c>
      <c r="AK2454" s="1" t="s">
        <v>4015</v>
      </c>
      <c r="AL2454" s="1">
        <v>10.0</v>
      </c>
      <c r="AM2454" s="1">
        <v>2011.0</v>
      </c>
      <c r="AN2454" s="1">
        <v>2015.0</v>
      </c>
      <c r="AO2454" s="1" t="s">
        <v>4003</v>
      </c>
    </row>
    <row r="2455">
      <c r="A2455" s="5">
        <v>1.0</v>
      </c>
      <c r="B2455" s="1">
        <f t="shared" si="1"/>
        <v>2455</v>
      </c>
      <c r="C2455" s="1" t="s">
        <v>4013</v>
      </c>
      <c r="D2455" s="1" t="s">
        <v>4013</v>
      </c>
      <c r="E2455" s="1" t="s">
        <v>63</v>
      </c>
      <c r="G2455" s="1">
        <v>1.9608108E7</v>
      </c>
      <c r="H2455" s="2">
        <v>41913.0</v>
      </c>
      <c r="I2455" s="1" t="s">
        <v>4014</v>
      </c>
      <c r="K2455" s="1" t="s">
        <v>4014</v>
      </c>
      <c r="N2455" s="1" t="s">
        <v>40</v>
      </c>
      <c r="O2455" s="1">
        <v>7500.0</v>
      </c>
      <c r="P2455" s="1" t="s">
        <v>40</v>
      </c>
      <c r="Q2455" s="1" t="str">
        <f>IF(ISERROR(VLOOKUP(P2455,'unique fed agency names'!A:C,3,FALSE)),P2455,VLOOKUP(P2455,'unique fed agency names'!A:C,3,FALSE))
</f>
        <v>U.S. Department of Health and Human Services (DHHS)</v>
      </c>
      <c r="R2455" s="1">
        <v>1962224.0</v>
      </c>
      <c r="S2455" s="1" t="s">
        <v>52</v>
      </c>
      <c r="T2455" s="1" t="str">
        <f>IF(ISERROR(VLOOKUP(S2455,'unique org names'!A:C,3,FALSE)),S2455,VLOOKUP(S2455,'unique org names'!A:C,3,FALSE))
</f>
        <v>WAYNE STATE UNIVERSITY</v>
      </c>
      <c r="U2455" s="1" t="s">
        <v>2636</v>
      </c>
      <c r="V2455" s="1" t="s">
        <v>1885</v>
      </c>
      <c r="W2455" s="1" t="s">
        <v>44</v>
      </c>
      <c r="X2455" s="1" t="s">
        <v>45</v>
      </c>
      <c r="Y2455" s="1">
        <v>4.82021347E8</v>
      </c>
      <c r="AA2455" s="1" t="s">
        <v>46</v>
      </c>
      <c r="AB2455" s="1" t="s">
        <v>45</v>
      </c>
      <c r="AC2455" s="1">
        <v>4.82023692E8</v>
      </c>
      <c r="AD2455" s="1">
        <v>1962224.0</v>
      </c>
      <c r="AE2455" s="1" t="s">
        <v>52</v>
      </c>
      <c r="AF2455" s="1">
        <v>120750.0</v>
      </c>
      <c r="AG2455" s="2">
        <v>41913.0</v>
      </c>
      <c r="AH2455" s="1">
        <v>7500.0</v>
      </c>
      <c r="AI2455" s="1" t="s">
        <v>40</v>
      </c>
      <c r="AJ2455" s="1">
        <v>2.0152067E7</v>
      </c>
      <c r="AK2455" s="1" t="s">
        <v>4015</v>
      </c>
      <c r="AL2455" s="1">
        <v>10.0</v>
      </c>
      <c r="AM2455" s="1">
        <v>2011.0</v>
      </c>
      <c r="AN2455" s="1">
        <v>2015.0</v>
      </c>
      <c r="AO2455" s="1" t="s">
        <v>4003</v>
      </c>
    </row>
    <row r="2456">
      <c r="A2456" s="5">
        <v>1.0</v>
      </c>
      <c r="B2456" s="1">
        <f t="shared" si="1"/>
        <v>2456</v>
      </c>
      <c r="C2456" s="1" t="s">
        <v>4013</v>
      </c>
      <c r="D2456" s="1" t="s">
        <v>4013</v>
      </c>
      <c r="E2456" s="1" t="s">
        <v>63</v>
      </c>
      <c r="G2456" s="1">
        <v>1.9608108E7</v>
      </c>
      <c r="H2456" s="2">
        <v>41913.0</v>
      </c>
      <c r="I2456" s="1" t="s">
        <v>4014</v>
      </c>
      <c r="K2456" s="1" t="s">
        <v>4014</v>
      </c>
      <c r="N2456" s="1" t="s">
        <v>40</v>
      </c>
      <c r="O2456" s="1">
        <v>7500.0</v>
      </c>
      <c r="P2456" s="1" t="s">
        <v>40</v>
      </c>
      <c r="Q2456" s="1" t="str">
        <f>IF(ISERROR(VLOOKUP(P2456,'unique fed agency names'!A:C,3,FALSE)),P2456,VLOOKUP(P2456,'unique fed agency names'!A:C,3,FALSE))
</f>
        <v>U.S. Department of Health and Human Services (DHHS)</v>
      </c>
      <c r="R2456" s="1">
        <v>1.8009589E8</v>
      </c>
      <c r="S2456" s="1" t="s">
        <v>4057</v>
      </c>
      <c r="T2456" s="1" t="str">
        <f>IF(ISERROR(VLOOKUP(S2456,'unique org names'!A:C,3,FALSE)),S2456,VLOOKUP(S2456,'unique org names'!A:C,3,FALSE))
</f>
        <v>Ruth Ellis Center, Inc</v>
      </c>
      <c r="U2456" s="1" t="s">
        <v>2014</v>
      </c>
      <c r="V2456" s="1" t="s">
        <v>4059</v>
      </c>
      <c r="W2456" s="1" t="s">
        <v>44</v>
      </c>
      <c r="X2456" s="1" t="s">
        <v>45</v>
      </c>
      <c r="Y2456" s="1">
        <v>4.82033127E8</v>
      </c>
      <c r="AA2456" s="1" t="s">
        <v>46</v>
      </c>
      <c r="AB2456" s="1" t="s">
        <v>45</v>
      </c>
      <c r="AC2456" s="1">
        <v>4.82033127E8</v>
      </c>
      <c r="AD2456" s="1">
        <v>2.0111969E7</v>
      </c>
      <c r="AE2456" s="1" t="s">
        <v>2015</v>
      </c>
      <c r="AF2456" s="1">
        <v>19612.0</v>
      </c>
      <c r="AG2456" s="2">
        <v>41913.0</v>
      </c>
      <c r="AH2456" s="1">
        <v>7500.0</v>
      </c>
      <c r="AI2456" s="1" t="s">
        <v>40</v>
      </c>
      <c r="AJ2456" s="1">
        <v>2.0150697E7</v>
      </c>
      <c r="AK2456" s="1" t="s">
        <v>4015</v>
      </c>
      <c r="AL2456" s="1">
        <v>10.0</v>
      </c>
      <c r="AM2456" s="1">
        <v>2011.0</v>
      </c>
      <c r="AN2456" s="1">
        <v>2015.0</v>
      </c>
      <c r="AO2456" s="1" t="s">
        <v>4003</v>
      </c>
    </row>
    <row r="2457">
      <c r="A2457" s="5">
        <v>1.0</v>
      </c>
      <c r="B2457" s="1">
        <f t="shared" si="1"/>
        <v>2457</v>
      </c>
      <c r="C2457" s="1" t="s">
        <v>4013</v>
      </c>
      <c r="D2457" s="1" t="s">
        <v>4013</v>
      </c>
      <c r="E2457" s="1" t="s">
        <v>63</v>
      </c>
      <c r="G2457" s="1">
        <v>1.9608108E7</v>
      </c>
      <c r="H2457" s="2">
        <v>41913.0</v>
      </c>
      <c r="I2457" s="1" t="s">
        <v>4014</v>
      </c>
      <c r="K2457" s="1" t="s">
        <v>4014</v>
      </c>
      <c r="N2457" s="1" t="s">
        <v>40</v>
      </c>
      <c r="O2457" s="1">
        <v>7500.0</v>
      </c>
      <c r="P2457" s="1" t="s">
        <v>40</v>
      </c>
      <c r="Q2457" s="1" t="str">
        <f>IF(ISERROR(VLOOKUP(P2457,'unique fed agency names'!A:C,3,FALSE)),P2457,VLOOKUP(P2457,'unique fed agency names'!A:C,3,FALSE))
</f>
        <v>U.S. Department of Health and Human Services (DHHS)</v>
      </c>
      <c r="R2457" s="1">
        <v>1962224.0</v>
      </c>
      <c r="S2457" s="1" t="s">
        <v>52</v>
      </c>
      <c r="T2457" s="1" t="str">
        <f>IF(ISERROR(VLOOKUP(S2457,'unique org names'!A:C,3,FALSE)),S2457,VLOOKUP(S2457,'unique org names'!A:C,3,FALSE))
</f>
        <v>WAYNE STATE UNIVERSITY</v>
      </c>
      <c r="U2457" s="1" t="s">
        <v>2979</v>
      </c>
      <c r="V2457" s="1" t="s">
        <v>1885</v>
      </c>
      <c r="W2457" s="1" t="s">
        <v>44</v>
      </c>
      <c r="X2457" s="1" t="s">
        <v>45</v>
      </c>
      <c r="Y2457" s="1">
        <v>4.82021347E8</v>
      </c>
      <c r="AA2457" s="1" t="s">
        <v>46</v>
      </c>
      <c r="AB2457" s="1" t="s">
        <v>45</v>
      </c>
      <c r="AC2457" s="1">
        <v>4.82023692E8</v>
      </c>
      <c r="AD2457" s="1">
        <v>1962224.0</v>
      </c>
      <c r="AE2457" s="1" t="s">
        <v>52</v>
      </c>
      <c r="AF2457" s="1">
        <v>15000.0</v>
      </c>
      <c r="AG2457" s="2">
        <v>41913.0</v>
      </c>
      <c r="AH2457" s="1">
        <v>7500.0</v>
      </c>
      <c r="AI2457" s="1" t="s">
        <v>40</v>
      </c>
      <c r="AJ2457" s="1">
        <v>2.0151666E7</v>
      </c>
      <c r="AK2457" s="1" t="s">
        <v>4015</v>
      </c>
      <c r="AL2457" s="1">
        <v>10.0</v>
      </c>
      <c r="AM2457" s="1">
        <v>2011.0</v>
      </c>
      <c r="AN2457" s="1">
        <v>2015.0</v>
      </c>
      <c r="AO2457" s="1" t="s">
        <v>4003</v>
      </c>
    </row>
    <row r="2458">
      <c r="A2458" s="5">
        <v>1.0</v>
      </c>
      <c r="B2458" s="1">
        <f t="shared" si="1"/>
        <v>2458</v>
      </c>
      <c r="C2458" s="1" t="s">
        <v>4013</v>
      </c>
      <c r="D2458" s="1" t="s">
        <v>4013</v>
      </c>
      <c r="E2458" s="1" t="s">
        <v>63</v>
      </c>
      <c r="G2458" s="1">
        <v>1.9608108E7</v>
      </c>
      <c r="H2458" s="2">
        <v>41913.0</v>
      </c>
      <c r="I2458" s="1" t="s">
        <v>4014</v>
      </c>
      <c r="K2458" s="1" t="s">
        <v>4014</v>
      </c>
      <c r="N2458" s="1" t="s">
        <v>40</v>
      </c>
      <c r="O2458" s="1">
        <v>7500.0</v>
      </c>
      <c r="P2458" s="1" t="s">
        <v>40</v>
      </c>
      <c r="Q2458" s="1" t="str">
        <f>IF(ISERROR(VLOOKUP(P2458,'unique fed agency names'!A:C,3,FALSE)),P2458,VLOOKUP(P2458,'unique fed agency names'!A:C,3,FALSE))
</f>
        <v>U.S. Department of Health and Human Services (DHHS)</v>
      </c>
      <c r="R2458" s="1">
        <v>1.43407687E8</v>
      </c>
      <c r="S2458" s="1" t="s">
        <v>4016</v>
      </c>
      <c r="T2458" s="1" t="str">
        <f>IF(ISERROR(VLOOKUP(S2458,'unique org names'!A:C,3,FALSE)),S2458,VLOOKUP(S2458,'unique org names'!A:C,3,FALSE))
</f>
        <v>GOSPEL AGAINST AIDS INC</v>
      </c>
      <c r="U2458" s="1" t="s">
        <v>1051</v>
      </c>
      <c r="V2458" s="1" t="s">
        <v>4018</v>
      </c>
      <c r="W2458" s="1" t="s">
        <v>44</v>
      </c>
      <c r="X2458" s="1" t="s">
        <v>45</v>
      </c>
      <c r="Y2458" s="1">
        <v>4.82023042E8</v>
      </c>
      <c r="AA2458" s="1" t="s">
        <v>46</v>
      </c>
      <c r="AB2458" s="1" t="s">
        <v>45</v>
      </c>
      <c r="AC2458" s="1">
        <v>4.820741E8</v>
      </c>
      <c r="AF2458" s="1">
        <v>18912.0</v>
      </c>
      <c r="AG2458" s="2">
        <v>41913.0</v>
      </c>
      <c r="AH2458" s="1">
        <v>7500.0</v>
      </c>
      <c r="AI2458" s="1" t="s">
        <v>40</v>
      </c>
      <c r="AJ2458" s="1">
        <v>2.0150668E7</v>
      </c>
      <c r="AK2458" s="1" t="s">
        <v>4015</v>
      </c>
      <c r="AL2458" s="1">
        <v>10.0</v>
      </c>
      <c r="AM2458" s="1">
        <v>2011.0</v>
      </c>
      <c r="AN2458" s="1">
        <v>2015.0</v>
      </c>
      <c r="AO2458" s="1" t="s">
        <v>4003</v>
      </c>
    </row>
    <row r="2459">
      <c r="A2459" s="5">
        <v>1.0</v>
      </c>
      <c r="B2459" s="1">
        <f t="shared" si="1"/>
        <v>2459</v>
      </c>
      <c r="C2459" s="1" t="s">
        <v>4013</v>
      </c>
      <c r="D2459" s="1" t="s">
        <v>4013</v>
      </c>
      <c r="E2459" s="1" t="s">
        <v>63</v>
      </c>
      <c r="G2459" s="1">
        <v>1.9608108E7</v>
      </c>
      <c r="H2459" s="2">
        <v>41548.0</v>
      </c>
      <c r="I2459" s="1" t="s">
        <v>4014</v>
      </c>
      <c r="K2459" s="1" t="s">
        <v>4014</v>
      </c>
      <c r="N2459" s="1" t="s">
        <v>40</v>
      </c>
      <c r="O2459" s="1">
        <v>7500.0</v>
      </c>
      <c r="P2459" s="1" t="s">
        <v>40</v>
      </c>
      <c r="Q2459" s="1" t="str">
        <f>IF(ISERROR(VLOOKUP(P2459,'unique fed agency names'!A:C,3,FALSE)),P2459,VLOOKUP(P2459,'unique fed agency names'!A:C,3,FALSE))
</f>
        <v>U.S. Department of Health and Human Services (DHHS)</v>
      </c>
      <c r="R2459" s="1">
        <v>1.0107139E7</v>
      </c>
      <c r="S2459" s="1" t="s">
        <v>4021</v>
      </c>
      <c r="T2459" s="1" t="str">
        <f>IF(ISERROR(VLOOKUP(S2459,'unique org names'!A:C,3,FALSE)),S2459,VLOOKUP(S2459,'unique org names'!A:C,3,FALSE))
</f>
        <v>Sacred Heart Rehabilitation Center, Inc</v>
      </c>
      <c r="U2459" s="1" t="s">
        <v>4026</v>
      </c>
      <c r="V2459" s="1" t="s">
        <v>4023</v>
      </c>
      <c r="W2459" s="1" t="s">
        <v>44</v>
      </c>
      <c r="X2459" s="1" t="s">
        <v>45</v>
      </c>
      <c r="Y2459" s="1">
        <v>4.821364E8</v>
      </c>
      <c r="AA2459" s="1" t="s">
        <v>46</v>
      </c>
      <c r="AB2459" s="1" t="s">
        <v>45</v>
      </c>
      <c r="AC2459" s="1">
        <v>4.821364E8</v>
      </c>
      <c r="AD2459" s="1">
        <v>2.088802E7</v>
      </c>
      <c r="AE2459" s="1" t="s">
        <v>4056</v>
      </c>
      <c r="AF2459" s="1">
        <v>25000.0</v>
      </c>
      <c r="AG2459" s="2">
        <v>41548.0</v>
      </c>
      <c r="AH2459" s="1">
        <v>7500.0</v>
      </c>
      <c r="AI2459" s="1" t="s">
        <v>40</v>
      </c>
      <c r="AJ2459" s="1">
        <v>2.0141589E7</v>
      </c>
      <c r="AK2459" s="1" t="s">
        <v>4015</v>
      </c>
      <c r="AL2459" s="1">
        <v>10.0</v>
      </c>
      <c r="AM2459" s="1">
        <v>2011.0</v>
      </c>
      <c r="AN2459" s="1">
        <v>2014.0</v>
      </c>
      <c r="AO2459" s="1" t="s">
        <v>4003</v>
      </c>
    </row>
    <row r="2460">
      <c r="A2460" s="5">
        <v>1.0</v>
      </c>
      <c r="B2460" s="1">
        <f t="shared" si="1"/>
        <v>2460</v>
      </c>
      <c r="C2460" s="1" t="s">
        <v>4013</v>
      </c>
      <c r="D2460" s="1" t="s">
        <v>4013</v>
      </c>
      <c r="E2460" s="1" t="s">
        <v>63</v>
      </c>
      <c r="G2460" s="1">
        <v>1.9608108E7</v>
      </c>
      <c r="H2460" s="2">
        <v>41913.0</v>
      </c>
      <c r="I2460" s="1" t="s">
        <v>4014</v>
      </c>
      <c r="K2460" s="1" t="s">
        <v>4014</v>
      </c>
      <c r="N2460" s="1" t="s">
        <v>40</v>
      </c>
      <c r="O2460" s="1">
        <v>7500.0</v>
      </c>
      <c r="P2460" s="1" t="s">
        <v>40</v>
      </c>
      <c r="Q2460" s="1" t="str">
        <f>IF(ISERROR(VLOOKUP(P2460,'unique fed agency names'!A:C,3,FALSE)),P2460,VLOOKUP(P2460,'unique fed agency names'!A:C,3,FALSE))
</f>
        <v>U.S. Department of Health and Human Services (DHHS)</v>
      </c>
      <c r="R2460" s="1">
        <v>8.48764171E8</v>
      </c>
      <c r="S2460" s="1" t="s">
        <v>1050</v>
      </c>
      <c r="T2460" s="1" t="str">
        <f>IF(ISERROR(VLOOKUP(S2460,'unique org names'!A:C,3,FALSE)),S2460,VLOOKUP(S2460,'unique org names'!A:C,3,FALSE))
</f>
        <v>AIDS Partnership Michigan, Inc</v>
      </c>
      <c r="U2460" s="1" t="s">
        <v>1051</v>
      </c>
      <c r="V2460" s="1" t="s">
        <v>4020</v>
      </c>
      <c r="W2460" s="1" t="s">
        <v>44</v>
      </c>
      <c r="X2460" s="1" t="s">
        <v>45</v>
      </c>
      <c r="Y2460" s="1">
        <v>4.82023042E8</v>
      </c>
      <c r="AA2460" s="1" t="s">
        <v>46</v>
      </c>
      <c r="AB2460" s="1" t="s">
        <v>45</v>
      </c>
      <c r="AC2460" s="1">
        <v>4.820741E8</v>
      </c>
      <c r="AD2460" s="1">
        <v>7.3134603E7</v>
      </c>
      <c r="AE2460" s="1" t="s">
        <v>41</v>
      </c>
      <c r="AF2460" s="1">
        <v>31250.0</v>
      </c>
      <c r="AG2460" s="2">
        <v>41913.0</v>
      </c>
      <c r="AH2460" s="1">
        <v>7500.0</v>
      </c>
      <c r="AI2460" s="1" t="s">
        <v>40</v>
      </c>
      <c r="AJ2460" s="1">
        <v>2.0150655E7</v>
      </c>
      <c r="AK2460" s="1" t="s">
        <v>4015</v>
      </c>
      <c r="AL2460" s="1">
        <v>10.0</v>
      </c>
      <c r="AM2460" s="1">
        <v>2011.0</v>
      </c>
      <c r="AN2460" s="1">
        <v>2015.0</v>
      </c>
      <c r="AO2460" s="1" t="s">
        <v>4003</v>
      </c>
    </row>
    <row r="2461">
      <c r="A2461" s="5">
        <v>1.0</v>
      </c>
      <c r="B2461" s="1">
        <f t="shared" si="1"/>
        <v>2461</v>
      </c>
      <c r="C2461" s="1" t="s">
        <v>4013</v>
      </c>
      <c r="D2461" s="1" t="s">
        <v>4013</v>
      </c>
      <c r="E2461" s="1" t="s">
        <v>63</v>
      </c>
      <c r="G2461" s="1">
        <v>1.9608108E7</v>
      </c>
      <c r="H2461" s="2">
        <v>41548.0</v>
      </c>
      <c r="I2461" s="1" t="s">
        <v>4014</v>
      </c>
      <c r="K2461" s="1" t="s">
        <v>4014</v>
      </c>
      <c r="N2461" s="1" t="s">
        <v>40</v>
      </c>
      <c r="O2461" s="1">
        <v>7500.0</v>
      </c>
      <c r="P2461" s="1" t="s">
        <v>40</v>
      </c>
      <c r="Q2461" s="1" t="str">
        <f>IF(ISERROR(VLOOKUP(P2461,'unique fed agency names'!A:C,3,FALSE)),P2461,VLOOKUP(P2461,'unique fed agency names'!A:C,3,FALSE))
</f>
        <v>U.S. Department of Health and Human Services (DHHS)</v>
      </c>
      <c r="R2461" s="1">
        <v>9.4547247E7</v>
      </c>
      <c r="S2461" s="1" t="s">
        <v>2201</v>
      </c>
      <c r="T2461" s="1" t="str">
        <f>IF(ISERROR(VLOOKUP(S2461,'unique org names'!A:C,3,FALSE)),S2461,VLOOKUP(S2461,'unique org names'!A:C,3,FALSE))
</f>
        <v>Detroit Rescue Mission Ministries</v>
      </c>
      <c r="U2461" s="1" t="s">
        <v>2202</v>
      </c>
      <c r="V2461" s="1" t="s">
        <v>2203</v>
      </c>
      <c r="W2461" s="1" t="s">
        <v>44</v>
      </c>
      <c r="X2461" s="1" t="s">
        <v>45</v>
      </c>
      <c r="Y2461" s="1">
        <v>4.8201241E8</v>
      </c>
      <c r="AA2461" s="1" t="s">
        <v>46</v>
      </c>
      <c r="AB2461" s="1" t="s">
        <v>45</v>
      </c>
      <c r="AC2461" s="1">
        <v>4.8201241E8</v>
      </c>
      <c r="AD2461" s="1">
        <v>9.4547247E7</v>
      </c>
      <c r="AE2461" s="1" t="s">
        <v>2201</v>
      </c>
      <c r="AF2461" s="1">
        <v>25000.0</v>
      </c>
      <c r="AG2461" s="2">
        <v>41548.0</v>
      </c>
      <c r="AH2461" s="1">
        <v>7500.0</v>
      </c>
      <c r="AI2461" s="1" t="s">
        <v>40</v>
      </c>
      <c r="AJ2461" s="1">
        <v>2.0141591E7</v>
      </c>
      <c r="AK2461" s="1" t="s">
        <v>4015</v>
      </c>
      <c r="AL2461" s="1">
        <v>10.0</v>
      </c>
      <c r="AM2461" s="1">
        <v>2011.0</v>
      </c>
      <c r="AN2461" s="1">
        <v>2014.0</v>
      </c>
      <c r="AO2461" s="1" t="s">
        <v>4003</v>
      </c>
    </row>
    <row r="2462">
      <c r="A2462" s="5">
        <v>1.0</v>
      </c>
      <c r="B2462" s="1">
        <f t="shared" si="1"/>
        <v>2462</v>
      </c>
      <c r="C2462" s="1" t="s">
        <v>4013</v>
      </c>
      <c r="D2462" s="1" t="s">
        <v>4013</v>
      </c>
      <c r="E2462" s="1" t="s">
        <v>63</v>
      </c>
      <c r="G2462" s="1">
        <v>1.9608108E7</v>
      </c>
      <c r="H2462" s="2">
        <v>41548.0</v>
      </c>
      <c r="I2462" s="1" t="s">
        <v>4014</v>
      </c>
      <c r="K2462" s="1" t="s">
        <v>4014</v>
      </c>
      <c r="N2462" s="1" t="s">
        <v>40</v>
      </c>
      <c r="O2462" s="1">
        <v>7500.0</v>
      </c>
      <c r="P2462" s="1" t="s">
        <v>40</v>
      </c>
      <c r="Q2462" s="1" t="str">
        <f>IF(ISERROR(VLOOKUP(P2462,'unique fed agency names'!A:C,3,FALSE)),P2462,VLOOKUP(P2462,'unique fed agency names'!A:C,3,FALSE))
</f>
        <v>U.S. Department of Health and Human Services (DHHS)</v>
      </c>
      <c r="R2462" s="1">
        <v>1.0107139E7</v>
      </c>
      <c r="S2462" s="1" t="s">
        <v>4021</v>
      </c>
      <c r="T2462" s="1" t="str">
        <f>IF(ISERROR(VLOOKUP(S2462,'unique org names'!A:C,3,FALSE)),S2462,VLOOKUP(S2462,'unique org names'!A:C,3,FALSE))
</f>
        <v>Sacred Heart Rehabilitation Center, Inc</v>
      </c>
      <c r="U2462" s="1" t="s">
        <v>4067</v>
      </c>
      <c r="V2462" s="1" t="s">
        <v>4023</v>
      </c>
      <c r="W2462" s="1" t="s">
        <v>44</v>
      </c>
      <c r="X2462" s="1" t="s">
        <v>45</v>
      </c>
      <c r="Y2462" s="1">
        <v>4.821364E8</v>
      </c>
      <c r="AA2462" s="1" t="s">
        <v>46</v>
      </c>
      <c r="AB2462" s="1" t="s">
        <v>45</v>
      </c>
      <c r="AC2462" s="1">
        <v>4.821364E8</v>
      </c>
      <c r="AD2462" s="1">
        <v>7.8404738E7</v>
      </c>
      <c r="AE2462" s="1" t="s">
        <v>4068</v>
      </c>
      <c r="AF2462" s="1">
        <v>25000.0</v>
      </c>
      <c r="AG2462" s="2">
        <v>41548.0</v>
      </c>
      <c r="AH2462" s="1">
        <v>7500.0</v>
      </c>
      <c r="AI2462" s="1" t="s">
        <v>40</v>
      </c>
      <c r="AJ2462" s="1">
        <v>2.0141587E7</v>
      </c>
      <c r="AK2462" s="1" t="s">
        <v>4015</v>
      </c>
      <c r="AL2462" s="1">
        <v>10.0</v>
      </c>
      <c r="AM2462" s="1">
        <v>2011.0</v>
      </c>
      <c r="AN2462" s="1">
        <v>2014.0</v>
      </c>
      <c r="AO2462" s="1" t="s">
        <v>4003</v>
      </c>
    </row>
    <row r="2463">
      <c r="A2463" s="5">
        <v>1.0</v>
      </c>
      <c r="B2463" s="1">
        <f t="shared" si="1"/>
        <v>2463</v>
      </c>
      <c r="C2463" s="1" t="s">
        <v>4013</v>
      </c>
      <c r="D2463" s="1" t="s">
        <v>4013</v>
      </c>
      <c r="E2463" s="1" t="s">
        <v>63</v>
      </c>
      <c r="G2463" s="1">
        <v>1.9608108E7</v>
      </c>
      <c r="H2463" s="2">
        <v>41548.0</v>
      </c>
      <c r="I2463" s="1" t="s">
        <v>4014</v>
      </c>
      <c r="K2463" s="1" t="s">
        <v>4014</v>
      </c>
      <c r="N2463" s="1" t="s">
        <v>40</v>
      </c>
      <c r="O2463" s="1">
        <v>7500.0</v>
      </c>
      <c r="P2463" s="1" t="s">
        <v>40</v>
      </c>
      <c r="Q2463" s="1" t="str">
        <f>IF(ISERROR(VLOOKUP(P2463,'unique fed agency names'!A:C,3,FALSE)),P2463,VLOOKUP(P2463,'unique fed agency names'!A:C,3,FALSE))
</f>
        <v>U.S. Department of Health and Human Services (DHHS)</v>
      </c>
      <c r="R2463" s="1">
        <v>1962224.0</v>
      </c>
      <c r="S2463" s="1" t="s">
        <v>52</v>
      </c>
      <c r="T2463" s="1" t="str">
        <f>IF(ISERROR(VLOOKUP(S2463,'unique org names'!A:C,3,FALSE)),S2463,VLOOKUP(S2463,'unique org names'!A:C,3,FALSE))
</f>
        <v>WAYNE STATE UNIVERSITY</v>
      </c>
      <c r="U2463" s="1" t="s">
        <v>4083</v>
      </c>
      <c r="V2463" s="1" t="s">
        <v>1885</v>
      </c>
      <c r="W2463" s="1" t="s">
        <v>44</v>
      </c>
      <c r="X2463" s="1" t="s">
        <v>45</v>
      </c>
      <c r="Y2463" s="1">
        <v>4.82021347E8</v>
      </c>
      <c r="AA2463" s="1" t="s">
        <v>46</v>
      </c>
      <c r="AB2463" s="1" t="s">
        <v>45</v>
      </c>
      <c r="AC2463" s="1">
        <v>4.82023692E8</v>
      </c>
      <c r="AD2463" s="1">
        <v>1962224.0</v>
      </c>
      <c r="AE2463" s="1" t="s">
        <v>52</v>
      </c>
      <c r="AF2463" s="1">
        <v>63112.0</v>
      </c>
      <c r="AG2463" s="2">
        <v>41548.0</v>
      </c>
      <c r="AH2463" s="1">
        <v>7500.0</v>
      </c>
      <c r="AI2463" s="1" t="s">
        <v>40</v>
      </c>
      <c r="AJ2463" s="1">
        <v>2.0141504E7</v>
      </c>
      <c r="AK2463" s="1" t="s">
        <v>4015</v>
      </c>
      <c r="AL2463" s="1">
        <v>10.0</v>
      </c>
      <c r="AM2463" s="1">
        <v>2011.0</v>
      </c>
      <c r="AN2463" s="1">
        <v>2014.0</v>
      </c>
      <c r="AO2463" s="1" t="s">
        <v>4003</v>
      </c>
    </row>
    <row r="2464">
      <c r="A2464" s="5">
        <v>1.0</v>
      </c>
      <c r="B2464" s="1">
        <f t="shared" si="1"/>
        <v>2464</v>
      </c>
      <c r="C2464" s="1" t="s">
        <v>4013</v>
      </c>
      <c r="D2464" s="1" t="s">
        <v>4013</v>
      </c>
      <c r="E2464" s="1" t="s">
        <v>63</v>
      </c>
      <c r="G2464" s="1">
        <v>1.9608108E7</v>
      </c>
      <c r="H2464" s="2">
        <v>41548.0</v>
      </c>
      <c r="I2464" s="1" t="s">
        <v>4014</v>
      </c>
      <c r="K2464" s="1" t="s">
        <v>4014</v>
      </c>
      <c r="N2464" s="1" t="s">
        <v>40</v>
      </c>
      <c r="O2464" s="1">
        <v>7500.0</v>
      </c>
      <c r="P2464" s="1" t="s">
        <v>40</v>
      </c>
      <c r="Q2464" s="1" t="str">
        <f>IF(ISERROR(VLOOKUP(P2464,'unique fed agency names'!A:C,3,FALSE)),P2464,VLOOKUP(P2464,'unique fed agency names'!A:C,3,FALSE))
</f>
        <v>U.S. Department of Health and Human Services (DHHS)</v>
      </c>
      <c r="R2464" s="1">
        <v>3.8775243E7</v>
      </c>
      <c r="S2464" s="1" t="s">
        <v>209</v>
      </c>
      <c r="T2464" s="1" t="str">
        <f>IF(ISERROR(VLOOKUP(S2464,'unique org names'!A:C,3,FALSE)),S2464,VLOOKUP(S2464,'unique org names'!A:C,3,FALSE))
</f>
        <v>SOUTHEASTERN MICHIGAN HEALTH ASSOCIATION</v>
      </c>
      <c r="U2464" s="1" t="s">
        <v>210</v>
      </c>
      <c r="V2464" s="1" t="s">
        <v>211</v>
      </c>
      <c r="W2464" s="1" t="s">
        <v>44</v>
      </c>
      <c r="X2464" s="1" t="s">
        <v>45</v>
      </c>
      <c r="Y2464" s="1">
        <v>4.82023068E8</v>
      </c>
      <c r="AA2464" s="1" t="s">
        <v>46</v>
      </c>
      <c r="AB2464" s="1" t="s">
        <v>45</v>
      </c>
      <c r="AC2464" s="1">
        <v>4.82023068E8</v>
      </c>
      <c r="AD2464" s="1">
        <v>3.8775243E7</v>
      </c>
      <c r="AE2464" s="1" t="s">
        <v>209</v>
      </c>
      <c r="AF2464" s="1">
        <v>311575.52</v>
      </c>
      <c r="AG2464" s="2">
        <v>41548.0</v>
      </c>
      <c r="AH2464" s="1">
        <v>7500.0</v>
      </c>
      <c r="AI2464" s="1" t="s">
        <v>40</v>
      </c>
      <c r="AJ2464" s="1">
        <v>2.0140733E7</v>
      </c>
      <c r="AK2464" s="1" t="s">
        <v>4015</v>
      </c>
      <c r="AL2464" s="1">
        <v>10.0</v>
      </c>
      <c r="AM2464" s="1">
        <v>2011.0</v>
      </c>
      <c r="AN2464" s="1">
        <v>2014.0</v>
      </c>
      <c r="AO2464" s="1" t="s">
        <v>4003</v>
      </c>
    </row>
    <row r="2465">
      <c r="A2465" s="5">
        <v>1.0</v>
      </c>
      <c r="B2465" s="1">
        <f t="shared" si="1"/>
        <v>2465</v>
      </c>
      <c r="C2465" s="1" t="s">
        <v>4013</v>
      </c>
      <c r="D2465" s="1" t="s">
        <v>4013</v>
      </c>
      <c r="E2465" s="1" t="s">
        <v>63</v>
      </c>
      <c r="G2465" s="1">
        <v>1.9608108E7</v>
      </c>
      <c r="H2465" s="2">
        <v>41548.0</v>
      </c>
      <c r="I2465" s="1" t="s">
        <v>4014</v>
      </c>
      <c r="K2465" s="1" t="s">
        <v>4014</v>
      </c>
      <c r="N2465" s="1" t="s">
        <v>40</v>
      </c>
      <c r="O2465" s="1">
        <v>7500.0</v>
      </c>
      <c r="P2465" s="1" t="s">
        <v>40</v>
      </c>
      <c r="Q2465" s="1" t="str">
        <f>IF(ISERROR(VLOOKUP(P2465,'unique fed agency names'!A:C,3,FALSE)),P2465,VLOOKUP(P2465,'unique fed agency names'!A:C,3,FALSE))
</f>
        <v>U.S. Department of Health and Human Services (DHHS)</v>
      </c>
      <c r="R2465" s="1">
        <v>7.3134603E7</v>
      </c>
      <c r="S2465" s="1" t="s">
        <v>41</v>
      </c>
      <c r="T2465" s="1" t="str">
        <f>IF(ISERROR(VLOOKUP(S2465,'unique org names'!A:C,3,FALSE)),S2465,VLOOKUP(S2465,'unique org names'!A:C,3,FALSE))
</f>
        <v>Henry Ford Health System</v>
      </c>
      <c r="U2465" s="1" t="s">
        <v>252</v>
      </c>
      <c r="V2465" s="1" t="s">
        <v>253</v>
      </c>
      <c r="W2465" s="1" t="s">
        <v>44</v>
      </c>
      <c r="X2465" s="1" t="s">
        <v>45</v>
      </c>
      <c r="Y2465" s="1">
        <v>4.8202345E8</v>
      </c>
      <c r="AA2465" s="1" t="s">
        <v>46</v>
      </c>
      <c r="AB2465" s="1" t="s">
        <v>45</v>
      </c>
      <c r="AC2465" s="1">
        <v>4.8202345E8</v>
      </c>
      <c r="AD2465" s="1">
        <v>7.3134603E7</v>
      </c>
      <c r="AE2465" s="1" t="s">
        <v>41</v>
      </c>
      <c r="AF2465" s="1">
        <v>136226.0</v>
      </c>
      <c r="AG2465" s="2">
        <v>41548.0</v>
      </c>
      <c r="AH2465" s="1">
        <v>7500.0</v>
      </c>
      <c r="AI2465" s="1" t="s">
        <v>40</v>
      </c>
      <c r="AJ2465" s="1">
        <v>2.014004E7</v>
      </c>
      <c r="AK2465" s="1" t="s">
        <v>4015</v>
      </c>
      <c r="AL2465" s="1">
        <v>10.0</v>
      </c>
      <c r="AM2465" s="1">
        <v>2011.0</v>
      </c>
      <c r="AN2465" s="1">
        <v>2014.0</v>
      </c>
      <c r="AO2465" s="1" t="s">
        <v>4003</v>
      </c>
    </row>
    <row r="2466">
      <c r="A2466" s="5">
        <v>1.0</v>
      </c>
      <c r="B2466" s="1">
        <f t="shared" si="1"/>
        <v>2466</v>
      </c>
      <c r="C2466" s="1" t="s">
        <v>4013</v>
      </c>
      <c r="D2466" s="1" t="s">
        <v>4013</v>
      </c>
      <c r="E2466" s="1" t="s">
        <v>63</v>
      </c>
      <c r="G2466" s="1">
        <v>1.9608108E7</v>
      </c>
      <c r="H2466" s="2">
        <v>41548.0</v>
      </c>
      <c r="I2466" s="1" t="s">
        <v>4014</v>
      </c>
      <c r="K2466" s="1" t="s">
        <v>4014</v>
      </c>
      <c r="N2466" s="1" t="s">
        <v>40</v>
      </c>
      <c r="O2466" s="1">
        <v>7500.0</v>
      </c>
      <c r="P2466" s="1" t="s">
        <v>40</v>
      </c>
      <c r="Q2466" s="1" t="str">
        <f>IF(ISERROR(VLOOKUP(P2466,'unique fed agency names'!A:C,3,FALSE)),P2466,VLOOKUP(P2466,'unique fed agency names'!A:C,3,FALSE))
</f>
        <v>U.S. Department of Health and Human Services (DHHS)</v>
      </c>
      <c r="R2466" s="1">
        <v>1.98999146E8</v>
      </c>
      <c r="S2466" s="1" t="s">
        <v>999</v>
      </c>
      <c r="T2466" s="1" t="str">
        <f>IF(ISERROR(VLOOKUP(S2466,'unique org names'!A:C,3,FALSE)),S2466,VLOOKUP(S2466,'unique org names'!A:C,3,FALSE))
</f>
        <v>COMMUNITY HEALTH AWARENESS GROUP</v>
      </c>
      <c r="U2466" s="1" t="s">
        <v>210</v>
      </c>
      <c r="V2466" s="1" t="s">
        <v>1000</v>
      </c>
      <c r="W2466" s="1" t="s">
        <v>44</v>
      </c>
      <c r="X2466" s="1" t="s">
        <v>45</v>
      </c>
      <c r="Y2466" s="1">
        <v>4.82263007E8</v>
      </c>
      <c r="AA2466" s="1" t="s">
        <v>46</v>
      </c>
      <c r="AB2466" s="1" t="s">
        <v>45</v>
      </c>
      <c r="AC2466" s="1">
        <v>4.82263007E8</v>
      </c>
      <c r="AD2466" s="1">
        <v>3.8775243E7</v>
      </c>
      <c r="AE2466" s="1" t="s">
        <v>209</v>
      </c>
      <c r="AF2466" s="1">
        <v>89578.0</v>
      </c>
      <c r="AG2466" s="2">
        <v>41548.0</v>
      </c>
      <c r="AH2466" s="1">
        <v>7500.0</v>
      </c>
      <c r="AI2466" s="1" t="s">
        <v>40</v>
      </c>
      <c r="AJ2466" s="1">
        <v>2.0141551E7</v>
      </c>
      <c r="AK2466" s="1" t="s">
        <v>4015</v>
      </c>
      <c r="AL2466" s="1">
        <v>10.0</v>
      </c>
      <c r="AM2466" s="1">
        <v>2011.0</v>
      </c>
      <c r="AN2466" s="1">
        <v>2014.0</v>
      </c>
      <c r="AO2466" s="1" t="s">
        <v>4003</v>
      </c>
    </row>
    <row r="2467">
      <c r="A2467" s="5">
        <v>1.0</v>
      </c>
      <c r="B2467" s="1">
        <f t="shared" si="1"/>
        <v>2467</v>
      </c>
      <c r="C2467" s="1" t="s">
        <v>4013</v>
      </c>
      <c r="D2467" s="1" t="s">
        <v>4013</v>
      </c>
      <c r="E2467" s="1" t="s">
        <v>63</v>
      </c>
      <c r="G2467" s="1">
        <v>1.9608108E7</v>
      </c>
      <c r="H2467" s="2">
        <v>41548.0</v>
      </c>
      <c r="I2467" s="1" t="s">
        <v>4014</v>
      </c>
      <c r="K2467" s="1" t="s">
        <v>4014</v>
      </c>
      <c r="N2467" s="1" t="s">
        <v>40</v>
      </c>
      <c r="O2467" s="1">
        <v>7500.0</v>
      </c>
      <c r="P2467" s="1" t="s">
        <v>40</v>
      </c>
      <c r="Q2467" s="1" t="str">
        <f>IF(ISERROR(VLOOKUP(P2467,'unique fed agency names'!A:C,3,FALSE)),P2467,VLOOKUP(P2467,'unique fed agency names'!A:C,3,FALSE))
</f>
        <v>U.S. Department of Health and Human Services (DHHS)</v>
      </c>
      <c r="R2467" s="1">
        <v>8.48764171E8</v>
      </c>
      <c r="S2467" s="1" t="s">
        <v>1050</v>
      </c>
      <c r="T2467" s="1" t="str">
        <f>IF(ISERROR(VLOOKUP(S2467,'unique org names'!A:C,3,FALSE)),S2467,VLOOKUP(S2467,'unique org names'!A:C,3,FALSE))
</f>
        <v>AIDS Partnership Michigan, Inc</v>
      </c>
      <c r="U2467" s="1" t="s">
        <v>1051</v>
      </c>
      <c r="V2467" s="1" t="s">
        <v>4020</v>
      </c>
      <c r="W2467" s="1" t="s">
        <v>44</v>
      </c>
      <c r="X2467" s="1" t="s">
        <v>45</v>
      </c>
      <c r="Y2467" s="1">
        <v>4.82023042E8</v>
      </c>
      <c r="AA2467" s="1" t="s">
        <v>46</v>
      </c>
      <c r="AB2467" s="1" t="s">
        <v>45</v>
      </c>
      <c r="AC2467" s="1">
        <v>4.820741E8</v>
      </c>
      <c r="AD2467" s="1">
        <v>2.0885463E7</v>
      </c>
      <c r="AE2467" s="1" t="s">
        <v>4045</v>
      </c>
      <c r="AF2467" s="1">
        <v>83180.0</v>
      </c>
      <c r="AG2467" s="2">
        <v>41548.0</v>
      </c>
      <c r="AH2467" s="1">
        <v>7500.0</v>
      </c>
      <c r="AI2467" s="1" t="s">
        <v>40</v>
      </c>
      <c r="AJ2467" s="1">
        <v>2.0141545E7</v>
      </c>
      <c r="AK2467" s="1" t="s">
        <v>4015</v>
      </c>
      <c r="AL2467" s="1">
        <v>10.0</v>
      </c>
      <c r="AM2467" s="1">
        <v>2011.0</v>
      </c>
      <c r="AN2467" s="1">
        <v>2014.0</v>
      </c>
      <c r="AO2467" s="1" t="s">
        <v>4003</v>
      </c>
    </row>
    <row r="2468">
      <c r="A2468" s="5">
        <v>1.0</v>
      </c>
      <c r="B2468" s="1">
        <f t="shared" si="1"/>
        <v>2468</v>
      </c>
      <c r="C2468" s="1" t="s">
        <v>4013</v>
      </c>
      <c r="D2468" s="1" t="s">
        <v>4013</v>
      </c>
      <c r="E2468" s="1" t="s">
        <v>63</v>
      </c>
      <c r="G2468" s="1">
        <v>1.9608108E7</v>
      </c>
      <c r="H2468" s="2">
        <v>41548.0</v>
      </c>
      <c r="I2468" s="1" t="s">
        <v>4014</v>
      </c>
      <c r="K2468" s="1" t="s">
        <v>4014</v>
      </c>
      <c r="N2468" s="1" t="s">
        <v>40</v>
      </c>
      <c r="O2468" s="1">
        <v>7500.0</v>
      </c>
      <c r="P2468" s="1" t="s">
        <v>40</v>
      </c>
      <c r="Q2468" s="1" t="str">
        <f>IF(ISERROR(VLOOKUP(P2468,'unique fed agency names'!A:C,3,FALSE)),P2468,VLOOKUP(P2468,'unique fed agency names'!A:C,3,FALSE))
</f>
        <v>U.S. Department of Health and Human Services (DHHS)</v>
      </c>
      <c r="R2468" s="1">
        <v>8.48764171E8</v>
      </c>
      <c r="S2468" s="1" t="s">
        <v>1050</v>
      </c>
      <c r="T2468" s="1" t="str">
        <f>IF(ISERROR(VLOOKUP(S2468,'unique org names'!A:C,3,FALSE)),S2468,VLOOKUP(S2468,'unique org names'!A:C,3,FALSE))
</f>
        <v>AIDS Partnership Michigan, Inc</v>
      </c>
      <c r="U2468" s="1" t="s">
        <v>1051</v>
      </c>
      <c r="V2468" s="1" t="s">
        <v>4020</v>
      </c>
      <c r="W2468" s="1" t="s">
        <v>44</v>
      </c>
      <c r="X2468" s="1" t="s">
        <v>45</v>
      </c>
      <c r="Y2468" s="1">
        <v>4.82023042E8</v>
      </c>
      <c r="AA2468" s="1" t="s">
        <v>46</v>
      </c>
      <c r="AB2468" s="1" t="s">
        <v>45</v>
      </c>
      <c r="AC2468" s="1">
        <v>4.820741E8</v>
      </c>
      <c r="AD2468" s="1">
        <v>1962224.0</v>
      </c>
      <c r="AE2468" s="1" t="s">
        <v>52</v>
      </c>
      <c r="AF2468" s="1">
        <v>104950.0</v>
      </c>
      <c r="AG2468" s="2">
        <v>41548.0</v>
      </c>
      <c r="AH2468" s="1">
        <v>7500.0</v>
      </c>
      <c r="AI2468" s="1" t="s">
        <v>40</v>
      </c>
      <c r="AJ2468" s="1">
        <v>2.0141546E7</v>
      </c>
      <c r="AK2468" s="1" t="s">
        <v>4015</v>
      </c>
      <c r="AL2468" s="1">
        <v>10.0</v>
      </c>
      <c r="AM2468" s="1">
        <v>2011.0</v>
      </c>
      <c r="AN2468" s="1">
        <v>2014.0</v>
      </c>
      <c r="AO2468" s="1" t="s">
        <v>4003</v>
      </c>
    </row>
    <row r="2469">
      <c r="A2469" s="5">
        <v>1.0</v>
      </c>
      <c r="B2469" s="1">
        <f t="shared" si="1"/>
        <v>2469</v>
      </c>
      <c r="C2469" s="1" t="s">
        <v>4013</v>
      </c>
      <c r="D2469" s="1" t="s">
        <v>4013</v>
      </c>
      <c r="E2469" s="1" t="s">
        <v>63</v>
      </c>
      <c r="G2469" s="1">
        <v>1.9608108E7</v>
      </c>
      <c r="H2469" s="2">
        <v>41548.0</v>
      </c>
      <c r="I2469" s="1" t="s">
        <v>4014</v>
      </c>
      <c r="K2469" s="1" t="s">
        <v>4014</v>
      </c>
      <c r="N2469" s="1" t="s">
        <v>40</v>
      </c>
      <c r="O2469" s="1">
        <v>7500.0</v>
      </c>
      <c r="P2469" s="1" t="s">
        <v>40</v>
      </c>
      <c r="Q2469" s="1" t="str">
        <f>IF(ISERROR(VLOOKUP(P2469,'unique fed agency names'!A:C,3,FALSE)),P2469,VLOOKUP(P2469,'unique fed agency names'!A:C,3,FALSE))
</f>
        <v>U.S. Department of Health and Human Services (DHHS)</v>
      </c>
      <c r="R2469" s="1">
        <v>1.0107139E7</v>
      </c>
      <c r="S2469" s="1" t="s">
        <v>4021</v>
      </c>
      <c r="T2469" s="1" t="str">
        <f>IF(ISERROR(VLOOKUP(S2469,'unique org names'!A:C,3,FALSE)),S2469,VLOOKUP(S2469,'unique org names'!A:C,3,FALSE))
</f>
        <v>Sacred Heart Rehabilitation Center, Inc</v>
      </c>
      <c r="U2469" s="1" t="s">
        <v>4058</v>
      </c>
      <c r="V2469" s="1" t="s">
        <v>4023</v>
      </c>
      <c r="W2469" s="1" t="s">
        <v>44</v>
      </c>
      <c r="X2469" s="1" t="s">
        <v>45</v>
      </c>
      <c r="Y2469" s="1">
        <v>4.821364E8</v>
      </c>
      <c r="AA2469" s="1" t="s">
        <v>46</v>
      </c>
      <c r="AB2469" s="1" t="s">
        <v>45</v>
      </c>
      <c r="AC2469" s="1">
        <v>4.821364E8</v>
      </c>
      <c r="AD2469" s="1">
        <v>2.0906988E7</v>
      </c>
      <c r="AE2469" s="1" t="s">
        <v>3760</v>
      </c>
      <c r="AF2469" s="1">
        <v>8333.0</v>
      </c>
      <c r="AG2469" s="2">
        <v>41548.0</v>
      </c>
      <c r="AH2469" s="1">
        <v>7500.0</v>
      </c>
      <c r="AI2469" s="1" t="s">
        <v>40</v>
      </c>
      <c r="AJ2469" s="1">
        <v>2.0141586E7</v>
      </c>
      <c r="AK2469" s="1" t="s">
        <v>4015</v>
      </c>
      <c r="AL2469" s="1">
        <v>10.0</v>
      </c>
      <c r="AM2469" s="1">
        <v>2011.0</v>
      </c>
      <c r="AN2469" s="1">
        <v>2014.0</v>
      </c>
      <c r="AO2469" s="1" t="s">
        <v>4003</v>
      </c>
    </row>
    <row r="2470">
      <c r="A2470" s="5">
        <v>1.0</v>
      </c>
      <c r="B2470" s="1">
        <f t="shared" si="1"/>
        <v>2470</v>
      </c>
      <c r="C2470" s="1" t="s">
        <v>4013</v>
      </c>
      <c r="D2470" s="1" t="s">
        <v>4013</v>
      </c>
      <c r="E2470" s="1" t="s">
        <v>63</v>
      </c>
      <c r="G2470" s="1">
        <v>1.9608108E7</v>
      </c>
      <c r="H2470" s="2">
        <v>41548.0</v>
      </c>
      <c r="I2470" s="1" t="s">
        <v>4014</v>
      </c>
      <c r="K2470" s="1" t="s">
        <v>4014</v>
      </c>
      <c r="N2470" s="1" t="s">
        <v>40</v>
      </c>
      <c r="O2470" s="1">
        <v>7500.0</v>
      </c>
      <c r="P2470" s="1" t="s">
        <v>40</v>
      </c>
      <c r="Q2470" s="1" t="str">
        <f>IF(ISERROR(VLOOKUP(P2470,'unique fed agency names'!A:C,3,FALSE)),P2470,VLOOKUP(P2470,'unique fed agency names'!A:C,3,FALSE))
</f>
        <v>U.S. Department of Health and Human Services (DHHS)</v>
      </c>
      <c r="R2470" s="1">
        <v>1962224.0</v>
      </c>
      <c r="S2470" s="1" t="s">
        <v>52</v>
      </c>
      <c r="T2470" s="1" t="str">
        <f>IF(ISERROR(VLOOKUP(S2470,'unique org names'!A:C,3,FALSE)),S2470,VLOOKUP(S2470,'unique org names'!A:C,3,FALSE))
</f>
        <v>WAYNE STATE UNIVERSITY</v>
      </c>
      <c r="U2470" s="1" t="s">
        <v>4017</v>
      </c>
      <c r="V2470" s="1" t="s">
        <v>1885</v>
      </c>
      <c r="W2470" s="1" t="s">
        <v>44</v>
      </c>
      <c r="X2470" s="1" t="s">
        <v>45</v>
      </c>
      <c r="Y2470" s="1">
        <v>4.82021347E8</v>
      </c>
      <c r="AA2470" s="1" t="s">
        <v>46</v>
      </c>
      <c r="AB2470" s="1" t="s">
        <v>45</v>
      </c>
      <c r="AC2470" s="1">
        <v>4.82023692E8</v>
      </c>
      <c r="AD2470" s="1">
        <v>1962224.0</v>
      </c>
      <c r="AE2470" s="1" t="s">
        <v>52</v>
      </c>
      <c r="AF2470" s="1">
        <v>28962.06</v>
      </c>
      <c r="AG2470" s="2">
        <v>41548.0</v>
      </c>
      <c r="AH2470" s="1">
        <v>7500.0</v>
      </c>
      <c r="AI2470" s="1" t="s">
        <v>40</v>
      </c>
      <c r="AJ2470" s="1">
        <v>2.0141504E7</v>
      </c>
      <c r="AK2470" s="1" t="s">
        <v>4015</v>
      </c>
      <c r="AL2470" s="1">
        <v>10.0</v>
      </c>
      <c r="AM2470" s="1">
        <v>2011.0</v>
      </c>
      <c r="AN2470" s="1">
        <v>2014.0</v>
      </c>
      <c r="AO2470" s="1" t="s">
        <v>4003</v>
      </c>
    </row>
    <row r="2471">
      <c r="A2471" s="5">
        <v>1.0</v>
      </c>
      <c r="B2471" s="1">
        <f t="shared" si="1"/>
        <v>2471</v>
      </c>
      <c r="C2471" s="1" t="s">
        <v>4013</v>
      </c>
      <c r="D2471" s="1" t="s">
        <v>4013</v>
      </c>
      <c r="E2471" s="1" t="s">
        <v>63</v>
      </c>
      <c r="G2471" s="1">
        <v>1.9608108E7</v>
      </c>
      <c r="H2471" s="2">
        <v>41548.0</v>
      </c>
      <c r="I2471" s="1" t="s">
        <v>4014</v>
      </c>
      <c r="K2471" s="1" t="s">
        <v>4014</v>
      </c>
      <c r="N2471" s="1" t="s">
        <v>40</v>
      </c>
      <c r="O2471" s="1">
        <v>7500.0</v>
      </c>
      <c r="P2471" s="1" t="s">
        <v>40</v>
      </c>
      <c r="Q2471" s="1" t="str">
        <f>IF(ISERROR(VLOOKUP(P2471,'unique fed agency names'!A:C,3,FALSE)),P2471,VLOOKUP(P2471,'unique fed agency names'!A:C,3,FALSE))
</f>
        <v>U.S. Department of Health and Human Services (DHHS)</v>
      </c>
      <c r="R2471" s="1">
        <v>3.7748076E7</v>
      </c>
      <c r="S2471" s="1" t="s">
        <v>4025</v>
      </c>
      <c r="T2471" s="1" t="str">
        <f>IF(ISERROR(VLOOKUP(S2471,'unique org names'!A:C,3,FALSE)),S2471,VLOOKUP(S2471,'unique org names'!A:C,3,FALSE))
</f>
        <v>VHS DETROIT RECEIVING HOSPITAL, INC.</v>
      </c>
      <c r="U2471" s="1" t="s">
        <v>4026</v>
      </c>
      <c r="V2471" s="1" t="s">
        <v>4027</v>
      </c>
      <c r="W2471" s="1" t="s">
        <v>44</v>
      </c>
      <c r="X2471" s="1" t="s">
        <v>45</v>
      </c>
      <c r="Y2471" s="1">
        <v>4.82012153E8</v>
      </c>
      <c r="AA2471" s="1" t="s">
        <v>46</v>
      </c>
      <c r="AB2471" s="1" t="s">
        <v>45</v>
      </c>
      <c r="AC2471" s="1">
        <v>4.82012153E8</v>
      </c>
      <c r="AD2471" s="1">
        <v>5.3866661E7</v>
      </c>
      <c r="AF2471" s="1">
        <v>34249.0</v>
      </c>
      <c r="AG2471" s="2">
        <v>41548.0</v>
      </c>
      <c r="AH2471" s="1">
        <v>7500.0</v>
      </c>
      <c r="AI2471" s="1" t="s">
        <v>40</v>
      </c>
      <c r="AJ2471" s="1">
        <v>2.014157E7</v>
      </c>
      <c r="AK2471" s="1" t="s">
        <v>4015</v>
      </c>
      <c r="AL2471" s="1">
        <v>10.0</v>
      </c>
      <c r="AM2471" s="1">
        <v>2011.0</v>
      </c>
      <c r="AN2471" s="1">
        <v>2014.0</v>
      </c>
      <c r="AO2471" s="1" t="s">
        <v>4003</v>
      </c>
    </row>
    <row r="2472">
      <c r="A2472" s="5">
        <v>1.0</v>
      </c>
      <c r="B2472" s="1">
        <f t="shared" si="1"/>
        <v>2472</v>
      </c>
      <c r="C2472" s="1" t="s">
        <v>4013</v>
      </c>
      <c r="D2472" s="1" t="s">
        <v>4013</v>
      </c>
      <c r="E2472" s="1" t="s">
        <v>63</v>
      </c>
      <c r="G2472" s="1">
        <v>1.9608108E7</v>
      </c>
      <c r="H2472" s="2">
        <v>41548.0</v>
      </c>
      <c r="I2472" s="1" t="s">
        <v>4014</v>
      </c>
      <c r="K2472" s="1" t="s">
        <v>4014</v>
      </c>
      <c r="N2472" s="1" t="s">
        <v>40</v>
      </c>
      <c r="O2472" s="1">
        <v>7500.0</v>
      </c>
      <c r="P2472" s="1" t="s">
        <v>40</v>
      </c>
      <c r="Q2472" s="1" t="str">
        <f>IF(ISERROR(VLOOKUP(P2472,'unique fed agency names'!A:C,3,FALSE)),P2472,VLOOKUP(P2472,'unique fed agency names'!A:C,3,FALSE))
</f>
        <v>U.S. Department of Health and Human Services (DHHS)</v>
      </c>
      <c r="R2472" s="1">
        <v>3.8775243E7</v>
      </c>
      <c r="S2472" s="1" t="s">
        <v>209</v>
      </c>
      <c r="T2472" s="1" t="str">
        <f>IF(ISERROR(VLOOKUP(S2472,'unique org names'!A:C,3,FALSE)),S2472,VLOOKUP(S2472,'unique org names'!A:C,3,FALSE))
</f>
        <v>SOUTHEASTERN MICHIGAN HEALTH ASSOCIATION</v>
      </c>
      <c r="U2472" s="1" t="s">
        <v>210</v>
      </c>
      <c r="V2472" s="1" t="s">
        <v>211</v>
      </c>
      <c r="W2472" s="1" t="s">
        <v>44</v>
      </c>
      <c r="X2472" s="1" t="s">
        <v>45</v>
      </c>
      <c r="Y2472" s="1">
        <v>4.82023068E8</v>
      </c>
      <c r="AA2472" s="1" t="s">
        <v>46</v>
      </c>
      <c r="AB2472" s="1" t="s">
        <v>45</v>
      </c>
      <c r="AC2472" s="1">
        <v>4.82023068E8</v>
      </c>
      <c r="AD2472" s="1">
        <v>3.8775243E7</v>
      </c>
      <c r="AE2472" s="1" t="s">
        <v>209</v>
      </c>
      <c r="AF2472" s="1">
        <v>63406.48</v>
      </c>
      <c r="AG2472" s="2">
        <v>41548.0</v>
      </c>
      <c r="AH2472" s="1">
        <v>7500.0</v>
      </c>
      <c r="AI2472" s="1" t="s">
        <v>40</v>
      </c>
      <c r="AJ2472" s="1">
        <v>2.0140733E7</v>
      </c>
      <c r="AK2472" s="1" t="s">
        <v>4015</v>
      </c>
      <c r="AL2472" s="1">
        <v>10.0</v>
      </c>
      <c r="AM2472" s="1">
        <v>2011.0</v>
      </c>
      <c r="AN2472" s="1">
        <v>2014.0</v>
      </c>
      <c r="AO2472" s="1" t="s">
        <v>4003</v>
      </c>
    </row>
    <row r="2473">
      <c r="A2473" s="5">
        <v>1.0</v>
      </c>
      <c r="B2473" s="1">
        <f t="shared" si="1"/>
        <v>2473</v>
      </c>
      <c r="C2473" s="1" t="s">
        <v>4013</v>
      </c>
      <c r="D2473" s="1" t="s">
        <v>4013</v>
      </c>
      <c r="E2473" s="1" t="s">
        <v>63</v>
      </c>
      <c r="G2473" s="1">
        <v>1.9608108E7</v>
      </c>
      <c r="H2473" s="2">
        <v>41548.0</v>
      </c>
      <c r="I2473" s="1" t="s">
        <v>4014</v>
      </c>
      <c r="K2473" s="1" t="s">
        <v>4014</v>
      </c>
      <c r="N2473" s="1" t="s">
        <v>40</v>
      </c>
      <c r="O2473" s="1">
        <v>7500.0</v>
      </c>
      <c r="P2473" s="1" t="s">
        <v>40</v>
      </c>
      <c r="Q2473" s="1" t="str">
        <f>IF(ISERROR(VLOOKUP(P2473,'unique fed agency names'!A:C,3,FALSE)),P2473,VLOOKUP(P2473,'unique fed agency names'!A:C,3,FALSE))
</f>
        <v>U.S. Department of Health and Human Services (DHHS)</v>
      </c>
      <c r="R2473" s="1">
        <v>2.0830303E7</v>
      </c>
      <c r="S2473" s="1" t="s">
        <v>424</v>
      </c>
      <c r="T2473" s="1" t="str">
        <f>IF(ISERROR(VLOOKUP(S2473,'unique org names'!A:C,3,FALSE)),S2473,VLOOKUP(S2473,'unique org names'!A:C,3,FALSE))
</f>
        <v>MATRIX HUMAN SERVICES</v>
      </c>
      <c r="U2473" s="1" t="s">
        <v>425</v>
      </c>
      <c r="V2473" s="1" t="s">
        <v>426</v>
      </c>
      <c r="W2473" s="1" t="s">
        <v>44</v>
      </c>
      <c r="X2473" s="1" t="s">
        <v>45</v>
      </c>
      <c r="Y2473" s="1">
        <v>4.82012002E8</v>
      </c>
      <c r="AA2473" s="1" t="s">
        <v>46</v>
      </c>
      <c r="AB2473" s="1" t="s">
        <v>45</v>
      </c>
      <c r="AC2473" s="1">
        <v>4.82012002E8</v>
      </c>
      <c r="AD2473" s="1">
        <v>2.0830303E7</v>
      </c>
      <c r="AE2473" s="1" t="s">
        <v>424</v>
      </c>
      <c r="AF2473" s="1">
        <v>18575.16</v>
      </c>
      <c r="AG2473" s="2">
        <v>41548.0</v>
      </c>
      <c r="AH2473" s="1">
        <v>7500.0</v>
      </c>
      <c r="AI2473" s="1" t="s">
        <v>40</v>
      </c>
      <c r="AJ2473" s="1">
        <v>2.0141562E7</v>
      </c>
      <c r="AK2473" s="1" t="s">
        <v>4015</v>
      </c>
      <c r="AL2473" s="1">
        <v>10.0</v>
      </c>
      <c r="AM2473" s="1">
        <v>2011.0</v>
      </c>
      <c r="AN2473" s="1">
        <v>2014.0</v>
      </c>
      <c r="AO2473" s="1" t="s">
        <v>4003</v>
      </c>
    </row>
    <row r="2474">
      <c r="A2474" s="5">
        <v>1.0</v>
      </c>
      <c r="B2474" s="1">
        <f t="shared" si="1"/>
        <v>2474</v>
      </c>
      <c r="C2474" s="1" t="s">
        <v>4013</v>
      </c>
      <c r="D2474" s="1" t="s">
        <v>4013</v>
      </c>
      <c r="E2474" s="1" t="s">
        <v>63</v>
      </c>
      <c r="G2474" s="1">
        <v>1.9608108E7</v>
      </c>
      <c r="H2474" s="2">
        <v>41548.0</v>
      </c>
      <c r="I2474" s="1" t="s">
        <v>4014</v>
      </c>
      <c r="K2474" s="1" t="s">
        <v>4014</v>
      </c>
      <c r="N2474" s="1" t="s">
        <v>40</v>
      </c>
      <c r="O2474" s="1">
        <v>7500.0</v>
      </c>
      <c r="P2474" s="1" t="s">
        <v>40</v>
      </c>
      <c r="Q2474" s="1" t="str">
        <f>IF(ISERROR(VLOOKUP(P2474,'unique fed agency names'!A:C,3,FALSE)),P2474,VLOOKUP(P2474,'unique fed agency names'!A:C,3,FALSE))
</f>
        <v>U.S. Department of Health and Human Services (DHHS)</v>
      </c>
      <c r="R2474" s="1">
        <v>1.8009589E8</v>
      </c>
      <c r="S2474" s="1" t="s">
        <v>4057</v>
      </c>
      <c r="T2474" s="1" t="str">
        <f>IF(ISERROR(VLOOKUP(S2474,'unique org names'!A:C,3,FALSE)),S2474,VLOOKUP(S2474,'unique org names'!A:C,3,FALSE))
</f>
        <v>Ruth Ellis Center, Inc</v>
      </c>
      <c r="U2474" s="1" t="s">
        <v>2059</v>
      </c>
      <c r="V2474" s="1" t="s">
        <v>4059</v>
      </c>
      <c r="W2474" s="1" t="s">
        <v>44</v>
      </c>
      <c r="X2474" s="1" t="s">
        <v>45</v>
      </c>
      <c r="Y2474" s="1">
        <v>4.82033127E8</v>
      </c>
      <c r="AA2474" s="1" t="s">
        <v>46</v>
      </c>
      <c r="AB2474" s="1" t="s">
        <v>45</v>
      </c>
      <c r="AC2474" s="1">
        <v>4.82033127E8</v>
      </c>
      <c r="AD2474" s="1">
        <v>5.1214708E7</v>
      </c>
      <c r="AE2474" s="1" t="s">
        <v>2060</v>
      </c>
      <c r="AF2474" s="1">
        <v>21592.61</v>
      </c>
      <c r="AG2474" s="2">
        <v>41548.0</v>
      </c>
      <c r="AH2474" s="1">
        <v>7500.0</v>
      </c>
      <c r="AI2474" s="1" t="s">
        <v>40</v>
      </c>
      <c r="AJ2474" s="1">
        <v>2.0141566E7</v>
      </c>
      <c r="AK2474" s="1" t="s">
        <v>4015</v>
      </c>
      <c r="AL2474" s="1">
        <v>10.0</v>
      </c>
      <c r="AM2474" s="1">
        <v>2011.0</v>
      </c>
      <c r="AN2474" s="1">
        <v>2014.0</v>
      </c>
      <c r="AO2474" s="1" t="s">
        <v>4003</v>
      </c>
    </row>
    <row r="2475">
      <c r="A2475" s="5">
        <v>1.0</v>
      </c>
      <c r="B2475" s="1">
        <f t="shared" si="1"/>
        <v>2475</v>
      </c>
      <c r="C2475" s="1" t="s">
        <v>4013</v>
      </c>
      <c r="D2475" s="1" t="s">
        <v>4013</v>
      </c>
      <c r="E2475" s="1" t="s">
        <v>63</v>
      </c>
      <c r="G2475" s="1">
        <v>1.9608108E7</v>
      </c>
      <c r="H2475" s="2">
        <v>41548.0</v>
      </c>
      <c r="I2475" s="1" t="s">
        <v>4014</v>
      </c>
      <c r="K2475" s="1" t="s">
        <v>4014</v>
      </c>
      <c r="N2475" s="1" t="s">
        <v>40</v>
      </c>
      <c r="O2475" s="1">
        <v>7500.0</v>
      </c>
      <c r="P2475" s="1" t="s">
        <v>40</v>
      </c>
      <c r="Q2475" s="1" t="str">
        <f>IF(ISERROR(VLOOKUP(P2475,'unique fed agency names'!A:C,3,FALSE)),P2475,VLOOKUP(P2475,'unique fed agency names'!A:C,3,FALSE))
</f>
        <v>U.S. Department of Health and Human Services (DHHS)</v>
      </c>
      <c r="R2475" s="1">
        <v>1.40133393E8</v>
      </c>
      <c r="S2475" s="1" t="s">
        <v>4028</v>
      </c>
      <c r="T2475" s="1" t="str">
        <f>IF(ISERROR(VLOOKUP(S2475,'unique org names'!A:C,3,FALSE)),S2475,VLOOKUP(S2475,'unique org names'!A:C,3,FALSE))
</f>
        <v>Detroit Health Care for the Homeless dba Advantage Health Centers</v>
      </c>
      <c r="U2475" s="1" t="s">
        <v>4029</v>
      </c>
      <c r="V2475" s="1" t="s">
        <v>4030</v>
      </c>
      <c r="W2475" s="1" t="s">
        <v>44</v>
      </c>
      <c r="X2475" s="1" t="s">
        <v>45</v>
      </c>
      <c r="Y2475" s="1">
        <v>4.82353724E8</v>
      </c>
      <c r="AA2475" s="1" t="s">
        <v>46</v>
      </c>
      <c r="AB2475" s="1" t="s">
        <v>45</v>
      </c>
      <c r="AC2475" s="1">
        <v>4.82353724E8</v>
      </c>
      <c r="AD2475" s="1">
        <v>1.40133393E8</v>
      </c>
      <c r="AE2475" s="1" t="s">
        <v>4028</v>
      </c>
      <c r="AF2475" s="1">
        <v>39440.0</v>
      </c>
      <c r="AG2475" s="2">
        <v>41548.0</v>
      </c>
      <c r="AH2475" s="1">
        <v>7500.0</v>
      </c>
      <c r="AI2475" s="1" t="s">
        <v>40</v>
      </c>
      <c r="AJ2475" s="1">
        <v>2.0141552E7</v>
      </c>
      <c r="AK2475" s="1" t="s">
        <v>4015</v>
      </c>
      <c r="AL2475" s="1">
        <v>10.0</v>
      </c>
      <c r="AM2475" s="1">
        <v>2011.0</v>
      </c>
      <c r="AN2475" s="1">
        <v>2014.0</v>
      </c>
      <c r="AO2475" s="1" t="s">
        <v>4003</v>
      </c>
    </row>
    <row r="2476">
      <c r="A2476" s="5">
        <v>1.0</v>
      </c>
      <c r="B2476" s="1">
        <f t="shared" si="1"/>
        <v>2476</v>
      </c>
      <c r="C2476" s="1" t="s">
        <v>4013</v>
      </c>
      <c r="D2476" s="1" t="s">
        <v>4013</v>
      </c>
      <c r="E2476" s="1" t="s">
        <v>63</v>
      </c>
      <c r="G2476" s="1">
        <v>1.9608108E7</v>
      </c>
      <c r="H2476" s="2">
        <v>41548.0</v>
      </c>
      <c r="I2476" s="1" t="s">
        <v>4014</v>
      </c>
      <c r="K2476" s="1" t="s">
        <v>4014</v>
      </c>
      <c r="N2476" s="1" t="s">
        <v>40</v>
      </c>
      <c r="O2476" s="1">
        <v>7500.0</v>
      </c>
      <c r="P2476" s="1" t="s">
        <v>40</v>
      </c>
      <c r="Q2476" s="1" t="str">
        <f>IF(ISERROR(VLOOKUP(P2476,'unique fed agency names'!A:C,3,FALSE)),P2476,VLOOKUP(P2476,'unique fed agency names'!A:C,3,FALSE))
</f>
        <v>U.S. Department of Health and Human Services (DHHS)</v>
      </c>
      <c r="R2476" s="1">
        <v>1.7406606E7</v>
      </c>
      <c r="S2476" s="1" t="s">
        <v>1574</v>
      </c>
      <c r="T2476" s="1" t="str">
        <f>IF(ISERROR(VLOOKUP(S2476,'unique org names'!A:C,3,FALSE)),S2476,VLOOKUP(S2476,'unique org names'!A:C,3,FALSE))
</f>
        <v>Detroit Health Dept</v>
      </c>
      <c r="U2476" s="1" t="s">
        <v>4083</v>
      </c>
      <c r="V2476" s="1" t="s">
        <v>1575</v>
      </c>
      <c r="W2476" s="1" t="s">
        <v>44</v>
      </c>
      <c r="X2476" s="1" t="s">
        <v>45</v>
      </c>
      <c r="Y2476" s="1">
        <v>4.82282826E8</v>
      </c>
      <c r="AA2476" s="1" t="s">
        <v>46</v>
      </c>
      <c r="AB2476" s="1" t="s">
        <v>45</v>
      </c>
      <c r="AC2476" s="1">
        <v>4.82282826E8</v>
      </c>
      <c r="AD2476" s="1">
        <v>4912929.0</v>
      </c>
      <c r="AF2476" s="1">
        <v>154806.83</v>
      </c>
      <c r="AG2476" s="2">
        <v>41548.0</v>
      </c>
      <c r="AH2476" s="1">
        <v>7500.0</v>
      </c>
      <c r="AI2476" s="1" t="s">
        <v>40</v>
      </c>
      <c r="AJ2476" s="1">
        <v>2.0141454E7</v>
      </c>
      <c r="AK2476" s="1" t="s">
        <v>4015</v>
      </c>
      <c r="AL2476" s="1">
        <v>10.0</v>
      </c>
      <c r="AM2476" s="1">
        <v>2011.0</v>
      </c>
      <c r="AN2476" s="1">
        <v>2014.0</v>
      </c>
      <c r="AO2476" s="1" t="s">
        <v>4003</v>
      </c>
    </row>
    <row r="2477">
      <c r="A2477" s="5">
        <v>1.0</v>
      </c>
      <c r="B2477" s="1">
        <f t="shared" si="1"/>
        <v>2477</v>
      </c>
      <c r="C2477" s="1" t="s">
        <v>4013</v>
      </c>
      <c r="D2477" s="1" t="s">
        <v>4013</v>
      </c>
      <c r="E2477" s="1" t="s">
        <v>63</v>
      </c>
      <c r="G2477" s="1">
        <v>1.9608108E7</v>
      </c>
      <c r="H2477" s="2">
        <v>41183.0</v>
      </c>
      <c r="I2477" s="1" t="s">
        <v>4014</v>
      </c>
      <c r="K2477" s="1" t="s">
        <v>4014</v>
      </c>
      <c r="N2477" s="1" t="s">
        <v>40</v>
      </c>
      <c r="O2477" s="1">
        <v>7500.0</v>
      </c>
      <c r="P2477" s="1" t="s">
        <v>40</v>
      </c>
      <c r="Q2477" s="1" t="str">
        <f>IF(ISERROR(VLOOKUP(P2477,'unique fed agency names'!A:C,3,FALSE)),P2477,VLOOKUP(P2477,'unique fed agency names'!A:C,3,FALSE))
</f>
        <v>U.S. Department of Health and Human Services (DHHS)</v>
      </c>
      <c r="R2477" s="1">
        <v>1962224.0</v>
      </c>
      <c r="S2477" s="1" t="s">
        <v>52</v>
      </c>
      <c r="T2477" s="1" t="str">
        <f>IF(ISERROR(VLOOKUP(S2477,'unique org names'!A:C,3,FALSE)),S2477,VLOOKUP(S2477,'unique org names'!A:C,3,FALSE))
</f>
        <v>WAYNE STATE UNIVERSITY</v>
      </c>
      <c r="U2477" s="1" t="s">
        <v>4052</v>
      </c>
      <c r="V2477" s="1" t="s">
        <v>1885</v>
      </c>
      <c r="W2477" s="1" t="s">
        <v>44</v>
      </c>
      <c r="X2477" s="1" t="s">
        <v>45</v>
      </c>
      <c r="Y2477" s="1">
        <v>4.82021347E8</v>
      </c>
      <c r="AA2477" s="1" t="s">
        <v>46</v>
      </c>
      <c r="AB2477" s="1" t="s">
        <v>45</v>
      </c>
      <c r="AC2477" s="1">
        <v>4.82023692E8</v>
      </c>
      <c r="AD2477" s="1">
        <v>1962224.0</v>
      </c>
      <c r="AE2477" s="1" t="s">
        <v>52</v>
      </c>
      <c r="AF2477" s="1">
        <v>49115.68</v>
      </c>
      <c r="AG2477" s="2">
        <v>41183.0</v>
      </c>
      <c r="AH2477" s="1">
        <v>7500.0</v>
      </c>
      <c r="AI2477" s="1" t="s">
        <v>40</v>
      </c>
      <c r="AJ2477" s="1">
        <v>2.0131069E7</v>
      </c>
      <c r="AK2477" s="1" t="s">
        <v>4015</v>
      </c>
      <c r="AL2477" s="1">
        <v>10.0</v>
      </c>
      <c r="AM2477" s="1">
        <v>2011.0</v>
      </c>
      <c r="AN2477" s="1">
        <v>2013.0</v>
      </c>
      <c r="AO2477" s="1" t="s">
        <v>4003</v>
      </c>
    </row>
    <row r="2478">
      <c r="A2478" s="5">
        <v>1.0</v>
      </c>
      <c r="B2478" s="1">
        <f t="shared" si="1"/>
        <v>2478</v>
      </c>
      <c r="C2478" s="1" t="s">
        <v>4013</v>
      </c>
      <c r="D2478" s="1" t="s">
        <v>4013</v>
      </c>
      <c r="E2478" s="1" t="s">
        <v>63</v>
      </c>
      <c r="G2478" s="1">
        <v>1.9608108E7</v>
      </c>
      <c r="H2478" s="2">
        <v>41183.0</v>
      </c>
      <c r="I2478" s="1" t="s">
        <v>4014</v>
      </c>
      <c r="K2478" s="1" t="s">
        <v>4014</v>
      </c>
      <c r="N2478" s="1" t="s">
        <v>40</v>
      </c>
      <c r="O2478" s="1">
        <v>7500.0</v>
      </c>
      <c r="P2478" s="1" t="s">
        <v>40</v>
      </c>
      <c r="Q2478" s="1" t="str">
        <f>IF(ISERROR(VLOOKUP(P2478,'unique fed agency names'!A:C,3,FALSE)),P2478,VLOOKUP(P2478,'unique fed agency names'!A:C,3,FALSE))
</f>
        <v>U.S. Department of Health and Human Services (DHHS)</v>
      </c>
      <c r="R2478" s="1">
        <v>3.8775243E7</v>
      </c>
      <c r="S2478" s="1" t="s">
        <v>209</v>
      </c>
      <c r="T2478" s="1" t="str">
        <f>IF(ISERROR(VLOOKUP(S2478,'unique org names'!A:C,3,FALSE)),S2478,VLOOKUP(S2478,'unique org names'!A:C,3,FALSE))
</f>
        <v>SOUTHEASTERN MICHIGAN HEALTH ASSOCIATION</v>
      </c>
      <c r="U2478" s="1" t="s">
        <v>210</v>
      </c>
      <c r="V2478" s="1" t="s">
        <v>211</v>
      </c>
      <c r="W2478" s="1" t="s">
        <v>44</v>
      </c>
      <c r="X2478" s="1" t="s">
        <v>45</v>
      </c>
      <c r="Y2478" s="1">
        <v>4.82023068E8</v>
      </c>
      <c r="AA2478" s="1" t="s">
        <v>46</v>
      </c>
      <c r="AB2478" s="1" t="s">
        <v>45</v>
      </c>
      <c r="AC2478" s="1">
        <v>4.82023068E8</v>
      </c>
      <c r="AD2478" s="1">
        <v>3.8775243E7</v>
      </c>
      <c r="AE2478" s="1" t="s">
        <v>209</v>
      </c>
      <c r="AF2478" s="1">
        <v>837316.59</v>
      </c>
      <c r="AG2478" s="2">
        <v>41183.0</v>
      </c>
      <c r="AH2478" s="1">
        <v>7500.0</v>
      </c>
      <c r="AI2478" s="1" t="s">
        <v>40</v>
      </c>
      <c r="AJ2478" s="1">
        <v>2.0131231E7</v>
      </c>
      <c r="AK2478" s="1" t="s">
        <v>4015</v>
      </c>
      <c r="AL2478" s="1">
        <v>10.0</v>
      </c>
      <c r="AM2478" s="1">
        <v>2011.0</v>
      </c>
      <c r="AN2478" s="1">
        <v>2013.0</v>
      </c>
      <c r="AO2478" s="1" t="s">
        <v>4003</v>
      </c>
    </row>
    <row r="2479">
      <c r="A2479" s="5">
        <v>1.0</v>
      </c>
      <c r="B2479" s="1">
        <f t="shared" si="1"/>
        <v>2479</v>
      </c>
      <c r="C2479" s="1" t="s">
        <v>4013</v>
      </c>
      <c r="D2479" s="1" t="s">
        <v>4013</v>
      </c>
      <c r="E2479" s="1" t="s">
        <v>63</v>
      </c>
      <c r="G2479" s="1">
        <v>1.9608108E7</v>
      </c>
      <c r="H2479" s="2">
        <v>41183.0</v>
      </c>
      <c r="I2479" s="1" t="s">
        <v>4014</v>
      </c>
      <c r="K2479" s="1" t="s">
        <v>4014</v>
      </c>
      <c r="N2479" s="1" t="s">
        <v>40</v>
      </c>
      <c r="O2479" s="1">
        <v>7500.0</v>
      </c>
      <c r="P2479" s="1" t="s">
        <v>40</v>
      </c>
      <c r="Q2479" s="1" t="str">
        <f>IF(ISERROR(VLOOKUP(P2479,'unique fed agency names'!A:C,3,FALSE)),P2479,VLOOKUP(P2479,'unique fed agency names'!A:C,3,FALSE))
</f>
        <v>U.S. Department of Health and Human Services (DHHS)</v>
      </c>
      <c r="R2479" s="1">
        <v>1.8009589E8</v>
      </c>
      <c r="S2479" s="1" t="s">
        <v>4057</v>
      </c>
      <c r="T2479" s="1" t="str">
        <f>IF(ISERROR(VLOOKUP(S2479,'unique org names'!A:C,3,FALSE)),S2479,VLOOKUP(S2479,'unique org names'!A:C,3,FALSE))
</f>
        <v>Ruth Ellis Center, Inc</v>
      </c>
      <c r="U2479" s="1" t="s">
        <v>4022</v>
      </c>
      <c r="V2479" s="1" t="s">
        <v>4059</v>
      </c>
      <c r="W2479" s="1" t="s">
        <v>44</v>
      </c>
      <c r="X2479" s="1" t="s">
        <v>45</v>
      </c>
      <c r="Y2479" s="1">
        <v>4.82033127E8</v>
      </c>
      <c r="AA2479" s="1" t="s">
        <v>46</v>
      </c>
      <c r="AB2479" s="1" t="s">
        <v>45</v>
      </c>
      <c r="AC2479" s="1">
        <v>4.82033127E8</v>
      </c>
      <c r="AD2479" s="1">
        <v>1367960.0</v>
      </c>
      <c r="AE2479" s="1" t="s">
        <v>4024</v>
      </c>
      <c r="AF2479" s="1">
        <v>61742.17</v>
      </c>
      <c r="AG2479" s="2">
        <v>41183.0</v>
      </c>
      <c r="AH2479" s="1">
        <v>7500.0</v>
      </c>
      <c r="AI2479" s="1" t="s">
        <v>40</v>
      </c>
      <c r="AJ2479" s="1">
        <v>2.0130224E7</v>
      </c>
      <c r="AK2479" s="1" t="s">
        <v>4015</v>
      </c>
      <c r="AL2479" s="1">
        <v>10.0</v>
      </c>
      <c r="AM2479" s="1">
        <v>2011.0</v>
      </c>
      <c r="AN2479" s="1">
        <v>2013.0</v>
      </c>
      <c r="AO2479" s="1" t="s">
        <v>4003</v>
      </c>
    </row>
    <row r="2480">
      <c r="A2480" s="5">
        <v>1.0</v>
      </c>
      <c r="B2480" s="1">
        <f t="shared" si="1"/>
        <v>2480</v>
      </c>
      <c r="C2480" s="1" t="s">
        <v>4013</v>
      </c>
      <c r="D2480" s="1" t="s">
        <v>4013</v>
      </c>
      <c r="E2480" s="1" t="s">
        <v>63</v>
      </c>
      <c r="G2480" s="1">
        <v>1.9608108E7</v>
      </c>
      <c r="H2480" s="2">
        <v>41183.0</v>
      </c>
      <c r="I2480" s="1" t="s">
        <v>4014</v>
      </c>
      <c r="K2480" s="1" t="s">
        <v>4014</v>
      </c>
      <c r="N2480" s="1" t="s">
        <v>40</v>
      </c>
      <c r="O2480" s="1">
        <v>7500.0</v>
      </c>
      <c r="P2480" s="1" t="s">
        <v>40</v>
      </c>
      <c r="Q2480" s="1" t="str">
        <f>IF(ISERROR(VLOOKUP(P2480,'unique fed agency names'!A:C,3,FALSE)),P2480,VLOOKUP(P2480,'unique fed agency names'!A:C,3,FALSE))
</f>
        <v>U.S. Department of Health and Human Services (DHHS)</v>
      </c>
      <c r="R2480" s="1">
        <v>2.0830303E7</v>
      </c>
      <c r="S2480" s="1" t="s">
        <v>424</v>
      </c>
      <c r="T2480" s="1" t="str">
        <f>IF(ISERROR(VLOOKUP(S2480,'unique org names'!A:C,3,FALSE)),S2480,VLOOKUP(S2480,'unique org names'!A:C,3,FALSE))
</f>
        <v>MATRIX HUMAN SERVICES</v>
      </c>
      <c r="U2480" s="1" t="s">
        <v>425</v>
      </c>
      <c r="V2480" s="1" t="s">
        <v>426</v>
      </c>
      <c r="W2480" s="1" t="s">
        <v>44</v>
      </c>
      <c r="X2480" s="1" t="s">
        <v>45</v>
      </c>
      <c r="Y2480" s="1">
        <v>4.82012002E8</v>
      </c>
      <c r="AA2480" s="1" t="s">
        <v>46</v>
      </c>
      <c r="AB2480" s="1" t="s">
        <v>45</v>
      </c>
      <c r="AC2480" s="1">
        <v>4.82012002E8</v>
      </c>
      <c r="AD2480" s="1">
        <v>2.0830303E7</v>
      </c>
      <c r="AE2480" s="1" t="s">
        <v>424</v>
      </c>
      <c r="AF2480" s="1">
        <v>73313.2</v>
      </c>
      <c r="AG2480" s="2">
        <v>41183.0</v>
      </c>
      <c r="AH2480" s="1">
        <v>7500.0</v>
      </c>
      <c r="AI2480" s="1" t="s">
        <v>40</v>
      </c>
      <c r="AJ2480" s="1">
        <v>2.0130541E7</v>
      </c>
      <c r="AK2480" s="1" t="s">
        <v>4015</v>
      </c>
      <c r="AL2480" s="1">
        <v>10.0</v>
      </c>
      <c r="AM2480" s="1">
        <v>2011.0</v>
      </c>
      <c r="AN2480" s="1">
        <v>2013.0</v>
      </c>
      <c r="AO2480" s="1" t="s">
        <v>4003</v>
      </c>
    </row>
    <row r="2481">
      <c r="A2481" s="5">
        <v>1.0</v>
      </c>
      <c r="B2481" s="1">
        <f t="shared" si="1"/>
        <v>2481</v>
      </c>
      <c r="C2481" s="1" t="s">
        <v>4013</v>
      </c>
      <c r="D2481" s="1" t="s">
        <v>4013</v>
      </c>
      <c r="E2481" s="1" t="s">
        <v>63</v>
      </c>
      <c r="G2481" s="1">
        <v>1.9608108E7</v>
      </c>
      <c r="H2481" s="2">
        <v>41183.0</v>
      </c>
      <c r="I2481" s="1" t="s">
        <v>4014</v>
      </c>
      <c r="K2481" s="1" t="s">
        <v>4014</v>
      </c>
      <c r="N2481" s="1" t="s">
        <v>40</v>
      </c>
      <c r="O2481" s="1">
        <v>7500.0</v>
      </c>
      <c r="P2481" s="1" t="s">
        <v>40</v>
      </c>
      <c r="Q2481" s="1" t="str">
        <f>IF(ISERROR(VLOOKUP(P2481,'unique fed agency names'!A:C,3,FALSE)),P2481,VLOOKUP(P2481,'unique fed agency names'!A:C,3,FALSE))
</f>
        <v>U.S. Department of Health and Human Services (DHHS)</v>
      </c>
      <c r="R2481" s="1">
        <v>9.4547247E7</v>
      </c>
      <c r="S2481" s="1" t="s">
        <v>2201</v>
      </c>
      <c r="T2481" s="1" t="str">
        <f>IF(ISERROR(VLOOKUP(S2481,'unique org names'!A:C,3,FALSE)),S2481,VLOOKUP(S2481,'unique org names'!A:C,3,FALSE))
</f>
        <v>Detroit Rescue Mission Ministries</v>
      </c>
      <c r="U2481" s="1" t="s">
        <v>2202</v>
      </c>
      <c r="V2481" s="1" t="s">
        <v>2203</v>
      </c>
      <c r="W2481" s="1" t="s">
        <v>44</v>
      </c>
      <c r="X2481" s="1" t="s">
        <v>45</v>
      </c>
      <c r="Y2481" s="1">
        <v>4.8201241E8</v>
      </c>
      <c r="AA2481" s="1" t="s">
        <v>46</v>
      </c>
      <c r="AB2481" s="1" t="s">
        <v>45</v>
      </c>
      <c r="AC2481" s="1">
        <v>4.8201241E8</v>
      </c>
      <c r="AD2481" s="1">
        <v>9.4547247E7</v>
      </c>
      <c r="AE2481" s="1" t="s">
        <v>2201</v>
      </c>
      <c r="AF2481" s="1">
        <v>16666.0</v>
      </c>
      <c r="AG2481" s="2">
        <v>41183.0</v>
      </c>
      <c r="AH2481" s="1">
        <v>7500.0</v>
      </c>
      <c r="AI2481" s="1" t="s">
        <v>40</v>
      </c>
      <c r="AJ2481" s="1">
        <v>2.0133155E7</v>
      </c>
      <c r="AK2481" s="1" t="s">
        <v>4015</v>
      </c>
      <c r="AL2481" s="1">
        <v>10.0</v>
      </c>
      <c r="AM2481" s="1">
        <v>2011.0</v>
      </c>
      <c r="AN2481" s="1">
        <v>2013.0</v>
      </c>
      <c r="AO2481" s="1" t="s">
        <v>4003</v>
      </c>
    </row>
    <row r="2482">
      <c r="A2482" s="5">
        <v>1.0</v>
      </c>
      <c r="B2482" s="1">
        <f t="shared" si="1"/>
        <v>2482</v>
      </c>
      <c r="C2482" s="1" t="s">
        <v>4013</v>
      </c>
      <c r="D2482" s="1" t="s">
        <v>4013</v>
      </c>
      <c r="E2482" s="1" t="s">
        <v>63</v>
      </c>
      <c r="G2482" s="1">
        <v>1.9608108E7</v>
      </c>
      <c r="H2482" s="2">
        <v>41183.0</v>
      </c>
      <c r="I2482" s="1" t="s">
        <v>4014</v>
      </c>
      <c r="K2482" s="1" t="s">
        <v>4014</v>
      </c>
      <c r="N2482" s="1" t="s">
        <v>40</v>
      </c>
      <c r="O2482" s="1">
        <v>7500.0</v>
      </c>
      <c r="P2482" s="1" t="s">
        <v>40</v>
      </c>
      <c r="Q2482" s="1" t="str">
        <f>IF(ISERROR(VLOOKUP(P2482,'unique fed agency names'!A:C,3,FALSE)),P2482,VLOOKUP(P2482,'unique fed agency names'!A:C,3,FALSE))
</f>
        <v>U.S. Department of Health and Human Services (DHHS)</v>
      </c>
      <c r="R2482" s="1">
        <v>3.8775243E7</v>
      </c>
      <c r="S2482" s="1" t="s">
        <v>209</v>
      </c>
      <c r="T2482" s="1" t="str">
        <f>IF(ISERROR(VLOOKUP(S2482,'unique org names'!A:C,3,FALSE)),S2482,VLOOKUP(S2482,'unique org names'!A:C,3,FALSE))
</f>
        <v>SOUTHEASTERN MICHIGAN HEALTH ASSOCIATION</v>
      </c>
      <c r="U2482" s="1" t="s">
        <v>210</v>
      </c>
      <c r="V2482" s="1" t="s">
        <v>211</v>
      </c>
      <c r="W2482" s="1" t="s">
        <v>44</v>
      </c>
      <c r="X2482" s="1" t="s">
        <v>45</v>
      </c>
      <c r="Y2482" s="1">
        <v>4.82023068E8</v>
      </c>
      <c r="AA2482" s="1" t="s">
        <v>46</v>
      </c>
      <c r="AB2482" s="1" t="s">
        <v>45</v>
      </c>
      <c r="AC2482" s="1">
        <v>4.82023068E8</v>
      </c>
      <c r="AD2482" s="1">
        <v>3.8775243E7</v>
      </c>
      <c r="AE2482" s="1" t="s">
        <v>209</v>
      </c>
      <c r="AF2482" s="1">
        <v>258751.75</v>
      </c>
      <c r="AG2482" s="2">
        <v>41183.0</v>
      </c>
      <c r="AH2482" s="1">
        <v>7500.0</v>
      </c>
      <c r="AI2482" s="1" t="s">
        <v>40</v>
      </c>
      <c r="AJ2482" s="1">
        <v>2.0131231E7</v>
      </c>
      <c r="AK2482" s="1" t="s">
        <v>4015</v>
      </c>
      <c r="AL2482" s="1">
        <v>10.0</v>
      </c>
      <c r="AM2482" s="1">
        <v>2011.0</v>
      </c>
      <c r="AN2482" s="1">
        <v>2013.0</v>
      </c>
      <c r="AO2482" s="1" t="s">
        <v>4003</v>
      </c>
    </row>
    <row r="2483">
      <c r="A2483" s="5">
        <v>1.0</v>
      </c>
      <c r="B2483" s="1">
        <f t="shared" si="1"/>
        <v>2483</v>
      </c>
      <c r="C2483" s="1" t="s">
        <v>4013</v>
      </c>
      <c r="D2483" s="1" t="s">
        <v>4013</v>
      </c>
      <c r="E2483" s="1" t="s">
        <v>63</v>
      </c>
      <c r="G2483" s="1">
        <v>1.9608108E7</v>
      </c>
      <c r="H2483" s="2">
        <v>41183.0</v>
      </c>
      <c r="I2483" s="1" t="s">
        <v>4014</v>
      </c>
      <c r="K2483" s="1" t="s">
        <v>4014</v>
      </c>
      <c r="N2483" s="1" t="s">
        <v>40</v>
      </c>
      <c r="O2483" s="1">
        <v>7500.0</v>
      </c>
      <c r="P2483" s="1" t="s">
        <v>40</v>
      </c>
      <c r="Q2483" s="1" t="str">
        <f>IF(ISERROR(VLOOKUP(P2483,'unique fed agency names'!A:C,3,FALSE)),P2483,VLOOKUP(P2483,'unique fed agency names'!A:C,3,FALSE))
</f>
        <v>U.S. Department of Health and Human Services (DHHS)</v>
      </c>
      <c r="R2483" s="1">
        <v>3.7748076E7</v>
      </c>
      <c r="S2483" s="1" t="s">
        <v>4025</v>
      </c>
      <c r="T2483" s="1" t="str">
        <f>IF(ISERROR(VLOOKUP(S2483,'unique org names'!A:C,3,FALSE)),S2483,VLOOKUP(S2483,'unique org names'!A:C,3,FALSE))
</f>
        <v>VHS DETROIT RECEIVING HOSPITAL, INC.</v>
      </c>
      <c r="U2483" s="1" t="s">
        <v>4026</v>
      </c>
      <c r="V2483" s="1" t="s">
        <v>4027</v>
      </c>
      <c r="W2483" s="1" t="s">
        <v>44</v>
      </c>
      <c r="X2483" s="1" t="s">
        <v>45</v>
      </c>
      <c r="Y2483" s="1">
        <v>4.82012153E8</v>
      </c>
      <c r="AA2483" s="1" t="s">
        <v>46</v>
      </c>
      <c r="AB2483" s="1" t="s">
        <v>45</v>
      </c>
      <c r="AC2483" s="1">
        <v>4.82012153E8</v>
      </c>
      <c r="AD2483" s="1">
        <v>5.3866661E7</v>
      </c>
      <c r="AF2483" s="1">
        <v>56250.0</v>
      </c>
      <c r="AG2483" s="2">
        <v>41183.0</v>
      </c>
      <c r="AH2483" s="1">
        <v>7500.0</v>
      </c>
      <c r="AI2483" s="1" t="s">
        <v>40</v>
      </c>
      <c r="AJ2483" s="1">
        <v>2.0130228E7</v>
      </c>
      <c r="AK2483" s="1" t="s">
        <v>4015</v>
      </c>
      <c r="AL2483" s="1">
        <v>10.0</v>
      </c>
      <c r="AM2483" s="1">
        <v>2011.0</v>
      </c>
      <c r="AN2483" s="1">
        <v>2013.0</v>
      </c>
      <c r="AO2483" s="1" t="s">
        <v>4003</v>
      </c>
    </row>
    <row r="2484">
      <c r="A2484" s="5">
        <v>1.0</v>
      </c>
      <c r="B2484" s="1">
        <f t="shared" si="1"/>
        <v>2484</v>
      </c>
      <c r="C2484" s="1" t="s">
        <v>4013</v>
      </c>
      <c r="D2484" s="1" t="s">
        <v>4013</v>
      </c>
      <c r="E2484" s="1" t="s">
        <v>63</v>
      </c>
      <c r="G2484" s="1">
        <v>1.9608108E7</v>
      </c>
      <c r="H2484" s="2">
        <v>41183.0</v>
      </c>
      <c r="I2484" s="1" t="s">
        <v>4014</v>
      </c>
      <c r="K2484" s="1" t="s">
        <v>4014</v>
      </c>
      <c r="N2484" s="1" t="s">
        <v>40</v>
      </c>
      <c r="O2484" s="1">
        <v>7500.0</v>
      </c>
      <c r="P2484" s="1" t="s">
        <v>40</v>
      </c>
      <c r="Q2484" s="1" t="str">
        <f>IF(ISERROR(VLOOKUP(P2484,'unique fed agency names'!A:C,3,FALSE)),P2484,VLOOKUP(P2484,'unique fed agency names'!A:C,3,FALSE))
</f>
        <v>U.S. Department of Health and Human Services (DHHS)</v>
      </c>
      <c r="R2484" s="1">
        <v>8.48764171E8</v>
      </c>
      <c r="S2484" s="1" t="s">
        <v>1050</v>
      </c>
      <c r="T2484" s="1" t="str">
        <f>IF(ISERROR(VLOOKUP(S2484,'unique org names'!A:C,3,FALSE)),S2484,VLOOKUP(S2484,'unique org names'!A:C,3,FALSE))
</f>
        <v>AIDS Partnership Michigan, Inc</v>
      </c>
      <c r="U2484" s="1" t="s">
        <v>1051</v>
      </c>
      <c r="V2484" s="1" t="s">
        <v>4020</v>
      </c>
      <c r="W2484" s="1" t="s">
        <v>44</v>
      </c>
      <c r="X2484" s="1" t="s">
        <v>45</v>
      </c>
      <c r="Y2484" s="1">
        <v>4.82023042E8</v>
      </c>
      <c r="AA2484" s="1" t="s">
        <v>46</v>
      </c>
      <c r="AB2484" s="1" t="s">
        <v>45</v>
      </c>
      <c r="AC2484" s="1">
        <v>4.820741E8</v>
      </c>
      <c r="AD2484" s="1">
        <v>3.8775243E7</v>
      </c>
      <c r="AE2484" s="1" t="s">
        <v>209</v>
      </c>
      <c r="AF2484" s="1">
        <v>67387.0</v>
      </c>
      <c r="AG2484" s="2">
        <v>41183.0</v>
      </c>
      <c r="AH2484" s="1">
        <v>7500.0</v>
      </c>
      <c r="AI2484" s="1" t="s">
        <v>40</v>
      </c>
      <c r="AJ2484" s="1">
        <v>2.0130214E7</v>
      </c>
      <c r="AK2484" s="1" t="s">
        <v>4015</v>
      </c>
      <c r="AL2484" s="1">
        <v>10.0</v>
      </c>
      <c r="AM2484" s="1">
        <v>2011.0</v>
      </c>
      <c r="AN2484" s="1">
        <v>2013.0</v>
      </c>
      <c r="AO2484" s="1" t="s">
        <v>4003</v>
      </c>
    </row>
    <row r="2485">
      <c r="A2485" s="5">
        <v>1.0</v>
      </c>
      <c r="B2485" s="1">
        <f t="shared" si="1"/>
        <v>2485</v>
      </c>
      <c r="C2485" s="1" t="s">
        <v>4033</v>
      </c>
      <c r="D2485" s="1" t="s">
        <v>4033</v>
      </c>
      <c r="E2485" s="1" t="s">
        <v>63</v>
      </c>
      <c r="G2485" s="1">
        <v>7.6172144E7</v>
      </c>
      <c r="H2485" s="2">
        <v>41913.0</v>
      </c>
      <c r="I2485" s="1" t="s">
        <v>4034</v>
      </c>
      <c r="K2485" s="1" t="s">
        <v>4034</v>
      </c>
      <c r="N2485" s="1" t="s">
        <v>40</v>
      </c>
      <c r="O2485" s="1">
        <v>7500.0</v>
      </c>
      <c r="P2485" s="1" t="s">
        <v>40</v>
      </c>
      <c r="Q2485" s="1" t="str">
        <f>IF(ISERROR(VLOOKUP(P2485,'unique fed agency names'!A:C,3,FALSE)),P2485,VLOOKUP(P2485,'unique fed agency names'!A:C,3,FALSE))
</f>
        <v>U.S. Department of Health and Human Services (DHHS)</v>
      </c>
      <c r="R2485" s="1">
        <v>1.7406606E7</v>
      </c>
      <c r="S2485" s="1" t="s">
        <v>1574</v>
      </c>
      <c r="T2485" s="1" t="str">
        <f>IF(ISERROR(VLOOKUP(S2485,'unique org names'!A:C,3,FALSE)),S2485,VLOOKUP(S2485,'unique org names'!A:C,3,FALSE))
</f>
        <v>Detroit Health Dept</v>
      </c>
      <c r="U2485" s="1" t="s">
        <v>2014</v>
      </c>
      <c r="V2485" s="1" t="s">
        <v>1575</v>
      </c>
      <c r="W2485" s="1" t="s">
        <v>44</v>
      </c>
      <c r="X2485" s="1" t="s">
        <v>45</v>
      </c>
      <c r="Y2485" s="1">
        <v>4.82282826E8</v>
      </c>
      <c r="AA2485" s="1" t="s">
        <v>46</v>
      </c>
      <c r="AB2485" s="1" t="s">
        <v>45</v>
      </c>
      <c r="AC2485" s="1">
        <v>4.82282826E8</v>
      </c>
      <c r="AD2485" s="1">
        <v>7.4250242E7</v>
      </c>
      <c r="AE2485" s="1" t="s">
        <v>4084</v>
      </c>
      <c r="AF2485" s="1">
        <v>217556.0</v>
      </c>
      <c r="AG2485" s="2">
        <v>41913.0</v>
      </c>
      <c r="AH2485" s="1">
        <v>7500.0</v>
      </c>
      <c r="AI2485" s="1" t="s">
        <v>40</v>
      </c>
      <c r="AJ2485" s="1">
        <v>2.0151729E7</v>
      </c>
      <c r="AK2485" s="1" t="s">
        <v>4035</v>
      </c>
      <c r="AL2485" s="1">
        <v>10.0</v>
      </c>
      <c r="AM2485" s="1">
        <v>2011.0</v>
      </c>
      <c r="AN2485" s="1">
        <v>2015.0</v>
      </c>
      <c r="AO2485" s="1" t="s">
        <v>4036</v>
      </c>
    </row>
    <row r="2486">
      <c r="A2486" s="5">
        <v>1.0</v>
      </c>
      <c r="B2486" s="1">
        <f t="shared" si="1"/>
        <v>2486</v>
      </c>
      <c r="C2486" s="1" t="s">
        <v>4033</v>
      </c>
      <c r="D2486" s="1" t="s">
        <v>4033</v>
      </c>
      <c r="E2486" s="1" t="s">
        <v>63</v>
      </c>
      <c r="G2486" s="1">
        <v>7.6172144E7</v>
      </c>
      <c r="H2486" s="2">
        <v>41548.0</v>
      </c>
      <c r="I2486" s="1" t="s">
        <v>4034</v>
      </c>
      <c r="K2486" s="1" t="s">
        <v>4034</v>
      </c>
      <c r="N2486" s="1" t="s">
        <v>40</v>
      </c>
      <c r="O2486" s="1">
        <v>7500.0</v>
      </c>
      <c r="P2486" s="1" t="s">
        <v>40</v>
      </c>
      <c r="Q2486" s="1" t="str">
        <f>IF(ISERROR(VLOOKUP(P2486,'unique fed agency names'!A:C,3,FALSE)),P2486,VLOOKUP(P2486,'unique fed agency names'!A:C,3,FALSE))
</f>
        <v>U.S. Department of Health and Human Services (DHHS)</v>
      </c>
      <c r="R2486" s="1">
        <v>1962224.0</v>
      </c>
      <c r="S2486" s="1" t="s">
        <v>52</v>
      </c>
      <c r="T2486" s="1" t="str">
        <f>IF(ISERROR(VLOOKUP(S2486,'unique org names'!A:C,3,FALSE)),S2486,VLOOKUP(S2486,'unique org names'!A:C,3,FALSE))
</f>
        <v>WAYNE STATE UNIVERSITY</v>
      </c>
      <c r="U2486" s="1" t="s">
        <v>4037</v>
      </c>
      <c r="V2486" s="1" t="s">
        <v>1885</v>
      </c>
      <c r="W2486" s="1" t="s">
        <v>44</v>
      </c>
      <c r="X2486" s="1" t="s">
        <v>45</v>
      </c>
      <c r="Y2486" s="1">
        <v>4.82021347E8</v>
      </c>
      <c r="AA2486" s="1" t="s">
        <v>46</v>
      </c>
      <c r="AB2486" s="1" t="s">
        <v>45</v>
      </c>
      <c r="AC2486" s="1">
        <v>4.82023692E8</v>
      </c>
      <c r="AD2486" s="1">
        <v>1962224.0</v>
      </c>
      <c r="AE2486" s="1" t="s">
        <v>52</v>
      </c>
      <c r="AF2486" s="1">
        <v>0.0</v>
      </c>
      <c r="AG2486" s="2">
        <v>41548.0</v>
      </c>
      <c r="AH2486" s="1">
        <v>7500.0</v>
      </c>
      <c r="AI2486" s="1" t="s">
        <v>40</v>
      </c>
      <c r="AJ2486" s="1">
        <v>2.0141507E7</v>
      </c>
      <c r="AK2486" s="1" t="s">
        <v>4035</v>
      </c>
      <c r="AL2486" s="1">
        <v>10.0</v>
      </c>
      <c r="AM2486" s="1">
        <v>2011.0</v>
      </c>
      <c r="AN2486" s="1">
        <v>2014.0</v>
      </c>
      <c r="AO2486" s="1" t="s">
        <v>4036</v>
      </c>
    </row>
    <row r="2487">
      <c r="A2487" s="5">
        <v>1.0</v>
      </c>
      <c r="B2487" s="1">
        <f t="shared" si="1"/>
        <v>2487</v>
      </c>
      <c r="C2487" s="1" t="s">
        <v>4033</v>
      </c>
      <c r="D2487" s="1" t="s">
        <v>4033</v>
      </c>
      <c r="E2487" s="1" t="s">
        <v>63</v>
      </c>
      <c r="G2487" s="1">
        <v>7.6172144E7</v>
      </c>
      <c r="H2487" s="2">
        <v>41548.0</v>
      </c>
      <c r="I2487" s="1" t="s">
        <v>4034</v>
      </c>
      <c r="K2487" s="1" t="s">
        <v>4034</v>
      </c>
      <c r="N2487" s="1" t="s">
        <v>40</v>
      </c>
      <c r="O2487" s="1">
        <v>7500.0</v>
      </c>
      <c r="P2487" s="1" t="s">
        <v>40</v>
      </c>
      <c r="Q2487" s="1" t="str">
        <f>IF(ISERROR(VLOOKUP(P2487,'unique fed agency names'!A:C,3,FALSE)),P2487,VLOOKUP(P2487,'unique fed agency names'!A:C,3,FALSE))
</f>
        <v>U.S. Department of Health and Human Services (DHHS)</v>
      </c>
      <c r="R2487" s="1">
        <v>1.7406606E7</v>
      </c>
      <c r="S2487" s="1" t="s">
        <v>1574</v>
      </c>
      <c r="T2487" s="1" t="str">
        <f>IF(ISERROR(VLOOKUP(S2487,'unique org names'!A:C,3,FALSE)),S2487,VLOOKUP(S2487,'unique org names'!A:C,3,FALSE))
</f>
        <v>Detroit Health Dept</v>
      </c>
      <c r="U2487" s="1" t="s">
        <v>4085</v>
      </c>
      <c r="V2487" s="1" t="s">
        <v>1575</v>
      </c>
      <c r="W2487" s="1" t="s">
        <v>44</v>
      </c>
      <c r="X2487" s="1" t="s">
        <v>45</v>
      </c>
      <c r="Y2487" s="1">
        <v>4.82282826E8</v>
      </c>
      <c r="AA2487" s="1" t="s">
        <v>46</v>
      </c>
      <c r="AB2487" s="1" t="s">
        <v>45</v>
      </c>
      <c r="AC2487" s="1">
        <v>4.82282826E8</v>
      </c>
      <c r="AD2487" s="1">
        <v>6.9823615E7</v>
      </c>
      <c r="AE2487" s="1" t="s">
        <v>4086</v>
      </c>
      <c r="AF2487" s="1">
        <v>154906.0</v>
      </c>
      <c r="AG2487" s="2">
        <v>41548.0</v>
      </c>
      <c r="AH2487" s="1">
        <v>7500.0</v>
      </c>
      <c r="AI2487" s="1" t="s">
        <v>40</v>
      </c>
      <c r="AJ2487" s="1">
        <v>2.0141454E7</v>
      </c>
      <c r="AK2487" s="1" t="s">
        <v>4035</v>
      </c>
      <c r="AL2487" s="1">
        <v>10.0</v>
      </c>
      <c r="AM2487" s="1">
        <v>2011.0</v>
      </c>
      <c r="AN2487" s="1">
        <v>2014.0</v>
      </c>
      <c r="AO2487" s="1" t="s">
        <v>4036</v>
      </c>
    </row>
    <row r="2488">
      <c r="A2488" s="5">
        <v>1.0</v>
      </c>
      <c r="B2488" s="1">
        <f t="shared" si="1"/>
        <v>2488</v>
      </c>
      <c r="C2488" s="1" t="s">
        <v>4033</v>
      </c>
      <c r="D2488" s="1" t="s">
        <v>4033</v>
      </c>
      <c r="E2488" s="1" t="s">
        <v>63</v>
      </c>
      <c r="G2488" s="1">
        <v>7.6172144E7</v>
      </c>
      <c r="H2488" s="2">
        <v>41183.0</v>
      </c>
      <c r="I2488" s="1" t="s">
        <v>4034</v>
      </c>
      <c r="K2488" s="1" t="s">
        <v>4034</v>
      </c>
      <c r="N2488" s="1" t="s">
        <v>40</v>
      </c>
      <c r="O2488" s="1">
        <v>7500.0</v>
      </c>
      <c r="P2488" s="1" t="s">
        <v>40</v>
      </c>
      <c r="Q2488" s="1" t="str">
        <f>IF(ISERROR(VLOOKUP(P2488,'unique fed agency names'!A:C,3,FALSE)),P2488,VLOOKUP(P2488,'unique fed agency names'!A:C,3,FALSE))
</f>
        <v>U.S. Department of Health and Human Services (DHHS)</v>
      </c>
      <c r="R2488" s="1">
        <v>1962224.0</v>
      </c>
      <c r="S2488" s="1" t="s">
        <v>52</v>
      </c>
      <c r="T2488" s="1" t="str">
        <f>IF(ISERROR(VLOOKUP(S2488,'unique org names'!A:C,3,FALSE)),S2488,VLOOKUP(S2488,'unique org names'!A:C,3,FALSE))
</f>
        <v>WAYNE STATE UNIVERSITY</v>
      </c>
      <c r="U2488" s="1" t="s">
        <v>4032</v>
      </c>
      <c r="V2488" s="1" t="s">
        <v>1885</v>
      </c>
      <c r="W2488" s="1" t="s">
        <v>44</v>
      </c>
      <c r="X2488" s="1" t="s">
        <v>45</v>
      </c>
      <c r="Y2488" s="1">
        <v>4.82021347E8</v>
      </c>
      <c r="AA2488" s="1" t="s">
        <v>46</v>
      </c>
      <c r="AB2488" s="1" t="s">
        <v>45</v>
      </c>
      <c r="AC2488" s="1">
        <v>4.82023692E8</v>
      </c>
      <c r="AD2488" s="1">
        <v>1962224.0</v>
      </c>
      <c r="AE2488" s="1" t="s">
        <v>52</v>
      </c>
      <c r="AF2488" s="1">
        <v>50000.0</v>
      </c>
      <c r="AG2488" s="2">
        <v>41183.0</v>
      </c>
      <c r="AH2488" s="1">
        <v>7500.0</v>
      </c>
      <c r="AI2488" s="1" t="s">
        <v>40</v>
      </c>
      <c r="AJ2488" s="1">
        <v>2.0131058E7</v>
      </c>
      <c r="AK2488" s="1" t="s">
        <v>4035</v>
      </c>
      <c r="AL2488" s="1">
        <v>10.0</v>
      </c>
      <c r="AM2488" s="1">
        <v>2011.0</v>
      </c>
      <c r="AN2488" s="1">
        <v>2013.0</v>
      </c>
      <c r="AO2488" s="1" t="s">
        <v>4036</v>
      </c>
    </row>
    <row r="2489">
      <c r="A2489" s="5">
        <v>1.0</v>
      </c>
      <c r="B2489" s="1">
        <f t="shared" si="1"/>
        <v>2489</v>
      </c>
      <c r="C2489" s="1" t="s">
        <v>4033</v>
      </c>
      <c r="D2489" s="1" t="s">
        <v>4033</v>
      </c>
      <c r="E2489" s="1" t="s">
        <v>63</v>
      </c>
      <c r="G2489" s="1">
        <v>7.6172144E7</v>
      </c>
      <c r="H2489" s="2">
        <v>41183.0</v>
      </c>
      <c r="I2489" s="1" t="s">
        <v>4034</v>
      </c>
      <c r="K2489" s="1" t="s">
        <v>4034</v>
      </c>
      <c r="N2489" s="1" t="s">
        <v>40</v>
      </c>
      <c r="O2489" s="1">
        <v>7500.0</v>
      </c>
      <c r="P2489" s="1" t="s">
        <v>40</v>
      </c>
      <c r="Q2489" s="1" t="str">
        <f>IF(ISERROR(VLOOKUP(P2489,'unique fed agency names'!A:C,3,FALSE)),P2489,VLOOKUP(P2489,'unique fed agency names'!A:C,3,FALSE))
</f>
        <v>U.S. Department of Health and Human Services (DHHS)</v>
      </c>
      <c r="R2489" s="1">
        <v>7.8583404E7</v>
      </c>
      <c r="S2489" s="1" t="s">
        <v>65</v>
      </c>
      <c r="T2489" s="1" t="str">
        <f>IF(ISERROR(VLOOKUP(S2489,'unique org names'!A:C,3,FALSE)),S2489,VLOOKUP(S2489,'unique org names'!A:C,3,FALSE))
</f>
        <v>Institute for Population Health Inc.</v>
      </c>
      <c r="U2489" s="1" t="s">
        <v>2014</v>
      </c>
      <c r="V2489" s="1" t="s">
        <v>1573</v>
      </c>
      <c r="W2489" s="1" t="s">
        <v>44</v>
      </c>
      <c r="X2489" s="1" t="s">
        <v>45</v>
      </c>
      <c r="Y2489" s="1">
        <v>4.8207311E8</v>
      </c>
      <c r="AA2489" s="1" t="s">
        <v>46</v>
      </c>
      <c r="AB2489" s="1" t="s">
        <v>45</v>
      </c>
      <c r="AC2489" s="1">
        <v>4.82021732E8</v>
      </c>
      <c r="AD2489" s="1">
        <v>8.6183175E7</v>
      </c>
      <c r="AE2489" s="1" t="s">
        <v>2776</v>
      </c>
      <c r="AF2489" s="1">
        <v>29674.0</v>
      </c>
      <c r="AG2489" s="2">
        <v>41183.0</v>
      </c>
      <c r="AH2489" s="1">
        <v>7500.0</v>
      </c>
      <c r="AI2489" s="1" t="s">
        <v>40</v>
      </c>
      <c r="AJ2489" s="1">
        <v>2.01304E7</v>
      </c>
      <c r="AK2489" s="1" t="s">
        <v>4035</v>
      </c>
      <c r="AL2489" s="1">
        <v>10.0</v>
      </c>
      <c r="AM2489" s="1">
        <v>2011.0</v>
      </c>
      <c r="AN2489" s="1">
        <v>2013.0</v>
      </c>
      <c r="AO2489" s="1" t="s">
        <v>4036</v>
      </c>
    </row>
    <row r="2490">
      <c r="A2490" s="5">
        <v>1.0</v>
      </c>
      <c r="B2490" s="1">
        <f t="shared" si="1"/>
        <v>2490</v>
      </c>
      <c r="C2490" s="1" t="s">
        <v>4033</v>
      </c>
      <c r="D2490" s="1" t="s">
        <v>4033</v>
      </c>
      <c r="E2490" s="1" t="s">
        <v>63</v>
      </c>
      <c r="G2490" s="1">
        <v>7.6172144E7</v>
      </c>
      <c r="H2490" s="2">
        <v>41183.0</v>
      </c>
      <c r="I2490" s="1" t="s">
        <v>4034</v>
      </c>
      <c r="K2490" s="1" t="s">
        <v>4034</v>
      </c>
      <c r="N2490" s="1" t="s">
        <v>40</v>
      </c>
      <c r="O2490" s="1">
        <v>7500.0</v>
      </c>
      <c r="P2490" s="1" t="s">
        <v>40</v>
      </c>
      <c r="Q2490" s="1" t="str">
        <f>IF(ISERROR(VLOOKUP(P2490,'unique fed agency names'!A:C,3,FALSE)),P2490,VLOOKUP(P2490,'unique fed agency names'!A:C,3,FALSE))
</f>
        <v>U.S. Department of Health and Human Services (DHHS)</v>
      </c>
      <c r="R2490" s="1">
        <v>1962224.0</v>
      </c>
      <c r="S2490" s="1" t="s">
        <v>52</v>
      </c>
      <c r="T2490" s="1" t="str">
        <f>IF(ISERROR(VLOOKUP(S2490,'unique org names'!A:C,3,FALSE)),S2490,VLOOKUP(S2490,'unique org names'!A:C,3,FALSE))
</f>
        <v>WAYNE STATE UNIVERSITY</v>
      </c>
      <c r="U2490" s="1" t="s">
        <v>2309</v>
      </c>
      <c r="V2490" s="1" t="s">
        <v>1885</v>
      </c>
      <c r="W2490" s="1" t="s">
        <v>44</v>
      </c>
      <c r="X2490" s="1" t="s">
        <v>45</v>
      </c>
      <c r="Y2490" s="1">
        <v>4.82021347E8</v>
      </c>
      <c r="AA2490" s="1" t="s">
        <v>46</v>
      </c>
      <c r="AB2490" s="1" t="s">
        <v>45</v>
      </c>
      <c r="AC2490" s="1">
        <v>4.82023692E8</v>
      </c>
      <c r="AD2490" s="1">
        <v>1962224.0</v>
      </c>
      <c r="AE2490" s="1" t="s">
        <v>52</v>
      </c>
      <c r="AF2490" s="1">
        <v>30000.0</v>
      </c>
      <c r="AG2490" s="2">
        <v>41183.0</v>
      </c>
      <c r="AH2490" s="1">
        <v>7500.0</v>
      </c>
      <c r="AI2490" s="1" t="s">
        <v>40</v>
      </c>
      <c r="AJ2490" s="1">
        <v>2.0131058E7</v>
      </c>
      <c r="AK2490" s="1" t="s">
        <v>4035</v>
      </c>
      <c r="AL2490" s="1">
        <v>10.0</v>
      </c>
      <c r="AM2490" s="1">
        <v>2011.0</v>
      </c>
      <c r="AN2490" s="1">
        <v>2013.0</v>
      </c>
      <c r="AO2490" s="1" t="s">
        <v>4036</v>
      </c>
    </row>
    <row r="2491">
      <c r="A2491" s="5">
        <v>1.0</v>
      </c>
      <c r="B2491" s="1">
        <f t="shared" si="1"/>
        <v>2491</v>
      </c>
      <c r="C2491" s="1" t="s">
        <v>4033</v>
      </c>
      <c r="D2491" s="1" t="s">
        <v>4033</v>
      </c>
      <c r="E2491" s="1" t="s">
        <v>63</v>
      </c>
      <c r="G2491" s="1">
        <v>7.6172144E7</v>
      </c>
      <c r="H2491" s="2">
        <v>41183.0</v>
      </c>
      <c r="I2491" s="1" t="s">
        <v>4034</v>
      </c>
      <c r="K2491" s="1" t="s">
        <v>4034</v>
      </c>
      <c r="N2491" s="1" t="s">
        <v>40</v>
      </c>
      <c r="O2491" s="1">
        <v>7500.0</v>
      </c>
      <c r="P2491" s="1" t="s">
        <v>40</v>
      </c>
      <c r="Q2491" s="1" t="str">
        <f>IF(ISERROR(VLOOKUP(P2491,'unique fed agency names'!A:C,3,FALSE)),P2491,VLOOKUP(P2491,'unique fed agency names'!A:C,3,FALSE))
</f>
        <v>U.S. Department of Health and Human Services (DHHS)</v>
      </c>
      <c r="R2491" s="1">
        <v>7.8583404E7</v>
      </c>
      <c r="S2491" s="1" t="s">
        <v>65</v>
      </c>
      <c r="T2491" s="1" t="str">
        <f>IF(ISERROR(VLOOKUP(S2491,'unique org names'!A:C,3,FALSE)),S2491,VLOOKUP(S2491,'unique org names'!A:C,3,FALSE))
</f>
        <v>Institute for Population Health Inc.</v>
      </c>
      <c r="U2491" s="1" t="s">
        <v>4087</v>
      </c>
      <c r="V2491" s="1" t="s">
        <v>1573</v>
      </c>
      <c r="W2491" s="1" t="s">
        <v>44</v>
      </c>
      <c r="X2491" s="1" t="s">
        <v>45</v>
      </c>
      <c r="Y2491" s="1">
        <v>4.8207311E8</v>
      </c>
      <c r="AA2491" s="1" t="s">
        <v>46</v>
      </c>
      <c r="AB2491" s="1" t="s">
        <v>45</v>
      </c>
      <c r="AC2491" s="1">
        <v>4.82021732E8</v>
      </c>
      <c r="AD2491" s="1">
        <v>3.0188288E7</v>
      </c>
      <c r="AE2491" s="1" t="s">
        <v>4088</v>
      </c>
      <c r="AF2491" s="1">
        <v>197374.0</v>
      </c>
      <c r="AG2491" s="2">
        <v>41183.0</v>
      </c>
      <c r="AH2491" s="1">
        <v>7500.0</v>
      </c>
      <c r="AI2491" s="1" t="s">
        <v>40</v>
      </c>
      <c r="AJ2491" s="1">
        <v>2.01304E7</v>
      </c>
      <c r="AK2491" s="1" t="s">
        <v>4035</v>
      </c>
      <c r="AL2491" s="1">
        <v>10.0</v>
      </c>
      <c r="AM2491" s="1">
        <v>2011.0</v>
      </c>
      <c r="AN2491" s="1">
        <v>2013.0</v>
      </c>
      <c r="AO2491" s="1" t="s">
        <v>4036</v>
      </c>
    </row>
    <row r="2492">
      <c r="A2492" s="5">
        <v>1.0</v>
      </c>
      <c r="B2492" s="1">
        <f t="shared" si="1"/>
        <v>2492</v>
      </c>
      <c r="C2492" s="1" t="s">
        <v>4074</v>
      </c>
      <c r="D2492" s="1" t="s">
        <v>4074</v>
      </c>
      <c r="E2492" s="1" t="s">
        <v>159</v>
      </c>
      <c r="G2492" s="1">
        <v>1.8873668E7</v>
      </c>
      <c r="H2492" s="2">
        <v>41548.0</v>
      </c>
      <c r="I2492" s="1" t="s">
        <v>2683</v>
      </c>
      <c r="K2492" s="1" t="s">
        <v>2683</v>
      </c>
      <c r="N2492" s="1" t="s">
        <v>40</v>
      </c>
      <c r="O2492" s="1">
        <v>7500.0</v>
      </c>
      <c r="P2492" s="1" t="s">
        <v>40</v>
      </c>
      <c r="Q2492" s="1" t="str">
        <f>IF(ISERROR(VLOOKUP(P2492,'unique fed agency names'!A:C,3,FALSE)),P2492,VLOOKUP(P2492,'unique fed agency names'!A:C,3,FALSE))
</f>
        <v>U.S. Department of Health and Human Services (DHHS)</v>
      </c>
      <c r="R2492" s="1">
        <v>7.3135402E7</v>
      </c>
      <c r="S2492" s="1" t="s">
        <v>152</v>
      </c>
      <c r="T2492" s="1" t="str">
        <f>IF(ISERROR(VLOOKUP(S2492,'unique org names'!A:C,3,FALSE)),S2492,VLOOKUP(S2492,'unique org names'!A:C,3,FALSE))
</f>
        <v>UNIVERSITY OF DETROIT MERCY</v>
      </c>
      <c r="U2492" s="1" t="s">
        <v>153</v>
      </c>
      <c r="V2492" s="1" t="s">
        <v>154</v>
      </c>
      <c r="W2492" s="1" t="s">
        <v>44</v>
      </c>
      <c r="X2492" s="1" t="s">
        <v>45</v>
      </c>
      <c r="Y2492" s="1">
        <v>4.82213038E8</v>
      </c>
      <c r="AA2492" s="1" t="s">
        <v>46</v>
      </c>
      <c r="AB2492" s="1" t="s">
        <v>45</v>
      </c>
      <c r="AC2492" s="1">
        <v>4.82213038E8</v>
      </c>
      <c r="AD2492" s="1">
        <v>7.3135402E7</v>
      </c>
      <c r="AE2492" s="1" t="s">
        <v>152</v>
      </c>
      <c r="AF2492" s="1">
        <v>59589.0</v>
      </c>
      <c r="AG2492" s="2">
        <v>41548.0</v>
      </c>
      <c r="AH2492" s="1">
        <v>7500.0</v>
      </c>
      <c r="AI2492" s="1" t="s">
        <v>40</v>
      </c>
      <c r="AJ2492" s="1">
        <v>2.0140307E7</v>
      </c>
      <c r="AK2492" s="1" t="s">
        <v>2683</v>
      </c>
      <c r="AL2492" s="1">
        <v>10.0</v>
      </c>
      <c r="AM2492" s="1">
        <v>2013.0</v>
      </c>
      <c r="AN2492" s="1">
        <v>2014.0</v>
      </c>
      <c r="AO2492" s="1" t="s">
        <v>2684</v>
      </c>
    </row>
    <row r="2493">
      <c r="A2493" s="5">
        <v>1.0</v>
      </c>
      <c r="B2493" s="1">
        <f t="shared" si="1"/>
        <v>2493</v>
      </c>
      <c r="C2493" s="1" t="s">
        <v>4075</v>
      </c>
      <c r="D2493" s="1" t="s">
        <v>4075</v>
      </c>
      <c r="E2493" s="1" t="s">
        <v>159</v>
      </c>
      <c r="G2493" s="1">
        <v>3715555.0</v>
      </c>
      <c r="H2493" s="2">
        <v>41913.0</v>
      </c>
      <c r="I2493" s="1" t="s">
        <v>2683</v>
      </c>
      <c r="K2493" s="1" t="s">
        <v>2683</v>
      </c>
      <c r="N2493" s="1" t="s">
        <v>40</v>
      </c>
      <c r="O2493" s="1">
        <v>7500.0</v>
      </c>
      <c r="P2493" s="1" t="s">
        <v>40</v>
      </c>
      <c r="Q2493" s="1" t="str">
        <f>IF(ISERROR(VLOOKUP(P2493,'unique fed agency names'!A:C,3,FALSE)),P2493,VLOOKUP(P2493,'unique fed agency names'!A:C,3,FALSE))
</f>
        <v>U.S. Department of Health and Human Services (DHHS)</v>
      </c>
      <c r="R2493" s="1">
        <v>3.6094215E8</v>
      </c>
      <c r="S2493" s="1" t="s">
        <v>2861</v>
      </c>
      <c r="T2493" s="1" t="str">
        <f>IF(ISERROR(VLOOKUP(S2493,'unique org names'!A:C,3,FALSE)),S2493,VLOOKUP(S2493,'unique org names'!A:C,3,FALSE))
</f>
        <v>Covenant Community Care, Inc</v>
      </c>
      <c r="V2493" s="1" t="s">
        <v>2862</v>
      </c>
      <c r="W2493" s="1" t="s">
        <v>44</v>
      </c>
      <c r="X2493" s="1" t="s">
        <v>45</v>
      </c>
      <c r="Y2493" s="1">
        <v>4.821622E8</v>
      </c>
      <c r="AA2493" s="1" t="s">
        <v>46</v>
      </c>
      <c r="AB2493" s="1" t="s">
        <v>45</v>
      </c>
      <c r="AC2493" s="1">
        <v>4.821622E8</v>
      </c>
      <c r="AD2493" s="1">
        <v>3.6094215E8</v>
      </c>
      <c r="AE2493" s="1" t="s">
        <v>2861</v>
      </c>
      <c r="AF2493" s="1">
        <v>25168.24</v>
      </c>
      <c r="AG2493" s="2">
        <v>41913.0</v>
      </c>
      <c r="AH2493" s="1">
        <v>7500.0</v>
      </c>
      <c r="AI2493" s="1" t="s">
        <v>40</v>
      </c>
      <c r="AJ2493" s="1">
        <v>2.01502E7</v>
      </c>
      <c r="AK2493" s="1" t="s">
        <v>2683</v>
      </c>
      <c r="AL2493" s="1">
        <v>10.0</v>
      </c>
      <c r="AM2493" s="1">
        <v>2014.0</v>
      </c>
      <c r="AN2493" s="1">
        <v>2015.0</v>
      </c>
      <c r="AO2493" s="1" t="s">
        <v>2684</v>
      </c>
    </row>
    <row r="2494">
      <c r="A2494" s="5">
        <v>1.0</v>
      </c>
      <c r="B2494" s="1">
        <f t="shared" si="1"/>
        <v>2494</v>
      </c>
      <c r="C2494" s="1" t="s">
        <v>4060</v>
      </c>
      <c r="D2494" s="1" t="s">
        <v>4060</v>
      </c>
      <c r="E2494" s="1" t="s">
        <v>63</v>
      </c>
      <c r="G2494" s="1">
        <v>2.0576556E7</v>
      </c>
      <c r="H2494" s="2">
        <v>41548.0</v>
      </c>
      <c r="I2494" s="1" t="s">
        <v>4061</v>
      </c>
      <c r="K2494" s="1" t="s">
        <v>4061</v>
      </c>
      <c r="N2494" s="1" t="s">
        <v>40</v>
      </c>
      <c r="O2494" s="1">
        <v>7500.0</v>
      </c>
      <c r="P2494" s="1" t="s">
        <v>40</v>
      </c>
      <c r="Q2494" s="1" t="str">
        <f>IF(ISERROR(VLOOKUP(P2494,'unique fed agency names'!A:C,3,FALSE)),P2494,VLOOKUP(P2494,'unique fed agency names'!A:C,3,FALSE))
</f>
        <v>U.S. Department of Health and Human Services (DHHS)</v>
      </c>
      <c r="R2494" s="1">
        <v>1.7406606E7</v>
      </c>
      <c r="S2494" s="1" t="s">
        <v>1574</v>
      </c>
      <c r="T2494" s="1" t="str">
        <f>IF(ISERROR(VLOOKUP(S2494,'unique org names'!A:C,3,FALSE)),S2494,VLOOKUP(S2494,'unique org names'!A:C,3,FALSE))
</f>
        <v>Detroit Health Dept</v>
      </c>
      <c r="V2494" s="1" t="s">
        <v>1575</v>
      </c>
      <c r="W2494" s="1" t="s">
        <v>44</v>
      </c>
      <c r="X2494" s="1" t="s">
        <v>45</v>
      </c>
      <c r="Y2494" s="1">
        <v>4.82282826E8</v>
      </c>
      <c r="AA2494" s="1" t="s">
        <v>46</v>
      </c>
      <c r="AB2494" s="1" t="s">
        <v>45</v>
      </c>
      <c r="AC2494" s="1">
        <v>4.82282826E8</v>
      </c>
      <c r="AD2494" s="1">
        <v>8.8328877E7</v>
      </c>
      <c r="AE2494" s="1" t="s">
        <v>2774</v>
      </c>
      <c r="AF2494" s="1">
        <v>81214.0</v>
      </c>
      <c r="AG2494" s="2">
        <v>41548.0</v>
      </c>
      <c r="AH2494" s="1">
        <v>7500.0</v>
      </c>
      <c r="AI2494" s="1" t="s">
        <v>40</v>
      </c>
      <c r="AJ2494" s="1">
        <v>2.0141454E7</v>
      </c>
      <c r="AK2494" s="1" t="s">
        <v>375</v>
      </c>
      <c r="AL2494" s="1">
        <v>10.0</v>
      </c>
      <c r="AM2494" s="1">
        <v>2012.0</v>
      </c>
      <c r="AN2494" s="1">
        <v>2014.0</v>
      </c>
      <c r="AO2494" s="1" t="s">
        <v>4062</v>
      </c>
    </row>
    <row r="2495">
      <c r="A2495" s="5">
        <v>1.0</v>
      </c>
      <c r="B2495" s="1">
        <f t="shared" si="1"/>
        <v>2495</v>
      </c>
      <c r="C2495" s="1" t="s">
        <v>4089</v>
      </c>
      <c r="D2495" s="1" t="s">
        <v>4089</v>
      </c>
      <c r="E2495" s="1" t="s">
        <v>63</v>
      </c>
      <c r="G2495" s="1">
        <v>2556989.0</v>
      </c>
      <c r="H2495" s="2">
        <v>41183.0</v>
      </c>
      <c r="I2495" s="1" t="s">
        <v>4090</v>
      </c>
      <c r="K2495" s="1" t="s">
        <v>4090</v>
      </c>
      <c r="N2495" s="1" t="s">
        <v>40</v>
      </c>
      <c r="O2495" s="1">
        <v>7500.0</v>
      </c>
      <c r="P2495" s="1" t="s">
        <v>40</v>
      </c>
      <c r="Q2495" s="1" t="str">
        <f>IF(ISERROR(VLOOKUP(P2495,'unique fed agency names'!A:C,3,FALSE)),P2495,VLOOKUP(P2495,'unique fed agency names'!A:C,3,FALSE))
</f>
        <v>U.S. Department of Health and Human Services (DHHS)</v>
      </c>
      <c r="R2495" s="1">
        <v>7.8583404E7</v>
      </c>
      <c r="S2495" s="1" t="s">
        <v>65</v>
      </c>
      <c r="T2495" s="1" t="str">
        <f>IF(ISERROR(VLOOKUP(S2495,'unique org names'!A:C,3,FALSE)),S2495,VLOOKUP(S2495,'unique org names'!A:C,3,FALSE))
</f>
        <v>Institute for Population Health Inc.</v>
      </c>
      <c r="V2495" s="1" t="s">
        <v>1573</v>
      </c>
      <c r="W2495" s="1" t="s">
        <v>44</v>
      </c>
      <c r="X2495" s="1" t="s">
        <v>45</v>
      </c>
      <c r="Y2495" s="1">
        <v>4.8207311E8</v>
      </c>
      <c r="AA2495" s="1" t="s">
        <v>46</v>
      </c>
      <c r="AB2495" s="1" t="s">
        <v>45</v>
      </c>
      <c r="AC2495" s="1">
        <v>4.82021732E8</v>
      </c>
      <c r="AF2495" s="1">
        <v>6750.0</v>
      </c>
      <c r="AG2495" s="2">
        <v>41183.0</v>
      </c>
      <c r="AH2495" s="1">
        <v>7500.0</v>
      </c>
      <c r="AI2495" s="1" t="s">
        <v>40</v>
      </c>
      <c r="AJ2495" s="1">
        <v>2.01304E7</v>
      </c>
      <c r="AK2495" s="1" t="s">
        <v>67</v>
      </c>
      <c r="AL2495" s="1">
        <v>10.0</v>
      </c>
      <c r="AM2495" s="1">
        <v>2012.0</v>
      </c>
      <c r="AN2495" s="1">
        <v>2013.0</v>
      </c>
      <c r="AO2495" s="1" t="s">
        <v>4066</v>
      </c>
    </row>
    <row r="2496">
      <c r="A2496" s="5">
        <v>1.0</v>
      </c>
      <c r="B2496" s="1">
        <f t="shared" si="1"/>
        <v>2496</v>
      </c>
      <c r="C2496" s="1" t="s">
        <v>4074</v>
      </c>
      <c r="D2496" s="1" t="s">
        <v>4074</v>
      </c>
      <c r="E2496" s="1" t="s">
        <v>159</v>
      </c>
      <c r="G2496" s="1">
        <v>1.8873668E7</v>
      </c>
      <c r="H2496" s="2">
        <v>41548.0</v>
      </c>
      <c r="I2496" s="1" t="s">
        <v>2683</v>
      </c>
      <c r="K2496" s="1" t="s">
        <v>2683</v>
      </c>
      <c r="N2496" s="1" t="s">
        <v>40</v>
      </c>
      <c r="O2496" s="1">
        <v>7500.0</v>
      </c>
      <c r="P2496" s="1" t="s">
        <v>40</v>
      </c>
      <c r="Q2496" s="1" t="str">
        <f>IF(ISERROR(VLOOKUP(P2496,'unique fed agency names'!A:C,3,FALSE)),P2496,VLOOKUP(P2496,'unique fed agency names'!A:C,3,FALSE))
</f>
        <v>U.S. Department of Health and Human Services (DHHS)</v>
      </c>
      <c r="R2496" s="1">
        <v>3.8775243E7</v>
      </c>
      <c r="S2496" s="1" t="s">
        <v>209</v>
      </c>
      <c r="T2496" s="1" t="str">
        <f>IF(ISERROR(VLOOKUP(S2496,'unique org names'!A:C,3,FALSE)),S2496,VLOOKUP(S2496,'unique org names'!A:C,3,FALSE))
</f>
        <v>SOUTHEASTERN MICHIGAN HEALTH ASSOCIATION</v>
      </c>
      <c r="U2496" s="1" t="s">
        <v>210</v>
      </c>
      <c r="V2496" s="1" t="s">
        <v>211</v>
      </c>
      <c r="W2496" s="1" t="s">
        <v>44</v>
      </c>
      <c r="X2496" s="1" t="s">
        <v>45</v>
      </c>
      <c r="Y2496" s="1">
        <v>4.82023068E8</v>
      </c>
      <c r="AA2496" s="1" t="s">
        <v>46</v>
      </c>
      <c r="AB2496" s="1" t="s">
        <v>45</v>
      </c>
      <c r="AC2496" s="1">
        <v>4.82023068E8</v>
      </c>
      <c r="AD2496" s="1">
        <v>3.8775243E7</v>
      </c>
      <c r="AE2496" s="1" t="s">
        <v>209</v>
      </c>
      <c r="AF2496" s="1">
        <v>104600.0</v>
      </c>
      <c r="AG2496" s="2">
        <v>41548.0</v>
      </c>
      <c r="AH2496" s="1">
        <v>7500.0</v>
      </c>
      <c r="AI2496" s="1" t="s">
        <v>40</v>
      </c>
      <c r="AJ2496" s="1">
        <v>2.014192E7</v>
      </c>
      <c r="AK2496" s="1" t="s">
        <v>2683</v>
      </c>
      <c r="AL2496" s="1">
        <v>10.0</v>
      </c>
      <c r="AM2496" s="1">
        <v>2013.0</v>
      </c>
      <c r="AN2496" s="1">
        <v>2014.0</v>
      </c>
      <c r="AO2496" s="1" t="s">
        <v>2684</v>
      </c>
    </row>
  </sheetData>
  <autoFilter ref="$W$1:$W$2496"/>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70.0"/>
    <col customWidth="1" min="2" max="3" width="47.0"/>
    <col customWidth="1" min="5" max="5" width="6.38"/>
    <col customWidth="1" min="6" max="6" width="15.88"/>
  </cols>
  <sheetData>
    <row r="1" ht="34.5" customHeight="1">
      <c r="A1" s="1" t="s">
        <v>4095</v>
      </c>
      <c r="B1" s="6" t="s">
        <v>4096</v>
      </c>
      <c r="C1" s="7" t="s">
        <v>4097</v>
      </c>
      <c r="D1" s="1" t="s">
        <v>4098</v>
      </c>
      <c r="E1" s="1" t="s">
        <v>4099</v>
      </c>
      <c r="F1" s="1" t="s">
        <v>4100</v>
      </c>
      <c r="G1" s="1" t="s">
        <v>4101</v>
      </c>
    </row>
    <row r="2">
      <c r="A2" t="str">
        <f>IFERROR(__xludf.DUMMYFUNCTION("UNIQUE('Federal-Grants-13-15.csv'!P2:P2496)"),"HENRY FORD HEALTH SYSTEM")</f>
        <v>HENRY FORD HEALTH SYSTEM</v>
      </c>
      <c r="B2" s="6" t="s">
        <v>4102</v>
      </c>
      <c r="C2" s="6" t="str">
        <f t="shared" ref="C2:C304" si="1">if(eq(D2, "x"), A2, (if(isblank(B2),A2,B2)))</f>
        <v>Henry Ford Health System</v>
      </c>
    </row>
    <row r="3">
      <c r="A3" t="str">
        <f>IFERROR(__xludf.DUMMYFUNCTION("""COMPUTED_VALUE"""),"WAYNE STATE UNIVERSITY")</f>
        <v>WAYNE STATE UNIVERSITY</v>
      </c>
      <c r="B3" s="8"/>
      <c r="C3" s="6" t="str">
        <f t="shared" si="1"/>
        <v>WAYNE STATE UNIVERSITY</v>
      </c>
    </row>
    <row r="4">
      <c r="A4" t="str">
        <f>IFERROR(__xludf.DUMMYFUNCTION("""COMPUTED_VALUE"""),"INSTITUTUTE FOR POPULATION HEALTH, INC.")</f>
        <v>INSTITUTUTE FOR POPULATION HEALTH, INC.</v>
      </c>
      <c r="B4" s="6" t="s">
        <v>4103</v>
      </c>
      <c r="C4" s="6" t="str">
        <f t="shared" si="1"/>
        <v>Institute for Population Health Inc.</v>
      </c>
    </row>
    <row r="5">
      <c r="A5" t="str">
        <f>IFERROR(__xludf.DUMMYFUNCTION("""COMPUTED_VALUE"""),"City Of Detroit")</f>
        <v>City Of Detroit</v>
      </c>
      <c r="B5" s="8"/>
      <c r="C5" s="6" t="str">
        <f t="shared" si="1"/>
        <v>City Of Detroit</v>
      </c>
    </row>
    <row r="6">
      <c r="A6" t="str">
        <f>IFERROR(__xludf.DUMMYFUNCTION("""COMPUTED_VALUE"""),"SOUTHWEST HOUSING SOLUTIONS CORPORATION")</f>
        <v>SOUTHWEST HOUSING SOLUTIONS CORPORATION</v>
      </c>
      <c r="B6" s="8"/>
      <c r="C6" s="6" t="str">
        <f t="shared" si="1"/>
        <v>SOUTHWEST HOUSING SOLUTIONS CORPORATION</v>
      </c>
    </row>
    <row r="7">
      <c r="A7" t="str">
        <f>IFERROR(__xludf.DUMMYFUNCTION("""COMPUTED_VALUE"""),"SPHINX ORGANIZATION INC")</f>
        <v>SPHINX ORGANIZATION INC</v>
      </c>
      <c r="B7" s="6" t="s">
        <v>4104</v>
      </c>
      <c r="C7" s="6" t="str">
        <f t="shared" si="1"/>
        <v>Sphinx Organization, Inc</v>
      </c>
      <c r="F7" s="1" t="s">
        <v>4105</v>
      </c>
    </row>
    <row r="8">
      <c r="A8" t="str">
        <f>IFERROR(__xludf.DUMMYFUNCTION("""COMPUTED_VALUE"""),"GRANDMONT ROSEDALE DEVELOPMENT CORPORATION")</f>
        <v>GRANDMONT ROSEDALE DEVELOPMENT CORPORATION</v>
      </c>
      <c r="B8" s="8"/>
      <c r="C8" s="6" t="str">
        <f t="shared" si="1"/>
        <v>GRANDMONT ROSEDALE DEVELOPMENT CORPORATION</v>
      </c>
    </row>
    <row r="9">
      <c r="A9" t="str">
        <f>IFERROR(__xludf.DUMMYFUNCTION("""COMPUTED_VALUE"""),"LUTHERAN SOCIAL SERVICES OF MICHIGAN")</f>
        <v>LUTHERAN SOCIAL SERVICES OF MICHIGAN</v>
      </c>
      <c r="B9" s="8"/>
      <c r="C9" s="6" t="str">
        <f t="shared" si="1"/>
        <v>LUTHERAN SOCIAL SERVICES OF MICHIGAN</v>
      </c>
      <c r="D9" s="1" t="s">
        <v>4105</v>
      </c>
    </row>
    <row r="10">
      <c r="A10" t="str">
        <f>IFERROR(__xludf.DUMMYFUNCTION("""COMPUTED_VALUE"""),"ST JOHN COMMUNITY HEALTH INV")</f>
        <v>ST JOHN COMMUNITY HEALTH INV</v>
      </c>
      <c r="B10" s="6" t="s">
        <v>4106</v>
      </c>
      <c r="C10" s="6" t="str">
        <f t="shared" si="1"/>
        <v>St John Community Health Investment Corporation</v>
      </c>
    </row>
    <row r="11">
      <c r="A11" t="str">
        <f>IFERROR(__xludf.DUMMYFUNCTION("""COMPUTED_VALUE"""),"UNIVERSITY OF DETROIT MERCY")</f>
        <v>UNIVERSITY OF DETROIT MERCY</v>
      </c>
      <c r="B11" s="8"/>
      <c r="C11" s="6" t="str">
        <f t="shared" si="1"/>
        <v>UNIVERSITY OF DETROIT MERCY</v>
      </c>
    </row>
    <row r="12">
      <c r="A12" t="str">
        <f>IFERROR(__xludf.DUMMYFUNCTION("""COMPUTED_VALUE"""),"DETROIT AREA AGENCY ON AGING")</f>
        <v>DETROIT AREA AGENCY ON AGING</v>
      </c>
      <c r="B12" s="8"/>
      <c r="C12" s="6" t="str">
        <f t="shared" si="1"/>
        <v>DETROIT AREA AGENCY ON AGING</v>
      </c>
    </row>
    <row r="13">
      <c r="A13" t="str">
        <f>IFERROR(__xludf.DUMMYFUNCTION("""COMPUTED_VALUE"""),"DETROIT WAYNE COUNTY HEALTH AUTHORITY")</f>
        <v>DETROIT WAYNE COUNTY HEALTH AUTHORITY</v>
      </c>
      <c r="B13" s="8"/>
      <c r="C13" s="6" t="str">
        <f t="shared" si="1"/>
        <v>DETROIT WAYNE COUNTY HEALTH AUTHORITY</v>
      </c>
    </row>
    <row r="14">
      <c r="A14" t="str">
        <f>IFERROR(__xludf.DUMMYFUNCTION("""COMPUTED_VALUE"""),"BIG BROTHERS/BIG SISTERS OF METROPOLITAN DETROIT")</f>
        <v>BIG BROTHERS/BIG SISTERS OF METROPOLITAN DETROIT</v>
      </c>
      <c r="B14" s="6" t="s">
        <v>4107</v>
      </c>
      <c r="C14" s="6" t="str">
        <f t="shared" si="1"/>
        <v>Big Brothers Big Sisters of Metropolitan Detroit</v>
      </c>
      <c r="F14" s="1" t="s">
        <v>4105</v>
      </c>
    </row>
    <row r="15">
      <c r="A15" t="str">
        <f>IFERROR(__xludf.DUMMYFUNCTION("""COMPUTED_VALUE"""),"SOUTHEASTERN MICHIGAN HEALTH ASSOCIATION")</f>
        <v>SOUTHEASTERN MICHIGAN HEALTH ASSOCIATION</v>
      </c>
      <c r="B15" s="8"/>
      <c r="C15" s="6" t="str">
        <f t="shared" si="1"/>
        <v>SOUTHEASTERN MICHIGAN HEALTH ASSOCIATION</v>
      </c>
    </row>
    <row r="16">
      <c r="A16" t="str">
        <f>IFERROR(__xludf.DUMMYFUNCTION("""COMPUTED_VALUE"""),"THE DETROIT EDISON COMPANY")</f>
        <v>THE DETROIT EDISON COMPANY</v>
      </c>
      <c r="B16" s="8"/>
      <c r="C16" s="6" t="str">
        <f t="shared" si="1"/>
        <v>THE DETROIT EDISON COMPANY</v>
      </c>
      <c r="D16" s="1" t="s">
        <v>4105</v>
      </c>
    </row>
    <row r="17">
      <c r="A17" t="str">
        <f>IFERROR(__xludf.DUMMYFUNCTION("""COMPUTED_VALUE"""),"City Of Eastpointe")</f>
        <v>City Of Eastpointe</v>
      </c>
      <c r="B17" s="8"/>
      <c r="C17" s="6" t="str">
        <f t="shared" si="1"/>
        <v>City Of Eastpointe</v>
      </c>
      <c r="D17" s="1" t="s">
        <v>4105</v>
      </c>
    </row>
    <row r="18">
      <c r="A18" t="str">
        <f>IFERROR(__xludf.DUMMYFUNCTION("""COMPUTED_VALUE"""),"Charter County Of Wayne")</f>
        <v>Charter County Of Wayne</v>
      </c>
      <c r="B18" s="6" t="s">
        <v>1733</v>
      </c>
      <c r="C18" s="6" t="str">
        <f t="shared" si="1"/>
        <v>Wayne County</v>
      </c>
      <c r="E18" s="1" t="s">
        <v>4105</v>
      </c>
    </row>
    <row r="19">
      <c r="A19" t="str">
        <f>IFERROR(__xludf.DUMMYFUNCTION("""COMPUTED_VALUE"""),"ACE ACADEMY")</f>
        <v>ACE ACADEMY</v>
      </c>
      <c r="B19" s="8"/>
      <c r="C19" s="6" t="str">
        <f t="shared" si="1"/>
        <v>ACE ACADEMY</v>
      </c>
      <c r="D19" s="1" t="s">
        <v>4105</v>
      </c>
    </row>
    <row r="20">
      <c r="A20" t="str">
        <f>IFERROR(__xludf.DUMMYFUNCTION("""COMPUTED_VALUE"""),"DETROIT YOUTH FOUNDATION")</f>
        <v>DETROIT YOUTH FOUNDATION</v>
      </c>
      <c r="B20" s="8"/>
      <c r="C20" s="6" t="str">
        <f t="shared" si="1"/>
        <v>DETROIT YOUTH FOUNDATION</v>
      </c>
    </row>
    <row r="21">
      <c r="A21" t="str">
        <f>IFERROR(__xludf.DUMMYFUNCTION("""COMPUTED_VALUE"""),"WADE TRIM ASSOCIATES, INC.")</f>
        <v>WADE TRIM ASSOCIATES, INC.</v>
      </c>
      <c r="B21" s="8"/>
      <c r="C21" s="6" t="str">
        <f t="shared" si="1"/>
        <v>WADE TRIM ASSOCIATES, INC.</v>
      </c>
      <c r="D21" s="1" t="s">
        <v>4105</v>
      </c>
    </row>
    <row r="22">
      <c r="A22" t="str">
        <f>IFERROR(__xludf.DUMMYFUNCTION("""COMPUTED_VALUE"""),"GENERAL MOTORS COMPANY")</f>
        <v>GENERAL MOTORS COMPANY</v>
      </c>
      <c r="B22" s="6" t="s">
        <v>309</v>
      </c>
      <c r="C22" s="6" t="str">
        <f t="shared" si="1"/>
        <v>General Motors</v>
      </c>
      <c r="F22" s="1" t="s">
        <v>4105</v>
      </c>
    </row>
    <row r="23">
      <c r="A23" t="str">
        <f>IFERROR(__xludf.DUMMYFUNCTION("""COMPUTED_VALUE"""),"VANGUARD COMMUNITY DEVELOPMENT CORPORATION")</f>
        <v>VANGUARD COMMUNITY DEVELOPMENT CORPORATION</v>
      </c>
      <c r="B23" s="8"/>
      <c r="C23" s="6" t="str">
        <f t="shared" si="1"/>
        <v>VANGUARD COMMUNITY DEVELOPMENT CORPORATION</v>
      </c>
    </row>
    <row r="24">
      <c r="A24" t="str">
        <f>IFERROR(__xludf.DUMMYFUNCTION("""COMPUTED_VALUE"""),"URBAN NEIGHBORHOOD INITIATIVES, INC.")</f>
        <v>URBAN NEIGHBORHOOD INITIATIVES, INC.</v>
      </c>
      <c r="B24" s="6" t="s">
        <v>4108</v>
      </c>
      <c r="C24" s="6" t="str">
        <f t="shared" si="1"/>
        <v>Urban Neighborhood Initiatives, Inc</v>
      </c>
      <c r="F24" s="1" t="s">
        <v>4105</v>
      </c>
    </row>
    <row r="25">
      <c r="A25" t="str">
        <f>IFERROR(__xludf.DUMMYFUNCTION("""COMPUTED_VALUE"""),"HOMELESS ACTION NETWORK OF DETROIT")</f>
        <v>HOMELESS ACTION NETWORK OF DETROIT</v>
      </c>
      <c r="B25" s="6" t="s">
        <v>4109</v>
      </c>
      <c r="C25" s="6" t="str">
        <f t="shared" si="1"/>
        <v>Homeless Action Network of Detroit (HAND)</v>
      </c>
      <c r="F25" s="1" t="s">
        <v>4105</v>
      </c>
    </row>
    <row r="26">
      <c r="A26" t="str">
        <f>IFERROR(__xludf.DUMMYFUNCTION("""COMPUTED_VALUE"""),"YOUNG WOMEN'S CHRISTIAN ASSOCIATION OF METROPOLITAN DETROIT, THE")</f>
        <v>YOUNG WOMEN'S CHRISTIAN ASSOCIATION OF METROPOLITAN DETROIT, THE</v>
      </c>
      <c r="B26" s="6" t="s">
        <v>4110</v>
      </c>
      <c r="C26" s="6" t="str">
        <f t="shared" si="1"/>
        <v>YWCA of Metropolitan Detroit</v>
      </c>
      <c r="F26" s="1" t="s">
        <v>4105</v>
      </c>
    </row>
    <row r="27">
      <c r="A27" t="str">
        <f>IFERROR(__xludf.DUMMYFUNCTION("""COMPUTED_VALUE"""),"WAYNE COUNTY SEXUAL ASSAULT FORENSIC EXAMINERS PROGRAM")</f>
        <v>WAYNE COUNTY SEXUAL ASSAULT FORENSIC EXAMINERS PROGRAM</v>
      </c>
      <c r="B27" s="6" t="s">
        <v>4111</v>
      </c>
      <c r="C27" s="6" t="str">
        <f t="shared" si="1"/>
        <v>Wayne County SAFE Program</v>
      </c>
      <c r="F27" s="1" t="s">
        <v>4105</v>
      </c>
    </row>
    <row r="28">
      <c r="A28" t="str">
        <f>IFERROR(__xludf.DUMMYFUNCTION("""COMPUTED_VALUE"""),"ALTERNATIVES FOR GIRLS")</f>
        <v>ALTERNATIVES FOR GIRLS</v>
      </c>
      <c r="B28" s="8"/>
      <c r="C28" s="6" t="str">
        <f t="shared" si="1"/>
        <v>ALTERNATIVES FOR GIRLS</v>
      </c>
    </row>
    <row r="29">
      <c r="A29" t="str">
        <f>IFERROR(__xludf.DUMMYFUNCTION("""COMPUTED_VALUE"""),"MATRIX HUMAN SERVICES")</f>
        <v>MATRIX HUMAN SERVICES</v>
      </c>
      <c r="B29" s="8"/>
      <c r="C29" s="6" t="str">
        <f t="shared" si="1"/>
        <v>MATRIX HUMAN SERVICES</v>
      </c>
    </row>
    <row r="30">
      <c r="A30" t="str">
        <f>IFERROR(__xludf.DUMMYFUNCTION("""COMPUTED_VALUE"""),"GREATER DETROIT AREA HLTH CNCL")</f>
        <v>GREATER DETROIT AREA HLTH CNCL</v>
      </c>
      <c r="B30" s="6" t="s">
        <v>4112</v>
      </c>
      <c r="C30" s="6" t="str">
        <f t="shared" si="1"/>
        <v>Greater Detroit Area Health Council</v>
      </c>
    </row>
    <row r="31">
      <c r="A31" t="str">
        <f>IFERROR(__xludf.DUMMYFUNCTION("""COMPUTED_VALUE"""),"DETROIT PUBLIC SCHOOLS")</f>
        <v>DETROIT PUBLIC SCHOOLS</v>
      </c>
      <c r="B31" s="8"/>
      <c r="C31" s="6" t="str">
        <f t="shared" si="1"/>
        <v>DETROIT PUBLIC SCHOOLS</v>
      </c>
    </row>
    <row r="32">
      <c r="A32" t="str">
        <f>IFERROR(__xludf.DUMMYFUNCTION("""COMPUTED_VALUE"""),"PUBLIC SCHOOL ACADEMIES OF DETROIT, THE")</f>
        <v>PUBLIC SCHOOL ACADEMIES OF DETROIT, THE</v>
      </c>
      <c r="B32" s="6" t="s">
        <v>4113</v>
      </c>
      <c r="C32" s="6" t="str">
        <f t="shared" si="1"/>
        <v>Public School Academies of Detroit</v>
      </c>
      <c r="F32" s="1" t="s">
        <v>4105</v>
      </c>
    </row>
    <row r="33">
      <c r="A33" t="str">
        <f>IFERROR(__xludf.DUMMYFUNCTION("""COMPUTED_VALUE"""),"GEE WHITE ACADEMY")</f>
        <v>GEE WHITE ACADEMY</v>
      </c>
      <c r="B33" s="8"/>
      <c r="C33" s="6" t="str">
        <f t="shared" si="1"/>
        <v>GEE WHITE ACADEMY</v>
      </c>
      <c r="D33" s="1" t="s">
        <v>4105</v>
      </c>
    </row>
    <row r="34">
      <c r="A34" t="str">
        <f>IFERROR(__xludf.DUMMYFUNCTION("""COMPUTED_VALUE"""),"Hamilton Eman Academy")</f>
        <v>Hamilton Eman Academy</v>
      </c>
      <c r="B34" s="8"/>
      <c r="C34" s="6" t="str">
        <f t="shared" si="1"/>
        <v>Hamilton Eman Academy</v>
      </c>
      <c r="D34" s="1" t="s">
        <v>4105</v>
      </c>
    </row>
    <row r="35">
      <c r="A35" t="str">
        <f>IFERROR(__xludf.DUMMYFUNCTION("""COMPUTED_VALUE"""),"LEGACY CHARTER ACADEMY")</f>
        <v>LEGACY CHARTER ACADEMY</v>
      </c>
      <c r="B35" s="8"/>
      <c r="C35" s="6" t="str">
        <f t="shared" si="1"/>
        <v>LEGACY CHARTER ACADEMY</v>
      </c>
      <c r="D35" s="1" t="s">
        <v>4105</v>
      </c>
    </row>
    <row r="36">
      <c r="A36" t="str">
        <f>IFERROR(__xludf.DUMMYFUNCTION("""COMPUTED_VALUE"""),"DETROIT ACADEMY OF ARTS AND SCIENCES")</f>
        <v>DETROIT ACADEMY OF ARTS AND SCIENCES</v>
      </c>
      <c r="B36" s="8"/>
      <c r="C36" s="6" t="str">
        <f t="shared" si="1"/>
        <v>DETROIT ACADEMY OF ARTS AND SCIENCES</v>
      </c>
      <c r="D36" s="1" t="s">
        <v>4105</v>
      </c>
    </row>
    <row r="37">
      <c r="A37" t="str">
        <f>IFERROR(__xludf.DUMMYFUNCTION("""COMPUTED_VALUE"""),"GEE EDMONSON ACADEMY")</f>
        <v>GEE EDMONSON ACADEMY</v>
      </c>
      <c r="B37" s="8"/>
      <c r="C37" s="6" t="str">
        <f t="shared" si="1"/>
        <v>GEE EDMONSON ACADEMY</v>
      </c>
      <c r="D37" s="1" t="s">
        <v>4105</v>
      </c>
    </row>
    <row r="38">
      <c r="A38" t="str">
        <f>IFERROR(__xludf.DUMMYFUNCTION("""COMPUTED_VALUE"""),"DETROIT LEADERSHIP ACADEMY")</f>
        <v>DETROIT LEADERSHIP ACADEMY</v>
      </c>
      <c r="B38" s="8"/>
      <c r="C38" s="6" t="str">
        <f t="shared" si="1"/>
        <v>DETROIT LEADERSHIP ACADEMY</v>
      </c>
      <c r="D38" s="1" t="s">
        <v>4105</v>
      </c>
    </row>
    <row r="39">
      <c r="A39" t="str">
        <f>IFERROR(__xludf.DUMMYFUNCTION("""COMPUTED_VALUE"""),"COVENANT HOUSE ACADEMY CENTRAL")</f>
        <v>COVENANT HOUSE ACADEMY CENTRAL</v>
      </c>
      <c r="B39" s="8"/>
      <c r="C39" s="6" t="str">
        <f t="shared" si="1"/>
        <v>COVENANT HOUSE ACADEMY CENTRAL</v>
      </c>
      <c r="D39" s="1" t="s">
        <v>4105</v>
      </c>
    </row>
    <row r="40">
      <c r="A40" t="str">
        <f>IFERROR(__xludf.DUMMYFUNCTION("""COMPUTED_VALUE"""),"BRIDGE ACADEMY")</f>
        <v>BRIDGE ACADEMY</v>
      </c>
      <c r="B40" s="8"/>
      <c r="C40" s="6" t="str">
        <f t="shared" si="1"/>
        <v>BRIDGE ACADEMY</v>
      </c>
      <c r="D40" s="1" t="s">
        <v>4105</v>
      </c>
    </row>
    <row r="41">
      <c r="A41" t="str">
        <f>IFERROR(__xludf.DUMMYFUNCTION("""COMPUTED_VALUE"""),"WOODWARD ACADEMY")</f>
        <v>WOODWARD ACADEMY</v>
      </c>
      <c r="B41" s="8"/>
      <c r="C41" s="6" t="str">
        <f t="shared" si="1"/>
        <v>WOODWARD ACADEMY</v>
      </c>
      <c r="D41" s="1" t="s">
        <v>4105</v>
      </c>
    </row>
    <row r="42">
      <c r="A42" t="str">
        <f>IFERROR(__xludf.DUMMYFUNCTION("""COMPUTED_VALUE"""),"HANLEY INTERNATIONAL ACADEMY, INC")</f>
        <v>HANLEY INTERNATIONAL ACADEMY, INC</v>
      </c>
      <c r="B42" s="8"/>
      <c r="C42" s="6" t="str">
        <f t="shared" si="1"/>
        <v>HANLEY INTERNATIONAL ACADEMY, INC</v>
      </c>
      <c r="D42" s="1" t="s">
        <v>4105</v>
      </c>
    </row>
    <row r="43">
      <c r="A43" t="str">
        <f>IFERROR(__xludf.DUMMYFUNCTION("""COMPUTED_VALUE"""),"BLANCHE KELSO BRUCE ACADEMY")</f>
        <v>BLANCHE KELSO BRUCE ACADEMY</v>
      </c>
      <c r="B43" s="8"/>
      <c r="C43" s="6" t="str">
        <f t="shared" si="1"/>
        <v>BLANCHE KELSO BRUCE ACADEMY</v>
      </c>
      <c r="D43" s="1" t="s">
        <v>4105</v>
      </c>
    </row>
    <row r="44">
      <c r="A44" t="str">
        <f>IFERROR(__xludf.DUMMYFUNCTION("""COMPUTED_VALUE"""),"OLD REDFORD ACADEMY")</f>
        <v>OLD REDFORD ACADEMY</v>
      </c>
      <c r="B44" s="8"/>
      <c r="C44" s="6" t="str">
        <f t="shared" si="1"/>
        <v>OLD REDFORD ACADEMY</v>
      </c>
      <c r="D44" s="1" t="s">
        <v>4105</v>
      </c>
    </row>
    <row r="45">
      <c r="A45" t="str">
        <f>IFERROR(__xludf.DUMMYFUNCTION("""COMPUTED_VALUE"""),"DETROIT PREMIER ACADEMY")</f>
        <v>DETROIT PREMIER ACADEMY</v>
      </c>
      <c r="B45" s="8"/>
      <c r="C45" s="6" t="str">
        <f t="shared" si="1"/>
        <v>DETROIT PREMIER ACADEMY</v>
      </c>
      <c r="D45" s="1" t="s">
        <v>4105</v>
      </c>
    </row>
    <row r="46">
      <c r="A46" t="str">
        <f>IFERROR(__xludf.DUMMYFUNCTION("""COMPUTED_VALUE"""),"UNIVERSAL ACADEMY")</f>
        <v>UNIVERSAL ACADEMY</v>
      </c>
      <c r="B46" s="8"/>
      <c r="C46" s="6" t="str">
        <f t="shared" si="1"/>
        <v>UNIVERSAL ACADEMY</v>
      </c>
      <c r="D46" s="1" t="s">
        <v>4105</v>
      </c>
    </row>
    <row r="47">
      <c r="A47" t="str">
        <f>IFERROR(__xludf.DUMMYFUNCTION("""COMPUTED_VALUE"""),"DETROIT COMMUNITY SCHOOLS")</f>
        <v>DETROIT COMMUNITY SCHOOLS</v>
      </c>
      <c r="B47" s="8"/>
      <c r="C47" s="6" t="str">
        <f t="shared" si="1"/>
        <v>DETROIT COMMUNITY SCHOOLS</v>
      </c>
      <c r="D47" s="1" t="s">
        <v>4105</v>
      </c>
    </row>
    <row r="48">
      <c r="A48" t="str">
        <f>IFERROR(__xludf.DUMMYFUNCTION("""COMPUTED_VALUE"""),"BOARD OF EDUCATION OF THE CITY OF DETROIT")</f>
        <v>BOARD OF EDUCATION OF THE CITY OF DETROIT</v>
      </c>
      <c r="B48" s="8"/>
      <c r="C48" s="6" t="str">
        <f t="shared" si="1"/>
        <v>BOARD OF EDUCATION OF THE CITY OF DETROIT</v>
      </c>
    </row>
    <row r="49">
      <c r="A49" t="str">
        <f>IFERROR(__xludf.DUMMYFUNCTION("""COMPUTED_VALUE"""),"WAY ACADEMY")</f>
        <v>WAY ACADEMY</v>
      </c>
      <c r="B49" s="8"/>
      <c r="C49" s="6" t="str">
        <f t="shared" si="1"/>
        <v>WAY ACADEMY</v>
      </c>
      <c r="D49" s="1" t="s">
        <v>4105</v>
      </c>
    </row>
    <row r="50">
      <c r="A50" t="str">
        <f>IFERROR(__xludf.DUMMYFUNCTION("""COMPUTED_VALUE"""),"DETROIT SERVICE LEARNING ACADEMY")</f>
        <v>DETROIT SERVICE LEARNING ACADEMY</v>
      </c>
      <c r="B50" s="8"/>
      <c r="C50" s="6" t="str">
        <f t="shared" si="1"/>
        <v>DETROIT SERVICE LEARNING ACADEMY</v>
      </c>
      <c r="D50" s="1" t="s">
        <v>4105</v>
      </c>
    </row>
    <row r="51">
      <c r="A51" t="str">
        <f>IFERROR(__xludf.DUMMYFUNCTION("""COMPUTED_VALUE"""),"REGENT PARK SCHOLARS CHARTER ACADEMY")</f>
        <v>REGENT PARK SCHOLARS CHARTER ACADEMY</v>
      </c>
      <c r="B51" s="8"/>
      <c r="C51" s="6" t="str">
        <f t="shared" si="1"/>
        <v>REGENT PARK SCHOLARS CHARTER ACADEMY</v>
      </c>
      <c r="D51" s="1" t="s">
        <v>4105</v>
      </c>
    </row>
    <row r="52">
      <c r="A52" t="str">
        <f>IFERROR(__xludf.DUMMYFUNCTION("""COMPUTED_VALUE"""),"CESAR CHAVEZ ACADEMY")</f>
        <v>CESAR CHAVEZ ACADEMY</v>
      </c>
      <c r="B52" s="8"/>
      <c r="C52" s="6" t="str">
        <f t="shared" si="1"/>
        <v>CESAR CHAVEZ ACADEMY</v>
      </c>
      <c r="D52" s="1" t="s">
        <v>4105</v>
      </c>
    </row>
    <row r="53">
      <c r="A53" t="str">
        <f>IFERROR(__xludf.DUMMYFUNCTION("""COMPUTED_VALUE"""),"HOPE OF DETROIT ACADEMY")</f>
        <v>HOPE OF DETROIT ACADEMY</v>
      </c>
      <c r="B53" s="8"/>
      <c r="C53" s="6" t="str">
        <f t="shared" si="1"/>
        <v>HOPE OF DETROIT ACADEMY</v>
      </c>
      <c r="D53" s="1" t="s">
        <v>4105</v>
      </c>
    </row>
    <row r="54">
      <c r="A54" t="str">
        <f>IFERROR(__xludf.DUMMYFUNCTION("""COMPUTED_VALUE"""),"PLYMOUTH EDUCATIONAL CENTER CHARTER SCHOOL")</f>
        <v>PLYMOUTH EDUCATIONAL CENTER CHARTER SCHOOL</v>
      </c>
      <c r="B54" s="8"/>
      <c r="C54" s="6" t="str">
        <f t="shared" si="1"/>
        <v>PLYMOUTH EDUCATIONAL CENTER CHARTER SCHOOL</v>
      </c>
      <c r="D54" s="1" t="s">
        <v>4105</v>
      </c>
    </row>
    <row r="55">
      <c r="A55" t="str">
        <f>IFERROR(__xludf.DUMMYFUNCTION("""COMPUTED_VALUE"""),"VOYAGEUR ACADEMY")</f>
        <v>VOYAGEUR ACADEMY</v>
      </c>
      <c r="B55" s="8"/>
      <c r="C55" s="6" t="str">
        <f t="shared" si="1"/>
        <v>VOYAGEUR ACADEMY</v>
      </c>
      <c r="D55" s="1" t="s">
        <v>4105</v>
      </c>
    </row>
    <row r="56">
      <c r="A56" t="str">
        <f>IFERROR(__xludf.DUMMYFUNCTION("""COMPUTED_VALUE"""),"GEORGE CROCKETT ACADEMY")</f>
        <v>GEORGE CROCKETT ACADEMY</v>
      </c>
      <c r="B56" s="8"/>
      <c r="C56" s="6" t="str">
        <f t="shared" si="1"/>
        <v>GEORGE CROCKETT ACADEMY</v>
      </c>
      <c r="D56" s="1" t="s">
        <v>4105</v>
      </c>
    </row>
    <row r="57">
      <c r="A57" t="str">
        <f>IFERROR(__xludf.DUMMYFUNCTION("""COMPUTED_VALUE"""),"COMMONWEALTH COMMUNITY DEVELOPMENT ACADEMY")</f>
        <v>COMMONWEALTH COMMUNITY DEVELOPMENT ACADEMY</v>
      </c>
      <c r="B57" s="8"/>
      <c r="C57" s="6" t="str">
        <f t="shared" si="1"/>
        <v>COMMONWEALTH COMMUNITY DEVELOPMENT ACADEMY</v>
      </c>
      <c r="D57" s="1" t="s">
        <v>4105</v>
      </c>
    </row>
    <row r="58">
      <c r="A58" t="str">
        <f>IFERROR(__xludf.DUMMYFUNCTION("""COMPUTED_VALUE"""),"WARRENDALE CHARTER ACADEMY")</f>
        <v>WARRENDALE CHARTER ACADEMY</v>
      </c>
      <c r="B58" s="8"/>
      <c r="C58" s="6" t="str">
        <f t="shared" si="1"/>
        <v>WARRENDALE CHARTER ACADEMY</v>
      </c>
      <c r="D58" s="1" t="s">
        <v>4105</v>
      </c>
    </row>
    <row r="59">
      <c r="A59" t="str">
        <f>IFERROR(__xludf.DUMMYFUNCTION("""COMPUTED_VALUE"""),"HAMTRAMCK ACADEMY")</f>
        <v>HAMTRAMCK ACADEMY</v>
      </c>
      <c r="B59" s="8"/>
      <c r="C59" s="6" t="str">
        <f t="shared" si="1"/>
        <v>HAMTRAMCK ACADEMY</v>
      </c>
      <c r="D59" s="1" t="s">
        <v>4105</v>
      </c>
    </row>
    <row r="60">
      <c r="A60" t="str">
        <f>IFERROR(__xludf.DUMMYFUNCTION("""COMPUTED_VALUE"""),"COVENANT HOUSE ACADEMY SOUTHWEST")</f>
        <v>COVENANT HOUSE ACADEMY SOUTHWEST</v>
      </c>
      <c r="B60" s="8"/>
      <c r="C60" s="6" t="str">
        <f t="shared" si="1"/>
        <v>COVENANT HOUSE ACADEMY SOUTHWEST</v>
      </c>
      <c r="D60" s="1" t="s">
        <v>4105</v>
      </c>
    </row>
    <row r="61">
      <c r="A61" t="str">
        <f>IFERROR(__xludf.DUMMYFUNCTION("""COMPUTED_VALUE"""),"MARVIN L. WINANS ACADEMY OF PERFORMING ARTS")</f>
        <v>MARVIN L. WINANS ACADEMY OF PERFORMING ARTS</v>
      </c>
      <c r="B61" s="8"/>
      <c r="C61" s="6" t="str">
        <f t="shared" si="1"/>
        <v>MARVIN L. WINANS ACADEMY OF PERFORMING ARTS</v>
      </c>
      <c r="D61" s="1" t="s">
        <v>4105</v>
      </c>
    </row>
    <row r="62">
      <c r="A62" t="str">
        <f>IFERROR(__xludf.DUMMYFUNCTION("""COMPUTED_VALUE"""),"AMERICAN INTERNATIONAL ACADEMY, INC.")</f>
        <v>AMERICAN INTERNATIONAL ACADEMY, INC.</v>
      </c>
      <c r="B62" s="8"/>
      <c r="C62" s="6" t="str">
        <f t="shared" si="1"/>
        <v>AMERICAN INTERNATIONAL ACADEMY, INC.</v>
      </c>
      <c r="D62" s="1" t="s">
        <v>4105</v>
      </c>
    </row>
    <row r="63">
      <c r="A63" t="str">
        <f>IFERROR(__xludf.DUMMYFUNCTION("""COMPUTED_VALUE"""),"FRONTIER INTERNATIONAL ACADEMY, THE")</f>
        <v>FRONTIER INTERNATIONAL ACADEMY, THE</v>
      </c>
      <c r="B63" s="8"/>
      <c r="C63" s="6" t="str">
        <f t="shared" si="1"/>
        <v>FRONTIER INTERNATIONAL ACADEMY, THE</v>
      </c>
      <c r="D63" s="1" t="s">
        <v>4105</v>
      </c>
    </row>
    <row r="64">
      <c r="A64" t="str">
        <f>IFERROR(__xludf.DUMMYFUNCTION("""COMPUTED_VALUE"""),"DETROIT MERIT CHARTER ACADEMY")</f>
        <v>DETROIT MERIT CHARTER ACADEMY</v>
      </c>
      <c r="B64" s="8"/>
      <c r="C64" s="6" t="str">
        <f t="shared" si="1"/>
        <v>DETROIT MERIT CHARTER ACADEMY</v>
      </c>
      <c r="D64" s="1" t="s">
        <v>4105</v>
      </c>
    </row>
    <row r="65">
      <c r="A65" t="str">
        <f>IFERROR(__xludf.DUMMYFUNCTION("""COMPUTED_VALUE"""),"DETROIT ENTERPRISE ACADEMY")</f>
        <v>DETROIT ENTERPRISE ACADEMY</v>
      </c>
      <c r="B65" s="8"/>
      <c r="C65" s="6" t="str">
        <f t="shared" si="1"/>
        <v>DETROIT ENTERPRISE ACADEMY</v>
      </c>
      <c r="D65" s="1" t="s">
        <v>4105</v>
      </c>
    </row>
    <row r="66">
      <c r="A66" t="str">
        <f>IFERROR(__xludf.DUMMYFUNCTION("""COMPUTED_VALUE"""),"WESTON TECHNICAL ACADEMY")</f>
        <v>WESTON TECHNICAL ACADEMY</v>
      </c>
      <c r="B66" s="8"/>
      <c r="C66" s="6" t="str">
        <f t="shared" si="1"/>
        <v>WESTON TECHNICAL ACADEMY</v>
      </c>
      <c r="D66" s="1" t="s">
        <v>4105</v>
      </c>
    </row>
    <row r="67">
      <c r="A67" t="str">
        <f>IFERROR(__xludf.DUMMYFUNCTION("""COMPUTED_VALUE"""),"FLAGSHIP CHARTER ACADEMY")</f>
        <v>FLAGSHIP CHARTER ACADEMY</v>
      </c>
      <c r="B67" s="8"/>
      <c r="C67" s="6" t="str">
        <f t="shared" si="1"/>
        <v>FLAGSHIP CHARTER ACADEMY</v>
      </c>
      <c r="D67" s="1" t="s">
        <v>4105</v>
      </c>
    </row>
    <row r="68">
      <c r="A68" t="str">
        <f>IFERROR(__xludf.DUMMYFUNCTION("""COMPUTED_VALUE"""),"NORTHPOINTE ACADEMY")</f>
        <v>NORTHPOINTE ACADEMY</v>
      </c>
      <c r="B68" s="8"/>
      <c r="C68" s="6" t="str">
        <f t="shared" si="1"/>
        <v>NORTHPOINTE ACADEMY</v>
      </c>
      <c r="D68" s="1" t="s">
        <v>4105</v>
      </c>
    </row>
    <row r="69">
      <c r="A69" t="str">
        <f>IFERROR(__xludf.DUMMYFUNCTION("""COMPUTED_VALUE"""),"Liberty Caniff Academy")</f>
        <v>Liberty Caniff Academy</v>
      </c>
      <c r="B69" s="8"/>
      <c r="C69" s="6" t="str">
        <f t="shared" si="1"/>
        <v>Liberty Caniff Academy</v>
      </c>
      <c r="D69" s="1" t="s">
        <v>4105</v>
      </c>
    </row>
    <row r="70">
      <c r="A70" t="str">
        <f>IFERROR(__xludf.DUMMYFUNCTION("""COMPUTED_VALUE"""),"Jalen Rose Leadership Academy")</f>
        <v>Jalen Rose Leadership Academy</v>
      </c>
      <c r="B70" s="8"/>
      <c r="C70" s="6" t="str">
        <f t="shared" si="1"/>
        <v>Jalen Rose Leadership Academy</v>
      </c>
      <c r="D70" s="1" t="s">
        <v>4105</v>
      </c>
    </row>
    <row r="71">
      <c r="A71" t="str">
        <f>IFERROR(__xludf.DUMMYFUNCTION("""COMPUTED_VALUE"""),"HAMTRAMCK PUBLIC SCHOOLS")</f>
        <v>HAMTRAMCK PUBLIC SCHOOLS</v>
      </c>
      <c r="B71" s="8"/>
      <c r="C71" s="6" t="str">
        <f t="shared" si="1"/>
        <v>HAMTRAMCK PUBLIC SCHOOLS</v>
      </c>
      <c r="D71" s="1" t="s">
        <v>4105</v>
      </c>
    </row>
    <row r="72">
      <c r="A72" t="str">
        <f>IFERROR(__xludf.DUMMYFUNCTION("""COMPUTED_VALUE"""),"EDUCATION ACHIEVEMENT AUTHORITY OF MICHIGAN")</f>
        <v>EDUCATION ACHIEVEMENT AUTHORITY OF MICHIGAN</v>
      </c>
      <c r="B72" s="6" t="s">
        <v>4114</v>
      </c>
      <c r="C72" s="6" t="str">
        <f t="shared" si="1"/>
        <v>Education Achievement Authority</v>
      </c>
      <c r="F72" s="1" t="s">
        <v>4105</v>
      </c>
    </row>
    <row r="73">
      <c r="A73" t="str">
        <f>IFERROR(__xludf.DUMMYFUNCTION("""COMPUTED_VALUE"""),"ALLEN ACADEMY")</f>
        <v>ALLEN ACADEMY</v>
      </c>
      <c r="B73" s="8"/>
      <c r="C73" s="6" t="str">
        <f t="shared" si="1"/>
        <v>ALLEN ACADEMY</v>
      </c>
      <c r="D73" s="1" t="s">
        <v>4105</v>
      </c>
    </row>
    <row r="74">
      <c r="A74" t="str">
        <f>IFERROR(__xludf.DUMMYFUNCTION("""COMPUTED_VALUE"""),"GEORGE WASHINGTON CARVER ACADEMY")</f>
        <v>GEORGE WASHINGTON CARVER ACADEMY</v>
      </c>
      <c r="B74" s="8"/>
      <c r="C74" s="6" t="str">
        <f t="shared" si="1"/>
        <v>GEORGE WASHINGTON CARVER ACADEMY</v>
      </c>
      <c r="D74" s="1" t="s">
        <v>4105</v>
      </c>
    </row>
    <row r="75">
      <c r="A75" t="str">
        <f>IFERROR(__xludf.DUMMYFUNCTION("""COMPUTED_VALUE"""),"PIERRE TOUSSAINT ACADEMY")</f>
        <v>PIERRE TOUSSAINT ACADEMY</v>
      </c>
      <c r="B75" s="8"/>
      <c r="C75" s="6" t="str">
        <f t="shared" si="1"/>
        <v>PIERRE TOUSSAINT ACADEMY</v>
      </c>
      <c r="D75" s="1" t="s">
        <v>4105</v>
      </c>
    </row>
    <row r="76">
      <c r="A76" t="str">
        <f>IFERROR(__xludf.DUMMYFUNCTION("""COMPUTED_VALUE"""),"UNIVERSITY YES ACADEMY")</f>
        <v>UNIVERSITY YES ACADEMY</v>
      </c>
      <c r="B76" s="8"/>
      <c r="C76" s="6" t="str">
        <f t="shared" si="1"/>
        <v>UNIVERSITY YES ACADEMY</v>
      </c>
      <c r="D76" s="1" t="s">
        <v>4105</v>
      </c>
    </row>
    <row r="77">
      <c r="A77" t="str">
        <f>IFERROR(__xludf.DUMMYFUNCTION("""COMPUTED_VALUE"""),"EDUCATION, MICHIGAN DEPARTMENT OF")</f>
        <v>EDUCATION, MICHIGAN DEPARTMENT OF</v>
      </c>
      <c r="B77" s="8"/>
      <c r="C77" s="6" t="str">
        <f t="shared" si="1"/>
        <v>EDUCATION, MICHIGAN DEPARTMENT OF</v>
      </c>
      <c r="D77" s="1" t="s">
        <v>4105</v>
      </c>
    </row>
    <row r="78">
      <c r="A78" t="str">
        <f>IFERROR(__xludf.DUMMYFUNCTION("""COMPUTED_VALUE"""),"COVENANT HOUSE ACADEMY EAST")</f>
        <v>COVENANT HOUSE ACADEMY EAST</v>
      </c>
      <c r="B78" s="8"/>
      <c r="C78" s="6" t="str">
        <f t="shared" si="1"/>
        <v>COVENANT HOUSE ACADEMY EAST</v>
      </c>
      <c r="D78" s="1" t="s">
        <v>4105</v>
      </c>
    </row>
    <row r="79">
      <c r="A79" t="str">
        <f>IFERROR(__xludf.DUMMYFUNCTION("""COMPUTED_VALUE"""),"SOUTHEAST MICHIGAN COUNCIL OF GOVERNMENTS")</f>
        <v>SOUTHEAST MICHIGAN COUNCIL OF GOVERNMENTS</v>
      </c>
      <c r="B79" s="8"/>
      <c r="C79" s="6" t="str">
        <f t="shared" si="1"/>
        <v>SOUTHEAST MICHIGAN COUNCIL OF GOVERNMENTS</v>
      </c>
      <c r="D79" s="1" t="s">
        <v>4105</v>
      </c>
    </row>
    <row r="80">
      <c r="A80" t="str">
        <f>IFERROR(__xludf.DUMMYFUNCTION("""COMPUTED_VALUE"""),"FOCUS:HOPE")</f>
        <v>FOCUS:HOPE</v>
      </c>
      <c r="B80" s="6" t="s">
        <v>4115</v>
      </c>
      <c r="C80" s="6" t="str">
        <f t="shared" si="1"/>
        <v>Focus: HOPE</v>
      </c>
      <c r="F80" s="1" t="s">
        <v>4105</v>
      </c>
    </row>
    <row r="81">
      <c r="A81" t="str">
        <f>IFERROR(__xludf.DUMMYFUNCTION("""COMPUTED_VALUE"""),"OAKLAND INTERNATIONAL ACADEMY")</f>
        <v>OAKLAND INTERNATIONAL ACADEMY</v>
      </c>
      <c r="B81" s="8"/>
      <c r="C81" s="6" t="str">
        <f t="shared" si="1"/>
        <v>OAKLAND INTERNATIONAL ACADEMY</v>
      </c>
      <c r="D81" s="1" t="s">
        <v>4105</v>
      </c>
    </row>
    <row r="82">
      <c r="A82" t="str">
        <f>IFERROR(__xludf.DUMMYFUNCTION("""COMPUTED_VALUE"""),"CHILDREN'S CENTER OF WAYNE CO., INC.")</f>
        <v>CHILDREN'S CENTER OF WAYNE CO., INC.</v>
      </c>
      <c r="B82" s="6" t="s">
        <v>4116</v>
      </c>
      <c r="C82" s="6" t="str">
        <f t="shared" si="1"/>
        <v>Children's Center of Wayne County Inc.</v>
      </c>
      <c r="F82" s="1" t="s">
        <v>4105</v>
      </c>
    </row>
    <row r="83">
      <c r="A83" t="str">
        <f>IFERROR(__xludf.DUMMYFUNCTION("""COMPUTED_VALUE"""),"CASA RICHARD ACADEMY")</f>
        <v>CASA RICHARD ACADEMY</v>
      </c>
      <c r="B83" s="8"/>
      <c r="C83" s="6" t="str">
        <f t="shared" si="1"/>
        <v>CASA RICHARD ACADEMY</v>
      </c>
      <c r="D83" s="1" t="s">
        <v>4105</v>
      </c>
    </row>
    <row r="84">
      <c r="A84" t="str">
        <f>IFERROR(__xludf.DUMMYFUNCTION("""COMPUTED_VALUE"""),"METROPOLITAN CHILDREN AND YOUTH INC UNITED CHILDREN AND FAMILY HEAD START")</f>
        <v>METROPOLITAN CHILDREN AND YOUTH INC UNITED CHILDREN AND FAMILY HEAD START</v>
      </c>
      <c r="B84" s="8"/>
      <c r="C84" s="6" t="str">
        <f t="shared" si="1"/>
        <v>METROPOLITAN CHILDREN AND YOUTH INC UNITED CHILDREN AND FAMILY HEAD START</v>
      </c>
      <c r="D84" s="1" t="s">
        <v>4105</v>
      </c>
    </row>
    <row r="85">
      <c r="A85" t="str">
        <f>IFERROR(__xludf.DUMMYFUNCTION("""COMPUTED_VALUE"""),"Child Star Development Center")</f>
        <v>Child Star Development Center</v>
      </c>
      <c r="B85" s="8"/>
      <c r="C85" s="6" t="str">
        <f t="shared" si="1"/>
        <v>Child Star Development Center</v>
      </c>
      <c r="D85" s="1" t="s">
        <v>4105</v>
      </c>
    </row>
    <row r="86">
      <c r="A86" t="str">
        <f>IFERROR(__xludf.DUMMYFUNCTION("""COMPUTED_VALUE"""),"LITTLE SCHOLARS DAY CARE")</f>
        <v>LITTLE SCHOLARS DAY CARE</v>
      </c>
      <c r="B86" s="8"/>
      <c r="C86" s="6" t="str">
        <f t="shared" si="1"/>
        <v>LITTLE SCHOLARS DAY CARE</v>
      </c>
      <c r="D86" s="1" t="s">
        <v>4105</v>
      </c>
    </row>
    <row r="87">
      <c r="A87" t="str">
        <f>IFERROR(__xludf.DUMMYFUNCTION("""COMPUTED_VALUE"""),"CORNERSTONE SCHOOL ASSOCIATION")</f>
        <v>CORNERSTONE SCHOOL ASSOCIATION</v>
      </c>
      <c r="B87" s="6" t="s">
        <v>4117</v>
      </c>
      <c r="C87" s="6" t="str">
        <f t="shared" si="1"/>
        <v>Cornerstone Schools Association</v>
      </c>
      <c r="F87" s="1" t="s">
        <v>4105</v>
      </c>
    </row>
    <row r="88">
      <c r="A88" t="str">
        <f>IFERROR(__xludf.DUMMYFUNCTION("""COMPUTED_VALUE"""),"SUBURBAN MOBILITY AUTHORITY FOR REGIONAL TRANSPORTATION")</f>
        <v>SUBURBAN MOBILITY AUTHORITY FOR REGIONAL TRANSPORTATION</v>
      </c>
      <c r="B88" s="8"/>
      <c r="C88" s="6" t="str">
        <f t="shared" si="1"/>
        <v>SUBURBAN MOBILITY AUTHORITY FOR REGIONAL TRANSPORTATION</v>
      </c>
      <c r="D88" s="1" t="s">
        <v>4105</v>
      </c>
    </row>
    <row r="89">
      <c r="A89" t="str">
        <f>IFERROR(__xludf.DUMMYFUNCTION("""COMPUTED_VALUE"""),"First Yogis Kiddie Kare I")</f>
        <v>First Yogis Kiddie Kare I</v>
      </c>
      <c r="B89" s="8"/>
      <c r="C89" s="6" t="str">
        <f t="shared" si="1"/>
        <v>First Yogis Kiddie Kare I</v>
      </c>
      <c r="D89" s="1" t="s">
        <v>4105</v>
      </c>
    </row>
    <row r="90">
      <c r="A90" t="str">
        <f>IFERROR(__xludf.DUMMYFUNCTION("""COMPUTED_VALUE"""),"MARTIN LUTHER KING, JR EDUCATION CENTER ACADEMY")</f>
        <v>MARTIN LUTHER KING, JR EDUCATION CENTER ACADEMY</v>
      </c>
      <c r="B90" s="8"/>
      <c r="C90" s="6" t="str">
        <f t="shared" si="1"/>
        <v>MARTIN LUTHER KING, JR EDUCATION CENTER ACADEMY</v>
      </c>
      <c r="D90" s="1" t="s">
        <v>4105</v>
      </c>
    </row>
    <row r="91">
      <c r="A91" t="str">
        <f>IFERROR(__xludf.DUMMYFUNCTION("""COMPUTED_VALUE"""),"GREATER CONCORD MISSIONARY BAPTIST CHURCH")</f>
        <v>GREATER CONCORD MISSIONARY BAPTIST CHURCH</v>
      </c>
      <c r="B91" s="8"/>
      <c r="C91" s="6" t="str">
        <f t="shared" si="1"/>
        <v>GREATER CONCORD MISSIONARY BAPTIST CHURCH</v>
      </c>
      <c r="D91" s="1" t="s">
        <v>4105</v>
      </c>
    </row>
    <row r="92">
      <c r="A92" t="str">
        <f>IFERROR(__xludf.DUMMYFUNCTION("""COMPUTED_VALUE"""),"WOLVERINE HUMAN SERVICES")</f>
        <v>WOLVERINE HUMAN SERVICES</v>
      </c>
      <c r="B92" s="8"/>
      <c r="C92" s="6" t="str">
        <f t="shared" si="1"/>
        <v>WOLVERINE HUMAN SERVICES</v>
      </c>
      <c r="E92" s="1" t="s">
        <v>4118</v>
      </c>
    </row>
    <row r="93">
      <c r="A93" t="str">
        <f>IFERROR(__xludf.DUMMYFUNCTION("""COMPUTED_VALUE"""),"Tender Loving Day Care Inc")</f>
        <v>Tender Loving Day Care Inc</v>
      </c>
      <c r="B93" s="8"/>
      <c r="C93" s="6" t="str">
        <f t="shared" si="1"/>
        <v>Tender Loving Day Care Inc</v>
      </c>
      <c r="D93" s="1" t="s">
        <v>4105</v>
      </c>
    </row>
    <row r="94">
      <c r="A94" t="str">
        <f>IFERROR(__xludf.DUMMYFUNCTION("""COMPUTED_VALUE"""),"Toddler's Center Inc")</f>
        <v>Toddler's Center Inc</v>
      </c>
      <c r="B94" s="8"/>
      <c r="C94" s="6" t="str">
        <f t="shared" si="1"/>
        <v>Toddler's Center Inc</v>
      </c>
      <c r="D94" s="1" t="s">
        <v>4105</v>
      </c>
    </row>
    <row r="95">
      <c r="A95" t="str">
        <f>IFERROR(__xludf.DUMMYFUNCTION("""COMPUTED_VALUE"""),"Kids Avenue Christian Learning Center")</f>
        <v>Kids Avenue Christian Learning Center</v>
      </c>
      <c r="B95" s="8"/>
      <c r="C95" s="6" t="str">
        <f t="shared" si="1"/>
        <v>Kids Avenue Christian Learning Center</v>
      </c>
      <c r="D95" s="1" t="s">
        <v>4105</v>
      </c>
    </row>
    <row r="96">
      <c r="A96" t="str">
        <f>IFERROR(__xludf.DUMMYFUNCTION("""COMPUTED_VALUE"""),"Greystone Enterprises")</f>
        <v>Greystone Enterprises</v>
      </c>
      <c r="B96" s="8"/>
      <c r="C96" s="6" t="str">
        <f t="shared" si="1"/>
        <v>Greystone Enterprises</v>
      </c>
      <c r="D96" s="1" t="s">
        <v>4105</v>
      </c>
    </row>
    <row r="97">
      <c r="A97" t="str">
        <f>IFERROR(__xludf.DUMMYFUNCTION("""COMPUTED_VALUE"""),"NEW ST PAUL TABERNACLE HEAD START AGENCY INC")</f>
        <v>NEW ST PAUL TABERNACLE HEAD START AGENCY INC</v>
      </c>
      <c r="B97" s="8"/>
      <c r="C97" s="6" t="str">
        <f t="shared" si="1"/>
        <v>NEW ST PAUL TABERNACLE HEAD START AGENCY INC</v>
      </c>
      <c r="D97" s="1" t="s">
        <v>4105</v>
      </c>
    </row>
    <row r="98">
      <c r="A98" t="str">
        <f>IFERROR(__xludf.DUMMYFUNCTION("""COMPUTED_VALUE"""),"Growing Minds Learning Center")</f>
        <v>Growing Minds Learning Center</v>
      </c>
      <c r="B98" s="8"/>
      <c r="C98" s="6" t="str">
        <f t="shared" si="1"/>
        <v>Growing Minds Learning Center</v>
      </c>
      <c r="D98" s="1" t="s">
        <v>4105</v>
      </c>
    </row>
    <row r="99">
      <c r="A99" t="str">
        <f>IFERROR(__xludf.DUMMYFUNCTION("""COMPUTED_VALUE"""),"ROSS HILL ACADEMY SCHOOL DISTRICT")</f>
        <v>ROSS HILL ACADEMY SCHOOL DISTRICT</v>
      </c>
      <c r="B99" s="8"/>
      <c r="C99" s="6" t="str">
        <f t="shared" si="1"/>
        <v>ROSS HILL ACADEMY SCHOOL DISTRICT</v>
      </c>
      <c r="D99" s="1" t="s">
        <v>4105</v>
      </c>
    </row>
    <row r="100">
      <c r="A100" t="str">
        <f>IFERROR(__xludf.DUMMYFUNCTION("""COMPUTED_VALUE"""),"NATAKI TALIBAH SCHOOLHOUSE OF DETROIT")</f>
        <v>NATAKI TALIBAH SCHOOLHOUSE OF DETROIT</v>
      </c>
      <c r="B100" s="8"/>
      <c r="C100" s="6" t="str">
        <f t="shared" si="1"/>
        <v>NATAKI TALIBAH SCHOOLHOUSE OF DETROIT</v>
      </c>
      <c r="D100" s="1" t="s">
        <v>4105</v>
      </c>
    </row>
    <row r="101">
      <c r="A101" t="str">
        <f>IFERROR(__xludf.DUMMYFUNCTION("""COMPUTED_VALUE"""),"DAVID ELLIS ACADEMY")</f>
        <v>DAVID ELLIS ACADEMY</v>
      </c>
      <c r="B101" s="8"/>
      <c r="C101" s="6" t="str">
        <f t="shared" si="1"/>
        <v>DAVID ELLIS ACADEMY</v>
      </c>
      <c r="D101" s="1" t="s">
        <v>4105</v>
      </c>
    </row>
    <row r="102">
      <c r="A102" t="str">
        <f>IFERROR(__xludf.DUMMYFUNCTION("""COMPUTED_VALUE"""),"Wayne County Kidspeace Inc")</f>
        <v>Wayne County Kidspeace Inc</v>
      </c>
      <c r="B102" s="6" t="s">
        <v>4119</v>
      </c>
      <c r="C102" s="6" t="str">
        <f t="shared" si="1"/>
        <v>Wayne County Kidspace</v>
      </c>
    </row>
    <row r="103">
      <c r="A103" t="str">
        <f>IFERROR(__xludf.DUMMYFUNCTION("""COMPUTED_VALUE"""),"Our Kidz World Learning Center")</f>
        <v>Our Kidz World Learning Center</v>
      </c>
      <c r="B103" s="8"/>
      <c r="C103" s="6" t="str">
        <f t="shared" si="1"/>
        <v>Our Kidz World Learning Center</v>
      </c>
      <c r="D103" s="1" t="s">
        <v>4105</v>
      </c>
    </row>
    <row r="104">
      <c r="A104" t="str">
        <f>IFERROR(__xludf.DUMMYFUNCTION("""COMPUTED_VALUE"""),"Kingdom Kids Montessori")</f>
        <v>Kingdom Kids Montessori</v>
      </c>
      <c r="B104" s="8"/>
      <c r="C104" s="6" t="str">
        <f t="shared" si="1"/>
        <v>Kingdom Kids Montessori</v>
      </c>
      <c r="D104" s="1" t="s">
        <v>4105</v>
      </c>
    </row>
    <row r="105">
      <c r="A105" t="str">
        <f>IFERROR(__xludf.DUMMYFUNCTION("""COMPUTED_VALUE"""),"RENAISSANCE HEAD START")</f>
        <v>RENAISSANCE HEAD START</v>
      </c>
      <c r="B105" s="8"/>
      <c r="C105" s="6" t="str">
        <f t="shared" si="1"/>
        <v>RENAISSANCE HEAD START</v>
      </c>
      <c r="D105" s="1" t="s">
        <v>4105</v>
      </c>
    </row>
    <row r="106">
      <c r="A106" t="str">
        <f>IFERROR(__xludf.DUMMYFUNCTION("""COMPUTED_VALUE"""),"Peter Rabbit Day Care Ctr Inc")</f>
        <v>Peter Rabbit Day Care Ctr Inc</v>
      </c>
      <c r="B106" s="8"/>
      <c r="C106" s="6" t="str">
        <f t="shared" si="1"/>
        <v>Peter Rabbit Day Care Ctr Inc</v>
      </c>
      <c r="D106" s="1" t="s">
        <v>4105</v>
      </c>
    </row>
    <row r="107">
      <c r="A107" t="str">
        <f>IFERROR(__xludf.DUMMYFUNCTION("""COMPUTED_VALUE"""),"ORDER OF THE FISHERMEN MINISTRY HEAD START PROGRAM, INC., THE")</f>
        <v>ORDER OF THE FISHERMEN MINISTRY HEAD START PROGRAM, INC., THE</v>
      </c>
      <c r="B107" s="8"/>
      <c r="C107" s="6" t="str">
        <f t="shared" si="1"/>
        <v>ORDER OF THE FISHERMEN MINISTRY HEAD START PROGRAM, INC., THE</v>
      </c>
      <c r="D107" s="1" t="s">
        <v>4105</v>
      </c>
    </row>
    <row r="108">
      <c r="A108" t="str">
        <f>IFERROR(__xludf.DUMMYFUNCTION("""COMPUTED_VALUE"""),"HOPE ACADEMY")</f>
        <v>HOPE ACADEMY</v>
      </c>
      <c r="B108" s="8"/>
      <c r="C108" s="6" t="str">
        <f t="shared" si="1"/>
        <v>HOPE ACADEMY</v>
      </c>
      <c r="D108" s="1" t="s">
        <v>4105</v>
      </c>
    </row>
    <row r="109">
      <c r="A109" t="str">
        <f>IFERROR(__xludf.DUMMYFUNCTION("""COMPUTED_VALUE"""),"CENTRAL STATES SER, JOBS FOR PROGRESS, INC.")</f>
        <v>CENTRAL STATES SER, JOBS FOR PROGRESS, INC.</v>
      </c>
      <c r="B109" s="8"/>
      <c r="C109" s="6" t="str">
        <f t="shared" si="1"/>
        <v>CENTRAL STATES SER, JOBS FOR PROGRESS, INC.</v>
      </c>
      <c r="D109" s="1" t="s">
        <v>4105</v>
      </c>
    </row>
    <row r="110">
      <c r="A110" t="str">
        <f>IFERROR(__xludf.DUMMYFUNCTION("""COMPUTED_VALUE"""),"NSOROMA INSTITUTE")</f>
        <v>NSOROMA INSTITUTE</v>
      </c>
      <c r="B110" s="8"/>
      <c r="C110" s="6" t="str">
        <f t="shared" si="1"/>
        <v>NSOROMA INSTITUTE</v>
      </c>
      <c r="D110" s="1" t="s">
        <v>4105</v>
      </c>
    </row>
    <row r="111">
      <c r="A111" t="str">
        <f>IFERROR(__xludf.DUMMYFUNCTION("""COMPUTED_VALUE"""),"Brightminds Childcare Center")</f>
        <v>Brightminds Childcare Center</v>
      </c>
      <c r="B111" s="8"/>
      <c r="C111" s="6" t="str">
        <f t="shared" si="1"/>
        <v>Brightminds Childcare Center</v>
      </c>
      <c r="D111" s="1" t="s">
        <v>4105</v>
      </c>
    </row>
    <row r="112">
      <c r="A112" t="str">
        <f>IFERROR(__xludf.DUMMYFUNCTION("""COMPUTED_VALUE"""),"Pebbles Development Center LLC")</f>
        <v>Pebbles Development Center LLC</v>
      </c>
      <c r="B112" s="8"/>
      <c r="C112" s="6" t="str">
        <f t="shared" si="1"/>
        <v>Pebbles Development Center LLC</v>
      </c>
      <c r="D112" s="1" t="s">
        <v>4105</v>
      </c>
    </row>
    <row r="113">
      <c r="A113" t="str">
        <f>IFERROR(__xludf.DUMMYFUNCTION("""COMPUTED_VALUE"""),"HARTFORD HEAD START AGENCY INC")</f>
        <v>HARTFORD HEAD START AGENCY INC</v>
      </c>
      <c r="B113" s="8"/>
      <c r="C113" s="6" t="str">
        <f t="shared" si="1"/>
        <v>HARTFORD HEAD START AGENCY INC</v>
      </c>
      <c r="D113" s="1" t="s">
        <v>4105</v>
      </c>
    </row>
    <row r="114">
      <c r="A114" t="str">
        <f>IFERROR(__xludf.DUMMYFUNCTION("""COMPUTED_VALUE"""),"A&amp;W DAY CARE ,INC")</f>
        <v>A&amp;W DAY CARE ,INC</v>
      </c>
      <c r="B114" s="8"/>
      <c r="C114" s="6" t="str">
        <f t="shared" si="1"/>
        <v>A&amp;W DAY CARE ,INC</v>
      </c>
      <c r="D114" s="1" t="s">
        <v>4105</v>
      </c>
    </row>
    <row r="115">
      <c r="A115" t="str">
        <f>IFERROR(__xludf.DUMMYFUNCTION("""COMPUTED_VALUE"""),"Family First Christian Childcare Center")</f>
        <v>Family First Christian Childcare Center</v>
      </c>
      <c r="B115" s="8"/>
      <c r="C115" s="6" t="str">
        <f t="shared" si="1"/>
        <v>Family First Christian Childcare Center</v>
      </c>
      <c r="D115" s="1" t="s">
        <v>4105</v>
      </c>
    </row>
    <row r="116">
      <c r="A116" t="str">
        <f>IFERROR(__xludf.DUMMYFUNCTION("""COMPUTED_VALUE"""),"Babes In The Woods Child Development Inc")</f>
        <v>Babes In The Woods Child Development Inc</v>
      </c>
      <c r="B116" s="8"/>
      <c r="C116" s="6" t="str">
        <f t="shared" si="1"/>
        <v>Babes In The Woods Child Development Inc</v>
      </c>
      <c r="D116" s="1" t="s">
        <v>4105</v>
      </c>
    </row>
    <row r="117">
      <c r="A117" t="str">
        <f>IFERROR(__xludf.DUMMYFUNCTION("""COMPUTED_VALUE"""),"Busy Minds Child Care Center Inc.")</f>
        <v>Busy Minds Child Care Center Inc.</v>
      </c>
      <c r="B117" s="8"/>
      <c r="C117" s="6" t="str">
        <f t="shared" si="1"/>
        <v>Busy Minds Child Care Center Inc.</v>
      </c>
      <c r="D117" s="1" t="s">
        <v>4105</v>
      </c>
    </row>
    <row r="118">
      <c r="A118" t="str">
        <f>IFERROR(__xludf.DUMMYFUNCTION("""COMPUTED_VALUE"""),"Childrens Village Intl Ctrs")</f>
        <v>Childrens Village Intl Ctrs</v>
      </c>
      <c r="B118" s="8"/>
      <c r="C118" s="6" t="str">
        <f t="shared" si="1"/>
        <v>Childrens Village Intl Ctrs</v>
      </c>
      <c r="D118" s="1" t="s">
        <v>4105</v>
      </c>
    </row>
    <row r="119">
      <c r="A119" t="str">
        <f>IFERROR(__xludf.DUMMYFUNCTION("""COMPUTED_VALUE"""),"Greater Mt Zion Baptist Church")</f>
        <v>Greater Mt Zion Baptist Church</v>
      </c>
      <c r="B119" s="8"/>
      <c r="C119" s="6" t="str">
        <f t="shared" si="1"/>
        <v>Greater Mt Zion Baptist Church</v>
      </c>
      <c r="D119" s="1" t="s">
        <v>4105</v>
      </c>
    </row>
    <row r="120">
      <c r="A120" t="str">
        <f>IFERROR(__xludf.DUMMYFUNCTION("""COMPUTED_VALUE"""),"H &amp; G CHAPMAN INC")</f>
        <v>H &amp; G CHAPMAN INC</v>
      </c>
      <c r="B120" s="8"/>
      <c r="C120" s="6" t="str">
        <f t="shared" si="1"/>
        <v>H &amp; G CHAPMAN INC</v>
      </c>
      <c r="D120" s="1" t="s">
        <v>4105</v>
      </c>
    </row>
    <row r="121">
      <c r="A121" t="str">
        <f>IFERROR(__xludf.DUMMYFUNCTION("""COMPUTED_VALUE"""),"Kristy's Early Childhood Devel")</f>
        <v>Kristy's Early Childhood Devel</v>
      </c>
      <c r="B121" s="8"/>
      <c r="C121" s="6" t="str">
        <f t="shared" si="1"/>
        <v>Kristy's Early Childhood Devel</v>
      </c>
      <c r="D121" s="1" t="s">
        <v>4105</v>
      </c>
    </row>
    <row r="122">
      <c r="A122" t="str">
        <f>IFERROR(__xludf.DUMMYFUNCTION("""COMPUTED_VALUE"""),"The Academy Of Beanie Care")</f>
        <v>The Academy Of Beanie Care</v>
      </c>
      <c r="B122" s="8"/>
      <c r="C122" s="6" t="str">
        <f t="shared" si="1"/>
        <v>The Academy Of Beanie Care</v>
      </c>
      <c r="D122" s="1" t="s">
        <v>4105</v>
      </c>
    </row>
    <row r="123">
      <c r="A123" t="str">
        <f>IFERROR(__xludf.DUMMYFUNCTION("""COMPUTED_VALUE"""),"Christios Child Care &amp; Academy")</f>
        <v>Christios Child Care &amp; Academy</v>
      </c>
      <c r="B123" s="8"/>
      <c r="C123" s="6" t="str">
        <f t="shared" si="1"/>
        <v>Christios Child Care &amp; Academy</v>
      </c>
      <c r="D123" s="1" t="s">
        <v>4105</v>
      </c>
    </row>
    <row r="124">
      <c r="A124" t="str">
        <f>IFERROR(__xludf.DUMMYFUNCTION("""COMPUTED_VALUE"""),"Detroit-East Community Mental Health")</f>
        <v>Detroit-East Community Mental Health</v>
      </c>
      <c r="B124" s="8"/>
      <c r="C124" s="6" t="str">
        <f t="shared" si="1"/>
        <v>Detroit-East Community Mental Health</v>
      </c>
      <c r="D124" s="1" t="s">
        <v>4105</v>
      </c>
      <c r="E124" s="1" t="s">
        <v>4120</v>
      </c>
    </row>
    <row r="125">
      <c r="A125" t="str">
        <f>IFERROR(__xludf.DUMMYFUNCTION("""COMPUTED_VALUE"""),"NEIGHBORHOOD SERVICE ORGANIZATION")</f>
        <v>NEIGHBORHOOD SERVICE ORGANIZATION</v>
      </c>
      <c r="B125" s="8"/>
      <c r="C125" s="6" t="str">
        <f t="shared" si="1"/>
        <v>NEIGHBORHOOD SERVICE ORGANIZATION</v>
      </c>
    </row>
    <row r="126">
      <c r="A126" t="str">
        <f>IFERROR(__xludf.DUMMYFUNCTION("""COMPUTED_VALUE"""),"Michigan City Of Detroit")</f>
        <v>Michigan City Of Detroit</v>
      </c>
      <c r="B126" s="6" t="s">
        <v>4121</v>
      </c>
      <c r="C126" s="6" t="str">
        <f t="shared" si="1"/>
        <v>City of Detroit</v>
      </c>
      <c r="E126" s="1" t="s">
        <v>4105</v>
      </c>
    </row>
    <row r="127">
      <c r="A127" t="str">
        <f>IFERROR(__xludf.DUMMYFUNCTION("""COMPUTED_VALUE"""),"CARE FIRST COMMUNITY HEALTH SERVICES")</f>
        <v>CARE FIRST COMMUNITY HEALTH SERVICES</v>
      </c>
      <c r="B127" s="8"/>
      <c r="C127" s="6" t="str">
        <f t="shared" si="1"/>
        <v>CARE FIRST COMMUNITY HEALTH SERVICES</v>
      </c>
    </row>
    <row r="128">
      <c r="A128" t="str">
        <f>IFERROR(__xludf.DUMMYFUNCTION("""COMPUTED_VALUE"""),"COMMUNITY HEALTH AWARENESS GROUP")</f>
        <v>COMMUNITY HEALTH AWARENESS GROUP</v>
      </c>
      <c r="B128" s="8"/>
      <c r="C128" s="6" t="str">
        <f t="shared" si="1"/>
        <v>COMMUNITY HEALTH AWARENESS GROUP</v>
      </c>
    </row>
    <row r="129">
      <c r="A129" t="str">
        <f>IFERROR(__xludf.DUMMYFUNCTION("""COMPUTED_VALUE"""),"TRAVELERS AID SOCIETY OF METROPOLITAN DETROIT")</f>
        <v>TRAVELERS AID SOCIETY OF METROPOLITAN DETROIT</v>
      </c>
      <c r="B129" s="8"/>
      <c r="C129" s="6" t="str">
        <f t="shared" si="1"/>
        <v>TRAVELERS AID SOCIETY OF METROPOLITAN DETROIT</v>
      </c>
    </row>
    <row r="130">
      <c r="A130" t="str">
        <f>IFERROR(__xludf.DUMMYFUNCTION("""COMPUTED_VALUE"""),"SOUTHWEST COUNSELING SOLUTIONS, INC.")</f>
        <v>SOUTHWEST COUNSELING SOLUTIONS, INC.</v>
      </c>
      <c r="B130" s="6" t="s">
        <v>4122</v>
      </c>
      <c r="C130" s="6" t="str">
        <f t="shared" si="1"/>
        <v>Southwest Counseling Solutions, Inc</v>
      </c>
    </row>
    <row r="131">
      <c r="A131" t="str">
        <f>IFERROR(__xludf.DUMMYFUNCTION("""COMPUTED_VALUE"""),"COALITION ON TEMPORARY SHELTER")</f>
        <v>COALITION ON TEMPORARY SHELTER</v>
      </c>
      <c r="B131" s="8"/>
      <c r="C131" s="6" t="str">
        <f t="shared" si="1"/>
        <v>COALITION ON TEMPORARY SHELTER</v>
      </c>
    </row>
    <row r="132">
      <c r="A132" t="str">
        <f>IFERROR(__xludf.DUMMYFUNCTION("""COMPUTED_VALUE"""),"FRIENDS OF PARKSIDE")</f>
        <v>FRIENDS OF PARKSIDE</v>
      </c>
      <c r="B132" s="8"/>
      <c r="C132" s="6" t="str">
        <f t="shared" si="1"/>
        <v>FRIENDS OF PARKSIDE</v>
      </c>
      <c r="D132" s="1" t="s">
        <v>4105</v>
      </c>
    </row>
    <row r="133">
      <c r="A133" t="str">
        <f>IFERROR(__xludf.DUMMYFUNCTION("""COMPUTED_VALUE"""),"DEVELOPMENT CENTERS INC")</f>
        <v>DEVELOPMENT CENTERS INC</v>
      </c>
      <c r="B133" s="6" t="s">
        <v>4123</v>
      </c>
      <c r="C133" s="6" t="str">
        <f t="shared" si="1"/>
        <v>Development Centers, Inc</v>
      </c>
    </row>
    <row r="134">
      <c r="A134" t="str">
        <f>IFERROR(__xludf.DUMMYFUNCTION("""COMPUTED_VALUE"""),"HEALTH EMERGENCY LIFELINE PROGRAM")</f>
        <v>HEALTH EMERGENCY LIFELINE PROGRAM</v>
      </c>
      <c r="B134" s="8"/>
      <c r="C134" s="6" t="str">
        <f t="shared" si="1"/>
        <v>HEALTH EMERGENCY LIFELINE PROGRAM</v>
      </c>
      <c r="D134" s="1" t="s">
        <v>4105</v>
      </c>
    </row>
    <row r="135">
      <c r="A135" t="str">
        <f>IFERROR(__xludf.DUMMYFUNCTION("""COMPUTED_VALUE"""),"ADULT PSYCHIATRIC CLINIC")</f>
        <v>ADULT PSYCHIATRIC CLINIC</v>
      </c>
      <c r="B135" s="8"/>
      <c r="C135" s="6" t="str">
        <f t="shared" si="1"/>
        <v>ADULT PSYCHIATRIC CLINIC</v>
      </c>
      <c r="D135" s="1" t="s">
        <v>4105</v>
      </c>
    </row>
    <row r="136">
      <c r="A136" t="str">
        <f>IFERROR(__xludf.DUMMYFUNCTION("""COMPUTED_VALUE"""),"AIDS PARTNERSHIP MICHIGAN INC")</f>
        <v>AIDS PARTNERSHIP MICHIGAN INC</v>
      </c>
      <c r="B136" s="6" t="s">
        <v>4124</v>
      </c>
      <c r="C136" s="6" t="str">
        <f t="shared" si="1"/>
        <v>AIDS Partnership Michigan, Inc</v>
      </c>
    </row>
    <row r="137">
      <c r="A137" t="str">
        <f>IFERROR(__xludf.DUMMYFUNCTION("""COMPUTED_VALUE"""),"WAYNE COUNTY NEIGHBORHOOD LEGAL SERVICES")</f>
        <v>WAYNE COUNTY NEIGHBORHOOD LEGAL SERVICES</v>
      </c>
      <c r="B137" s="8"/>
      <c r="C137" s="6" t="str">
        <f t="shared" si="1"/>
        <v>WAYNE COUNTY NEIGHBORHOOD LEGAL SERVICES</v>
      </c>
    </row>
    <row r="138">
      <c r="A138" t="str">
        <f>IFERROR(__xludf.DUMMYFUNCTION("""COMPUTED_VALUE"""),"JUDICIARY COURTS OF THE STATE OF MICHIGAN")</f>
        <v>JUDICIARY COURTS OF THE STATE OF MICHIGAN</v>
      </c>
      <c r="B138" s="8"/>
      <c r="C138" s="6" t="str">
        <f t="shared" si="1"/>
        <v>JUDICIARY COURTS OF THE STATE OF MICHIGAN</v>
      </c>
      <c r="D138" s="1" t="s">
        <v>4105</v>
      </c>
    </row>
    <row r="139">
      <c r="A139" t="str">
        <f>IFERROR(__xludf.DUMMYFUNCTION("""COMPUTED_VALUE"""),"Institute For Black Family")</f>
        <v>Institute For Black Family</v>
      </c>
      <c r="B139" s="8"/>
      <c r="C139" s="6" t="str">
        <f t="shared" si="1"/>
        <v>Institute For Black Family</v>
      </c>
      <c r="D139" s="1" t="s">
        <v>4105</v>
      </c>
    </row>
    <row r="140">
      <c r="A140" t="str">
        <f>IFERROR(__xludf.DUMMYFUNCTION("""COMPUTED_VALUE"""),"VILLAGES COMMUNITY DEVELOPMENT CORPORATION, THE")</f>
        <v>VILLAGES COMMUNITY DEVELOPMENT CORPORATION, THE</v>
      </c>
      <c r="B140" s="6" t="s">
        <v>4125</v>
      </c>
      <c r="C140" s="6" t="str">
        <f t="shared" si="1"/>
        <v>Villages Community Development Corporation</v>
      </c>
    </row>
    <row r="141">
      <c r="A141" t="str">
        <f>IFERROR(__xludf.DUMMYFUNCTION("""COMPUTED_VALUE"""),"Madison Carver Academy")</f>
        <v>Madison Carver Academy</v>
      </c>
      <c r="B141" s="8"/>
      <c r="C141" s="6" t="str">
        <f t="shared" si="1"/>
        <v>Madison Carver Academy</v>
      </c>
      <c r="D141" s="1" t="s">
        <v>4105</v>
      </c>
    </row>
    <row r="142">
      <c r="A142" t="str">
        <f>IFERROR(__xludf.DUMMYFUNCTION("""COMPUTED_VALUE"""),"DETROIT INNOVATION ACADEMY")</f>
        <v>DETROIT INNOVATION ACADEMY</v>
      </c>
      <c r="B142" s="8"/>
      <c r="C142" s="6" t="str">
        <f t="shared" si="1"/>
        <v>DETROIT INNOVATION ACADEMY</v>
      </c>
      <c r="D142" s="1" t="s">
        <v>4105</v>
      </c>
    </row>
    <row r="143">
      <c r="A143" t="str">
        <f>IFERROR(__xludf.DUMMYFUNCTION("""COMPUTED_VALUE"""),"Academy Of International Studies")</f>
        <v>Academy Of International Studies</v>
      </c>
      <c r="B143" s="8"/>
      <c r="C143" s="6" t="str">
        <f t="shared" si="1"/>
        <v>Academy Of International Studies</v>
      </c>
      <c r="D143" s="1" t="s">
        <v>4105</v>
      </c>
    </row>
    <row r="144">
      <c r="A144" t="str">
        <f>IFERROR(__xludf.DUMMYFUNCTION("""COMPUTED_VALUE"""),"AISHA SHULE/ W.E.B. DUBOIS CHARTER SCHOOL")</f>
        <v>AISHA SHULE/ W.E.B. DUBOIS CHARTER SCHOOL</v>
      </c>
      <c r="B144" s="8"/>
      <c r="C144" s="6" t="str">
        <f t="shared" si="1"/>
        <v>AISHA SHULE/ W.E.B. DUBOIS CHARTER SCHOOL</v>
      </c>
      <c r="D144" s="1" t="s">
        <v>4105</v>
      </c>
    </row>
    <row r="145">
      <c r="A145" t="str">
        <f>IFERROR(__xludf.DUMMYFUNCTION("""COMPUTED_VALUE"""),"PRO LITERACY DETROIT")</f>
        <v>PRO LITERACY DETROIT</v>
      </c>
      <c r="B145" s="6" t="s">
        <v>4126</v>
      </c>
      <c r="C145" s="6" t="str">
        <f t="shared" si="1"/>
        <v>Pro-Literacy Detroit</v>
      </c>
    </row>
    <row r="146">
      <c r="A146" t="str">
        <f>IFERROR(__xludf.DUMMYFUNCTION("""COMPUTED_VALUE"""),"WAYNE COUNTY COMMUNITY COLLEGE DISTRICT")</f>
        <v>WAYNE COUNTY COMMUNITY COLLEGE DISTRICT</v>
      </c>
      <c r="B146" s="8"/>
      <c r="C146" s="6" t="str">
        <f t="shared" si="1"/>
        <v>WAYNE COUNTY COMMUNITY COLLEGE DISTRICT</v>
      </c>
    </row>
    <row r="147">
      <c r="A147" t="str">
        <f>IFERROR(__xludf.DUMMYFUNCTION("""COMPUTED_VALUE"""),"DETROIT HISPANIC DEVELOPMENT CORPORATION")</f>
        <v>DETROIT HISPANIC DEVELOPMENT CORPORATION</v>
      </c>
      <c r="B147" s="8"/>
      <c r="C147" s="6" t="str">
        <f t="shared" si="1"/>
        <v>DETROIT HISPANIC DEVELOPMENT CORPORATION</v>
      </c>
    </row>
    <row r="148">
      <c r="A148" t="str">
        <f>IFERROR(__xludf.DUMMYFUNCTION("""COMPUTED_VALUE"""),"Dominican Literacy Center")</f>
        <v>Dominican Literacy Center</v>
      </c>
      <c r="B148" s="8"/>
      <c r="C148" s="6" t="str">
        <f t="shared" si="1"/>
        <v>Dominican Literacy Center</v>
      </c>
    </row>
    <row r="149">
      <c r="A149" t="str">
        <f>IFERROR(__xludf.DUMMYFUNCTION("""COMPUTED_VALUE"""),"MERCY EDUCATION PROJECT")</f>
        <v>MERCY EDUCATION PROJECT</v>
      </c>
      <c r="B149" s="8"/>
      <c r="C149" s="6" t="str">
        <f t="shared" si="1"/>
        <v>MERCY EDUCATION PROJECT</v>
      </c>
    </row>
    <row r="150">
      <c r="A150" t="str">
        <f>IFERROR(__xludf.DUMMYFUNCTION("""COMPUTED_VALUE"""),"LIVING ARTS")</f>
        <v>LIVING ARTS</v>
      </c>
      <c r="B150" s="8"/>
      <c r="C150" s="6" t="str">
        <f t="shared" si="1"/>
        <v>LIVING ARTS</v>
      </c>
    </row>
    <row r="151">
      <c r="A151" t="str">
        <f>IFERROR(__xludf.DUMMYFUNCTION("""COMPUTED_VALUE"""),"DETROIT PARENT NETWORK")</f>
        <v>DETROIT PARENT NETWORK</v>
      </c>
      <c r="B151" s="8"/>
      <c r="C151" s="6" t="str">
        <f t="shared" si="1"/>
        <v>DETROIT PARENT NETWORK</v>
      </c>
    </row>
    <row r="152">
      <c r="A152" t="str">
        <f>IFERROR(__xludf.DUMMYFUNCTION("""COMPUTED_VALUE"""),"COMMUNITY HEALTH AND SOCIAL SERVICES CENTER, INC.")</f>
        <v>COMMUNITY HEALTH AND SOCIAL SERVICES CENTER, INC.</v>
      </c>
      <c r="B152" s="6" t="s">
        <v>4127</v>
      </c>
      <c r="C152" s="6" t="str">
        <f t="shared" si="1"/>
        <v>Community Health and Social Services Center</v>
      </c>
    </row>
    <row r="153">
      <c r="A153" t="str">
        <f>IFERROR(__xludf.DUMMYFUNCTION("""COMPUTED_VALUE"""),"BLACK FAMILY DEVELOPMENT, INCORPORATED")</f>
        <v>BLACK FAMILY DEVELOPMENT, INCORPORATED</v>
      </c>
      <c r="B153" s="6" t="s">
        <v>4128</v>
      </c>
      <c r="C153" s="6" t="str">
        <f t="shared" si="1"/>
        <v>Black Family Development, Inc</v>
      </c>
    </row>
    <row r="154">
      <c r="A154" t="str">
        <f>IFERROR(__xludf.DUMMYFUNCTION("""COMPUTED_VALUE"""),"VOLUNTEERS IN PREVENTION, PROBATION AND PRISONS, INC")</f>
        <v>VOLUNTEERS IN PREVENTION, PROBATION AND PRISONS, INC</v>
      </c>
      <c r="B154" s="8"/>
      <c r="C154" s="6" t="str">
        <f t="shared" si="1"/>
        <v>VOLUNTEERS IN PREVENTION, PROBATION AND PRISONS, INC</v>
      </c>
    </row>
    <row r="155">
      <c r="A155" t="str">
        <f>IFERROR(__xludf.DUMMYFUNCTION("""COMPUTED_VALUE"""),"DETROIT WORKFORCE DEVELOPMENT BOARD, CORPORATION")</f>
        <v>DETROIT WORKFORCE DEVELOPMENT BOARD, CORPORATION</v>
      </c>
      <c r="B155" s="8"/>
      <c r="C155" s="6" t="str">
        <f t="shared" si="1"/>
        <v>DETROIT WORKFORCE DEVELOPMENT BOARD, CORPORATION</v>
      </c>
      <c r="D155" s="1" t="s">
        <v>4105</v>
      </c>
    </row>
    <row r="156">
      <c r="A156" t="str">
        <f>IFERROR(__xludf.DUMMYFUNCTION("""COMPUTED_VALUE"""),"BARBARA ANN KARMANOS CANCER INSTITUTE")</f>
        <v>BARBARA ANN KARMANOS CANCER INSTITUTE</v>
      </c>
      <c r="B156" s="8"/>
      <c r="C156" s="6" t="str">
        <f t="shared" si="1"/>
        <v>BARBARA ANN KARMANOS CANCER INSTITUTE</v>
      </c>
    </row>
    <row r="157">
      <c r="A157" t="str">
        <f>IFERROR(__xludf.DUMMYFUNCTION("""COMPUTED_VALUE"""),"University Pediatricians")</f>
        <v>University Pediatricians</v>
      </c>
      <c r="B157" s="8"/>
      <c r="C157" s="6" t="str">
        <f t="shared" si="1"/>
        <v>University Pediatricians</v>
      </c>
      <c r="D157" s="1" t="s">
        <v>4105</v>
      </c>
    </row>
    <row r="158">
      <c r="A158" t="str">
        <f>IFERROR(__xludf.DUMMYFUNCTION("""COMPUTED_VALUE"""),"EASTERN MARKET CORPORATION")</f>
        <v>EASTERN MARKET CORPORATION</v>
      </c>
      <c r="B158" s="8"/>
      <c r="C158" s="6" t="str">
        <f t="shared" si="1"/>
        <v>EASTERN MARKET CORPORATION</v>
      </c>
    </row>
    <row r="159">
      <c r="A159" t="str">
        <f>IFERROR(__xludf.DUMMYFUNCTION("""COMPUTED_VALUE"""),"TRIANGLE FOUNDATION")</f>
        <v>TRIANGLE FOUNDATION</v>
      </c>
      <c r="B159" s="6" t="s">
        <v>4129</v>
      </c>
      <c r="C159" s="6" t="str">
        <f t="shared" si="1"/>
        <v>Triangle Foundation, Inc</v>
      </c>
    </row>
    <row r="160">
      <c r="A160" t="str">
        <f>IFERROR(__xludf.DUMMYFUNCTION("""COMPUTED_VALUE"""),"TEEN HYPE YOUTH DEVELOPMENT PROGRAM")</f>
        <v>TEEN HYPE YOUTH DEVELOPMENT PROGRAM</v>
      </c>
      <c r="B160" s="8"/>
      <c r="C160" s="6" t="str">
        <f t="shared" si="1"/>
        <v>TEEN HYPE YOUTH DEVELOPMENT PROGRAM</v>
      </c>
    </row>
    <row r="161">
      <c r="A161" t="str">
        <f>IFERROR(__xludf.DUMMYFUNCTION("""COMPUTED_VALUE"""),"UNIVERSITY CULTURAL CENTER ASSOCIATION")</f>
        <v>UNIVERSITY CULTURAL CENTER ASSOCIATION</v>
      </c>
      <c r="B161" s="8"/>
      <c r="C161" s="6" t="str">
        <f t="shared" si="1"/>
        <v>UNIVERSITY CULTURAL CENTER ASSOCIATION</v>
      </c>
    </row>
    <row r="162">
      <c r="A162" t="str">
        <f>IFERROR(__xludf.DUMMYFUNCTION("""COMPUTED_VALUE"""),"WARM TRAINING CENTER")</f>
        <v>WARM TRAINING CENTER</v>
      </c>
      <c r="B162" s="8"/>
      <c r="C162" s="6" t="str">
        <f t="shared" si="1"/>
        <v>WARM TRAINING CENTER</v>
      </c>
    </row>
    <row r="163">
      <c r="A163" t="str">
        <f>IFERROR(__xludf.DUMMYFUNCTION("""COMPUTED_VALUE"""),"VHS REHABILITATION INSTITUTE OF MICHIGAN, INC")</f>
        <v>VHS REHABILITATION INSTITUTE OF MICHIGAN, INC</v>
      </c>
      <c r="B163" s="8"/>
      <c r="C163" s="6" t="str">
        <f t="shared" si="1"/>
        <v>VHS REHABILITATION INSTITUTE OF MICHIGAN, INC</v>
      </c>
      <c r="D163" s="1" t="s">
        <v>4105</v>
      </c>
    </row>
    <row r="164">
      <c r="A164" t="str">
        <f>IFERROR(__xludf.DUMMYFUNCTION("""COMPUTED_VALUE"""),"CENTRAL DETROIT CHRISTIAN COMMUNITY DEVELOPMENT CORPORATION")</f>
        <v>CENTRAL DETROIT CHRISTIAN COMMUNITY DEVELOPMENT CORPORATION</v>
      </c>
      <c r="B164" s="8"/>
      <c r="C164" s="6" t="str">
        <f t="shared" si="1"/>
        <v>CENTRAL DETROIT CHRISTIAN COMMUNITY DEVELOPMENT CORPORATION</v>
      </c>
    </row>
    <row r="165">
      <c r="A165" t="str">
        <f>IFERROR(__xludf.DUMMYFUNCTION("""COMPUTED_VALUE"""),"Detroit Health Dept")</f>
        <v>Detroit Health Dept</v>
      </c>
      <c r="B165" s="8"/>
      <c r="C165" s="6" t="str">
        <f t="shared" si="1"/>
        <v>Detroit Health Dept</v>
      </c>
      <c r="D165" s="1" t="s">
        <v>4105</v>
      </c>
    </row>
    <row r="166">
      <c r="A166" t="str">
        <f>IFERROR(__xludf.DUMMYFUNCTION("""COMPUTED_VALUE"""),"CENTER FOR LITERACY &amp; CREATIVITY")</f>
        <v>CENTER FOR LITERACY &amp; CREATIVITY</v>
      </c>
      <c r="B166" s="8"/>
      <c r="C166" s="6" t="str">
        <f t="shared" si="1"/>
        <v>CENTER FOR LITERACY &amp; CREATIVITY</v>
      </c>
      <c r="D166" s="1" t="s">
        <v>4105</v>
      </c>
    </row>
    <row r="167">
      <c r="A167" t="str">
        <f>IFERROR(__xludf.DUMMYFUNCTION("""COMPUTED_VALUE"""),"Cornerstone Health High School")</f>
        <v>Cornerstone Health High School</v>
      </c>
      <c r="B167" s="8"/>
      <c r="C167" s="6" t="str">
        <f t="shared" si="1"/>
        <v>Cornerstone Health High School</v>
      </c>
      <c r="D167" s="1" t="s">
        <v>4105</v>
      </c>
    </row>
    <row r="168">
      <c r="A168" t="str">
        <f>IFERROR(__xludf.DUMMYFUNCTION("""COMPUTED_VALUE"""),"Wolverine Academy")</f>
        <v>Wolverine Academy</v>
      </c>
      <c r="B168" s="8"/>
      <c r="C168" s="6" t="str">
        <f t="shared" si="1"/>
        <v>Wolverine Academy</v>
      </c>
      <c r="D168" s="1" t="s">
        <v>4105</v>
      </c>
    </row>
    <row r="169">
      <c r="A169" t="str">
        <f>IFERROR(__xludf.DUMMYFUNCTION("""COMPUTED_VALUE"""),"Detroit Capstone Academy")</f>
        <v>Detroit Capstone Academy</v>
      </c>
      <c r="B169" s="8"/>
      <c r="C169" s="6" t="str">
        <f t="shared" si="1"/>
        <v>Detroit Capstone Academy</v>
      </c>
      <c r="D169" s="1" t="s">
        <v>4105</v>
      </c>
    </row>
    <row r="170">
      <c r="A170" t="str">
        <f>IFERROR(__xludf.DUMMYFUNCTION("""COMPUTED_VALUE"""),"International Preparatory Academy")</f>
        <v>International Preparatory Academy</v>
      </c>
      <c r="B170" s="8"/>
      <c r="C170" s="6" t="str">
        <f t="shared" si="1"/>
        <v>International Preparatory Academy</v>
      </c>
      <c r="D170" s="1" t="s">
        <v>4105</v>
      </c>
    </row>
    <row r="171">
      <c r="A171" t="str">
        <f>IFERROR(__xludf.DUMMYFUNCTION("""COMPUTED_VALUE"""),"DETROIT EMPLOYMENT SOLUTIONS CORPORATION")</f>
        <v>DETROIT EMPLOYMENT SOLUTIONS CORPORATION</v>
      </c>
      <c r="B171" s="6" t="s">
        <v>4130</v>
      </c>
      <c r="C171" s="6" t="str">
        <f t="shared" si="1"/>
        <v>Detroit Employment Solutions Corporation</v>
      </c>
    </row>
    <row r="172">
      <c r="A172" t="str">
        <f>IFERROR(__xludf.DUMMYFUNCTION("""COMPUTED_VALUE"""),"SOUTHWEST DETROIT ENVIRONMENTAL VISION PROJECT")</f>
        <v>SOUTHWEST DETROIT ENVIRONMENTAL VISION PROJECT</v>
      </c>
      <c r="B172" s="6" t="s">
        <v>4131</v>
      </c>
      <c r="C172" s="6" t="str">
        <f t="shared" si="1"/>
        <v>Southwest Detroit Environmental Vision Project</v>
      </c>
    </row>
    <row r="173">
      <c r="A173" t="str">
        <f>IFERROR(__xludf.DUMMYFUNCTION("""COMPUTED_VALUE"""),"SELF HELP ADDICTION REHABILITATION")</f>
        <v>SELF HELP ADDICTION REHABILITATION</v>
      </c>
      <c r="B173" s="8"/>
      <c r="C173" s="6" t="str">
        <f t="shared" si="1"/>
        <v>SELF HELP ADDICTION REHABILITATION</v>
      </c>
      <c r="D173" s="1" t="s">
        <v>4105</v>
      </c>
    </row>
    <row r="174">
      <c r="A174" t="str">
        <f>IFERROR(__xludf.DUMMYFUNCTION("""COMPUTED_VALUE"""),"WAYNE, COUNTY OF")</f>
        <v>WAYNE, COUNTY OF</v>
      </c>
      <c r="B174" s="6" t="s">
        <v>1733</v>
      </c>
      <c r="C174" s="6" t="str">
        <f t="shared" si="1"/>
        <v>Wayne County</v>
      </c>
    </row>
    <row r="175">
      <c r="A175" t="str">
        <f>IFERROR(__xludf.DUMMYFUNCTION("""COMPUTED_VALUE"""),"UNIVERSITY PHYSICIAN GROUP")</f>
        <v>UNIVERSITY PHYSICIAN GROUP</v>
      </c>
      <c r="B175" s="8"/>
      <c r="C175" s="6" t="str">
        <f t="shared" si="1"/>
        <v>UNIVERSITY PHYSICIAN GROUP</v>
      </c>
      <c r="D175" s="1" t="s">
        <v>4105</v>
      </c>
    </row>
    <row r="176">
      <c r="A176" t="str">
        <f>IFERROR(__xludf.DUMMYFUNCTION("""COMPUTED_VALUE"""),"MICHIGAN COMPREHENSIVE SERVICE NETWORK")</f>
        <v>MICHIGAN COMPREHENSIVE SERVICE NETWORK</v>
      </c>
      <c r="B176" s="8"/>
      <c r="C176" s="6" t="str">
        <f t="shared" si="1"/>
        <v>MICHIGAN COMPREHENSIVE SERVICE NETWORK</v>
      </c>
      <c r="D176" s="1" t="s">
        <v>4105</v>
      </c>
    </row>
    <row r="177">
      <c r="A177" t="str">
        <f>IFERROR(__xludf.DUMMYFUNCTION("""COMPUTED_VALUE"""),"DETROIT WAYNE MENTAL HEALTH AUTHORITY")</f>
        <v>DETROIT WAYNE MENTAL HEALTH AUTHORITY</v>
      </c>
      <c r="B177" s="8"/>
      <c r="C177" s="6" t="str">
        <f t="shared" si="1"/>
        <v>DETROIT WAYNE MENTAL HEALTH AUTHORITY</v>
      </c>
      <c r="D177" s="1" t="s">
        <v>4105</v>
      </c>
    </row>
    <row r="178">
      <c r="A178" t="str">
        <f>IFERROR(__xludf.DUMMYFUNCTION("""COMPUTED_VALUE"""),"CITY CONNECT DETROIT")</f>
        <v>CITY CONNECT DETROIT</v>
      </c>
      <c r="B178" s="6" t="s">
        <v>4132</v>
      </c>
      <c r="C178" s="6" t="str">
        <f t="shared" si="1"/>
        <v>City Connect Detroit</v>
      </c>
    </row>
    <row r="179">
      <c r="A179" t="str">
        <f>IFERROR(__xludf.DUMMYFUNCTION("""COMPUTED_VALUE"""),"CHILDREN'S AID SOCIETY")</f>
        <v>CHILDREN'S AID SOCIETY</v>
      </c>
      <c r="B179" s="6" t="s">
        <v>4133</v>
      </c>
      <c r="C179" s="6" t="str">
        <f t="shared" si="1"/>
        <v>Children's Aid Society of Southeastern Michigan</v>
      </c>
    </row>
    <row r="180">
      <c r="A180" t="str">
        <f>IFERROR(__xludf.DUMMYFUNCTION("""COMPUTED_VALUE"""),"NEXTENERGY CENTER")</f>
        <v>NEXTENERGY CENTER</v>
      </c>
      <c r="B180" s="6" t="s">
        <v>4134</v>
      </c>
      <c r="C180" s="6" t="str">
        <f t="shared" si="1"/>
        <v>NextEnergy</v>
      </c>
    </row>
    <row r="181">
      <c r="A181" t="str">
        <f>IFERROR(__xludf.DUMMYFUNCTION("""COMPUTED_VALUE"""),"SERCO, INC.")</f>
        <v>SERCO, INC.</v>
      </c>
      <c r="B181" s="6" t="s">
        <v>4135</v>
      </c>
      <c r="C181" s="6" t="str">
        <f t="shared" si="1"/>
        <v>Serco, Inc</v>
      </c>
    </row>
    <row r="182">
      <c r="A182" t="str">
        <f>IFERROR(__xludf.DUMMYFUNCTION("""COMPUTED_VALUE"""),"Wayne Children Healthcare Access Program")</f>
        <v>Wayne Children Healthcare Access Program</v>
      </c>
      <c r="B182" s="6" t="s">
        <v>4136</v>
      </c>
      <c r="C182" s="6" t="str">
        <f t="shared" si="1"/>
        <v>Wayne Children's Healthcare Access Program</v>
      </c>
    </row>
    <row r="183">
      <c r="A183" t="str">
        <f>IFERROR(__xludf.DUMMYFUNCTION("""COMPUTED_VALUE"""),"National Faith Homebuyers")</f>
        <v>National Faith Homebuyers</v>
      </c>
      <c r="B183" s="8"/>
      <c r="C183" s="6" t="str">
        <f t="shared" si="1"/>
        <v>National Faith Homebuyers</v>
      </c>
      <c r="D183" s="1" t="s">
        <v>4105</v>
      </c>
    </row>
    <row r="184">
      <c r="A184" t="str">
        <f>IFERROR(__xludf.DUMMYFUNCTION("""COMPUTED_VALUE"""),"HABITAT FOR HUMANITY DETROIT")</f>
        <v>HABITAT FOR HUMANITY DETROIT</v>
      </c>
      <c r="B184" s="6" t="s">
        <v>4137</v>
      </c>
      <c r="C184" s="6" t="str">
        <f t="shared" si="1"/>
        <v>Habitat for Humanity Metro Detroit</v>
      </c>
    </row>
    <row r="185">
      <c r="A185" t="str">
        <f>IFERROR(__xludf.DUMMYFUNCTION("""COMPUTED_VALUE"""),"SER-METRO DETROIT JOBS FOR PROGRESS, INC.")</f>
        <v>SER-METRO DETROIT JOBS FOR PROGRESS, INC.</v>
      </c>
      <c r="B185" s="6" t="s">
        <v>4138</v>
      </c>
      <c r="C185" s="6" t="str">
        <f t="shared" si="1"/>
        <v>SER Metro Detroit Jobs for Progress, Inc</v>
      </c>
    </row>
    <row r="186">
      <c r="A186" t="str">
        <f>IFERROR(__xludf.DUMMYFUNCTION("""COMPUTED_VALUE"""),"ALKEBU-LAN VILLAGE")</f>
        <v>ALKEBU-LAN VILLAGE</v>
      </c>
      <c r="B186" s="6" t="s">
        <v>4139</v>
      </c>
      <c r="C186" s="6" t="str">
        <f t="shared" si="1"/>
        <v>Alkebu-Lan Village</v>
      </c>
    </row>
    <row r="187">
      <c r="A187" t="str">
        <f>IFERROR(__xludf.DUMMYFUNCTION("""COMPUTED_VALUE"""),"Michigan Legal Services Inc")</f>
        <v>Michigan Legal Services Inc</v>
      </c>
      <c r="B187" s="6" t="s">
        <v>4140</v>
      </c>
      <c r="C187" s="6" t="str">
        <f t="shared" si="1"/>
        <v>Michigan Legal Services</v>
      </c>
      <c r="F187" s="1" t="s">
        <v>4105</v>
      </c>
    </row>
    <row r="188">
      <c r="A188" t="str">
        <f>IFERROR(__xludf.DUMMYFUNCTION("""COMPUTED_VALUE"""),"Greater Detroit Agency For The Blind And Visually Impaired")</f>
        <v>Greater Detroit Agency For The Blind And Visually Impaired</v>
      </c>
      <c r="B188" s="6" t="s">
        <v>4141</v>
      </c>
      <c r="C188" s="6" t="str">
        <f t="shared" si="1"/>
        <v>Greater Detroit Agency for the Blind and Visually Impaired</v>
      </c>
    </row>
    <row r="189">
      <c r="A189" t="str">
        <f>IFERROR(__xludf.DUMMYFUNCTION("""COMPUTED_VALUE"""),"JOY-SOUTHFIELD COMMUNITY HEALTH AND EDUCATION CENTRE")</f>
        <v>JOY-SOUTHFIELD COMMUNITY HEALTH AND EDUCATION CENTRE</v>
      </c>
      <c r="B189" s="6" t="s">
        <v>4142</v>
      </c>
      <c r="C189" s="6" t="str">
        <f t="shared" si="1"/>
        <v>Joy-Southfield Community Development Corporation</v>
      </c>
      <c r="G189" s="1" t="s">
        <v>4143</v>
      </c>
    </row>
    <row r="190">
      <c r="A190" t="str">
        <f>IFERROR(__xludf.DUMMYFUNCTION("""COMPUTED_VALUE"""),"Sickle Cell Disease Association Of America Michigan Chapter Inc")</f>
        <v>Sickle Cell Disease Association Of America Michigan Chapter Inc</v>
      </c>
      <c r="B190" s="8"/>
      <c r="C190" s="6" t="str">
        <f t="shared" si="1"/>
        <v>Sickle Cell Disease Association Of America Michigan Chapter Inc</v>
      </c>
    </row>
    <row r="191">
      <c r="A191" t="str">
        <f>IFERROR(__xludf.DUMMYFUNCTION("""COMPUTED_VALUE"""),"UNITED COMMUNITY HOUSING COALITION INC")</f>
        <v>UNITED COMMUNITY HOUSING COALITION INC</v>
      </c>
      <c r="B191" s="6" t="s">
        <v>4144</v>
      </c>
      <c r="C191" s="6" t="str">
        <f t="shared" si="1"/>
        <v>Sickle Cell Disease Association of America Michigan Chapter, Inc</v>
      </c>
    </row>
    <row r="192">
      <c r="A192" t="str">
        <f>IFERROR(__xludf.DUMMYFUNCTION("""COMPUTED_VALUE"""),"Coleman A Young Foundation")</f>
        <v>Coleman A Young Foundation</v>
      </c>
      <c r="B192" s="6" t="s">
        <v>4145</v>
      </c>
      <c r="C192" s="6" t="str">
        <f t="shared" si="1"/>
        <v>Coleman A. Young Foundation</v>
      </c>
    </row>
    <row r="193">
      <c r="A193" t="str">
        <f>IFERROR(__xludf.DUMMYFUNCTION("""COMPUTED_VALUE"""),"Lift Women's Resource Center")</f>
        <v>Lift Women's Resource Center</v>
      </c>
      <c r="B193" s="8"/>
      <c r="C193" s="6" t="str">
        <f t="shared" si="1"/>
        <v>Lift Women's Resource Center</v>
      </c>
      <c r="D193" s="1" t="s">
        <v>4105</v>
      </c>
    </row>
    <row r="194">
      <c r="A194" t="str">
        <f>IFERROR(__xludf.DUMMYFUNCTION("""COMPUTED_VALUE"""),"L &amp; L ADULT DAY CARE INC")</f>
        <v>L &amp; L ADULT DAY CARE INC</v>
      </c>
      <c r="B194" s="6" t="s">
        <v>4146</v>
      </c>
      <c r="C194" s="6" t="str">
        <f t="shared" si="1"/>
        <v>L &amp; L Adult Day Care, Inc</v>
      </c>
    </row>
    <row r="195">
      <c r="A195" t="str">
        <f>IFERROR(__xludf.DUMMYFUNCTION("""COMPUTED_VALUE"""),"BRIDGING COMMUNITIES, INC.")</f>
        <v>BRIDGING COMMUNITIES, INC.</v>
      </c>
      <c r="B195" s="6" t="s">
        <v>4147</v>
      </c>
      <c r="C195" s="6" t="str">
        <f t="shared" si="1"/>
        <v>Bridging Communities, Inc</v>
      </c>
    </row>
    <row r="196">
      <c r="A196" t="str">
        <f>IFERROR(__xludf.DUMMYFUNCTION("""COMPUTED_VALUE"""),"DETROIT AREA PRE-COLLEGE ENGINEERING PROGRAM INC.")</f>
        <v>DETROIT AREA PRE-COLLEGE ENGINEERING PROGRAM INC.</v>
      </c>
      <c r="B196" s="6" t="s">
        <v>4148</v>
      </c>
      <c r="C196" s="6" t="str">
        <f t="shared" si="1"/>
        <v>Detroit Area Pre-College Engineering Program, Inc</v>
      </c>
    </row>
    <row r="197">
      <c r="A197" t="str">
        <f>IFERROR(__xludf.DUMMYFUNCTION("""COMPUTED_VALUE"""),"DETROIT NON-PROFIT HOUSING CORPORATION")</f>
        <v>DETROIT NON-PROFIT HOUSING CORPORATION</v>
      </c>
      <c r="B197" s="8"/>
      <c r="C197" s="6" t="str">
        <f t="shared" si="1"/>
        <v>DETROIT NON-PROFIT HOUSING CORPORATION</v>
      </c>
      <c r="D197" s="1" t="s">
        <v>4105</v>
      </c>
    </row>
    <row r="198">
      <c r="A198" t="str">
        <f>IFERROR(__xludf.DUMMYFUNCTION("""COMPUTED_VALUE"""),"INTERNATIONAL INSTITUTE OF METROPOLITAN DETROIT INC")</f>
        <v>INTERNATIONAL INSTITUTE OF METROPOLITAN DETROIT INC</v>
      </c>
      <c r="B198" s="6" t="s">
        <v>4149</v>
      </c>
      <c r="C198" s="6" t="str">
        <f t="shared" si="1"/>
        <v>International Institute of Metropolitan Detroit, Inc</v>
      </c>
    </row>
    <row r="199">
      <c r="A199" t="str">
        <f>IFERROR(__xludf.DUMMYFUNCTION("""COMPUTED_VALUE"""),"COMMUNITY SOCIAL SERVICES OF WAYNE COUNTY")</f>
        <v>COMMUNITY SOCIAL SERVICES OF WAYNE COUNTY</v>
      </c>
      <c r="B199" s="6" t="s">
        <v>4150</v>
      </c>
      <c r="C199" s="6" t="str">
        <f t="shared" si="1"/>
        <v>Community Social Services of Wayne County</v>
      </c>
    </row>
    <row r="200">
      <c r="A200" t="str">
        <f>IFERROR(__xludf.DUMMYFUNCTION("""COMPUTED_VALUE"""),"MARINERS' INN")</f>
        <v>MARINERS' INN</v>
      </c>
      <c r="B200" s="6" t="s">
        <v>4151</v>
      </c>
      <c r="C200" s="6" t="str">
        <f t="shared" si="1"/>
        <v>Mariners Inn</v>
      </c>
      <c r="G200" s="1" t="s">
        <v>4152</v>
      </c>
    </row>
    <row r="201">
      <c r="A201" t="str">
        <f>IFERROR(__xludf.DUMMYFUNCTION("""COMPUTED_VALUE"""),"SAMARITAN CENTER, INC.")</f>
        <v>SAMARITAN CENTER, INC.</v>
      </c>
      <c r="B201" s="6" t="s">
        <v>4153</v>
      </c>
      <c r="C201" s="6" t="str">
        <f t="shared" si="1"/>
        <v>Samaritan Center</v>
      </c>
    </row>
    <row r="202">
      <c r="A202" t="str">
        <f>IFERROR(__xludf.DUMMYFUNCTION("""COMPUTED_VALUE"""),"DETROIT RESCUE MISSION MINISTRIES")</f>
        <v>DETROIT RESCUE MISSION MINISTRIES</v>
      </c>
      <c r="B202" s="6" t="s">
        <v>4154</v>
      </c>
      <c r="C202" s="6" t="str">
        <f t="shared" si="1"/>
        <v>Detroit Rescue Mission Ministries</v>
      </c>
    </row>
    <row r="203">
      <c r="A203" t="str">
        <f>IFERROR(__xludf.DUMMYFUNCTION("""COMPUTED_VALUE"""),"COVENANT HOUSE MICHIGAN")</f>
        <v>COVENANT HOUSE MICHIGAN</v>
      </c>
      <c r="B203" s="6" t="s">
        <v>4155</v>
      </c>
      <c r="C203" s="6" t="str">
        <f t="shared" si="1"/>
        <v>Covenant House Michigan</v>
      </c>
    </row>
    <row r="204">
      <c r="A204" t="str">
        <f>IFERROR(__xludf.DUMMYFUNCTION("""COMPUTED_VALUE"""),"JEFFERSON EAST INC")</f>
        <v>JEFFERSON EAST INC</v>
      </c>
      <c r="B204" s="6" t="s">
        <v>4156</v>
      </c>
      <c r="C204" s="6" t="str">
        <f t="shared" si="1"/>
        <v>Jefferson East, Inc</v>
      </c>
    </row>
    <row r="205">
      <c r="A205" t="str">
        <f>IFERROR(__xludf.DUMMYFUNCTION("""COMPUTED_VALUE"""),"St Johns Congregational Church")</f>
        <v>St Johns Congregational Church</v>
      </c>
      <c r="B205" s="8"/>
      <c r="C205" s="6" t="str">
        <f t="shared" si="1"/>
        <v>St Johns Congregational Church</v>
      </c>
      <c r="D205" s="1" t="s">
        <v>4105</v>
      </c>
    </row>
    <row r="206">
      <c r="A206" t="str">
        <f>IFERROR(__xludf.DUMMYFUNCTION("""COMPUTED_VALUE"""),"E MICHIGAN CCDA")</f>
        <v>E MICHIGAN CCDA</v>
      </c>
      <c r="B206" s="8"/>
      <c r="C206" s="6" t="str">
        <f t="shared" si="1"/>
        <v>E MICHIGAN CCDA</v>
      </c>
      <c r="D206" s="1" t="s">
        <v>4105</v>
      </c>
      <c r="E206" s="1" t="s">
        <v>4105</v>
      </c>
      <c r="G206" s="1" t="s">
        <v>4157</v>
      </c>
    </row>
    <row r="207">
      <c r="A207" t="str">
        <f>IFERROR(__xludf.DUMMYFUNCTION("""COMPUTED_VALUE"""),"SOCIETY OF ST VINCENT DE PAUL IN THE ARCHDIOCESE OF DETROIT (INC)")</f>
        <v>SOCIETY OF ST VINCENT DE PAUL IN THE ARCHDIOCESE OF DETROIT (INC)</v>
      </c>
      <c r="B207" s="6" t="s">
        <v>4158</v>
      </c>
      <c r="C207" s="6" t="str">
        <f t="shared" si="1"/>
        <v>Society of St Vincent de Paul (SVDP) - Detroit</v>
      </c>
    </row>
    <row r="208">
      <c r="A208" t="str">
        <f>IFERROR(__xludf.DUMMYFUNCTION("""COMPUTED_VALUE"""),"GREENING OF DETROIT, THE")</f>
        <v>GREENING OF DETROIT, THE</v>
      </c>
      <c r="B208" s="6" t="s">
        <v>4159</v>
      </c>
      <c r="C208" s="6" t="str">
        <f t="shared" si="1"/>
        <v>Greening of Detroit</v>
      </c>
    </row>
    <row r="209">
      <c r="A209" t="str">
        <f>IFERROR(__xludf.DUMMYFUNCTION("""COMPUTED_VALUE"""),"HEAT AND WARMTH FUND, THE")</f>
        <v>HEAT AND WARMTH FUND, THE</v>
      </c>
      <c r="B209" s="6" t="s">
        <v>4160</v>
      </c>
      <c r="C209" s="6" t="str">
        <f t="shared" si="1"/>
        <v>Heat and Warmth Fund (THAW)</v>
      </c>
    </row>
    <row r="210">
      <c r="A210" t="str">
        <f>IFERROR(__xludf.DUMMYFUNCTION("""COMPUTED_VALUE"""),"Senior Delray Housing")</f>
        <v>Senior Delray Housing</v>
      </c>
      <c r="B210" s="6"/>
      <c r="C210" s="6" t="str">
        <f t="shared" si="1"/>
        <v>Senior Delray Housing</v>
      </c>
      <c r="D210" s="1" t="s">
        <v>4105</v>
      </c>
    </row>
    <row r="211">
      <c r="A211" t="str">
        <f>IFERROR(__xludf.DUMMYFUNCTION("""COMPUTED_VALUE"""),"ACCOUNTING AID SOCIETY")</f>
        <v>ACCOUNTING AID SOCIETY</v>
      </c>
      <c r="B211" s="6" t="s">
        <v>2236</v>
      </c>
      <c r="C211" s="6" t="str">
        <f t="shared" si="1"/>
        <v>Accounting Aid Society</v>
      </c>
    </row>
    <row r="212">
      <c r="A212" t="str">
        <f>IFERROR(__xludf.DUMMYFUNCTION("""COMPUTED_VALUE"""),"OPERATION GET DOWN, INC.")</f>
        <v>OPERATION GET DOWN, INC.</v>
      </c>
      <c r="B212" s="6" t="s">
        <v>4161</v>
      </c>
      <c r="C212" s="6" t="str">
        <f t="shared" si="1"/>
        <v>Operation Get Down</v>
      </c>
    </row>
    <row r="213">
      <c r="A213" t="str">
        <f>IFERROR(__xludf.DUMMYFUNCTION("""COMPUTED_VALUE"""),"MICHIGAN VETERANS FOUNDATION, INC.")</f>
        <v>MICHIGAN VETERANS FOUNDATION, INC.</v>
      </c>
      <c r="B213" s="6" t="s">
        <v>4162</v>
      </c>
      <c r="C213" s="6" t="str">
        <f t="shared" si="1"/>
        <v>Michigan Veterans Foundation</v>
      </c>
      <c r="G213" s="1" t="s">
        <v>4163</v>
      </c>
    </row>
    <row r="214">
      <c r="A214" t="str">
        <f>IFERROR(__xludf.DUMMYFUNCTION("""COMPUTED_VALUE"""),"Wellspring")</f>
        <v>Wellspring</v>
      </c>
      <c r="B214" s="6" t="s">
        <v>2254</v>
      </c>
      <c r="C214" s="6" t="str">
        <f t="shared" si="1"/>
        <v>Wellspring</v>
      </c>
      <c r="G214" s="1" t="s">
        <v>4163</v>
      </c>
    </row>
    <row r="215">
      <c r="A215" t="str">
        <f>IFERROR(__xludf.DUMMYFUNCTION("""COMPUTED_VALUE"""),"FRANKLIN-WRIGHT SETTLEMENTS INC")</f>
        <v>FRANKLIN-WRIGHT SETTLEMENTS INC</v>
      </c>
      <c r="B215" s="6" t="s">
        <v>4164</v>
      </c>
      <c r="C215" s="6" t="str">
        <f t="shared" si="1"/>
        <v>Franklin-Wright Settlements, Inc</v>
      </c>
      <c r="G215" s="1" t="s">
        <v>4163</v>
      </c>
    </row>
    <row r="216">
      <c r="A216" t="str">
        <f>IFERROR(__xludf.DUMMYFUNCTION("""COMPUTED_VALUE"""),"EMMANUEL HOUSE")</f>
        <v>EMMANUEL HOUSE</v>
      </c>
      <c r="B216" s="6" t="s">
        <v>4165</v>
      </c>
      <c r="C216" s="6" t="str">
        <f t="shared" si="1"/>
        <v>Emmanuel House</v>
      </c>
      <c r="G216" s="1" t="s">
        <v>4163</v>
      </c>
    </row>
    <row r="217">
      <c r="A217" t="str">
        <f>IFERROR(__xludf.DUMMYFUNCTION("""COMPUTED_VALUE"""),"ADULT WELL-BEING SERVICES")</f>
        <v>ADULT WELL-BEING SERVICES</v>
      </c>
      <c r="B217" s="6" t="s">
        <v>4166</v>
      </c>
      <c r="C217" s="6" t="str">
        <f t="shared" si="1"/>
        <v>Adult Well Being Services</v>
      </c>
      <c r="G217" s="1" t="s">
        <v>4167</v>
      </c>
    </row>
    <row r="218">
      <c r="A218" t="str">
        <f>IFERROR(__xludf.DUMMYFUNCTION("""COMPUTED_VALUE"""),"Clark Park Coalition")</f>
        <v>Clark Park Coalition</v>
      </c>
      <c r="B218" s="6" t="s">
        <v>2269</v>
      </c>
      <c r="C218" s="6" t="str">
        <f t="shared" si="1"/>
        <v>Clark Park Coalition</v>
      </c>
    </row>
    <row r="219">
      <c r="A219" t="str">
        <f>IFERROR(__xludf.DUMMYFUNCTION("""COMPUTED_VALUE"""),"WORLD MEDICAL RELIEF INC")</f>
        <v>WORLD MEDICAL RELIEF INC</v>
      </c>
      <c r="B219" s="6" t="s">
        <v>4168</v>
      </c>
      <c r="C219" s="6" t="str">
        <f t="shared" si="1"/>
        <v>World Medical Relief, Inc.</v>
      </c>
    </row>
    <row r="220">
      <c r="A220" t="str">
        <f>IFERROR(__xludf.DUMMYFUNCTION("""COMPUTED_VALUE"""),"MOSAIC YOUTH THEATRE OF DETROIT")</f>
        <v>MOSAIC YOUTH THEATRE OF DETROIT</v>
      </c>
      <c r="B220" s="6" t="s">
        <v>4169</v>
      </c>
      <c r="C220" s="6" t="str">
        <f t="shared" si="1"/>
        <v>Mosaic Youth Theatre of Detroit</v>
      </c>
    </row>
    <row r="221">
      <c r="A221" t="str">
        <f>IFERROR(__xludf.DUMMYFUNCTION("""COMPUTED_VALUE"""),"FREEDOM HOUSE")</f>
        <v>FREEDOM HOUSE</v>
      </c>
      <c r="B221" s="6" t="s">
        <v>4170</v>
      </c>
      <c r="C221" s="6" t="str">
        <f t="shared" si="1"/>
        <v>Freedom House Detroit</v>
      </c>
    </row>
    <row r="222">
      <c r="A222" t="str">
        <f>IFERROR(__xludf.DUMMYFUNCTION("""COMPUTED_VALUE"""),"MUSEUM AFRCAN AMRCN HSTORY")</f>
        <v>MUSEUM AFRCAN AMRCN HSTORY</v>
      </c>
      <c r="B222" s="6" t="s">
        <v>4171</v>
      </c>
      <c r="C222" s="6" t="str">
        <f t="shared" si="1"/>
        <v>Charles H. Wright Museum of African American History</v>
      </c>
    </row>
    <row r="223">
      <c r="A223" t="str">
        <f>IFERROR(__xludf.DUMMYFUNCTION("""COMPUTED_VALUE"""),"Saint Patricks Senior Center Inc")</f>
        <v>Saint Patricks Senior Center Inc</v>
      </c>
      <c r="B223" s="6" t="s">
        <v>4172</v>
      </c>
      <c r="C223" s="6" t="str">
        <f t="shared" si="1"/>
        <v>St Patrick Senior Center, Inc</v>
      </c>
    </row>
    <row r="224">
      <c r="A224" t="str">
        <f>IFERROR(__xludf.DUMMYFUNCTION("""COMPUTED_VALUE"""),"THE DETROIT ANNUAL CONFERENCE OF THE UNITED METHODIST CHURCH")</f>
        <v>THE DETROIT ANNUAL CONFERENCE OF THE UNITED METHODIST CHURCH</v>
      </c>
      <c r="B224" s="8"/>
      <c r="C224" s="6" t="str">
        <f t="shared" si="1"/>
        <v>THE DETROIT ANNUAL CONFERENCE OF THE UNITED METHODIST CHURCH</v>
      </c>
      <c r="D224" s="1" t="s">
        <v>4105</v>
      </c>
      <c r="G224" s="1" t="s">
        <v>4173</v>
      </c>
    </row>
    <row r="225">
      <c r="A225" t="str">
        <f>IFERROR(__xludf.DUMMYFUNCTION("""COMPUTED_VALUE"""),"LATIN AMERICANS FOR SOCIAL AND ECONOMIC DEVELOPMENT, INC.")</f>
        <v>LATIN AMERICANS FOR SOCIAL AND ECONOMIC DEVELOPMENT, INC.</v>
      </c>
      <c r="B225" s="6" t="s">
        <v>4174</v>
      </c>
      <c r="C225" s="6" t="str">
        <f t="shared" si="1"/>
        <v>Latin Americans for Social and Economic Development, Inc</v>
      </c>
    </row>
    <row r="226">
      <c r="A226" t="str">
        <f>IFERROR(__xludf.DUMMYFUNCTION("""COMPUTED_VALUE"""),"VHS CHILDREN'S HOSPITAL OF MICHIGAN, INC.")</f>
        <v>VHS CHILDREN'S HOSPITAL OF MICHIGAN, INC.</v>
      </c>
      <c r="B226" s="8"/>
      <c r="C226" s="6" t="str">
        <f t="shared" si="1"/>
        <v>VHS CHILDREN'S HOSPITAL OF MICHIGAN, INC.</v>
      </c>
      <c r="D226" s="1" t="s">
        <v>4105</v>
      </c>
    </row>
    <row r="227">
      <c r="A227" t="str">
        <f>IFERROR(__xludf.DUMMYFUNCTION("""COMPUTED_VALUE"""),"LEGAL AID AND DEFENDER ASSOCIATION, INC.")</f>
        <v>LEGAL AID AND DEFENDER ASSOCIATION, INC.</v>
      </c>
      <c r="B227" s="6" t="s">
        <v>4175</v>
      </c>
      <c r="C227" s="6" t="str">
        <f t="shared" si="1"/>
        <v>Legal Aid and Defender Association</v>
      </c>
    </row>
    <row r="228">
      <c r="A228" t="str">
        <f>IFERROR(__xludf.DUMMYFUNCTION("""COMPUTED_VALUE"""),"SALVATION ARMY, THE")</f>
        <v>SALVATION ARMY, THE</v>
      </c>
      <c r="B228" s="6" t="s">
        <v>4176</v>
      </c>
      <c r="C228" s="6" t="str">
        <f t="shared" si="1"/>
        <v>The Salvation Army</v>
      </c>
    </row>
    <row r="229">
      <c r="A229" t="str">
        <f>IFERROR(__xludf.DUMMYFUNCTION("""COMPUTED_VALUE"""),"CASS COMMUNITY SOCIAL SERVICES, INC.")</f>
        <v>CASS COMMUNITY SOCIAL SERVICES, INC.</v>
      </c>
      <c r="B229" s="6" t="s">
        <v>4177</v>
      </c>
      <c r="C229" s="6" t="str">
        <f t="shared" si="1"/>
        <v>Cass Community Social Services, Inc</v>
      </c>
    </row>
    <row r="230">
      <c r="A230" t="str">
        <f>IFERROR(__xludf.DUMMYFUNCTION("""COMPUTED_VALUE"""),"CATHOLIC SOCIAL SERVICES OF WAYNE COUNTY")</f>
        <v>CATHOLIC SOCIAL SERVICES OF WAYNE COUNTY</v>
      </c>
      <c r="B230" s="6" t="s">
        <v>4150</v>
      </c>
      <c r="C230" s="6" t="str">
        <f t="shared" si="1"/>
        <v>Community Social Services of Wayne County</v>
      </c>
      <c r="G230" s="1" t="s">
        <v>4178</v>
      </c>
    </row>
    <row r="231">
      <c r="A231" t="str">
        <f>IFERROR(__xludf.DUMMYFUNCTION("""COMPUTED_VALUE"""),"EASTERN MARKET ADVANCEMENT COALITION")</f>
        <v>EASTERN MARKET ADVANCEMENT COALITION</v>
      </c>
      <c r="B231" s="8"/>
      <c r="C231" s="6" t="str">
        <f t="shared" si="1"/>
        <v>EASTERN MARKET ADVANCEMENT COALITION</v>
      </c>
      <c r="D231" s="1" t="s">
        <v>4105</v>
      </c>
    </row>
    <row r="232">
      <c r="A232" t="str">
        <f>IFERROR(__xludf.DUMMYFUNCTION("""COMPUTED_VALUE"""),"Effective Alternative Comm")</f>
        <v>Effective Alternative Comm</v>
      </c>
      <c r="B232" s="6" t="s">
        <v>4179</v>
      </c>
      <c r="C232" s="6" t="str">
        <f t="shared" si="1"/>
        <v>Effective Alternative Community Housing</v>
      </c>
    </row>
    <row r="233">
      <c r="A233" t="str">
        <f>IFERROR(__xludf.DUMMYFUNCTION("""COMPUTED_VALUE"""),"INSIDEOUT LITERARY ARTS PROJECT INC")</f>
        <v>INSIDEOUT LITERARY ARTS PROJECT INC</v>
      </c>
      <c r="B233" s="6" t="s">
        <v>4180</v>
      </c>
      <c r="C233" s="6" t="str">
        <f t="shared" si="1"/>
        <v>InsideOut Literary Arts Project</v>
      </c>
    </row>
    <row r="234">
      <c r="A234" t="str">
        <f>IFERROR(__xludf.DUMMYFUNCTION("""COMPUTED_VALUE"""),"U SNAP BAC NONPROFIT HOUSING CORPORATION")</f>
        <v>U SNAP BAC NONPROFIT HOUSING CORPORATION</v>
      </c>
      <c r="B234" s="6" t="s">
        <v>4181</v>
      </c>
      <c r="C234" s="6" t="str">
        <f t="shared" si="1"/>
        <v>U-SNAP-BAC</v>
      </c>
      <c r="F234" s="1" t="s">
        <v>4105</v>
      </c>
    </row>
    <row r="235">
      <c r="A235" t="str">
        <f>IFERROR(__xludf.DUMMYFUNCTION("""COMPUTED_VALUE"""),"Courville Concert Choir, Inc.")</f>
        <v>Courville Concert Choir, Inc.</v>
      </c>
      <c r="B235" s="6" t="s">
        <v>4182</v>
      </c>
      <c r="C235" s="6" t="str">
        <f t="shared" si="1"/>
        <v>Courville Concert Choir</v>
      </c>
      <c r="F235" s="1" t="s">
        <v>4105</v>
      </c>
    </row>
    <row r="236">
      <c r="A236" t="str">
        <f>IFERROR(__xludf.DUMMYFUNCTION("""COMPUTED_VALUE"""),"Fort Street Presbyterian Church")</f>
        <v>Fort Street Presbyterian Church</v>
      </c>
      <c r="B236" s="6" t="s">
        <v>2395</v>
      </c>
      <c r="C236" s="6" t="str">
        <f t="shared" si="1"/>
        <v>Fort Street Presbyterian Church</v>
      </c>
    </row>
    <row r="237">
      <c r="A237" t="str">
        <f>IFERROR(__xludf.DUMMYFUNCTION("""COMPUTED_VALUE"""),"Moore Community Council")</f>
        <v>Moore Community Council</v>
      </c>
      <c r="B237" s="8"/>
      <c r="C237" s="6" t="str">
        <f t="shared" si="1"/>
        <v>Moore Community Council</v>
      </c>
      <c r="D237" s="1" t="s">
        <v>4105</v>
      </c>
    </row>
    <row r="238">
      <c r="A238" t="str">
        <f>IFERROR(__xludf.DUMMYFUNCTION("""COMPUTED_VALUE"""),"NATIONAL COUNCIL ON ALCOHOLISM AND OTHER DEPENDENCES GREATER DETROIT AREA (INC)")</f>
        <v>NATIONAL COUNCIL ON ALCOHOLISM AND OTHER DEPENDENCES GREATER DETROIT AREA (INC)</v>
      </c>
      <c r="B238" s="6" t="s">
        <v>4183</v>
      </c>
      <c r="C238" s="6" t="str">
        <f t="shared" si="1"/>
        <v>National Council on Alcoholism and Drug Dependence Greater Detroit Area</v>
      </c>
    </row>
    <row r="239">
      <c r="A239" t="str">
        <f>IFERROR(__xludf.DUMMYFUNCTION("""COMPUTED_VALUE"""),"WARREN/CONNER DEVELOPMENT COALITION INC")</f>
        <v>WARREN/CONNER DEVELOPMENT COALITION INC</v>
      </c>
      <c r="B239" s="6" t="s">
        <v>4184</v>
      </c>
      <c r="C239" s="6" t="str">
        <f t="shared" si="1"/>
        <v>Warren-Connor Development Coalition, Inc</v>
      </c>
    </row>
    <row r="240">
      <c r="A240" t="str">
        <f>IFERROR(__xludf.DUMMYFUNCTION("""COMPUTED_VALUE"""),"Saint Christine Christian Services")</f>
        <v>Saint Christine Christian Services</v>
      </c>
      <c r="B240" s="8"/>
      <c r="C240" s="6" t="str">
        <f t="shared" si="1"/>
        <v>Saint Christine Christian Services</v>
      </c>
      <c r="D240" s="1" t="s">
        <v>4105</v>
      </c>
    </row>
    <row r="241">
      <c r="A241" t="str">
        <f>IFERROR(__xludf.DUMMYFUNCTION("""COMPUTED_VALUE"""),"YOUNG DETROIT BUILDERS")</f>
        <v>YOUNG DETROIT BUILDERS</v>
      </c>
      <c r="B241" s="6" t="s">
        <v>4185</v>
      </c>
      <c r="C241" s="6" t="str">
        <f t="shared" si="1"/>
        <v>Young Detroit Builders</v>
      </c>
    </row>
    <row r="242">
      <c r="A242" t="str">
        <f>IFERROR(__xludf.DUMMYFUNCTION("""COMPUTED_VALUE"""),"A &amp; H Financial Solutions L.L.C.")</f>
        <v>A &amp; H Financial Solutions L.L.C.</v>
      </c>
      <c r="B242" s="8"/>
      <c r="C242" s="6" t="str">
        <f t="shared" si="1"/>
        <v>A &amp; H Financial Solutions L.L.C.</v>
      </c>
      <c r="D242" s="1" t="s">
        <v>4105</v>
      </c>
    </row>
    <row r="243">
      <c r="A243" t="str">
        <f>IFERROR(__xludf.DUMMYFUNCTION("""COMPUTED_VALUE"""),"DETROIT CENTRAL CITY COMMUNITY MENTAL HEALTH INC")</f>
        <v>DETROIT CENTRAL CITY COMMUNITY MENTAL HEALTH INC</v>
      </c>
      <c r="B243" s="6" t="s">
        <v>4186</v>
      </c>
      <c r="C243" s="6" t="str">
        <f t="shared" si="1"/>
        <v>Detroit Central City Community Mental Health, Inc</v>
      </c>
    </row>
    <row r="244">
      <c r="A244" t="str">
        <f>IFERROR(__xludf.DUMMYFUNCTION("""COMPUTED_VALUE"""),"Argnl Windsr Dance")</f>
        <v>Argnl Windsr Dance</v>
      </c>
      <c r="B244" s="8"/>
      <c r="C244" s="6" t="str">
        <f t="shared" si="1"/>
        <v>Argnl Windsr Dance</v>
      </c>
      <c r="D244" s="1" t="s">
        <v>4105</v>
      </c>
      <c r="G244" s="1" t="s">
        <v>4187</v>
      </c>
    </row>
    <row r="245">
      <c r="A245" t="str">
        <f>IFERROR(__xludf.DUMMYFUNCTION("""COMPUTED_VALUE"""),"DETROIT CATHOLIC PASTORAL ALLIANCE")</f>
        <v>DETROIT CATHOLIC PASTORAL ALLIANCE</v>
      </c>
      <c r="B245" s="6" t="s">
        <v>4188</v>
      </c>
      <c r="C245" s="6" t="str">
        <f t="shared" si="1"/>
        <v>Detroit Catholic Pastoral Alliance</v>
      </c>
    </row>
    <row r="246">
      <c r="A246" t="str">
        <f>IFERROR(__xludf.DUMMYFUNCTION("""COMPUTED_VALUE"""),"DETROITERS WORKING FOR ENVIRONMENTAL JUSTICE")</f>
        <v>DETROITERS WORKING FOR ENVIRONMENTAL JUSTICE</v>
      </c>
      <c r="B246" s="6" t="s">
        <v>4189</v>
      </c>
      <c r="C246" s="6" t="str">
        <f t="shared" si="1"/>
        <v>Detroiters Working for Environmental Justice</v>
      </c>
    </row>
    <row r="247">
      <c r="A247" t="str">
        <f>IFERROR(__xludf.DUMMYFUNCTION("""COMPUTED_VALUE"""),"MAYOR'S TIME")</f>
        <v>MAYOR'S TIME</v>
      </c>
      <c r="B247" s="8"/>
      <c r="C247" s="6" t="str">
        <f t="shared" si="1"/>
        <v>MAYOR'S TIME</v>
      </c>
      <c r="D247" s="1" t="s">
        <v>4105</v>
      </c>
    </row>
    <row r="248">
      <c r="A248" t="str">
        <f>IFERROR(__xludf.DUMMYFUNCTION("""COMPUTED_VALUE"""),"LOVE N KINDNESS COMMUNITY DEVELOPMENT CORPORATION")</f>
        <v>LOVE N KINDNESS COMMUNITY DEVELOPMENT CORPORATION</v>
      </c>
      <c r="B248" s="6" t="s">
        <v>4190</v>
      </c>
      <c r="C248" s="6" t="str">
        <f t="shared" si="1"/>
        <v>Love N Kindness CDC</v>
      </c>
    </row>
    <row r="249">
      <c r="A249" t="str">
        <f>IFERROR(__xludf.DUMMYFUNCTION("""COMPUTED_VALUE"""),"Caring Together Inc")</f>
        <v>Caring Together Inc</v>
      </c>
      <c r="B249" s="8"/>
      <c r="C249" s="6" t="str">
        <f t="shared" si="1"/>
        <v>Caring Together Inc</v>
      </c>
      <c r="D249" s="1" t="s">
        <v>4105</v>
      </c>
    </row>
    <row r="250">
      <c r="A250" t="str">
        <f>IFERROR(__xludf.DUMMYFUNCTION("""COMPUTED_VALUE"""),"ABAYOMI COMMUNITY DEVELOPMENT CORPORATION INC")</f>
        <v>ABAYOMI COMMUNITY DEVELOPMENT CORPORATION INC</v>
      </c>
      <c r="B250" s="6" t="s">
        <v>4191</v>
      </c>
      <c r="C250" s="6" t="str">
        <f t="shared" si="1"/>
        <v>Abayomi Community Development Corporation</v>
      </c>
      <c r="F250" s="1" t="s">
        <v>4105</v>
      </c>
    </row>
    <row r="251">
      <c r="A251" t="str">
        <f>IFERROR(__xludf.DUMMYFUNCTION("""COMPUTED_VALUE"""),"PEOPLE'S COMMUNITY SERVICES OF METROPOLITAN DETROIT")</f>
        <v>PEOPLE'S COMMUNITY SERVICES OF METROPOLITAN DETROIT</v>
      </c>
      <c r="B251" s="6" t="s">
        <v>4192</v>
      </c>
      <c r="C251" s="6" t="str">
        <f t="shared" si="1"/>
        <v>People's Community Services of Metropolitan Detroit</v>
      </c>
    </row>
    <row r="252">
      <c r="A252" t="str">
        <f>IFERROR(__xludf.DUMMYFUNCTION("""COMPUTED_VALUE"""),"DOVE ACADEMY OF DETROIT")</f>
        <v>DOVE ACADEMY OF DETROIT</v>
      </c>
      <c r="B252" s="8"/>
      <c r="C252" s="6" t="str">
        <f t="shared" si="1"/>
        <v>DOVE ACADEMY OF DETROIT</v>
      </c>
      <c r="D252" s="1" t="s">
        <v>4105</v>
      </c>
    </row>
    <row r="253">
      <c r="A253" t="str">
        <f>IFERROR(__xludf.DUMMYFUNCTION("""COMPUTED_VALUE"""),"New Paradigm Loving Academy")</f>
        <v>New Paradigm Loving Academy</v>
      </c>
      <c r="B253" s="6" t="s">
        <v>4193</v>
      </c>
      <c r="C253" s="6" t="str">
        <f t="shared" si="1"/>
        <v>New Paradigm for Education</v>
      </c>
      <c r="D253" s="1"/>
      <c r="G253" s="1" t="s">
        <v>4194</v>
      </c>
    </row>
    <row r="254">
      <c r="A254" t="str">
        <f>IFERROR(__xludf.DUMMYFUNCTION("""COMPUTED_VALUE"""),"Rutherford Winans Academy")</f>
        <v>Rutherford Winans Academy</v>
      </c>
      <c r="B254" s="8"/>
      <c r="C254" s="6" t="str">
        <f t="shared" si="1"/>
        <v>Rutherford Winans Academy</v>
      </c>
      <c r="D254" s="1" t="s">
        <v>4105</v>
      </c>
    </row>
    <row r="255">
      <c r="A255" t="str">
        <f>IFERROR(__xludf.DUMMYFUNCTION("""COMPUTED_VALUE"""),"JOY PREPARATORY ACADEMY")</f>
        <v>JOY PREPARATORY ACADEMY</v>
      </c>
      <c r="B255" s="8"/>
      <c r="C255" s="6" t="str">
        <f t="shared" si="1"/>
        <v>JOY PREPARATORY ACADEMY</v>
      </c>
      <c r="D255" s="1" t="s">
        <v>4105</v>
      </c>
    </row>
    <row r="256">
      <c r="A256" t="str">
        <f>IFERROR(__xludf.DUMMYFUNCTION("""COMPUTED_VALUE"""),"Siena Literacy Center Inc")</f>
        <v>Siena Literacy Center Inc</v>
      </c>
      <c r="B256" s="8"/>
      <c r="C256" s="6" t="str">
        <f t="shared" si="1"/>
        <v>Siena Literacy Center Inc</v>
      </c>
      <c r="D256" s="1" t="s">
        <v>4105</v>
      </c>
    </row>
    <row r="257">
      <c r="A257" t="str">
        <f>IFERROR(__xludf.DUMMYFUNCTION("""COMPUTED_VALUE"""),"COMMUNITY &amp; HOME SUPPORTS INC")</f>
        <v>COMMUNITY &amp; HOME SUPPORTS INC</v>
      </c>
      <c r="B257" s="8"/>
      <c r="C257" s="6" t="str">
        <f t="shared" si="1"/>
        <v>COMMUNITY &amp; HOME SUPPORTS INC</v>
      </c>
      <c r="D257" s="1" t="s">
        <v>4105</v>
      </c>
    </row>
    <row r="258">
      <c r="A258" t="str">
        <f>IFERROR(__xludf.DUMMYFUNCTION("""COMPUTED_VALUE"""),"VHS SINAI-GRACE HOSPITAL, INC")</f>
        <v>VHS SINAI-GRACE HOSPITAL, INC</v>
      </c>
      <c r="B258" s="8"/>
      <c r="C258" s="6" t="str">
        <f t="shared" si="1"/>
        <v>VHS SINAI-GRACE HOSPITAL, INC</v>
      </c>
      <c r="D258" s="1" t="s">
        <v>4105</v>
      </c>
      <c r="E258" s="1" t="s">
        <v>4105</v>
      </c>
      <c r="G258" s="1" t="s">
        <v>4195</v>
      </c>
    </row>
    <row r="259">
      <c r="A259" t="str">
        <f>IFERROR(__xludf.DUMMYFUNCTION("""COMPUTED_VALUE"""),"DETROIT URBAN LEAGUE")</f>
        <v>DETROIT URBAN LEAGUE</v>
      </c>
      <c r="B259" s="6" t="s">
        <v>4196</v>
      </c>
      <c r="C259" s="6" t="str">
        <f t="shared" si="1"/>
        <v>Detroit Urban League, Inc</v>
      </c>
    </row>
    <row r="260">
      <c r="A260" t="str">
        <f>IFERROR(__xludf.DUMMYFUNCTION("""COMPUTED_VALUE"""),"Omankane The Collective")</f>
        <v>Omankane The Collective</v>
      </c>
      <c r="B260" s="8"/>
      <c r="C260" s="6" t="str">
        <f t="shared" si="1"/>
        <v>Omankane The Collective</v>
      </c>
      <c r="D260" s="1" t="s">
        <v>4105</v>
      </c>
    </row>
    <row r="261">
      <c r="A261" t="str">
        <f>IFERROR(__xludf.DUMMYFUNCTION("""COMPUTED_VALUE"""),"DON BOSCO HALL INC")</f>
        <v>DON BOSCO HALL INC</v>
      </c>
      <c r="B261" s="6" t="s">
        <v>4197</v>
      </c>
      <c r="C261" s="6" t="str">
        <f t="shared" si="1"/>
        <v>Don Bosco Hall, Inc</v>
      </c>
    </row>
    <row r="262">
      <c r="A262" t="str">
        <f>IFERROR(__xludf.DUMMYFUNCTION("""COMPUTED_VALUE"""),"COVENANT COMMUNITY CARE, INC.")</f>
        <v>COVENANT COMMUNITY CARE, INC.</v>
      </c>
      <c r="B262" s="6" t="s">
        <v>4198</v>
      </c>
      <c r="C262" s="6" t="str">
        <f t="shared" si="1"/>
        <v>Covenant Community Care, Inc</v>
      </c>
    </row>
    <row r="263">
      <c r="A263" t="str">
        <f>IFERROR(__xludf.DUMMYFUNCTION("""COMPUTED_VALUE"""),"METROPOLITAN DETROIT CENTER FOR INDEPENDENT LIVING")</f>
        <v>METROPOLITAN DETROIT CENTER FOR INDEPENDENT LIVING</v>
      </c>
      <c r="B263" s="6" t="s">
        <v>4199</v>
      </c>
      <c r="C263" s="6" t="str">
        <f t="shared" si="1"/>
        <v>Metropolitan Detroit Center for Independent Living</v>
      </c>
    </row>
    <row r="264">
      <c r="A264" t="str">
        <f>IFERROR(__xludf.DUMMYFUNCTION("""COMPUTED_VALUE"""),"Detroit Literacy Coalition")</f>
        <v>Detroit Literacy Coalition</v>
      </c>
      <c r="B264" s="6" t="s">
        <v>2905</v>
      </c>
      <c r="C264" s="6" t="str">
        <f t="shared" si="1"/>
        <v>Detroit Literacy Coalition</v>
      </c>
    </row>
    <row r="265">
      <c r="A265" t="str">
        <f>IFERROR(__xludf.DUMMYFUNCTION("""COMPUTED_VALUE"""),"Midtown Detroit Inc")</f>
        <v>Midtown Detroit Inc</v>
      </c>
      <c r="B265" s="6" t="s">
        <v>4200</v>
      </c>
      <c r="C265" s="6" t="str">
        <f t="shared" si="1"/>
        <v>Midtown Detroit, Inc</v>
      </c>
    </row>
    <row r="266">
      <c r="A266" t="str">
        <f>IFERROR(__xludf.DUMMYFUNCTION("""COMPUTED_VALUE"""),"VOICES OF DETROIT INTIATIVE")</f>
        <v>VOICES OF DETROIT INTIATIVE</v>
      </c>
      <c r="B266" s="6" t="s">
        <v>4201</v>
      </c>
      <c r="C266" s="6" t="str">
        <f t="shared" si="1"/>
        <v>Voices of Detroit Initiative</v>
      </c>
    </row>
    <row r="267">
      <c r="A267" t="str">
        <f>IFERROR(__xludf.DUMMYFUNCTION("""COMPUTED_VALUE"""),"M-2 RAIL")</f>
        <v>M-2 RAIL</v>
      </c>
      <c r="B267" s="6" t="s">
        <v>4202</v>
      </c>
      <c r="C267" s="6" t="str">
        <f t="shared" si="1"/>
        <v>M-1 Rail</v>
      </c>
      <c r="G267" s="1" t="s">
        <v>4203</v>
      </c>
    </row>
    <row r="268">
      <c r="A268" t="str">
        <f>IFERROR(__xludf.DUMMYFUNCTION("""COMPUTED_VALUE"""),"DETROIT RECOVERY PROJECT")</f>
        <v>DETROIT RECOVERY PROJECT</v>
      </c>
      <c r="B268" s="6" t="s">
        <v>4204</v>
      </c>
      <c r="C268" s="6" t="str">
        <f t="shared" si="1"/>
        <v>Detroit Recovery Project</v>
      </c>
    </row>
    <row r="269">
      <c r="A269" t="str">
        <f>IFERROR(__xludf.DUMMYFUNCTION("""COMPUTED_VALUE"""),"Hamilton Academy")</f>
        <v>Hamilton Academy</v>
      </c>
      <c r="B269" s="8"/>
      <c r="C269" s="6" t="str">
        <f t="shared" si="1"/>
        <v>Hamilton Academy</v>
      </c>
      <c r="D269" s="1" t="s">
        <v>4105</v>
      </c>
    </row>
    <row r="270">
      <c r="A270" t="str">
        <f>IFERROR(__xludf.DUMMYFUNCTION("""COMPUTED_VALUE"""),"DETROIT PUBLIC SAFETY ACADEMY")</f>
        <v>DETROIT PUBLIC SAFETY ACADEMY</v>
      </c>
      <c r="B270" s="8"/>
      <c r="C270" s="6" t="str">
        <f t="shared" si="1"/>
        <v>DETROIT PUBLIC SAFETY ACADEMY</v>
      </c>
      <c r="D270" s="1" t="s">
        <v>4105</v>
      </c>
    </row>
    <row r="271">
      <c r="A271" t="str">
        <f>IFERROR(__xludf.DUMMYFUNCTION("""COMPUTED_VALUE"""),"CHILDREN'S OUTREACH, INC.")</f>
        <v>CHILDREN'S OUTREACH, INC.</v>
      </c>
      <c r="B271" s="8"/>
      <c r="C271" s="6" t="str">
        <f t="shared" si="1"/>
        <v>CHILDREN'S OUTREACH, INC.</v>
      </c>
      <c r="D271" s="1" t="s">
        <v>4105</v>
      </c>
    </row>
    <row r="272">
      <c r="A272" t="str">
        <f>IFERROR(__xludf.DUMMYFUNCTION("""COMPUTED_VALUE"""),"Mind N Motion")</f>
        <v>Mind N Motion</v>
      </c>
      <c r="B272" s="8"/>
      <c r="C272" s="6" t="str">
        <f t="shared" si="1"/>
        <v>Mind N Motion</v>
      </c>
      <c r="D272" s="1" t="s">
        <v>4105</v>
      </c>
    </row>
    <row r="273">
      <c r="A273" t="str">
        <f>IFERROR(__xludf.DUMMYFUNCTION("""COMPUTED_VALUE"""),"Toddlertime Child Care Center 2")</f>
        <v>Toddlertime Child Care Center 2</v>
      </c>
      <c r="B273" s="8"/>
      <c r="C273" s="6" t="str">
        <f t="shared" si="1"/>
        <v>Toddlertime Child Care Center 2</v>
      </c>
      <c r="D273" s="1" t="s">
        <v>4105</v>
      </c>
    </row>
    <row r="274">
      <c r="A274" t="str">
        <f>IFERROR(__xludf.DUMMYFUNCTION("""COMPUTED_VALUE"""),"Taylor Preparatory High School")</f>
        <v>Taylor Preparatory High School</v>
      </c>
      <c r="B274" s="8"/>
      <c r="C274" s="6" t="str">
        <f t="shared" si="1"/>
        <v>Taylor Preparatory High School</v>
      </c>
      <c r="D274" s="1" t="s">
        <v>4105</v>
      </c>
    </row>
    <row r="275">
      <c r="A275" t="str">
        <f>IFERROR(__xludf.DUMMYFUNCTION("""COMPUTED_VALUE"""),"GLEANERS COMMUNITY FOOD BANK, INC.")</f>
        <v>GLEANERS COMMUNITY FOOD BANK, INC.</v>
      </c>
      <c r="B275" s="6" t="s">
        <v>4205</v>
      </c>
      <c r="C275" s="6" t="str">
        <f t="shared" si="1"/>
        <v>Gleaners Community Food Bank, Inc</v>
      </c>
    </row>
    <row r="276">
      <c r="A276" t="str">
        <f>IFERROR(__xludf.DUMMYFUNCTION("""COMPUTED_VALUE"""),"Village Of Shiny Stars")</f>
        <v>Village Of Shiny Stars</v>
      </c>
      <c r="B276" s="8"/>
      <c r="C276" s="6" t="str">
        <f t="shared" si="1"/>
        <v>Village Of Shiny Stars</v>
      </c>
      <c r="D276" s="1" t="s">
        <v>4105</v>
      </c>
    </row>
    <row r="277">
      <c r="A277" t="str">
        <f>IFERROR(__xludf.DUMMYFUNCTION("""COMPUTED_VALUE"""),"Joleka Kiddies Korner Child Care")</f>
        <v>Joleka Kiddies Korner Child Care</v>
      </c>
      <c r="B277" s="8"/>
      <c r="C277" s="6" t="str">
        <f t="shared" si="1"/>
        <v>Joleka Kiddies Korner Child Care</v>
      </c>
      <c r="D277" s="1" t="s">
        <v>4105</v>
      </c>
    </row>
    <row r="278">
      <c r="A278" t="str">
        <f>IFERROR(__xludf.DUMMYFUNCTION("""COMPUTED_VALUE"""),"BOY SCOUTS OF AMERICA")</f>
        <v>BOY SCOUTS OF AMERICA</v>
      </c>
      <c r="B278" s="6" t="s">
        <v>4206</v>
      </c>
      <c r="C278" s="6" t="str">
        <f t="shared" si="1"/>
        <v>Boy Scouts of America - Great Lakes Council</v>
      </c>
      <c r="F278" s="1"/>
    </row>
    <row r="279">
      <c r="A279" t="str">
        <f>IFERROR(__xludf.DUMMYFUNCTION("""COMPUTED_VALUE"""),"Christ Liberty Ministry")</f>
        <v>Christ Liberty Ministry</v>
      </c>
      <c r="B279" s="8"/>
      <c r="C279" s="6" t="str">
        <f t="shared" si="1"/>
        <v>Christ Liberty Ministry</v>
      </c>
      <c r="D279" s="1" t="s">
        <v>4105</v>
      </c>
    </row>
    <row r="280">
      <c r="A280" t="str">
        <f>IFERROR(__xludf.DUMMYFUNCTION("""COMPUTED_VALUE"""),"A PLACE OF OUR OWN")</f>
        <v>A PLACE OF OUR OWN</v>
      </c>
      <c r="B280" s="8"/>
      <c r="C280" s="6" t="str">
        <f t="shared" si="1"/>
        <v>A PLACE OF OUR OWN</v>
      </c>
      <c r="D280" s="1" t="s">
        <v>4105</v>
      </c>
    </row>
    <row r="281">
      <c r="A281" t="str">
        <f>IFERROR(__xludf.DUMMYFUNCTION("""COMPUTED_VALUE"""),"CALUMET CENTER")</f>
        <v>CALUMET CENTER</v>
      </c>
      <c r="B281" s="8"/>
      <c r="C281" s="6" t="str">
        <f t="shared" si="1"/>
        <v>CALUMET CENTER</v>
      </c>
      <c r="D281" s="1" t="s">
        <v>4105</v>
      </c>
    </row>
    <row r="282">
      <c r="A282" t="str">
        <f>IFERROR(__xludf.DUMMYFUNCTION("""COMPUTED_VALUE"""),"Tott's Early Learning Center, LLC")</f>
        <v>Tott's Early Learning Center, LLC</v>
      </c>
      <c r="B282" s="8"/>
      <c r="C282" s="6" t="str">
        <f t="shared" si="1"/>
        <v>Tott's Early Learning Center, LLC</v>
      </c>
      <c r="D282" s="1" t="s">
        <v>4105</v>
      </c>
    </row>
    <row r="283">
      <c r="A283" t="str">
        <f>IFERROR(__xludf.DUMMYFUNCTION("""COMPUTED_VALUE"""),"Harvest Temple Church Of God In Christ, Inc")</f>
        <v>Harvest Temple Church Of God In Christ, Inc</v>
      </c>
      <c r="B283" s="8"/>
      <c r="C283" s="6" t="str">
        <f t="shared" si="1"/>
        <v>Harvest Temple Church Of God In Christ, Inc</v>
      </c>
      <c r="D283" s="1" t="s">
        <v>4105</v>
      </c>
    </row>
    <row r="284">
      <c r="A284" t="str">
        <f>IFERROR(__xludf.DUMMYFUNCTION("""COMPUTED_VALUE"""),"ROMAN CATHOLIC ARCHDIOCESE OF DETROIT")</f>
        <v>ROMAN CATHOLIC ARCHDIOCESE OF DETROIT</v>
      </c>
      <c r="B284" s="6" t="s">
        <v>4207</v>
      </c>
      <c r="C284" s="6" t="str">
        <f t="shared" si="1"/>
        <v>Roman Catholic Archdiocese of Detroit</v>
      </c>
    </row>
    <row r="285">
      <c r="A285" t="str">
        <f>IFERROR(__xludf.DUMMYFUNCTION("""COMPUTED_VALUE"""),"ANGEL FULLER")</f>
        <v>ANGEL FULLER</v>
      </c>
      <c r="B285" s="8"/>
      <c r="C285" s="6" t="str">
        <f t="shared" si="1"/>
        <v>ANGEL FULLER</v>
      </c>
      <c r="D285" s="1" t="s">
        <v>4105</v>
      </c>
    </row>
    <row r="286">
      <c r="A286" t="str">
        <f>IFERROR(__xludf.DUMMYFUNCTION("""COMPUTED_VALUE"""),"Angels Praying Child Cre")</f>
        <v>Angels Praying Child Cre</v>
      </c>
      <c r="B286" s="8"/>
      <c r="C286" s="6" t="str">
        <f t="shared" si="1"/>
        <v>Angels Praying Child Cre</v>
      </c>
      <c r="D286" s="1" t="s">
        <v>4105</v>
      </c>
    </row>
    <row r="287">
      <c r="A287" t="str">
        <f>IFERROR(__xludf.DUMMYFUNCTION("""COMPUTED_VALUE"""),"Quality Child Care &amp; Learning Center I")</f>
        <v>Quality Child Care &amp; Learning Center I</v>
      </c>
      <c r="B287" s="8"/>
      <c r="C287" s="6" t="str">
        <f t="shared" si="1"/>
        <v>Quality Child Care &amp; Learning Center I</v>
      </c>
      <c r="D287" s="1" t="s">
        <v>4105</v>
      </c>
    </row>
    <row r="288">
      <c r="A288" t="str">
        <f>IFERROR(__xludf.DUMMYFUNCTION("""COMPUTED_VALUE"""),"The Nurturing Nest")</f>
        <v>The Nurturing Nest</v>
      </c>
      <c r="B288" s="8"/>
      <c r="C288" s="6" t="str">
        <f t="shared" si="1"/>
        <v>The Nurturing Nest</v>
      </c>
      <c r="D288" s="1" t="s">
        <v>4105</v>
      </c>
    </row>
    <row r="289">
      <c r="A289" t="str">
        <f>IFERROR(__xludf.DUMMYFUNCTION("""COMPUTED_VALUE"""),"Potters House Ministries")</f>
        <v>Potters House Ministries</v>
      </c>
      <c r="B289" s="8"/>
      <c r="C289" s="6" t="str">
        <f t="shared" si="1"/>
        <v>Potters House Ministries</v>
      </c>
      <c r="D289" s="1" t="s">
        <v>4105</v>
      </c>
    </row>
    <row r="290">
      <c r="A290" t="str">
        <f>IFERROR(__xludf.DUMMYFUNCTION("""COMPUTED_VALUE"""),"Greater Detroit Community Development Foundation")</f>
        <v>Greater Detroit Community Development Foundation</v>
      </c>
      <c r="B290" s="8"/>
      <c r="C290" s="6" t="str">
        <f t="shared" si="1"/>
        <v>Greater Detroit Community Development Foundation</v>
      </c>
      <c r="D290" s="1" t="s">
        <v>4105</v>
      </c>
    </row>
    <row r="291">
      <c r="A291" t="str">
        <f>IFERROR(__xludf.DUMMYFUNCTION("""COMPUTED_VALUE"""),"ESCUELA AVANCEMOS")</f>
        <v>ESCUELA AVANCEMOS</v>
      </c>
      <c r="B291" s="8"/>
      <c r="C291" s="6" t="str">
        <f t="shared" si="1"/>
        <v>ESCUELA AVANCEMOS</v>
      </c>
      <c r="D291" s="1" t="s">
        <v>4105</v>
      </c>
    </row>
    <row r="292">
      <c r="A292" t="str">
        <f>IFERROR(__xludf.DUMMYFUNCTION("""COMPUTED_VALUE"""),"Minerva Education &amp; Devel")</f>
        <v>Minerva Education &amp; Devel</v>
      </c>
      <c r="B292" s="6" t="s">
        <v>4208</v>
      </c>
      <c r="C292" s="6" t="str">
        <f t="shared" si="1"/>
        <v>Minerva Education and Development Foundation</v>
      </c>
    </row>
    <row r="293">
      <c r="A293" t="str">
        <f>IFERROR(__xludf.DUMMYFUNCTION("""COMPUTED_VALUE"""),"Operation Graduation")</f>
        <v>Operation Graduation</v>
      </c>
      <c r="B293" s="8"/>
      <c r="C293" s="6" t="str">
        <f t="shared" si="1"/>
        <v>Operation Graduation</v>
      </c>
      <c r="D293" s="1" t="s">
        <v>4105</v>
      </c>
    </row>
    <row r="294">
      <c r="A294" t="str">
        <f>IFERROR(__xludf.DUMMYFUNCTION("""COMPUTED_VALUE"""),"John Evans Montessori Academy, Inc.")</f>
        <v>John Evans Montessori Academy, Inc.</v>
      </c>
      <c r="B294" s="8"/>
      <c r="C294" s="6" t="str">
        <f t="shared" si="1"/>
        <v>John Evans Montessori Academy, Inc.</v>
      </c>
      <c r="D294" s="1" t="s">
        <v>4105</v>
      </c>
    </row>
    <row r="295">
      <c r="A295" t="str">
        <f>IFERROR(__xludf.DUMMYFUNCTION("""COMPUTED_VALUE"""),"Pippen Palace Child Care Academy, Inc.")</f>
        <v>Pippen Palace Child Care Academy, Inc.</v>
      </c>
      <c r="B295" s="8"/>
      <c r="C295" s="6" t="str">
        <f t="shared" si="1"/>
        <v>Pippen Palace Child Care Academy, Inc.</v>
      </c>
      <c r="D295" s="1" t="s">
        <v>4105</v>
      </c>
    </row>
    <row r="296">
      <c r="A296" t="str">
        <f>IFERROR(__xludf.DUMMYFUNCTION("""COMPUTED_VALUE"""),"Creative Learning Childrens College LLC")</f>
        <v>Creative Learning Childrens College LLC</v>
      </c>
      <c r="B296" s="8"/>
      <c r="C296" s="6" t="str">
        <f t="shared" si="1"/>
        <v>Creative Learning Childrens College LLC</v>
      </c>
      <c r="D296" s="1" t="s">
        <v>4105</v>
      </c>
    </row>
    <row r="297">
      <c r="A297" t="str">
        <f>IFERROR(__xludf.DUMMYFUNCTION("""COMPUTED_VALUE"""),"KEEP IT MOVING INC")</f>
        <v>KEEP IT MOVING INC</v>
      </c>
      <c r="B297" s="8"/>
      <c r="C297" s="6" t="str">
        <f t="shared" si="1"/>
        <v>KEEP IT MOVING INC</v>
      </c>
      <c r="D297" s="1" t="s">
        <v>4105</v>
      </c>
    </row>
    <row r="298">
      <c r="A298" t="str">
        <f>IFERROR(__xludf.DUMMYFUNCTION("""COMPUTED_VALUE"""),"Learn Everywhere")</f>
        <v>Learn Everywhere</v>
      </c>
      <c r="B298" s="8"/>
      <c r="C298" s="6" t="str">
        <f t="shared" si="1"/>
        <v>Learn Everywhere</v>
      </c>
      <c r="D298" s="1" t="s">
        <v>4105</v>
      </c>
    </row>
    <row r="299">
      <c r="A299" t="str">
        <f>IFERROR(__xludf.DUMMYFUNCTION("""COMPUTED_VALUE"""),"Magna Charter Planning Group")</f>
        <v>Magna Charter Planning Group</v>
      </c>
      <c r="B299" s="8"/>
      <c r="C299" s="6" t="str">
        <f t="shared" si="1"/>
        <v>Magna Charter Planning Group</v>
      </c>
      <c r="D299" s="1" t="s">
        <v>4105</v>
      </c>
    </row>
    <row r="300">
      <c r="A300" t="str">
        <f>IFERROR(__xludf.DUMMYFUNCTION("""COMPUTED_VALUE"""),"GOSPEL AGAINST AIDS INC")</f>
        <v>GOSPEL AGAINST AIDS INC</v>
      </c>
      <c r="B300" s="8"/>
      <c r="C300" s="6" t="str">
        <f t="shared" si="1"/>
        <v>GOSPEL AGAINST AIDS INC</v>
      </c>
      <c r="D300" s="1" t="s">
        <v>4105</v>
      </c>
    </row>
    <row r="301">
      <c r="A301" t="str">
        <f>IFERROR(__xludf.DUMMYFUNCTION("""COMPUTED_VALUE"""),"Sacred Heart Rehabilitation Center, Inc")</f>
        <v>Sacred Heart Rehabilitation Center, Inc</v>
      </c>
      <c r="B301" s="8"/>
      <c r="C301" s="6" t="str">
        <f t="shared" si="1"/>
        <v>Sacred Heart Rehabilitation Center, Inc</v>
      </c>
      <c r="D301" s="1" t="s">
        <v>4105</v>
      </c>
      <c r="G301" s="1" t="s">
        <v>4209</v>
      </c>
    </row>
    <row r="302">
      <c r="A302" t="str">
        <f>IFERROR(__xludf.DUMMYFUNCTION("""COMPUTED_VALUE"""),"VHS DETROIT RECEIVING HOSPITAL, INC.")</f>
        <v>VHS DETROIT RECEIVING HOSPITAL, INC.</v>
      </c>
      <c r="B302" s="8"/>
      <c r="C302" s="6" t="str">
        <f t="shared" si="1"/>
        <v>VHS DETROIT RECEIVING HOSPITAL, INC.</v>
      </c>
      <c r="D302" s="1" t="s">
        <v>4105</v>
      </c>
      <c r="G302" s="1" t="s">
        <v>4210</v>
      </c>
    </row>
    <row r="303">
      <c r="A303" t="str">
        <f>IFERROR(__xludf.DUMMYFUNCTION("""COMPUTED_VALUE"""),"DETROIT HEALTH CARE FOR THE HOMELESS")</f>
        <v>DETROIT HEALTH CARE FOR THE HOMELESS</v>
      </c>
      <c r="B303" s="6" t="s">
        <v>4211</v>
      </c>
      <c r="C303" s="6" t="str">
        <f t="shared" si="1"/>
        <v>Detroit Health Care for the Homeless dba Advantage Health Centers</v>
      </c>
      <c r="F303" s="1" t="s">
        <v>4105</v>
      </c>
    </row>
    <row r="304">
      <c r="A304" t="str">
        <f>IFERROR(__xludf.DUMMYFUNCTION("""COMPUTED_VALUE"""),"RUTH ELLIS CENTER")</f>
        <v>RUTH ELLIS CENTER</v>
      </c>
      <c r="B304" s="6" t="s">
        <v>4212</v>
      </c>
      <c r="C304" s="6" t="str">
        <f t="shared" si="1"/>
        <v>Ruth Ellis Center, Inc</v>
      </c>
    </row>
    <row r="305">
      <c r="B305" s="8"/>
      <c r="C305" s="8"/>
    </row>
    <row r="306">
      <c r="B306" s="8"/>
      <c r="C306" s="8"/>
    </row>
    <row r="307">
      <c r="B307" s="8"/>
      <c r="C307" s="8"/>
    </row>
    <row r="308">
      <c r="B308" s="8"/>
      <c r="C308" s="8"/>
    </row>
    <row r="309">
      <c r="B309" s="8"/>
      <c r="C309" s="8"/>
    </row>
    <row r="310">
      <c r="B310" s="8"/>
      <c r="C310" s="8"/>
    </row>
    <row r="311">
      <c r="B311" s="8"/>
      <c r="C311" s="8"/>
    </row>
    <row r="312">
      <c r="B312" s="8"/>
      <c r="C312" s="8"/>
    </row>
    <row r="313">
      <c r="B313" s="8"/>
      <c r="C313" s="8"/>
    </row>
    <row r="314">
      <c r="B314" s="8"/>
      <c r="C314" s="8"/>
    </row>
    <row r="315">
      <c r="B315" s="8"/>
      <c r="C315" s="8"/>
    </row>
    <row r="316">
      <c r="B316" s="8"/>
      <c r="C316" s="8"/>
    </row>
    <row r="317">
      <c r="B317" s="8"/>
      <c r="C317" s="8"/>
    </row>
    <row r="318">
      <c r="B318" s="8"/>
      <c r="C318" s="8"/>
    </row>
    <row r="319">
      <c r="B319" s="8"/>
      <c r="C319" s="8"/>
    </row>
    <row r="320">
      <c r="B320" s="8"/>
      <c r="C320" s="8"/>
    </row>
    <row r="321">
      <c r="B321" s="8"/>
      <c r="C321" s="8"/>
    </row>
    <row r="322">
      <c r="B322" s="8"/>
      <c r="C322" s="8"/>
    </row>
    <row r="323">
      <c r="B323" s="8"/>
      <c r="C323" s="8"/>
    </row>
    <row r="324">
      <c r="B324" s="8"/>
      <c r="C324" s="8"/>
    </row>
    <row r="325">
      <c r="B325" s="8"/>
      <c r="C325" s="8"/>
    </row>
    <row r="326">
      <c r="B326" s="8"/>
      <c r="C326" s="8"/>
    </row>
    <row r="327">
      <c r="B327" s="8"/>
      <c r="C327" s="8"/>
    </row>
    <row r="328">
      <c r="B328" s="8"/>
      <c r="C328" s="8"/>
    </row>
    <row r="329">
      <c r="B329" s="8"/>
      <c r="C329" s="8"/>
    </row>
    <row r="330">
      <c r="B330" s="8"/>
      <c r="C330" s="8"/>
    </row>
    <row r="331">
      <c r="B331" s="8"/>
      <c r="C331" s="8"/>
    </row>
    <row r="332">
      <c r="B332" s="8"/>
      <c r="C332" s="8"/>
    </row>
    <row r="333">
      <c r="B333" s="8"/>
      <c r="C333" s="8"/>
    </row>
    <row r="334">
      <c r="B334" s="8"/>
      <c r="C334" s="8"/>
    </row>
    <row r="335">
      <c r="B335" s="8"/>
      <c r="C335" s="8"/>
    </row>
    <row r="336">
      <c r="B336" s="8"/>
      <c r="C336" s="8"/>
    </row>
    <row r="337">
      <c r="B337" s="8"/>
      <c r="C337" s="8"/>
    </row>
    <row r="338">
      <c r="B338" s="8"/>
      <c r="C338" s="8"/>
    </row>
    <row r="339">
      <c r="B339" s="8"/>
      <c r="C339" s="8"/>
    </row>
    <row r="340">
      <c r="B340" s="8"/>
      <c r="C340" s="8"/>
    </row>
    <row r="341">
      <c r="B341" s="8"/>
      <c r="C341" s="8"/>
    </row>
    <row r="342">
      <c r="B342" s="8"/>
      <c r="C342" s="8"/>
    </row>
    <row r="343">
      <c r="B343" s="8"/>
      <c r="C343" s="8"/>
    </row>
    <row r="344">
      <c r="B344" s="8"/>
      <c r="C344" s="8"/>
    </row>
    <row r="345">
      <c r="B345" s="8"/>
      <c r="C345" s="8"/>
    </row>
    <row r="346">
      <c r="B346" s="8"/>
      <c r="C346" s="8"/>
    </row>
    <row r="347">
      <c r="B347" s="8"/>
      <c r="C347" s="8"/>
    </row>
    <row r="348">
      <c r="B348" s="8"/>
      <c r="C348" s="8"/>
    </row>
    <row r="349">
      <c r="B349" s="8"/>
      <c r="C349" s="8"/>
    </row>
    <row r="350">
      <c r="B350" s="8"/>
      <c r="C350" s="8"/>
    </row>
    <row r="351">
      <c r="B351" s="8"/>
      <c r="C351" s="8"/>
    </row>
    <row r="352">
      <c r="B352" s="8"/>
      <c r="C352" s="8"/>
    </row>
    <row r="353">
      <c r="B353" s="8"/>
      <c r="C353" s="8"/>
    </row>
    <row r="354">
      <c r="B354" s="8"/>
      <c r="C354" s="8"/>
    </row>
    <row r="355">
      <c r="B355" s="8"/>
      <c r="C355" s="8"/>
    </row>
    <row r="356">
      <c r="B356" s="8"/>
      <c r="C356" s="8"/>
    </row>
    <row r="357">
      <c r="B357" s="8"/>
      <c r="C357" s="8"/>
    </row>
    <row r="358">
      <c r="B358" s="8"/>
      <c r="C358" s="8"/>
    </row>
    <row r="359">
      <c r="B359" s="8"/>
      <c r="C359" s="8"/>
    </row>
    <row r="360">
      <c r="B360" s="8"/>
      <c r="C360" s="8"/>
    </row>
    <row r="361">
      <c r="B361" s="8"/>
      <c r="C361" s="8"/>
    </row>
    <row r="362">
      <c r="B362" s="8"/>
      <c r="C362" s="8"/>
    </row>
    <row r="363">
      <c r="B363" s="8"/>
      <c r="C363" s="8"/>
    </row>
    <row r="364">
      <c r="B364" s="8"/>
      <c r="C364" s="8"/>
    </row>
    <row r="365">
      <c r="B365" s="8"/>
      <c r="C365" s="8"/>
    </row>
    <row r="366">
      <c r="B366" s="8"/>
      <c r="C366" s="8"/>
    </row>
    <row r="367">
      <c r="B367" s="8"/>
      <c r="C367" s="8"/>
    </row>
    <row r="368">
      <c r="B368" s="8"/>
      <c r="C368" s="8"/>
    </row>
    <row r="369">
      <c r="B369" s="8"/>
      <c r="C369" s="8"/>
    </row>
    <row r="370">
      <c r="B370" s="8"/>
      <c r="C370" s="8"/>
    </row>
    <row r="371">
      <c r="B371" s="8"/>
      <c r="C371" s="8"/>
    </row>
    <row r="372">
      <c r="B372" s="8"/>
      <c r="C372" s="8"/>
    </row>
    <row r="373">
      <c r="B373" s="8"/>
      <c r="C373" s="8"/>
    </row>
    <row r="374">
      <c r="B374" s="8"/>
      <c r="C374" s="8"/>
    </row>
    <row r="375">
      <c r="B375" s="8"/>
      <c r="C375" s="8"/>
    </row>
    <row r="376">
      <c r="B376" s="8"/>
      <c r="C376" s="8"/>
    </row>
    <row r="377">
      <c r="B377" s="8"/>
      <c r="C377" s="8"/>
    </row>
    <row r="378">
      <c r="B378" s="8"/>
      <c r="C378" s="8"/>
    </row>
    <row r="379">
      <c r="B379" s="8"/>
      <c r="C379" s="8"/>
    </row>
    <row r="380">
      <c r="B380" s="8"/>
      <c r="C380" s="8"/>
    </row>
    <row r="381">
      <c r="B381" s="8"/>
      <c r="C381" s="8"/>
    </row>
    <row r="382">
      <c r="B382" s="8"/>
      <c r="C382" s="8"/>
    </row>
    <row r="383">
      <c r="B383" s="8"/>
      <c r="C383" s="8"/>
    </row>
    <row r="384">
      <c r="B384" s="8"/>
      <c r="C384" s="8"/>
    </row>
    <row r="385">
      <c r="B385" s="8"/>
      <c r="C385" s="8"/>
    </row>
    <row r="386">
      <c r="B386" s="8"/>
      <c r="C386" s="8"/>
    </row>
    <row r="387">
      <c r="B387" s="8"/>
      <c r="C387" s="8"/>
    </row>
    <row r="388">
      <c r="B388" s="8"/>
      <c r="C388" s="8"/>
    </row>
    <row r="389">
      <c r="B389" s="8"/>
      <c r="C389" s="8"/>
    </row>
    <row r="390">
      <c r="B390" s="8"/>
      <c r="C390" s="8"/>
    </row>
    <row r="391">
      <c r="B391" s="8"/>
      <c r="C391" s="8"/>
    </row>
    <row r="392">
      <c r="B392" s="8"/>
      <c r="C392" s="8"/>
    </row>
    <row r="393">
      <c r="B393" s="8"/>
      <c r="C393" s="8"/>
    </row>
    <row r="394">
      <c r="B394" s="8"/>
      <c r="C394" s="8"/>
    </row>
    <row r="395">
      <c r="B395" s="8"/>
      <c r="C395" s="8"/>
    </row>
    <row r="396">
      <c r="B396" s="8"/>
      <c r="C396" s="8"/>
    </row>
    <row r="397">
      <c r="B397" s="8"/>
      <c r="C397" s="8"/>
    </row>
    <row r="398">
      <c r="B398" s="8"/>
      <c r="C398" s="8"/>
    </row>
    <row r="399">
      <c r="B399" s="8"/>
      <c r="C399" s="8"/>
    </row>
    <row r="400">
      <c r="B400" s="8"/>
      <c r="C400" s="8"/>
    </row>
    <row r="401">
      <c r="B401" s="8"/>
      <c r="C401" s="8"/>
    </row>
    <row r="402">
      <c r="B402" s="8"/>
      <c r="C402" s="8"/>
    </row>
    <row r="403">
      <c r="B403" s="8"/>
      <c r="C403" s="8"/>
    </row>
    <row r="404">
      <c r="B404" s="8"/>
      <c r="C404" s="8"/>
    </row>
    <row r="405">
      <c r="B405" s="8"/>
      <c r="C405" s="8"/>
    </row>
    <row r="406">
      <c r="B406" s="8"/>
      <c r="C406" s="8"/>
    </row>
    <row r="407">
      <c r="B407" s="8"/>
      <c r="C407" s="8"/>
    </row>
    <row r="408">
      <c r="B408" s="8"/>
      <c r="C408" s="8"/>
    </row>
    <row r="409">
      <c r="B409" s="8"/>
      <c r="C409" s="8"/>
    </row>
    <row r="410">
      <c r="B410" s="8"/>
      <c r="C410" s="8"/>
    </row>
    <row r="411">
      <c r="B411" s="8"/>
      <c r="C411" s="8"/>
    </row>
    <row r="412">
      <c r="B412" s="8"/>
      <c r="C412" s="8"/>
    </row>
    <row r="413">
      <c r="B413" s="8"/>
      <c r="C413" s="8"/>
    </row>
    <row r="414">
      <c r="B414" s="8"/>
      <c r="C414" s="8"/>
    </row>
    <row r="415">
      <c r="B415" s="8"/>
      <c r="C415" s="8"/>
    </row>
    <row r="416">
      <c r="B416" s="8"/>
      <c r="C416" s="8"/>
    </row>
    <row r="417">
      <c r="B417" s="8"/>
      <c r="C417" s="8"/>
    </row>
    <row r="418">
      <c r="B418" s="8"/>
      <c r="C418" s="8"/>
    </row>
    <row r="419">
      <c r="B419" s="8"/>
      <c r="C419" s="8"/>
    </row>
    <row r="420">
      <c r="B420" s="8"/>
      <c r="C420" s="8"/>
    </row>
    <row r="421">
      <c r="B421" s="8"/>
      <c r="C421" s="8"/>
    </row>
    <row r="422">
      <c r="B422" s="8"/>
      <c r="C422" s="8"/>
    </row>
    <row r="423">
      <c r="B423" s="8"/>
      <c r="C423" s="8"/>
    </row>
    <row r="424">
      <c r="B424" s="8"/>
      <c r="C424" s="8"/>
    </row>
    <row r="425">
      <c r="B425" s="8"/>
      <c r="C425" s="8"/>
    </row>
    <row r="426">
      <c r="B426" s="8"/>
      <c r="C426" s="8"/>
    </row>
    <row r="427">
      <c r="B427" s="8"/>
      <c r="C427" s="8"/>
    </row>
    <row r="428">
      <c r="B428" s="8"/>
      <c r="C428" s="8"/>
    </row>
    <row r="429">
      <c r="B429" s="8"/>
      <c r="C429" s="8"/>
    </row>
    <row r="430">
      <c r="B430" s="8"/>
      <c r="C430" s="8"/>
    </row>
    <row r="431">
      <c r="B431" s="8"/>
      <c r="C431" s="8"/>
    </row>
    <row r="432">
      <c r="B432" s="8"/>
      <c r="C432" s="8"/>
    </row>
    <row r="433">
      <c r="B433" s="8"/>
      <c r="C433" s="8"/>
    </row>
    <row r="434">
      <c r="B434" s="8"/>
      <c r="C434" s="8"/>
    </row>
    <row r="435">
      <c r="B435" s="8"/>
      <c r="C435" s="8"/>
    </row>
    <row r="436">
      <c r="B436" s="8"/>
      <c r="C436" s="8"/>
    </row>
    <row r="437">
      <c r="B437" s="8"/>
      <c r="C437" s="8"/>
    </row>
    <row r="438">
      <c r="B438" s="8"/>
      <c r="C438" s="8"/>
    </row>
    <row r="439">
      <c r="B439" s="8"/>
      <c r="C439" s="8"/>
    </row>
    <row r="440">
      <c r="B440" s="8"/>
      <c r="C440" s="8"/>
    </row>
    <row r="441">
      <c r="B441" s="8"/>
      <c r="C441" s="8"/>
    </row>
    <row r="442">
      <c r="B442" s="8"/>
      <c r="C442" s="8"/>
    </row>
    <row r="443">
      <c r="B443" s="8"/>
      <c r="C443" s="8"/>
    </row>
    <row r="444">
      <c r="B444" s="8"/>
      <c r="C444" s="8"/>
    </row>
    <row r="445">
      <c r="B445" s="8"/>
      <c r="C445" s="8"/>
    </row>
    <row r="446">
      <c r="B446" s="8"/>
      <c r="C446" s="8"/>
    </row>
    <row r="447">
      <c r="B447" s="8"/>
      <c r="C447" s="8"/>
    </row>
    <row r="448">
      <c r="B448" s="8"/>
      <c r="C448" s="8"/>
    </row>
    <row r="449">
      <c r="B449" s="8"/>
      <c r="C449" s="8"/>
    </row>
    <row r="450">
      <c r="B450" s="8"/>
      <c r="C450" s="8"/>
    </row>
    <row r="451">
      <c r="B451" s="8"/>
      <c r="C451" s="8"/>
    </row>
    <row r="452">
      <c r="B452" s="8"/>
      <c r="C452" s="8"/>
    </row>
    <row r="453">
      <c r="B453" s="8"/>
      <c r="C453" s="8"/>
    </row>
    <row r="454">
      <c r="B454" s="8"/>
      <c r="C454" s="8"/>
    </row>
    <row r="455">
      <c r="B455" s="8"/>
      <c r="C455" s="8"/>
    </row>
    <row r="456">
      <c r="B456" s="8"/>
      <c r="C456" s="8"/>
    </row>
    <row r="457">
      <c r="B457" s="8"/>
      <c r="C457" s="8"/>
    </row>
    <row r="458">
      <c r="B458" s="8"/>
      <c r="C458" s="8"/>
    </row>
    <row r="459">
      <c r="B459" s="8"/>
      <c r="C459" s="8"/>
    </row>
    <row r="460">
      <c r="B460" s="8"/>
      <c r="C460" s="8"/>
    </row>
    <row r="461">
      <c r="B461" s="8"/>
      <c r="C461" s="8"/>
    </row>
    <row r="462">
      <c r="B462" s="8"/>
      <c r="C462" s="8"/>
    </row>
    <row r="463">
      <c r="B463" s="8"/>
      <c r="C463" s="8"/>
    </row>
    <row r="464">
      <c r="B464" s="8"/>
      <c r="C464" s="8"/>
    </row>
    <row r="465">
      <c r="B465" s="8"/>
      <c r="C465" s="8"/>
    </row>
    <row r="466">
      <c r="B466" s="8"/>
      <c r="C466" s="8"/>
    </row>
    <row r="467">
      <c r="B467" s="8"/>
      <c r="C467" s="8"/>
    </row>
    <row r="468">
      <c r="B468" s="8"/>
      <c r="C468" s="8"/>
    </row>
    <row r="469">
      <c r="B469" s="8"/>
      <c r="C469" s="8"/>
    </row>
    <row r="470">
      <c r="B470" s="8"/>
      <c r="C470" s="8"/>
    </row>
    <row r="471">
      <c r="B471" s="8"/>
      <c r="C471" s="8"/>
    </row>
    <row r="472">
      <c r="B472" s="8"/>
      <c r="C472" s="8"/>
    </row>
    <row r="473">
      <c r="B473" s="8"/>
      <c r="C473" s="8"/>
    </row>
    <row r="474">
      <c r="B474" s="8"/>
      <c r="C474" s="8"/>
    </row>
    <row r="475">
      <c r="B475" s="8"/>
      <c r="C475" s="8"/>
    </row>
    <row r="476">
      <c r="B476" s="8"/>
      <c r="C476" s="8"/>
    </row>
    <row r="477">
      <c r="B477" s="8"/>
      <c r="C477" s="8"/>
    </row>
    <row r="478">
      <c r="B478" s="8"/>
      <c r="C478" s="8"/>
    </row>
    <row r="479">
      <c r="B479" s="8"/>
      <c r="C479" s="8"/>
    </row>
    <row r="480">
      <c r="B480" s="8"/>
      <c r="C480" s="8"/>
    </row>
    <row r="481">
      <c r="B481" s="8"/>
      <c r="C481" s="8"/>
    </row>
    <row r="482">
      <c r="B482" s="8"/>
      <c r="C482" s="8"/>
    </row>
    <row r="483">
      <c r="B483" s="8"/>
      <c r="C483" s="8"/>
    </row>
    <row r="484">
      <c r="B484" s="8"/>
      <c r="C484" s="8"/>
    </row>
    <row r="485">
      <c r="B485" s="8"/>
      <c r="C485" s="8"/>
    </row>
    <row r="486">
      <c r="B486" s="8"/>
      <c r="C486" s="8"/>
    </row>
    <row r="487">
      <c r="B487" s="8"/>
      <c r="C487" s="8"/>
    </row>
    <row r="488">
      <c r="B488" s="8"/>
      <c r="C488" s="8"/>
    </row>
    <row r="489">
      <c r="B489" s="8"/>
      <c r="C489" s="8"/>
    </row>
    <row r="490">
      <c r="B490" s="8"/>
      <c r="C490" s="8"/>
    </row>
    <row r="491">
      <c r="B491" s="8"/>
      <c r="C491" s="8"/>
    </row>
    <row r="492">
      <c r="B492" s="8"/>
      <c r="C492" s="8"/>
    </row>
    <row r="493">
      <c r="B493" s="8"/>
      <c r="C493" s="8"/>
    </row>
    <row r="494">
      <c r="B494" s="8"/>
      <c r="C494" s="8"/>
    </row>
    <row r="495">
      <c r="B495" s="8"/>
      <c r="C495" s="8"/>
    </row>
    <row r="496">
      <c r="B496" s="8"/>
      <c r="C496" s="8"/>
    </row>
    <row r="497">
      <c r="B497" s="8"/>
      <c r="C497" s="8"/>
    </row>
    <row r="498">
      <c r="B498" s="8"/>
      <c r="C498" s="8"/>
    </row>
    <row r="499">
      <c r="B499" s="8"/>
      <c r="C499" s="8"/>
    </row>
    <row r="500">
      <c r="B500" s="8"/>
      <c r="C500" s="8"/>
    </row>
    <row r="501">
      <c r="B501" s="8"/>
      <c r="C501" s="8"/>
    </row>
    <row r="502">
      <c r="B502" s="8"/>
      <c r="C502" s="8"/>
    </row>
    <row r="503">
      <c r="B503" s="8"/>
      <c r="C503" s="8"/>
    </row>
    <row r="504">
      <c r="B504" s="8"/>
      <c r="C504" s="8"/>
    </row>
    <row r="505">
      <c r="B505" s="8"/>
      <c r="C505" s="8"/>
    </row>
    <row r="506">
      <c r="B506" s="8"/>
      <c r="C506" s="8"/>
    </row>
    <row r="507">
      <c r="B507" s="8"/>
      <c r="C507" s="8"/>
    </row>
    <row r="508">
      <c r="B508" s="8"/>
      <c r="C508" s="8"/>
    </row>
    <row r="509">
      <c r="B509" s="8"/>
      <c r="C509" s="8"/>
    </row>
    <row r="510">
      <c r="B510" s="8"/>
      <c r="C510" s="8"/>
    </row>
    <row r="511">
      <c r="B511" s="8"/>
      <c r="C511" s="8"/>
    </row>
    <row r="512">
      <c r="B512" s="8"/>
      <c r="C512" s="8"/>
    </row>
    <row r="513">
      <c r="B513" s="8"/>
      <c r="C513" s="8"/>
    </row>
    <row r="514">
      <c r="B514" s="8"/>
      <c r="C514" s="8"/>
    </row>
    <row r="515">
      <c r="B515" s="8"/>
      <c r="C515" s="8"/>
    </row>
    <row r="516">
      <c r="B516" s="8"/>
      <c r="C516" s="8"/>
    </row>
    <row r="517">
      <c r="B517" s="8"/>
      <c r="C517" s="8"/>
    </row>
    <row r="518">
      <c r="B518" s="8"/>
      <c r="C518" s="8"/>
    </row>
    <row r="519">
      <c r="B519" s="8"/>
      <c r="C519" s="8"/>
    </row>
    <row r="520">
      <c r="B520" s="8"/>
      <c r="C520" s="8"/>
    </row>
    <row r="521">
      <c r="B521" s="8"/>
      <c r="C521" s="8"/>
    </row>
    <row r="522">
      <c r="B522" s="8"/>
      <c r="C522" s="8"/>
    </row>
    <row r="523">
      <c r="B523" s="8"/>
      <c r="C523" s="8"/>
    </row>
    <row r="524">
      <c r="B524" s="8"/>
      <c r="C524" s="8"/>
    </row>
    <row r="525">
      <c r="B525" s="8"/>
      <c r="C525" s="8"/>
    </row>
    <row r="526">
      <c r="B526" s="8"/>
      <c r="C526" s="8"/>
    </row>
    <row r="527">
      <c r="B527" s="8"/>
      <c r="C527" s="8"/>
    </row>
    <row r="528">
      <c r="B528" s="8"/>
      <c r="C528" s="8"/>
    </row>
    <row r="529">
      <c r="B529" s="8"/>
      <c r="C529" s="8"/>
    </row>
    <row r="530">
      <c r="B530" s="8"/>
      <c r="C530" s="8"/>
    </row>
    <row r="531">
      <c r="B531" s="8"/>
      <c r="C531" s="8"/>
    </row>
    <row r="532">
      <c r="B532" s="8"/>
      <c r="C532" s="8"/>
    </row>
    <row r="533">
      <c r="B533" s="8"/>
      <c r="C533" s="8"/>
    </row>
    <row r="534">
      <c r="B534" s="8"/>
      <c r="C534" s="8"/>
    </row>
    <row r="535">
      <c r="B535" s="8"/>
      <c r="C535" s="8"/>
    </row>
    <row r="536">
      <c r="B536" s="8"/>
      <c r="C536" s="8"/>
    </row>
    <row r="537">
      <c r="B537" s="8"/>
      <c r="C537" s="8"/>
    </row>
    <row r="538">
      <c r="B538" s="8"/>
      <c r="C538" s="8"/>
    </row>
    <row r="539">
      <c r="B539" s="8"/>
      <c r="C539" s="8"/>
    </row>
    <row r="540">
      <c r="B540" s="8"/>
      <c r="C540" s="8"/>
    </row>
    <row r="541">
      <c r="B541" s="8"/>
      <c r="C541" s="8"/>
    </row>
    <row r="542">
      <c r="B542" s="8"/>
      <c r="C542" s="8"/>
    </row>
    <row r="543">
      <c r="B543" s="8"/>
      <c r="C543" s="8"/>
    </row>
    <row r="544">
      <c r="B544" s="8"/>
      <c r="C544" s="8"/>
    </row>
    <row r="545">
      <c r="B545" s="8"/>
      <c r="C545" s="8"/>
    </row>
    <row r="546">
      <c r="B546" s="8"/>
      <c r="C546" s="8"/>
    </row>
    <row r="547">
      <c r="B547" s="8"/>
      <c r="C547" s="8"/>
    </row>
    <row r="548">
      <c r="B548" s="8"/>
      <c r="C548" s="8"/>
    </row>
    <row r="549">
      <c r="B549" s="8"/>
      <c r="C549" s="8"/>
    </row>
    <row r="550">
      <c r="B550" s="8"/>
      <c r="C550" s="8"/>
    </row>
    <row r="551">
      <c r="B551" s="8"/>
      <c r="C551" s="8"/>
    </row>
    <row r="552">
      <c r="B552" s="8"/>
      <c r="C552" s="8"/>
    </row>
    <row r="553">
      <c r="B553" s="8"/>
      <c r="C553" s="8"/>
    </row>
    <row r="554">
      <c r="B554" s="8"/>
      <c r="C554" s="8"/>
    </row>
    <row r="555">
      <c r="B555" s="8"/>
      <c r="C555" s="8"/>
    </row>
    <row r="556">
      <c r="B556" s="8"/>
      <c r="C556" s="8"/>
    </row>
    <row r="557">
      <c r="B557" s="8"/>
      <c r="C557" s="8"/>
    </row>
    <row r="558">
      <c r="B558" s="8"/>
      <c r="C558" s="8"/>
    </row>
    <row r="559">
      <c r="B559" s="8"/>
      <c r="C559" s="8"/>
    </row>
    <row r="560">
      <c r="B560" s="8"/>
      <c r="C560" s="8"/>
    </row>
    <row r="561">
      <c r="B561" s="8"/>
      <c r="C561" s="8"/>
    </row>
    <row r="562">
      <c r="B562" s="8"/>
      <c r="C562" s="8"/>
    </row>
    <row r="563">
      <c r="B563" s="8"/>
      <c r="C563" s="8"/>
    </row>
    <row r="564">
      <c r="B564" s="8"/>
      <c r="C564" s="8"/>
    </row>
    <row r="565">
      <c r="B565" s="8"/>
      <c r="C565" s="8"/>
    </row>
    <row r="566">
      <c r="B566" s="8"/>
      <c r="C566" s="8"/>
    </row>
    <row r="567">
      <c r="B567" s="8"/>
      <c r="C567" s="8"/>
    </row>
    <row r="568">
      <c r="B568" s="8"/>
      <c r="C568" s="8"/>
    </row>
    <row r="569">
      <c r="B569" s="8"/>
      <c r="C569" s="8"/>
    </row>
    <row r="570">
      <c r="B570" s="8"/>
      <c r="C570" s="8"/>
    </row>
    <row r="571">
      <c r="B571" s="8"/>
      <c r="C571" s="8"/>
    </row>
    <row r="572">
      <c r="B572" s="8"/>
      <c r="C572" s="8"/>
    </row>
    <row r="573">
      <c r="B573" s="8"/>
      <c r="C573" s="8"/>
    </row>
    <row r="574">
      <c r="B574" s="8"/>
      <c r="C574" s="8"/>
    </row>
    <row r="575">
      <c r="B575" s="8"/>
      <c r="C575" s="8"/>
    </row>
    <row r="576">
      <c r="B576" s="8"/>
      <c r="C576" s="8"/>
    </row>
    <row r="577">
      <c r="B577" s="8"/>
      <c r="C577" s="8"/>
    </row>
    <row r="578">
      <c r="B578" s="8"/>
      <c r="C578" s="8"/>
    </row>
    <row r="579">
      <c r="B579" s="8"/>
      <c r="C579" s="8"/>
    </row>
    <row r="580">
      <c r="B580" s="8"/>
      <c r="C580" s="8"/>
    </row>
    <row r="581">
      <c r="B581" s="8"/>
      <c r="C581" s="8"/>
    </row>
    <row r="582">
      <c r="B582" s="8"/>
      <c r="C582" s="8"/>
    </row>
    <row r="583">
      <c r="B583" s="8"/>
      <c r="C583" s="8"/>
    </row>
    <row r="584">
      <c r="B584" s="8"/>
      <c r="C584" s="8"/>
    </row>
    <row r="585">
      <c r="B585" s="8"/>
      <c r="C585" s="8"/>
    </row>
    <row r="586">
      <c r="B586" s="8"/>
      <c r="C586" s="8"/>
    </row>
    <row r="587">
      <c r="B587" s="8"/>
      <c r="C587" s="8"/>
    </row>
    <row r="588">
      <c r="B588" s="8"/>
      <c r="C588" s="8"/>
    </row>
    <row r="589">
      <c r="B589" s="8"/>
      <c r="C589" s="8"/>
    </row>
    <row r="590">
      <c r="B590" s="8"/>
      <c r="C590" s="8"/>
    </row>
    <row r="591">
      <c r="B591" s="8"/>
      <c r="C591" s="8"/>
    </row>
    <row r="592">
      <c r="B592" s="8"/>
      <c r="C592" s="8"/>
    </row>
    <row r="593">
      <c r="B593" s="8"/>
      <c r="C593" s="8"/>
    </row>
    <row r="594">
      <c r="B594" s="8"/>
      <c r="C594" s="8"/>
    </row>
    <row r="595">
      <c r="B595" s="8"/>
      <c r="C595" s="8"/>
    </row>
    <row r="596">
      <c r="B596" s="8"/>
      <c r="C596" s="8"/>
    </row>
    <row r="597">
      <c r="B597" s="8"/>
      <c r="C597" s="8"/>
    </row>
    <row r="598">
      <c r="B598" s="8"/>
      <c r="C598" s="8"/>
    </row>
    <row r="599">
      <c r="B599" s="8"/>
      <c r="C599" s="8"/>
    </row>
    <row r="600">
      <c r="B600" s="8"/>
      <c r="C600" s="8"/>
    </row>
    <row r="601">
      <c r="B601" s="8"/>
      <c r="C601" s="8"/>
    </row>
    <row r="602">
      <c r="B602" s="8"/>
      <c r="C602" s="8"/>
    </row>
    <row r="603">
      <c r="B603" s="8"/>
      <c r="C603" s="8"/>
    </row>
    <row r="604">
      <c r="B604" s="8"/>
      <c r="C604" s="8"/>
    </row>
    <row r="605">
      <c r="B605" s="8"/>
      <c r="C605" s="8"/>
    </row>
    <row r="606">
      <c r="B606" s="8"/>
      <c r="C606" s="8"/>
    </row>
    <row r="607">
      <c r="B607" s="8"/>
      <c r="C607" s="8"/>
    </row>
    <row r="608">
      <c r="B608" s="8"/>
      <c r="C608" s="8"/>
    </row>
    <row r="609">
      <c r="B609" s="8"/>
      <c r="C609" s="8"/>
    </row>
    <row r="610">
      <c r="B610" s="8"/>
      <c r="C610" s="8"/>
    </row>
    <row r="611">
      <c r="B611" s="8"/>
      <c r="C611" s="8"/>
    </row>
    <row r="612">
      <c r="B612" s="8"/>
      <c r="C612" s="8"/>
    </row>
    <row r="613">
      <c r="B613" s="8"/>
      <c r="C613" s="8"/>
    </row>
    <row r="614">
      <c r="B614" s="8"/>
      <c r="C614" s="8"/>
    </row>
    <row r="615">
      <c r="B615" s="8"/>
      <c r="C615" s="8"/>
    </row>
    <row r="616">
      <c r="B616" s="8"/>
      <c r="C616" s="8"/>
    </row>
    <row r="617">
      <c r="B617" s="8"/>
      <c r="C617" s="8"/>
    </row>
    <row r="618">
      <c r="B618" s="8"/>
      <c r="C618" s="8"/>
    </row>
    <row r="619">
      <c r="B619" s="8"/>
      <c r="C619" s="8"/>
    </row>
    <row r="620">
      <c r="B620" s="8"/>
      <c r="C620" s="8"/>
    </row>
    <row r="621">
      <c r="B621" s="8"/>
      <c r="C621" s="8"/>
    </row>
    <row r="622">
      <c r="B622" s="8"/>
      <c r="C622" s="8"/>
    </row>
    <row r="623">
      <c r="B623" s="8"/>
      <c r="C623" s="8"/>
    </row>
    <row r="624">
      <c r="B624" s="8"/>
      <c r="C624" s="8"/>
    </row>
    <row r="625">
      <c r="B625" s="8"/>
      <c r="C625" s="8"/>
    </row>
    <row r="626">
      <c r="B626" s="8"/>
      <c r="C626" s="8"/>
    </row>
    <row r="627">
      <c r="B627" s="8"/>
      <c r="C627" s="8"/>
    </row>
    <row r="628">
      <c r="B628" s="8"/>
      <c r="C628" s="8"/>
    </row>
    <row r="629">
      <c r="B629" s="8"/>
      <c r="C629" s="8"/>
    </row>
    <row r="630">
      <c r="B630" s="8"/>
      <c r="C630" s="8"/>
    </row>
    <row r="631">
      <c r="B631" s="8"/>
      <c r="C631" s="8"/>
    </row>
    <row r="632">
      <c r="B632" s="8"/>
      <c r="C632" s="8"/>
    </row>
    <row r="633">
      <c r="B633" s="8"/>
      <c r="C633" s="8"/>
    </row>
    <row r="634">
      <c r="B634" s="8"/>
      <c r="C634" s="8"/>
    </row>
    <row r="635">
      <c r="B635" s="8"/>
      <c r="C635" s="8"/>
    </row>
    <row r="636">
      <c r="B636" s="8"/>
      <c r="C636" s="8"/>
    </row>
    <row r="637">
      <c r="B637" s="8"/>
      <c r="C637" s="8"/>
    </row>
    <row r="638">
      <c r="B638" s="8"/>
      <c r="C638" s="8"/>
    </row>
    <row r="639">
      <c r="B639" s="8"/>
      <c r="C639" s="8"/>
    </row>
    <row r="640">
      <c r="B640" s="8"/>
      <c r="C640" s="8"/>
    </row>
    <row r="641">
      <c r="B641" s="8"/>
      <c r="C641" s="8"/>
    </row>
    <row r="642">
      <c r="B642" s="8"/>
      <c r="C642" s="8"/>
    </row>
    <row r="643">
      <c r="B643" s="8"/>
      <c r="C643" s="8"/>
    </row>
    <row r="644">
      <c r="B644" s="8"/>
      <c r="C644" s="8"/>
    </row>
    <row r="645">
      <c r="B645" s="8"/>
      <c r="C645" s="8"/>
    </row>
    <row r="646">
      <c r="B646" s="8"/>
      <c r="C646" s="8"/>
    </row>
    <row r="647">
      <c r="B647" s="8"/>
      <c r="C647" s="8"/>
    </row>
    <row r="648">
      <c r="B648" s="8"/>
      <c r="C648" s="8"/>
    </row>
    <row r="649">
      <c r="B649" s="8"/>
      <c r="C649" s="8"/>
    </row>
    <row r="650">
      <c r="B650" s="8"/>
      <c r="C650" s="8"/>
    </row>
    <row r="651">
      <c r="B651" s="8"/>
      <c r="C651" s="8"/>
    </row>
    <row r="652">
      <c r="B652" s="8"/>
      <c r="C652" s="8"/>
    </row>
    <row r="653">
      <c r="B653" s="8"/>
      <c r="C653" s="8"/>
    </row>
    <row r="654">
      <c r="B654" s="8"/>
      <c r="C654" s="8"/>
    </row>
    <row r="655">
      <c r="B655" s="8"/>
      <c r="C655" s="8"/>
    </row>
    <row r="656">
      <c r="B656" s="8"/>
      <c r="C656" s="8"/>
    </row>
    <row r="657">
      <c r="B657" s="8"/>
      <c r="C657" s="8"/>
    </row>
    <row r="658">
      <c r="B658" s="8"/>
      <c r="C658" s="8"/>
    </row>
    <row r="659">
      <c r="B659" s="8"/>
      <c r="C659" s="8"/>
    </row>
    <row r="660">
      <c r="B660" s="8"/>
      <c r="C660" s="8"/>
    </row>
    <row r="661">
      <c r="B661" s="8"/>
      <c r="C661" s="8"/>
    </row>
    <row r="662">
      <c r="B662" s="8"/>
      <c r="C662" s="8"/>
    </row>
    <row r="663">
      <c r="B663" s="8"/>
      <c r="C663" s="8"/>
    </row>
    <row r="664">
      <c r="B664" s="8"/>
      <c r="C664" s="8"/>
    </row>
    <row r="665">
      <c r="B665" s="8"/>
      <c r="C665" s="8"/>
    </row>
    <row r="666">
      <c r="B666" s="8"/>
      <c r="C666" s="8"/>
    </row>
    <row r="667">
      <c r="B667" s="8"/>
      <c r="C667" s="8"/>
    </row>
    <row r="668">
      <c r="B668" s="8"/>
      <c r="C668" s="8"/>
    </row>
    <row r="669">
      <c r="B669" s="8"/>
      <c r="C669" s="8"/>
    </row>
    <row r="670">
      <c r="B670" s="8"/>
      <c r="C670" s="8"/>
    </row>
    <row r="671">
      <c r="B671" s="8"/>
      <c r="C671" s="8"/>
    </row>
    <row r="672">
      <c r="B672" s="8"/>
      <c r="C672" s="8"/>
    </row>
    <row r="673">
      <c r="B673" s="8"/>
      <c r="C673" s="8"/>
    </row>
    <row r="674">
      <c r="B674" s="8"/>
      <c r="C674" s="8"/>
    </row>
    <row r="675">
      <c r="B675" s="8"/>
      <c r="C675" s="8"/>
    </row>
    <row r="676">
      <c r="B676" s="8"/>
      <c r="C676" s="8"/>
    </row>
    <row r="677">
      <c r="B677" s="8"/>
      <c r="C677" s="8"/>
    </row>
    <row r="678">
      <c r="B678" s="8"/>
      <c r="C678" s="8"/>
    </row>
    <row r="679">
      <c r="B679" s="8"/>
      <c r="C679" s="8"/>
    </row>
    <row r="680">
      <c r="B680" s="8"/>
      <c r="C680" s="8"/>
    </row>
    <row r="681">
      <c r="B681" s="8"/>
      <c r="C681" s="8"/>
    </row>
    <row r="682">
      <c r="B682" s="8"/>
      <c r="C682" s="8"/>
    </row>
    <row r="683">
      <c r="B683" s="8"/>
      <c r="C683" s="8"/>
    </row>
    <row r="684">
      <c r="B684" s="8"/>
      <c r="C684" s="8"/>
    </row>
    <row r="685">
      <c r="B685" s="8"/>
      <c r="C685" s="8"/>
    </row>
    <row r="686">
      <c r="B686" s="8"/>
      <c r="C686" s="8"/>
    </row>
    <row r="687">
      <c r="B687" s="8"/>
      <c r="C687" s="8"/>
    </row>
    <row r="688">
      <c r="B688" s="8"/>
      <c r="C688" s="8"/>
    </row>
    <row r="689">
      <c r="B689" s="8"/>
      <c r="C689" s="8"/>
    </row>
    <row r="690">
      <c r="B690" s="8"/>
      <c r="C690" s="8"/>
    </row>
    <row r="691">
      <c r="B691" s="8"/>
      <c r="C691" s="8"/>
    </row>
    <row r="692">
      <c r="B692" s="8"/>
      <c r="C692" s="8"/>
    </row>
    <row r="693">
      <c r="B693" s="8"/>
      <c r="C693" s="8"/>
    </row>
    <row r="694">
      <c r="B694" s="8"/>
      <c r="C694" s="8"/>
    </row>
    <row r="695">
      <c r="B695" s="8"/>
      <c r="C695" s="8"/>
    </row>
    <row r="696">
      <c r="B696" s="8"/>
      <c r="C696" s="8"/>
    </row>
    <row r="697">
      <c r="B697" s="8"/>
      <c r="C697" s="8"/>
    </row>
    <row r="698">
      <c r="B698" s="8"/>
      <c r="C698" s="8"/>
    </row>
    <row r="699">
      <c r="B699" s="8"/>
      <c r="C699" s="8"/>
    </row>
    <row r="700">
      <c r="B700" s="8"/>
      <c r="C700" s="8"/>
    </row>
    <row r="701">
      <c r="B701" s="8"/>
      <c r="C701" s="8"/>
    </row>
    <row r="702">
      <c r="B702" s="8"/>
      <c r="C702" s="8"/>
    </row>
    <row r="703">
      <c r="B703" s="8"/>
      <c r="C703" s="8"/>
    </row>
    <row r="704">
      <c r="B704" s="8"/>
      <c r="C704" s="8"/>
    </row>
    <row r="705">
      <c r="B705" s="8"/>
      <c r="C705" s="8"/>
    </row>
    <row r="706">
      <c r="B706" s="8"/>
      <c r="C706" s="8"/>
    </row>
    <row r="707">
      <c r="B707" s="8"/>
      <c r="C707" s="8"/>
    </row>
    <row r="708">
      <c r="B708" s="8"/>
      <c r="C708" s="8"/>
    </row>
    <row r="709">
      <c r="B709" s="8"/>
      <c r="C709" s="8"/>
    </row>
    <row r="710">
      <c r="B710" s="8"/>
      <c r="C710" s="8"/>
    </row>
    <row r="711">
      <c r="B711" s="8"/>
      <c r="C711" s="8"/>
    </row>
    <row r="712">
      <c r="B712" s="8"/>
      <c r="C712" s="8"/>
    </row>
    <row r="713">
      <c r="B713" s="8"/>
      <c r="C713" s="8"/>
    </row>
    <row r="714">
      <c r="B714" s="8"/>
      <c r="C714" s="8"/>
    </row>
    <row r="715">
      <c r="B715" s="8"/>
      <c r="C715" s="8"/>
    </row>
    <row r="716">
      <c r="B716" s="8"/>
      <c r="C716" s="8"/>
    </row>
    <row r="717">
      <c r="B717" s="8"/>
      <c r="C717" s="8"/>
    </row>
    <row r="718">
      <c r="B718" s="8"/>
      <c r="C718" s="8"/>
    </row>
    <row r="719">
      <c r="B719" s="8"/>
      <c r="C719" s="8"/>
    </row>
    <row r="720">
      <c r="B720" s="8"/>
      <c r="C720" s="8"/>
    </row>
    <row r="721">
      <c r="B721" s="8"/>
      <c r="C721" s="8"/>
    </row>
    <row r="722">
      <c r="B722" s="8"/>
      <c r="C722" s="8"/>
    </row>
    <row r="723">
      <c r="B723" s="8"/>
      <c r="C723" s="8"/>
    </row>
    <row r="724">
      <c r="B724" s="8"/>
      <c r="C724" s="8"/>
    </row>
    <row r="725">
      <c r="B725" s="8"/>
      <c r="C725" s="8"/>
    </row>
    <row r="726">
      <c r="B726" s="8"/>
      <c r="C726" s="8"/>
    </row>
    <row r="727">
      <c r="B727" s="8"/>
      <c r="C727" s="8"/>
    </row>
    <row r="728">
      <c r="B728" s="8"/>
      <c r="C728" s="8"/>
    </row>
    <row r="729">
      <c r="B729" s="8"/>
      <c r="C729" s="8"/>
    </row>
    <row r="730">
      <c r="B730" s="8"/>
      <c r="C730" s="8"/>
    </row>
    <row r="731">
      <c r="B731" s="8"/>
      <c r="C731" s="8"/>
    </row>
    <row r="732">
      <c r="B732" s="8"/>
      <c r="C732" s="8"/>
    </row>
    <row r="733">
      <c r="B733" s="8"/>
      <c r="C733" s="8"/>
    </row>
    <row r="734">
      <c r="B734" s="8"/>
      <c r="C734" s="8"/>
    </row>
    <row r="735">
      <c r="B735" s="8"/>
      <c r="C735" s="8"/>
    </row>
    <row r="736">
      <c r="B736" s="8"/>
      <c r="C736" s="8"/>
    </row>
    <row r="737">
      <c r="B737" s="8"/>
      <c r="C737" s="8"/>
    </row>
    <row r="738">
      <c r="B738" s="8"/>
      <c r="C738" s="8"/>
    </row>
    <row r="739">
      <c r="B739" s="8"/>
      <c r="C739" s="8"/>
    </row>
    <row r="740">
      <c r="B740" s="8"/>
      <c r="C740" s="8"/>
    </row>
    <row r="741">
      <c r="B741" s="8"/>
      <c r="C741" s="8"/>
    </row>
    <row r="742">
      <c r="B742" s="8"/>
      <c r="C742" s="8"/>
    </row>
    <row r="743">
      <c r="B743" s="8"/>
      <c r="C743" s="8"/>
    </row>
    <row r="744">
      <c r="B744" s="8"/>
      <c r="C744" s="8"/>
    </row>
    <row r="745">
      <c r="B745" s="8"/>
      <c r="C745" s="8"/>
    </row>
    <row r="746">
      <c r="B746" s="8"/>
      <c r="C746" s="8"/>
    </row>
    <row r="747">
      <c r="B747" s="8"/>
      <c r="C747" s="8"/>
    </row>
    <row r="748">
      <c r="B748" s="8"/>
      <c r="C748" s="8"/>
    </row>
    <row r="749">
      <c r="B749" s="8"/>
      <c r="C749" s="8"/>
    </row>
    <row r="750">
      <c r="B750" s="8"/>
      <c r="C750" s="8"/>
    </row>
    <row r="751">
      <c r="B751" s="8"/>
      <c r="C751" s="8"/>
    </row>
    <row r="752">
      <c r="B752" s="8"/>
      <c r="C752" s="8"/>
    </row>
    <row r="753">
      <c r="B753" s="8"/>
      <c r="C753" s="8"/>
    </row>
    <row r="754">
      <c r="B754" s="8"/>
      <c r="C754" s="8"/>
    </row>
    <row r="755">
      <c r="B755" s="8"/>
      <c r="C755" s="8"/>
    </row>
    <row r="756">
      <c r="B756" s="8"/>
      <c r="C756" s="8"/>
    </row>
    <row r="757">
      <c r="B757" s="8"/>
      <c r="C757" s="8"/>
    </row>
    <row r="758">
      <c r="B758" s="8"/>
      <c r="C758" s="8"/>
    </row>
    <row r="759">
      <c r="B759" s="8"/>
      <c r="C759" s="8"/>
    </row>
    <row r="760">
      <c r="B760" s="8"/>
      <c r="C760" s="8"/>
    </row>
    <row r="761">
      <c r="B761" s="8"/>
      <c r="C761" s="8"/>
    </row>
    <row r="762">
      <c r="B762" s="8"/>
      <c r="C762" s="8"/>
    </row>
    <row r="763">
      <c r="B763" s="8"/>
      <c r="C763" s="8"/>
    </row>
    <row r="764">
      <c r="B764" s="8"/>
      <c r="C764" s="8"/>
    </row>
    <row r="765">
      <c r="B765" s="8"/>
      <c r="C765" s="8"/>
    </row>
    <row r="766">
      <c r="B766" s="8"/>
      <c r="C766" s="8"/>
    </row>
    <row r="767">
      <c r="B767" s="8"/>
      <c r="C767" s="8"/>
    </row>
    <row r="768">
      <c r="B768" s="8"/>
      <c r="C768" s="8"/>
    </row>
    <row r="769">
      <c r="B769" s="8"/>
      <c r="C769" s="8"/>
    </row>
    <row r="770">
      <c r="B770" s="8"/>
      <c r="C770" s="8"/>
    </row>
    <row r="771">
      <c r="B771" s="8"/>
      <c r="C771" s="8"/>
    </row>
    <row r="772">
      <c r="B772" s="8"/>
      <c r="C772" s="8"/>
    </row>
    <row r="773">
      <c r="B773" s="8"/>
      <c r="C773" s="8"/>
    </row>
    <row r="774">
      <c r="B774" s="8"/>
      <c r="C774" s="8"/>
    </row>
    <row r="775">
      <c r="B775" s="8"/>
      <c r="C775" s="8"/>
    </row>
    <row r="776">
      <c r="B776" s="8"/>
      <c r="C776" s="8"/>
    </row>
    <row r="777">
      <c r="B777" s="8"/>
      <c r="C777" s="8"/>
    </row>
    <row r="778">
      <c r="B778" s="8"/>
      <c r="C778" s="8"/>
    </row>
    <row r="779">
      <c r="B779" s="8"/>
      <c r="C779" s="8"/>
    </row>
    <row r="780">
      <c r="B780" s="8"/>
      <c r="C780" s="8"/>
    </row>
    <row r="781">
      <c r="B781" s="8"/>
      <c r="C781" s="8"/>
    </row>
    <row r="782">
      <c r="B782" s="8"/>
      <c r="C782" s="8"/>
    </row>
    <row r="783">
      <c r="B783" s="8"/>
      <c r="C783" s="8"/>
    </row>
    <row r="784">
      <c r="B784" s="8"/>
      <c r="C784" s="8"/>
    </row>
    <row r="785">
      <c r="B785" s="8"/>
      <c r="C785" s="8"/>
    </row>
    <row r="786">
      <c r="B786" s="8"/>
      <c r="C786" s="8"/>
    </row>
    <row r="787">
      <c r="B787" s="8"/>
      <c r="C787" s="8"/>
    </row>
    <row r="788">
      <c r="B788" s="8"/>
      <c r="C788" s="8"/>
    </row>
    <row r="789">
      <c r="B789" s="8"/>
      <c r="C789" s="8"/>
    </row>
    <row r="790">
      <c r="B790" s="8"/>
      <c r="C790" s="8"/>
    </row>
    <row r="791">
      <c r="B791" s="8"/>
      <c r="C791" s="8"/>
    </row>
    <row r="792">
      <c r="B792" s="8"/>
      <c r="C792" s="8"/>
    </row>
    <row r="793">
      <c r="B793" s="8"/>
      <c r="C793" s="8"/>
    </row>
    <row r="794">
      <c r="B794" s="8"/>
      <c r="C794" s="8"/>
    </row>
    <row r="795">
      <c r="B795" s="8"/>
      <c r="C795" s="8"/>
    </row>
    <row r="796">
      <c r="B796" s="8"/>
      <c r="C796" s="8"/>
    </row>
    <row r="797">
      <c r="B797" s="8"/>
      <c r="C797" s="8"/>
    </row>
    <row r="798">
      <c r="B798" s="8"/>
      <c r="C798" s="8"/>
    </row>
    <row r="799">
      <c r="B799" s="8"/>
      <c r="C799" s="8"/>
    </row>
    <row r="800">
      <c r="B800" s="8"/>
      <c r="C800" s="8"/>
    </row>
    <row r="801">
      <c r="B801" s="8"/>
      <c r="C801" s="8"/>
    </row>
    <row r="802">
      <c r="B802" s="8"/>
      <c r="C802" s="8"/>
    </row>
    <row r="803">
      <c r="B803" s="8"/>
      <c r="C803" s="8"/>
    </row>
    <row r="804">
      <c r="B804" s="8"/>
      <c r="C804" s="8"/>
    </row>
    <row r="805">
      <c r="B805" s="8"/>
      <c r="C805" s="8"/>
    </row>
    <row r="806">
      <c r="B806" s="8"/>
      <c r="C806" s="8"/>
    </row>
    <row r="807">
      <c r="B807" s="8"/>
      <c r="C807" s="8"/>
    </row>
    <row r="808">
      <c r="B808" s="8"/>
      <c r="C808" s="8"/>
    </row>
    <row r="809">
      <c r="B809" s="8"/>
      <c r="C809" s="8"/>
    </row>
    <row r="810">
      <c r="B810" s="8"/>
      <c r="C810" s="8"/>
    </row>
    <row r="811">
      <c r="B811" s="8"/>
      <c r="C811" s="8"/>
    </row>
    <row r="812">
      <c r="B812" s="8"/>
      <c r="C812" s="8"/>
    </row>
    <row r="813">
      <c r="B813" s="8"/>
      <c r="C813" s="8"/>
    </row>
    <row r="814">
      <c r="B814" s="8"/>
      <c r="C814" s="8"/>
    </row>
    <row r="815">
      <c r="B815" s="8"/>
      <c r="C815" s="8"/>
    </row>
    <row r="816">
      <c r="B816" s="8"/>
      <c r="C816" s="8"/>
    </row>
    <row r="817">
      <c r="B817" s="8"/>
      <c r="C817" s="8"/>
    </row>
    <row r="818">
      <c r="B818" s="8"/>
      <c r="C818" s="8"/>
    </row>
    <row r="819">
      <c r="B819" s="8"/>
      <c r="C819" s="8"/>
    </row>
    <row r="820">
      <c r="B820" s="8"/>
      <c r="C820" s="8"/>
    </row>
    <row r="821">
      <c r="B821" s="8"/>
      <c r="C821" s="8"/>
    </row>
    <row r="822">
      <c r="B822" s="8"/>
      <c r="C822" s="8"/>
    </row>
    <row r="823">
      <c r="B823" s="8"/>
      <c r="C823" s="8"/>
    </row>
    <row r="824">
      <c r="B824" s="8"/>
      <c r="C824" s="8"/>
    </row>
    <row r="825">
      <c r="B825" s="8"/>
      <c r="C825" s="8"/>
    </row>
    <row r="826">
      <c r="B826" s="8"/>
      <c r="C826" s="8"/>
    </row>
    <row r="827">
      <c r="B827" s="8"/>
      <c r="C827" s="8"/>
    </row>
    <row r="828">
      <c r="B828" s="8"/>
      <c r="C828" s="8"/>
    </row>
    <row r="829">
      <c r="B829" s="8"/>
      <c r="C829" s="8"/>
    </row>
    <row r="830">
      <c r="B830" s="8"/>
      <c r="C830" s="8"/>
    </row>
    <row r="831">
      <c r="B831" s="8"/>
      <c r="C831" s="8"/>
    </row>
    <row r="832">
      <c r="B832" s="8"/>
      <c r="C832" s="8"/>
    </row>
    <row r="833">
      <c r="B833" s="8"/>
      <c r="C833" s="8"/>
    </row>
    <row r="834">
      <c r="B834" s="8"/>
      <c r="C834" s="8"/>
    </row>
    <row r="835">
      <c r="B835" s="8"/>
      <c r="C835" s="8"/>
    </row>
    <row r="836">
      <c r="B836" s="8"/>
      <c r="C836" s="8"/>
    </row>
    <row r="837">
      <c r="B837" s="8"/>
      <c r="C837" s="8"/>
    </row>
    <row r="838">
      <c r="B838" s="8"/>
      <c r="C838" s="8"/>
    </row>
    <row r="839">
      <c r="B839" s="8"/>
      <c r="C839" s="8"/>
    </row>
    <row r="840">
      <c r="B840" s="8"/>
      <c r="C840" s="8"/>
    </row>
    <row r="841">
      <c r="B841" s="8"/>
      <c r="C841" s="8"/>
    </row>
    <row r="842">
      <c r="B842" s="8"/>
      <c r="C842" s="8"/>
    </row>
    <row r="843">
      <c r="B843" s="8"/>
      <c r="C843" s="8"/>
    </row>
    <row r="844">
      <c r="B844" s="8"/>
      <c r="C844" s="8"/>
    </row>
    <row r="845">
      <c r="B845" s="8"/>
      <c r="C845" s="8"/>
    </row>
    <row r="846">
      <c r="B846" s="8"/>
      <c r="C846" s="8"/>
    </row>
    <row r="847">
      <c r="B847" s="8"/>
      <c r="C847" s="8"/>
    </row>
    <row r="848">
      <c r="B848" s="8"/>
      <c r="C848" s="8"/>
    </row>
    <row r="849">
      <c r="B849" s="8"/>
      <c r="C849" s="8"/>
    </row>
    <row r="850">
      <c r="B850" s="8"/>
      <c r="C850" s="8"/>
    </row>
    <row r="851">
      <c r="B851" s="8"/>
      <c r="C851" s="8"/>
    </row>
    <row r="852">
      <c r="B852" s="8"/>
      <c r="C852" s="8"/>
    </row>
    <row r="853">
      <c r="B853" s="8"/>
      <c r="C853" s="8"/>
    </row>
    <row r="854">
      <c r="B854" s="8"/>
      <c r="C854" s="8"/>
    </row>
    <row r="855">
      <c r="B855" s="8"/>
      <c r="C855" s="8"/>
    </row>
    <row r="856">
      <c r="B856" s="8"/>
      <c r="C856" s="8"/>
    </row>
    <row r="857">
      <c r="B857" s="8"/>
      <c r="C857" s="8"/>
    </row>
    <row r="858">
      <c r="B858" s="8"/>
      <c r="C858" s="8"/>
    </row>
    <row r="859">
      <c r="B859" s="8"/>
      <c r="C859" s="8"/>
    </row>
    <row r="860">
      <c r="B860" s="8"/>
      <c r="C860" s="8"/>
    </row>
    <row r="861">
      <c r="B861" s="8"/>
      <c r="C861" s="8"/>
    </row>
    <row r="862">
      <c r="B862" s="8"/>
      <c r="C862" s="8"/>
    </row>
    <row r="863">
      <c r="B863" s="8"/>
      <c r="C863" s="8"/>
    </row>
    <row r="864">
      <c r="B864" s="8"/>
      <c r="C864" s="8"/>
    </row>
    <row r="865">
      <c r="B865" s="8"/>
      <c r="C865" s="8"/>
    </row>
    <row r="866">
      <c r="B866" s="8"/>
      <c r="C866" s="8"/>
    </row>
    <row r="867">
      <c r="B867" s="8"/>
      <c r="C867" s="8"/>
    </row>
    <row r="868">
      <c r="B868" s="8"/>
      <c r="C868" s="8"/>
    </row>
    <row r="869">
      <c r="B869" s="8"/>
      <c r="C869" s="8"/>
    </row>
    <row r="870">
      <c r="B870" s="8"/>
      <c r="C870" s="8"/>
    </row>
    <row r="871">
      <c r="B871" s="8"/>
      <c r="C871" s="8"/>
    </row>
    <row r="872">
      <c r="B872" s="8"/>
      <c r="C872" s="8"/>
    </row>
    <row r="873">
      <c r="B873" s="8"/>
      <c r="C873" s="8"/>
    </row>
    <row r="874">
      <c r="B874" s="8"/>
      <c r="C874" s="8"/>
    </row>
    <row r="875">
      <c r="B875" s="8"/>
      <c r="C875" s="8"/>
    </row>
    <row r="876">
      <c r="B876" s="8"/>
      <c r="C876" s="8"/>
    </row>
    <row r="877">
      <c r="B877" s="8"/>
      <c r="C877" s="8"/>
    </row>
    <row r="878">
      <c r="B878" s="8"/>
      <c r="C878" s="8"/>
    </row>
    <row r="879">
      <c r="B879" s="8"/>
      <c r="C879" s="8"/>
    </row>
    <row r="880">
      <c r="B880" s="8"/>
      <c r="C880" s="8"/>
    </row>
    <row r="881">
      <c r="B881" s="8"/>
      <c r="C881" s="8"/>
    </row>
    <row r="882">
      <c r="B882" s="8"/>
      <c r="C882" s="8"/>
    </row>
    <row r="883">
      <c r="B883" s="8"/>
      <c r="C883" s="8"/>
    </row>
    <row r="884">
      <c r="B884" s="8"/>
      <c r="C884" s="8"/>
    </row>
    <row r="885">
      <c r="B885" s="8"/>
      <c r="C885" s="8"/>
    </row>
    <row r="886">
      <c r="B886" s="8"/>
      <c r="C886" s="8"/>
    </row>
    <row r="887">
      <c r="B887" s="8"/>
      <c r="C887" s="8"/>
    </row>
    <row r="888">
      <c r="B888" s="8"/>
      <c r="C888" s="8"/>
    </row>
    <row r="889">
      <c r="B889" s="8"/>
      <c r="C889" s="8"/>
    </row>
    <row r="890">
      <c r="B890" s="8"/>
      <c r="C890" s="8"/>
    </row>
    <row r="891">
      <c r="B891" s="8"/>
      <c r="C891" s="8"/>
    </row>
    <row r="892">
      <c r="B892" s="8"/>
      <c r="C892" s="8"/>
    </row>
    <row r="893">
      <c r="B893" s="8"/>
      <c r="C893" s="8"/>
    </row>
    <row r="894">
      <c r="B894" s="8"/>
      <c r="C894" s="8"/>
    </row>
    <row r="895">
      <c r="B895" s="8"/>
      <c r="C895" s="8"/>
    </row>
    <row r="896">
      <c r="B896" s="8"/>
      <c r="C896" s="8"/>
    </row>
    <row r="897">
      <c r="B897" s="8"/>
      <c r="C897" s="8"/>
    </row>
    <row r="898">
      <c r="B898" s="8"/>
      <c r="C898" s="8"/>
    </row>
    <row r="899">
      <c r="B899" s="8"/>
      <c r="C899" s="8"/>
    </row>
    <row r="900">
      <c r="B900" s="8"/>
      <c r="C900" s="8"/>
    </row>
    <row r="901">
      <c r="B901" s="8"/>
      <c r="C901" s="8"/>
    </row>
    <row r="902">
      <c r="B902" s="8"/>
      <c r="C902" s="8"/>
    </row>
    <row r="903">
      <c r="B903" s="8"/>
      <c r="C903" s="8"/>
    </row>
    <row r="904">
      <c r="B904" s="8"/>
      <c r="C904" s="8"/>
    </row>
    <row r="905">
      <c r="B905" s="8"/>
      <c r="C905" s="8"/>
    </row>
    <row r="906">
      <c r="B906" s="8"/>
      <c r="C906" s="8"/>
    </row>
    <row r="907">
      <c r="B907" s="8"/>
      <c r="C907" s="8"/>
    </row>
    <row r="908">
      <c r="B908" s="8"/>
      <c r="C908" s="8"/>
    </row>
    <row r="909">
      <c r="B909" s="8"/>
      <c r="C909" s="8"/>
    </row>
    <row r="910">
      <c r="B910" s="8"/>
      <c r="C910" s="8"/>
    </row>
    <row r="911">
      <c r="B911" s="8"/>
      <c r="C911" s="8"/>
    </row>
    <row r="912">
      <c r="B912" s="8"/>
      <c r="C912" s="8"/>
    </row>
    <row r="913">
      <c r="B913" s="8"/>
      <c r="C913" s="8"/>
    </row>
    <row r="914">
      <c r="B914" s="8"/>
      <c r="C914" s="8"/>
    </row>
    <row r="915">
      <c r="B915" s="8"/>
      <c r="C915" s="8"/>
    </row>
    <row r="916">
      <c r="B916" s="8"/>
      <c r="C916" s="8"/>
    </row>
    <row r="917">
      <c r="B917" s="8"/>
      <c r="C917" s="8"/>
    </row>
    <row r="918">
      <c r="B918" s="8"/>
      <c r="C918" s="8"/>
    </row>
    <row r="919">
      <c r="B919" s="8"/>
      <c r="C919" s="8"/>
    </row>
    <row r="920">
      <c r="B920" s="8"/>
      <c r="C920" s="8"/>
    </row>
    <row r="921">
      <c r="B921" s="8"/>
      <c r="C921" s="8"/>
    </row>
    <row r="922">
      <c r="B922" s="8"/>
      <c r="C922" s="8"/>
    </row>
    <row r="923">
      <c r="B923" s="8"/>
      <c r="C923" s="8"/>
    </row>
    <row r="924">
      <c r="B924" s="8"/>
      <c r="C924" s="8"/>
    </row>
    <row r="925">
      <c r="B925" s="8"/>
      <c r="C925" s="8"/>
    </row>
    <row r="926">
      <c r="B926" s="8"/>
      <c r="C926" s="8"/>
    </row>
    <row r="927">
      <c r="B927" s="8"/>
      <c r="C927" s="8"/>
    </row>
    <row r="928">
      <c r="B928" s="8"/>
      <c r="C928" s="8"/>
    </row>
    <row r="929">
      <c r="B929" s="8"/>
      <c r="C929" s="8"/>
    </row>
    <row r="930">
      <c r="B930" s="8"/>
      <c r="C930" s="8"/>
    </row>
    <row r="931">
      <c r="B931" s="8"/>
      <c r="C931" s="8"/>
    </row>
    <row r="932">
      <c r="B932" s="8"/>
      <c r="C932" s="8"/>
    </row>
    <row r="933">
      <c r="B933" s="8"/>
      <c r="C933" s="8"/>
    </row>
    <row r="934">
      <c r="B934" s="8"/>
      <c r="C934" s="8"/>
    </row>
    <row r="935">
      <c r="B935" s="8"/>
      <c r="C935" s="8"/>
    </row>
    <row r="936">
      <c r="B936" s="8"/>
      <c r="C936" s="8"/>
    </row>
    <row r="937">
      <c r="B937" s="8"/>
      <c r="C937" s="8"/>
    </row>
    <row r="938">
      <c r="B938" s="8"/>
      <c r="C938" s="8"/>
    </row>
    <row r="939">
      <c r="B939" s="8"/>
      <c r="C939" s="8"/>
    </row>
    <row r="940">
      <c r="B940" s="8"/>
      <c r="C940" s="8"/>
    </row>
    <row r="941">
      <c r="B941" s="8"/>
      <c r="C941" s="8"/>
    </row>
    <row r="942">
      <c r="B942" s="8"/>
      <c r="C942" s="8"/>
    </row>
    <row r="943">
      <c r="B943" s="8"/>
      <c r="C943" s="8"/>
    </row>
    <row r="944">
      <c r="B944" s="8"/>
      <c r="C944" s="8"/>
    </row>
    <row r="945">
      <c r="B945" s="8"/>
      <c r="C945" s="8"/>
    </row>
    <row r="946">
      <c r="B946" s="8"/>
      <c r="C946" s="8"/>
    </row>
    <row r="947">
      <c r="B947" s="8"/>
      <c r="C947" s="8"/>
    </row>
    <row r="948">
      <c r="B948" s="8"/>
      <c r="C948" s="8"/>
    </row>
    <row r="949">
      <c r="B949" s="8"/>
      <c r="C949" s="8"/>
    </row>
    <row r="950">
      <c r="B950" s="8"/>
      <c r="C950" s="8"/>
    </row>
    <row r="951">
      <c r="B951" s="8"/>
      <c r="C951" s="8"/>
    </row>
    <row r="952">
      <c r="B952" s="8"/>
      <c r="C952" s="8"/>
    </row>
    <row r="953">
      <c r="B953" s="8"/>
      <c r="C953" s="8"/>
    </row>
    <row r="954">
      <c r="B954" s="8"/>
      <c r="C954" s="8"/>
    </row>
    <row r="955">
      <c r="B955" s="8"/>
      <c r="C955" s="8"/>
    </row>
    <row r="956">
      <c r="B956" s="8"/>
      <c r="C956" s="8"/>
    </row>
    <row r="957">
      <c r="B957" s="8"/>
      <c r="C957" s="8"/>
    </row>
    <row r="958">
      <c r="B958" s="8"/>
      <c r="C958" s="8"/>
    </row>
    <row r="959">
      <c r="B959" s="8"/>
      <c r="C959" s="8"/>
    </row>
    <row r="960">
      <c r="B960" s="8"/>
      <c r="C960" s="8"/>
    </row>
    <row r="961">
      <c r="B961" s="8"/>
      <c r="C961" s="8"/>
    </row>
    <row r="962">
      <c r="B962" s="8"/>
      <c r="C962" s="8"/>
    </row>
    <row r="963">
      <c r="B963" s="8"/>
      <c r="C963" s="8"/>
    </row>
    <row r="964">
      <c r="B964" s="8"/>
      <c r="C964" s="8"/>
    </row>
    <row r="965">
      <c r="B965" s="8"/>
      <c r="C965" s="8"/>
    </row>
    <row r="966">
      <c r="B966" s="8"/>
      <c r="C966" s="8"/>
    </row>
    <row r="967">
      <c r="B967" s="8"/>
      <c r="C967" s="8"/>
    </row>
    <row r="968">
      <c r="B968" s="8"/>
      <c r="C968" s="8"/>
    </row>
    <row r="969">
      <c r="B969" s="8"/>
      <c r="C969" s="8"/>
    </row>
    <row r="970">
      <c r="B970" s="8"/>
      <c r="C970" s="8"/>
    </row>
    <row r="971">
      <c r="B971" s="8"/>
      <c r="C971" s="8"/>
    </row>
    <row r="972">
      <c r="B972" s="8"/>
      <c r="C972" s="8"/>
    </row>
    <row r="973">
      <c r="B973" s="8"/>
      <c r="C973" s="8"/>
    </row>
    <row r="974">
      <c r="B974" s="8"/>
      <c r="C974" s="8"/>
    </row>
    <row r="975">
      <c r="B975" s="8"/>
      <c r="C975" s="8"/>
    </row>
    <row r="976">
      <c r="B976" s="8"/>
      <c r="C976" s="8"/>
    </row>
    <row r="977">
      <c r="B977" s="8"/>
      <c r="C977" s="8"/>
    </row>
    <row r="978">
      <c r="B978" s="8"/>
      <c r="C978" s="8"/>
    </row>
    <row r="979">
      <c r="B979" s="8"/>
      <c r="C979" s="8"/>
    </row>
    <row r="980">
      <c r="B980" s="8"/>
      <c r="C980" s="8"/>
    </row>
    <row r="981">
      <c r="B981" s="8"/>
      <c r="C981" s="8"/>
    </row>
    <row r="982">
      <c r="B982" s="8"/>
      <c r="C982" s="8"/>
    </row>
    <row r="983">
      <c r="B983" s="8"/>
      <c r="C983" s="8"/>
    </row>
    <row r="984">
      <c r="B984" s="8"/>
      <c r="C984" s="8"/>
    </row>
    <row r="985">
      <c r="B985" s="8"/>
      <c r="C985" s="8"/>
    </row>
    <row r="986">
      <c r="B986" s="8"/>
      <c r="C986" s="8"/>
    </row>
    <row r="987">
      <c r="B987" s="8"/>
      <c r="C987" s="8"/>
    </row>
    <row r="988">
      <c r="B988" s="8"/>
      <c r="C988" s="8"/>
    </row>
    <row r="989">
      <c r="B989" s="8"/>
      <c r="C989" s="8"/>
    </row>
    <row r="990">
      <c r="B990" s="8"/>
      <c r="C990" s="8"/>
    </row>
    <row r="991">
      <c r="B991" s="8"/>
      <c r="C991" s="8"/>
    </row>
    <row r="992">
      <c r="B992" s="8"/>
      <c r="C992" s="8"/>
    </row>
    <row r="993">
      <c r="B993" s="8"/>
      <c r="C993" s="8"/>
    </row>
    <row r="994">
      <c r="B994" s="8"/>
      <c r="C994" s="8"/>
    </row>
    <row r="995">
      <c r="B995" s="8"/>
      <c r="C995" s="8"/>
    </row>
    <row r="996">
      <c r="B996" s="8"/>
      <c r="C996" s="8"/>
    </row>
    <row r="997">
      <c r="B997" s="8"/>
      <c r="C997" s="8"/>
    </row>
    <row r="998">
      <c r="B998" s="8"/>
      <c r="C998" s="8"/>
    </row>
    <row r="999">
      <c r="B999" s="8"/>
      <c r="C999" s="8"/>
    </row>
    <row r="1000">
      <c r="B1000" s="8"/>
      <c r="C1000" s="8"/>
    </row>
    <row r="1001">
      <c r="B1001" s="8"/>
      <c r="C1001" s="8"/>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70.0"/>
    <col customWidth="1" min="2" max="3" width="47.0"/>
  </cols>
  <sheetData>
    <row r="1" ht="34.5" customHeight="1">
      <c r="A1" s="1" t="s">
        <v>4213</v>
      </c>
      <c r="B1" s="6" t="s">
        <v>4214</v>
      </c>
      <c r="C1" s="7" t="s">
        <v>4097</v>
      </c>
      <c r="D1" s="1" t="s">
        <v>4098</v>
      </c>
      <c r="E1" s="1" t="s">
        <v>4101</v>
      </c>
    </row>
    <row r="2">
      <c r="A2" t="str">
        <f>IFERROR(__xludf.DUMMYFUNCTION("UNIQUE('Federal-Grants-13-15.csv'!N2:N2496)"),"HEALTH AND HUMAN SERVICES, DEPARTMENT OF")</f>
        <v>HEALTH AND HUMAN SERVICES, DEPARTMENT OF</v>
      </c>
      <c r="B2" s="6" t="s">
        <v>4215</v>
      </c>
      <c r="C2" s="6" t="str">
        <f t="shared" ref="C2:C17" si="1">if(eq(D2, "x"), A2, (if(isblank(B2),A2,B2)))</f>
        <v>U.S. Department of Health and Human Services (DHHS)</v>
      </c>
    </row>
    <row r="3">
      <c r="A3" t="str">
        <f>IFERROR(__xludf.DUMMYFUNCTION("""COMPUTED_VALUE"""),"ENERGY, DEPARTMENT OF")</f>
        <v>ENERGY, DEPARTMENT OF</v>
      </c>
      <c r="B3" s="6" t="s">
        <v>4216</v>
      </c>
      <c r="C3" s="6" t="str">
        <f t="shared" si="1"/>
        <v>U.S. Department of Energy</v>
      </c>
    </row>
    <row r="4">
      <c r="A4" t="str">
        <f>IFERROR(__xludf.DUMMYFUNCTION("""COMPUTED_VALUE"""),"JUSTICE, DEPARTMENT OF")</f>
        <v>JUSTICE, DEPARTMENT OF</v>
      </c>
      <c r="B4" s="6" t="s">
        <v>4217</v>
      </c>
      <c r="C4" s="6" t="str">
        <f t="shared" si="1"/>
        <v>U.S. Department of Justice (DOJ)</v>
      </c>
    </row>
    <row r="5">
      <c r="A5" t="str">
        <f>IFERROR(__xludf.DUMMYFUNCTION("""COMPUTED_VALUE"""),"HOUSING AND URBAN DEVELOPMENT, DEPARTMENT OF")</f>
        <v>HOUSING AND URBAN DEVELOPMENT, DEPARTMENT OF</v>
      </c>
      <c r="B5" s="6" t="s">
        <v>4218</v>
      </c>
      <c r="C5" s="6" t="str">
        <f t="shared" si="1"/>
        <v>U.S. Department of Housing and Urban Development (HUD)</v>
      </c>
    </row>
    <row r="6">
      <c r="A6" t="str">
        <f>IFERROR(__xludf.DUMMYFUNCTION("""COMPUTED_VALUE"""),"NATIONAL SCIENCE FOUNDATION")</f>
        <v>NATIONAL SCIENCE FOUNDATION</v>
      </c>
      <c r="B6" s="6" t="s">
        <v>4219</v>
      </c>
      <c r="C6" s="6" t="str">
        <f t="shared" si="1"/>
        <v>National Science Foundation</v>
      </c>
    </row>
    <row r="7">
      <c r="A7" t="str">
        <f>IFERROR(__xludf.DUMMYFUNCTION("""COMPUTED_VALUE"""),"NATIONAL ENDOWMENT FOR THE ARTS")</f>
        <v>NATIONAL ENDOWMENT FOR THE ARTS</v>
      </c>
      <c r="B7" s="6" t="s">
        <v>4220</v>
      </c>
      <c r="C7" s="6" t="str">
        <f t="shared" si="1"/>
        <v>National Endowment for the Arts</v>
      </c>
    </row>
    <row r="8">
      <c r="A8" t="str">
        <f>IFERROR(__xludf.DUMMYFUNCTION("""COMPUTED_VALUE"""),"TRANSPORTATION, DEPARTMENT OF")</f>
        <v>TRANSPORTATION, DEPARTMENT OF</v>
      </c>
      <c r="B8" s="6" t="s">
        <v>4221</v>
      </c>
      <c r="C8" s="6" t="str">
        <f t="shared" si="1"/>
        <v>U.S. Department of Transportation (DOT)</v>
      </c>
    </row>
    <row r="9">
      <c r="A9" t="str">
        <f>IFERROR(__xludf.DUMMYFUNCTION("""COMPUTED_VALUE"""),"STATE, DEPARTMENT OF")</f>
        <v>STATE, DEPARTMENT OF</v>
      </c>
      <c r="B9" s="6" t="s">
        <v>4222</v>
      </c>
      <c r="C9" s="6" t="str">
        <f t="shared" si="1"/>
        <v>U.S. Department of State</v>
      </c>
      <c r="D9" s="1"/>
    </row>
    <row r="10">
      <c r="A10" t="str">
        <f>IFERROR(__xludf.DUMMYFUNCTION("""COMPUTED_VALUE"""),"EDUCATION, DEPARTMENT OF")</f>
        <v>EDUCATION, DEPARTMENT OF</v>
      </c>
      <c r="B10" s="6" t="s">
        <v>4223</v>
      </c>
      <c r="C10" s="6" t="str">
        <f t="shared" si="1"/>
        <v>U.S. Department of Education (ED)</v>
      </c>
    </row>
    <row r="11">
      <c r="A11" t="str">
        <f>IFERROR(__xludf.DUMMYFUNCTION("""COMPUTED_VALUE"""),"LABOR, DEPARTMENT OF")</f>
        <v>LABOR, DEPARTMENT OF</v>
      </c>
      <c r="B11" s="6" t="s">
        <v>4224</v>
      </c>
      <c r="C11" s="6" t="str">
        <f t="shared" si="1"/>
        <v>U.S. Department of Labor (DOL)</v>
      </c>
    </row>
    <row r="12">
      <c r="A12" t="str">
        <f>IFERROR(__xludf.DUMMYFUNCTION("""COMPUTED_VALUE"""),"DEPT OF DEFENSE")</f>
        <v>DEPT OF DEFENSE</v>
      </c>
      <c r="B12" s="6" t="s">
        <v>4225</v>
      </c>
      <c r="C12" s="6" t="str">
        <f t="shared" si="1"/>
        <v>U.S. Department of Defense (DOD)</v>
      </c>
    </row>
    <row r="13">
      <c r="A13" t="str">
        <f>IFERROR(__xludf.DUMMYFUNCTION("""COMPUTED_VALUE"""),"AGRICULTURE, DEPARTMENT OF")</f>
        <v>AGRICULTURE, DEPARTMENT OF</v>
      </c>
      <c r="B13" s="6" t="s">
        <v>4226</v>
      </c>
      <c r="C13" s="6" t="str">
        <f t="shared" si="1"/>
        <v>U.S. Department of Agriculture (USDA)</v>
      </c>
    </row>
    <row r="14">
      <c r="A14" t="str">
        <f>IFERROR(__xludf.DUMMYFUNCTION("""COMPUTED_VALUE"""),"HOMELAND SECURITY, DEPARTMENT OF")</f>
        <v>HOMELAND SECURITY, DEPARTMENT OF</v>
      </c>
      <c r="B14" s="6" t="s">
        <v>4227</v>
      </c>
      <c r="C14" s="6" t="str">
        <f t="shared" si="1"/>
        <v>U.S. Department of Homeland Security (DHS)</v>
      </c>
    </row>
    <row r="15">
      <c r="A15" t="str">
        <f>IFERROR(__xludf.DUMMYFUNCTION("""COMPUTED_VALUE"""),"CORPORATION FOR NATIONAL AND COMMUNITY SERVICE")</f>
        <v>CORPORATION FOR NATIONAL AND COMMUNITY SERVICE</v>
      </c>
      <c r="B15" s="6" t="s">
        <v>4228</v>
      </c>
      <c r="C15" s="6" t="str">
        <f t="shared" si="1"/>
        <v>Corporation for National and Community Service</v>
      </c>
    </row>
    <row r="16">
      <c r="A16" t="str">
        <f>IFERROR(__xludf.DUMMYFUNCTION("""COMPUTED_VALUE"""),"COMMERCE, DEPARTMENT OF")</f>
        <v>COMMERCE, DEPARTMENT OF</v>
      </c>
      <c r="B16" s="6" t="s">
        <v>4229</v>
      </c>
      <c r="C16" s="6" t="str">
        <f t="shared" si="1"/>
        <v>U.S. Department of Commerce (DOC)</v>
      </c>
      <c r="D16" s="1"/>
    </row>
    <row r="17">
      <c r="A17" t="str">
        <f>IFERROR(__xludf.DUMMYFUNCTION("""COMPUTED_VALUE"""),"ENVIRONMENTAL PROTECTION AGENCY")</f>
        <v>ENVIRONMENTAL PROTECTION AGENCY</v>
      </c>
      <c r="B17" s="6" t="s">
        <v>4230</v>
      </c>
      <c r="C17" s="6" t="str">
        <f t="shared" si="1"/>
        <v>U.S. Environmental Protection Agency (EPA)</v>
      </c>
      <c r="D17" s="1"/>
    </row>
  </sheetData>
  <drawing r:id="rId1"/>
</worksheet>
</file>